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Projects\VIC20-Emulator\Emulate6502\Doc\"/>
    </mc:Choice>
  </mc:AlternateContent>
  <bookViews>
    <workbookView xWindow="0" yWindow="0" windowWidth="23040" windowHeight="8835" activeTab="1"/>
  </bookViews>
  <sheets>
    <sheet name="Table" sheetId="1" r:id="rId1"/>
    <sheet name="List" sheetId="2" r:id="rId2"/>
    <sheet name="Blad1" sheetId="4" r:id="rId3"/>
    <sheet name="AccessModes" sheetId="3" r:id="rId4"/>
  </sheets>
  <definedNames>
    <definedName name="_xlnm._FilterDatabase" localSheetId="1" hidden="1">List!$A$1:$S$257</definedName>
    <definedName name="indent">AccessModes!$B$3</definedName>
    <definedName name="indent0">AccessModes!$B$2</definedName>
    <definedName name="indent2">AccessModes!$B$4</definedName>
    <definedName name="indent3">AccessModes!$B$5</definedName>
    <definedName name="newline">AccessModes!$B$1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9" i="2" l="1"/>
  <c r="B5" i="3"/>
  <c r="N227" i="2"/>
  <c r="O257" i="2" l="1"/>
  <c r="O254" i="2"/>
  <c r="O253" i="2"/>
  <c r="O252" i="2"/>
  <c r="O250" i="2"/>
  <c r="O249" i="2"/>
  <c r="O246" i="2"/>
  <c r="O245" i="2"/>
  <c r="O244" i="2"/>
  <c r="O242" i="2"/>
  <c r="O241" i="2"/>
  <c r="O237" i="2"/>
  <c r="O236" i="2"/>
  <c r="O233" i="2"/>
  <c r="O229" i="2"/>
  <c r="O228" i="2"/>
  <c r="O225" i="2"/>
  <c r="O222" i="2"/>
  <c r="O221" i="2"/>
  <c r="O220" i="2"/>
  <c r="O218" i="2"/>
  <c r="O217" i="2"/>
  <c r="O214" i="2"/>
  <c r="O213" i="2"/>
  <c r="O212" i="2"/>
  <c r="O210" i="2"/>
  <c r="O209" i="2"/>
  <c r="O205" i="2"/>
  <c r="O201" i="2"/>
  <c r="O197" i="2"/>
  <c r="O196" i="2"/>
  <c r="O193" i="2"/>
  <c r="O189" i="2"/>
  <c r="O186" i="2"/>
  <c r="O185" i="2"/>
  <c r="O181" i="2"/>
  <c r="O180" i="2"/>
  <c r="O178" i="2"/>
  <c r="O177" i="2"/>
  <c r="O173" i="2"/>
  <c r="O169" i="2"/>
  <c r="O165" i="2"/>
  <c r="O161" i="2"/>
  <c r="O160" i="2"/>
  <c r="O158" i="2"/>
  <c r="O157" i="2"/>
  <c r="O156" i="2"/>
  <c r="O153" i="2"/>
  <c r="O149" i="2"/>
  <c r="O148" i="2"/>
  <c r="O146" i="2"/>
  <c r="O145" i="2"/>
  <c r="O141" i="2"/>
  <c r="O139" i="2"/>
  <c r="O137" i="2"/>
  <c r="O133" i="2"/>
  <c r="O132" i="2"/>
  <c r="O130" i="2"/>
  <c r="O129" i="2"/>
  <c r="O126" i="2"/>
  <c r="O125" i="2"/>
  <c r="O124" i="2"/>
  <c r="O122" i="2"/>
  <c r="O121" i="2"/>
  <c r="O118" i="2"/>
  <c r="O117" i="2"/>
  <c r="O116" i="2"/>
  <c r="O114" i="2"/>
  <c r="O113" i="2"/>
  <c r="O109" i="2"/>
  <c r="O105" i="2"/>
  <c r="O102" i="2"/>
  <c r="O101" i="2"/>
  <c r="O100" i="2"/>
  <c r="O98" i="2"/>
  <c r="O97" i="2"/>
  <c r="O94" i="2"/>
  <c r="O93" i="2"/>
  <c r="O92" i="2"/>
  <c r="O90" i="2"/>
  <c r="O89" i="2"/>
  <c r="O86" i="2"/>
  <c r="O85" i="2"/>
  <c r="O84" i="2"/>
  <c r="O82" i="2"/>
  <c r="O81" i="2"/>
  <c r="O77" i="2"/>
  <c r="O74" i="2"/>
  <c r="O73" i="2"/>
  <c r="O70" i="2"/>
  <c r="O69" i="2"/>
  <c r="O68" i="2"/>
  <c r="O66" i="2"/>
  <c r="O65" i="2"/>
  <c r="O62" i="2"/>
  <c r="O61" i="2"/>
  <c r="O60" i="2"/>
  <c r="O58" i="2"/>
  <c r="O57" i="2"/>
  <c r="O54" i="2"/>
  <c r="O53" i="2"/>
  <c r="O52" i="2"/>
  <c r="O50" i="2"/>
  <c r="O49" i="2"/>
  <c r="O45" i="2"/>
  <c r="O42" i="2"/>
  <c r="O41" i="2"/>
  <c r="O37" i="2"/>
  <c r="O36" i="2"/>
  <c r="O34" i="2"/>
  <c r="O33" i="2"/>
  <c r="O30" i="2"/>
  <c r="O29" i="2"/>
  <c r="O28" i="2"/>
  <c r="O26" i="2"/>
  <c r="O25" i="2"/>
  <c r="O22" i="2"/>
  <c r="O21" i="2"/>
  <c r="O20" i="2"/>
  <c r="O18" i="2"/>
  <c r="O17" i="2"/>
  <c r="O14" i="2"/>
  <c r="O13" i="2"/>
  <c r="O10" i="2"/>
  <c r="O9" i="2"/>
  <c r="O6" i="2"/>
  <c r="O5" i="2"/>
  <c r="O4" i="2"/>
  <c r="O2" i="2"/>
  <c r="E257" i="2" l="1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K184" i="2" l="1"/>
  <c r="K176" i="2"/>
  <c r="K191" i="2"/>
  <c r="K187" i="2"/>
  <c r="K183" i="2"/>
  <c r="K179" i="2"/>
  <c r="K175" i="2"/>
  <c r="J227" i="2" l="1"/>
  <c r="L38" i="2"/>
  <c r="L46" i="2" s="1"/>
  <c r="P46" i="2" s="1"/>
  <c r="K38" i="2"/>
  <c r="J46" i="2"/>
  <c r="N78" i="2"/>
  <c r="N110" i="2" s="1"/>
  <c r="L78" i="2"/>
  <c r="L110" i="2" s="1"/>
  <c r="P110" i="2" s="1"/>
  <c r="K78" i="2"/>
  <c r="J110" i="2"/>
  <c r="N136" i="2"/>
  <c r="N152" i="2" s="1"/>
  <c r="N134" i="2"/>
  <c r="N150" i="2" s="1"/>
  <c r="N131" i="2"/>
  <c r="N147" i="2" s="1"/>
  <c r="N164" i="2"/>
  <c r="N163" i="2"/>
  <c r="N162" i="2"/>
  <c r="K142" i="2"/>
  <c r="O142" i="2" s="1"/>
  <c r="K134" i="2"/>
  <c r="O134" i="2" s="1"/>
  <c r="L152" i="2"/>
  <c r="K136" i="2"/>
  <c r="L144" i="2"/>
  <c r="M158" i="2"/>
  <c r="M156" i="2"/>
  <c r="M154" i="2"/>
  <c r="M148" i="2"/>
  <c r="K131" i="2"/>
  <c r="P257" i="2"/>
  <c r="P254" i="2"/>
  <c r="P253" i="2"/>
  <c r="P252" i="2"/>
  <c r="P250" i="2"/>
  <c r="P249" i="2"/>
  <c r="P246" i="2"/>
  <c r="P245" i="2"/>
  <c r="P244" i="2"/>
  <c r="P242" i="2"/>
  <c r="P241" i="2"/>
  <c r="P237" i="2"/>
  <c r="P236" i="2"/>
  <c r="P233" i="2"/>
  <c r="P229" i="2"/>
  <c r="P228" i="2"/>
  <c r="P225" i="2"/>
  <c r="P222" i="2"/>
  <c r="P221" i="2"/>
  <c r="P220" i="2"/>
  <c r="P218" i="2"/>
  <c r="P217" i="2"/>
  <c r="P214" i="2"/>
  <c r="P213" i="2"/>
  <c r="P212" i="2"/>
  <c r="P210" i="2"/>
  <c r="P209" i="2"/>
  <c r="P205" i="2"/>
  <c r="P201" i="2"/>
  <c r="P197" i="2"/>
  <c r="P196" i="2"/>
  <c r="P193" i="2"/>
  <c r="P173" i="2"/>
  <c r="P172" i="2"/>
  <c r="P170" i="2"/>
  <c r="P169" i="2"/>
  <c r="P165" i="2"/>
  <c r="P161" i="2"/>
  <c r="P160" i="2"/>
  <c r="P141" i="2"/>
  <c r="P140" i="2"/>
  <c r="P139" i="2"/>
  <c r="P137" i="2"/>
  <c r="P133" i="2"/>
  <c r="P132" i="2"/>
  <c r="P130" i="2"/>
  <c r="P129" i="2"/>
  <c r="P126" i="2"/>
  <c r="P125" i="2"/>
  <c r="P124" i="2"/>
  <c r="P122" i="2"/>
  <c r="P121" i="2"/>
  <c r="P118" i="2"/>
  <c r="P117" i="2"/>
  <c r="P116" i="2"/>
  <c r="P114" i="2"/>
  <c r="P113" i="2"/>
  <c r="P109" i="2"/>
  <c r="P108" i="2"/>
  <c r="P106" i="2"/>
  <c r="P105" i="2"/>
  <c r="P102" i="2"/>
  <c r="P101" i="2"/>
  <c r="P100" i="2"/>
  <c r="P98" i="2"/>
  <c r="P97" i="2"/>
  <c r="P94" i="2"/>
  <c r="P93" i="2"/>
  <c r="P92" i="2"/>
  <c r="P90" i="2"/>
  <c r="P89" i="2"/>
  <c r="P86" i="2"/>
  <c r="P85" i="2"/>
  <c r="P84" i="2"/>
  <c r="P82" i="2"/>
  <c r="P81" i="2"/>
  <c r="P77" i="2"/>
  <c r="P74" i="2"/>
  <c r="P73" i="2"/>
  <c r="P70" i="2"/>
  <c r="P69" i="2"/>
  <c r="P68" i="2"/>
  <c r="P66" i="2"/>
  <c r="P65" i="2"/>
  <c r="P62" i="2"/>
  <c r="P61" i="2"/>
  <c r="P60" i="2"/>
  <c r="P58" i="2"/>
  <c r="P57" i="2"/>
  <c r="P54" i="2"/>
  <c r="P53" i="2"/>
  <c r="P52" i="2"/>
  <c r="P50" i="2"/>
  <c r="P49" i="2"/>
  <c r="P45" i="2"/>
  <c r="P42" i="2"/>
  <c r="P41" i="2"/>
  <c r="P37" i="2"/>
  <c r="P36" i="2"/>
  <c r="P34" i="2"/>
  <c r="P33" i="2"/>
  <c r="P30" i="2"/>
  <c r="P29" i="2"/>
  <c r="P28" i="2"/>
  <c r="P26" i="2"/>
  <c r="P25" i="2"/>
  <c r="P22" i="2"/>
  <c r="P21" i="2"/>
  <c r="P20" i="2"/>
  <c r="P18" i="2"/>
  <c r="P17" i="2"/>
  <c r="P14" i="2"/>
  <c r="P13" i="2"/>
  <c r="P10" i="2"/>
  <c r="P9" i="2"/>
  <c r="P6" i="2"/>
  <c r="P5" i="2"/>
  <c r="P4" i="2"/>
  <c r="P2" i="2"/>
  <c r="J136" i="2"/>
  <c r="J134" i="2"/>
  <c r="J234" i="2"/>
  <c r="L234" i="2"/>
  <c r="P234" i="2" s="1"/>
  <c r="L204" i="2"/>
  <c r="P204" i="2" s="1"/>
  <c r="J204" i="2"/>
  <c r="J202" i="2"/>
  <c r="L202" i="2"/>
  <c r="P202" i="2" s="1"/>
  <c r="L194" i="2"/>
  <c r="L238" i="2" s="1"/>
  <c r="L164" i="2"/>
  <c r="L163" i="2"/>
  <c r="L162" i="2"/>
  <c r="P162" i="2" s="1"/>
  <c r="L138" i="2"/>
  <c r="P138" i="2" s="1"/>
  <c r="J138" i="2"/>
  <c r="M138" i="2" s="1"/>
  <c r="J131" i="2"/>
  <c r="L99" i="2"/>
  <c r="P99" i="2" s="1"/>
  <c r="K99" i="2"/>
  <c r="J76" i="2"/>
  <c r="M76" i="2" s="1"/>
  <c r="L76" i="2"/>
  <c r="P76" i="2" s="1"/>
  <c r="L67" i="2"/>
  <c r="P67" i="2" s="1"/>
  <c r="L44" i="2"/>
  <c r="P44" i="2" s="1"/>
  <c r="J44" i="2"/>
  <c r="M44" i="2" s="1"/>
  <c r="L35" i="2"/>
  <c r="P35" i="2" s="1"/>
  <c r="L12" i="2"/>
  <c r="P12" i="2" s="1"/>
  <c r="J12" i="2"/>
  <c r="L3" i="2"/>
  <c r="P3" i="2" s="1"/>
  <c r="J104" i="2"/>
  <c r="J112" i="2" s="1"/>
  <c r="L123" i="2"/>
  <c r="J40" i="2"/>
  <c r="J8" i="2"/>
  <c r="J80" i="2" s="1"/>
  <c r="M257" i="2"/>
  <c r="M254" i="2"/>
  <c r="M253" i="2"/>
  <c r="M252" i="2"/>
  <c r="M250" i="2"/>
  <c r="M249" i="2"/>
  <c r="M246" i="2"/>
  <c r="M245" i="2"/>
  <c r="M244" i="2"/>
  <c r="M241" i="2"/>
  <c r="M237" i="2"/>
  <c r="M236" i="2"/>
  <c r="M234" i="2"/>
  <c r="M233" i="2"/>
  <c r="M229" i="2"/>
  <c r="M228" i="2"/>
  <c r="M225" i="2"/>
  <c r="M222" i="2"/>
  <c r="M221" i="2"/>
  <c r="M220" i="2"/>
  <c r="M218" i="2"/>
  <c r="M217" i="2"/>
  <c r="M214" i="2"/>
  <c r="M213" i="2"/>
  <c r="M212" i="2"/>
  <c r="M209" i="2"/>
  <c r="M205" i="2"/>
  <c r="M204" i="2"/>
  <c r="M202" i="2"/>
  <c r="M201" i="2"/>
  <c r="M197" i="2"/>
  <c r="M196" i="2"/>
  <c r="M193" i="2"/>
  <c r="M173" i="2"/>
  <c r="M172" i="2"/>
  <c r="M170" i="2"/>
  <c r="M169" i="2"/>
  <c r="M165" i="2"/>
  <c r="M161" i="2"/>
  <c r="M160" i="2"/>
  <c r="M157" i="2"/>
  <c r="M153" i="2"/>
  <c r="M149" i="2"/>
  <c r="M145" i="2"/>
  <c r="M141" i="2"/>
  <c r="M140" i="2"/>
  <c r="M139" i="2"/>
  <c r="M137" i="2"/>
  <c r="M136" i="2"/>
  <c r="M133" i="2"/>
  <c r="M132" i="2"/>
  <c r="M131" i="2"/>
  <c r="M130" i="2"/>
  <c r="M129" i="2"/>
  <c r="M126" i="2"/>
  <c r="M125" i="2"/>
  <c r="M124" i="2"/>
  <c r="M122" i="2"/>
  <c r="M121" i="2"/>
  <c r="M118" i="2"/>
  <c r="M117" i="2"/>
  <c r="M116" i="2"/>
  <c r="M113" i="2"/>
  <c r="M109" i="2"/>
  <c r="M108" i="2"/>
  <c r="M106" i="2"/>
  <c r="M105" i="2"/>
  <c r="M102" i="2"/>
  <c r="M101" i="2"/>
  <c r="M100" i="2"/>
  <c r="M98" i="2"/>
  <c r="M97" i="2"/>
  <c r="M94" i="2"/>
  <c r="M93" i="2"/>
  <c r="M92" i="2"/>
  <c r="M90" i="2"/>
  <c r="M89" i="2"/>
  <c r="M86" i="2"/>
  <c r="M85" i="2"/>
  <c r="M84" i="2"/>
  <c r="M81" i="2"/>
  <c r="M77" i="2"/>
  <c r="M74" i="2"/>
  <c r="M73" i="2"/>
  <c r="M70" i="2"/>
  <c r="M69" i="2"/>
  <c r="M68" i="2"/>
  <c r="M66" i="2"/>
  <c r="M65" i="2"/>
  <c r="M62" i="2"/>
  <c r="M61" i="2"/>
  <c r="M60" i="2"/>
  <c r="M58" i="2"/>
  <c r="M57" i="2"/>
  <c r="M54" i="2"/>
  <c r="M53" i="2"/>
  <c r="M52" i="2"/>
  <c r="M49" i="2"/>
  <c r="M45" i="2"/>
  <c r="M42" i="2"/>
  <c r="M41" i="2"/>
  <c r="M37" i="2"/>
  <c r="M36" i="2"/>
  <c r="M33" i="2"/>
  <c r="M30" i="2"/>
  <c r="M29" i="2"/>
  <c r="M28" i="2"/>
  <c r="M26" i="2"/>
  <c r="M25" i="2"/>
  <c r="M22" i="2"/>
  <c r="M21" i="2"/>
  <c r="M20" i="2"/>
  <c r="M17" i="2"/>
  <c r="M14" i="2"/>
  <c r="M13" i="2"/>
  <c r="M12" i="2"/>
  <c r="M10" i="2"/>
  <c r="M9" i="2"/>
  <c r="M6" i="2"/>
  <c r="M5" i="2"/>
  <c r="M4" i="2"/>
  <c r="M2" i="2"/>
  <c r="J200" i="2"/>
  <c r="J194" i="2"/>
  <c r="J230" i="2" s="1"/>
  <c r="J152" i="2" s="1"/>
  <c r="J164" i="2"/>
  <c r="J163" i="2"/>
  <c r="J162" i="2"/>
  <c r="J19" i="2"/>
  <c r="K190" i="2"/>
  <c r="L188" i="2"/>
  <c r="K182" i="2"/>
  <c r="L177" i="2"/>
  <c r="K174" i="2"/>
  <c r="K192" i="2"/>
  <c r="L171" i="2"/>
  <c r="K171" i="2"/>
  <c r="L167" i="2"/>
  <c r="B4" i="3"/>
  <c r="J127" i="2"/>
  <c r="J123" i="2"/>
  <c r="K128" i="2"/>
  <c r="K120" i="2"/>
  <c r="K112" i="2"/>
  <c r="K96" i="2"/>
  <c r="K88" i="2"/>
  <c r="K80" i="2"/>
  <c r="L256" i="2"/>
  <c r="K256" i="2"/>
  <c r="L248" i="2"/>
  <c r="K248" i="2"/>
  <c r="L240" i="2"/>
  <c r="K240" i="2"/>
  <c r="L224" i="2"/>
  <c r="K224" i="2"/>
  <c r="L216" i="2"/>
  <c r="K216" i="2"/>
  <c r="L208" i="2"/>
  <c r="K208" i="2"/>
  <c r="K238" i="2"/>
  <c r="L230" i="2"/>
  <c r="K230" i="2"/>
  <c r="L223" i="2"/>
  <c r="K223" i="2"/>
  <c r="K219" i="2"/>
  <c r="L215" i="2"/>
  <c r="K215" i="2"/>
  <c r="K211" i="2"/>
  <c r="L207" i="2"/>
  <c r="K207" i="2"/>
  <c r="K206" i="2"/>
  <c r="L203" i="2"/>
  <c r="K203" i="2"/>
  <c r="K199" i="2"/>
  <c r="K198" i="2"/>
  <c r="K32" i="2"/>
  <c r="K24" i="2"/>
  <c r="K16" i="2"/>
  <c r="K31" i="2"/>
  <c r="J31" i="2"/>
  <c r="K27" i="2"/>
  <c r="K23" i="2"/>
  <c r="K19" i="2"/>
  <c r="K15" i="2"/>
  <c r="J15" i="2"/>
  <c r="K11" i="2"/>
  <c r="L7" i="2"/>
  <c r="P7" i="2" s="1"/>
  <c r="L166" i="2" l="1"/>
  <c r="L178" i="2"/>
  <c r="L182" i="2"/>
  <c r="L189" i="2"/>
  <c r="P78" i="2"/>
  <c r="K144" i="2"/>
  <c r="O144" i="2" s="1"/>
  <c r="O136" i="2"/>
  <c r="K110" i="2"/>
  <c r="O110" i="2" s="1"/>
  <c r="O78" i="2"/>
  <c r="K46" i="2"/>
  <c r="O46" i="2" s="1"/>
  <c r="O38" i="2"/>
  <c r="L180" i="2"/>
  <c r="K159" i="2"/>
  <c r="O159" i="2" s="1"/>
  <c r="O131" i="2"/>
  <c r="L185" i="2"/>
  <c r="L174" i="2"/>
  <c r="L181" i="2"/>
  <c r="L186" i="2"/>
  <c r="L190" i="2"/>
  <c r="K227" i="2"/>
  <c r="O227" i="2" s="1"/>
  <c r="O99" i="2"/>
  <c r="P38" i="2"/>
  <c r="K147" i="2"/>
  <c r="O147" i="2" s="1"/>
  <c r="N151" i="2"/>
  <c r="K152" i="2"/>
  <c r="O152" i="2" s="1"/>
  <c r="N155" i="2"/>
  <c r="N144" i="2"/>
  <c r="L227" i="2"/>
  <c r="P227" i="2" s="1"/>
  <c r="L27" i="2"/>
  <c r="P27" i="2" s="1"/>
  <c r="L191" i="2"/>
  <c r="L183" i="2"/>
  <c r="L175" i="2"/>
  <c r="L187" i="2"/>
  <c r="L179" i="2"/>
  <c r="P163" i="2"/>
  <c r="P194" i="2"/>
  <c r="N135" i="2"/>
  <c r="N143" i="2"/>
  <c r="N159" i="2"/>
  <c r="L192" i="2"/>
  <c r="L184" i="2"/>
  <c r="L176" i="2"/>
  <c r="P164" i="2"/>
  <c r="N142" i="2"/>
  <c r="J176" i="2"/>
  <c r="J184" i="2"/>
  <c r="J171" i="2"/>
  <c r="J183" i="2"/>
  <c r="J191" i="2"/>
  <c r="J175" i="2"/>
  <c r="J179" i="2"/>
  <c r="J187" i="2"/>
  <c r="J119" i="2"/>
  <c r="J107" i="2"/>
  <c r="J115" i="2"/>
  <c r="J103" i="2"/>
  <c r="K115" i="2"/>
  <c r="O115" i="2" s="1"/>
  <c r="K150" i="2"/>
  <c r="O150" i="2" s="1"/>
  <c r="J111" i="2"/>
  <c r="K239" i="2"/>
  <c r="O239" i="2" s="1"/>
  <c r="K151" i="2"/>
  <c r="O151" i="2" s="1"/>
  <c r="K135" i="2"/>
  <c r="O135" i="2" s="1"/>
  <c r="K155" i="2"/>
  <c r="O155" i="2" s="1"/>
  <c r="K111" i="2"/>
  <c r="O111" i="2" s="1"/>
  <c r="K143" i="2"/>
  <c r="O143" i="2" s="1"/>
  <c r="J144" i="2"/>
  <c r="M134" i="2"/>
  <c r="J24" i="2"/>
  <c r="J16" i="2"/>
  <c r="J32" i="2"/>
  <c r="L198" i="2"/>
  <c r="L199" i="2"/>
  <c r="L206" i="2"/>
  <c r="L211" i="2"/>
  <c r="L219" i="2"/>
  <c r="K107" i="2"/>
  <c r="O107" i="2" s="1"/>
  <c r="L168" i="2"/>
  <c r="L79" i="2"/>
  <c r="L95" i="2"/>
  <c r="L15" i="2"/>
  <c r="P15" i="2" s="1"/>
  <c r="L23" i="2"/>
  <c r="P23" i="2" s="1"/>
  <c r="L11" i="2"/>
  <c r="P11" i="2" s="1"/>
  <c r="L31" i="2"/>
  <c r="P31" i="2" s="1"/>
  <c r="L19" i="2"/>
  <c r="P19" i="2" s="1"/>
  <c r="J88" i="2"/>
  <c r="L128" i="2"/>
  <c r="J96" i="2"/>
  <c r="J128" i="2"/>
  <c r="J120" i="2"/>
  <c r="L111" i="2"/>
  <c r="L119" i="2"/>
  <c r="L127" i="2"/>
  <c r="L107" i="2"/>
  <c r="L103" i="2"/>
  <c r="L115" i="2"/>
  <c r="J240" i="2"/>
  <c r="J224" i="2"/>
  <c r="K127" i="2"/>
  <c r="O127" i="2" s="1"/>
  <c r="K123" i="2"/>
  <c r="O123" i="2" s="1"/>
  <c r="J167" i="2"/>
  <c r="J256" i="2"/>
  <c r="J216" i="2"/>
  <c r="J248" i="2"/>
  <c r="J208" i="2"/>
  <c r="J168" i="2"/>
  <c r="J166" i="2"/>
  <c r="J207" i="2"/>
  <c r="J192" i="2"/>
  <c r="J190" i="2"/>
  <c r="J223" i="2"/>
  <c r="J174" i="2"/>
  <c r="J182" i="2"/>
  <c r="J198" i="2"/>
  <c r="J206" i="2"/>
  <c r="J219" i="2"/>
  <c r="J199" i="2"/>
  <c r="J211" i="2"/>
  <c r="J238" i="2"/>
  <c r="J203" i="2"/>
  <c r="J215" i="2"/>
  <c r="J11" i="2"/>
  <c r="J27" i="2"/>
  <c r="J23" i="2"/>
  <c r="J7" i="2"/>
  <c r="K119" i="2"/>
  <c r="O119" i="2" s="1"/>
  <c r="K168" i="2"/>
  <c r="K166" i="2"/>
  <c r="K167" i="2"/>
  <c r="K243" i="2" l="1"/>
  <c r="O243" i="2" s="1"/>
  <c r="K251" i="2"/>
  <c r="O251" i="2" s="1"/>
  <c r="K235" i="2"/>
  <c r="O235" i="2" s="1"/>
  <c r="K247" i="2"/>
  <c r="O247" i="2" s="1"/>
  <c r="K255" i="2"/>
  <c r="O255" i="2" s="1"/>
  <c r="L239" i="2"/>
  <c r="P239" i="2" s="1"/>
  <c r="L251" i="2"/>
  <c r="P251" i="2" s="1"/>
  <c r="L255" i="2"/>
  <c r="L231" i="2"/>
  <c r="P231" i="2" s="1"/>
  <c r="L243" i="2"/>
  <c r="L235" i="2"/>
  <c r="P235" i="2" s="1"/>
  <c r="L247" i="2"/>
  <c r="P247" i="2" s="1"/>
  <c r="J142" i="2"/>
  <c r="M142" i="2" s="1"/>
  <c r="J150" i="2"/>
  <c r="M150" i="2" s="1"/>
  <c r="P107" i="2"/>
  <c r="P95" i="2"/>
  <c r="L150" i="2"/>
  <c r="L142" i="2"/>
  <c r="J87" i="2"/>
  <c r="J83" i="2"/>
  <c r="J71" i="2"/>
  <c r="J79" i="2"/>
  <c r="J95" i="2"/>
  <c r="J91" i="2"/>
  <c r="J75" i="2"/>
  <c r="P127" i="2"/>
  <c r="P219" i="2"/>
  <c r="L155" i="2"/>
  <c r="L159" i="2"/>
  <c r="L143" i="2"/>
  <c r="L135" i="2"/>
  <c r="L151" i="2"/>
  <c r="L147" i="2"/>
  <c r="K91" i="2"/>
  <c r="O91" i="2" s="1"/>
  <c r="K79" i="2"/>
  <c r="K95" i="2"/>
  <c r="K87" i="2"/>
  <c r="K75" i="2"/>
  <c r="O75" i="2" s="1"/>
  <c r="K83" i="2"/>
  <c r="J255" i="2"/>
  <c r="J247" i="2"/>
  <c r="J235" i="2"/>
  <c r="J231" i="2"/>
  <c r="J239" i="2"/>
  <c r="J251" i="2"/>
  <c r="J243" i="2"/>
  <c r="P115" i="2"/>
  <c r="L71" i="2"/>
  <c r="L87" i="2"/>
  <c r="P87" i="2" s="1"/>
  <c r="L83" i="2"/>
  <c r="P83" i="2" s="1"/>
  <c r="P119" i="2"/>
  <c r="P211" i="2"/>
  <c r="L91" i="2"/>
  <c r="J147" i="2"/>
  <c r="M147" i="2" s="1"/>
  <c r="J151" i="2"/>
  <c r="M151" i="2" s="1"/>
  <c r="J135" i="2"/>
  <c r="M135" i="2" s="1"/>
  <c r="J155" i="2"/>
  <c r="J143" i="2"/>
  <c r="M143" i="2" s="1"/>
  <c r="J159" i="2"/>
  <c r="M159" i="2" s="1"/>
  <c r="P111" i="2"/>
  <c r="L75" i="2"/>
  <c r="P75" i="2" s="1"/>
  <c r="L112" i="2"/>
  <c r="L120" i="2"/>
  <c r="L96" i="2"/>
  <c r="L24" i="2"/>
  <c r="L16" i="2"/>
  <c r="L32" i="2"/>
  <c r="L80" i="2"/>
  <c r="L88" i="2"/>
  <c r="K234" i="2"/>
  <c r="O234" i="2" s="1"/>
  <c r="K202" i="2"/>
  <c r="K231" i="2"/>
  <c r="O231" i="2" s="1"/>
  <c r="K103" i="2"/>
  <c r="O103" i="2" s="1"/>
  <c r="K71" i="2"/>
  <c r="O71" i="2" s="1"/>
  <c r="K7" i="2"/>
  <c r="N4" i="2"/>
  <c r="B1" i="3"/>
  <c r="B2" i="3"/>
  <c r="B3" i="3"/>
  <c r="O166" i="2" s="1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R148" i="2" l="1"/>
  <c r="R180" i="2"/>
  <c r="O87" i="2"/>
  <c r="O168" i="2"/>
  <c r="R145" i="2"/>
  <c r="R149" i="2"/>
  <c r="R153" i="2"/>
  <c r="R157" i="2"/>
  <c r="R177" i="2"/>
  <c r="R181" i="2"/>
  <c r="R185" i="2"/>
  <c r="R189" i="2"/>
  <c r="O95" i="2"/>
  <c r="R158" i="2"/>
  <c r="N108" i="2"/>
  <c r="N72" i="2"/>
  <c r="N12" i="2"/>
  <c r="O232" i="2"/>
  <c r="O204" i="2"/>
  <c r="O140" i="2"/>
  <c r="O76" i="2"/>
  <c r="O40" i="2"/>
  <c r="O35" i="2"/>
  <c r="O226" i="2"/>
  <c r="O162" i="2"/>
  <c r="O106" i="2"/>
  <c r="O72" i="2"/>
  <c r="O3" i="2"/>
  <c r="N104" i="2"/>
  <c r="N44" i="2"/>
  <c r="N8" i="2"/>
  <c r="O195" i="2"/>
  <c r="O188" i="2"/>
  <c r="O172" i="2"/>
  <c r="O164" i="2"/>
  <c r="O154" i="2"/>
  <c r="O104" i="2"/>
  <c r="O44" i="2"/>
  <c r="N38" i="2"/>
  <c r="O67" i="2"/>
  <c r="O12" i="2"/>
  <c r="N40" i="2"/>
  <c r="O200" i="2"/>
  <c r="O194" i="2"/>
  <c r="O170" i="2"/>
  <c r="O163" i="2"/>
  <c r="O138" i="2"/>
  <c r="O108" i="2"/>
  <c r="O8" i="2"/>
  <c r="N76" i="2"/>
  <c r="N242" i="2"/>
  <c r="N114" i="2"/>
  <c r="N210" i="2"/>
  <c r="N82" i="2"/>
  <c r="N178" i="2"/>
  <c r="N50" i="2"/>
  <c r="N146" i="2"/>
  <c r="N18" i="2"/>
  <c r="O187" i="2"/>
  <c r="O176" i="2"/>
  <c r="O175" i="2"/>
  <c r="O183" i="2"/>
  <c r="O191" i="2"/>
  <c r="O184" i="2"/>
  <c r="O179" i="2"/>
  <c r="O32" i="2"/>
  <c r="O31" i="2"/>
  <c r="O208" i="2"/>
  <c r="O120" i="2"/>
  <c r="O11" i="2"/>
  <c r="O15" i="2"/>
  <c r="O199" i="2"/>
  <c r="O24" i="2"/>
  <c r="O240" i="2"/>
  <c r="O174" i="2"/>
  <c r="O171" i="2"/>
  <c r="O238" i="2"/>
  <c r="O198" i="2"/>
  <c r="O224" i="2"/>
  <c r="O192" i="2"/>
  <c r="O16" i="2"/>
  <c r="O211" i="2"/>
  <c r="O230" i="2"/>
  <c r="O203" i="2"/>
  <c r="O256" i="2"/>
  <c r="O190" i="2"/>
  <c r="O27" i="2"/>
  <c r="O206" i="2"/>
  <c r="O248" i="2"/>
  <c r="O182" i="2"/>
  <c r="O207" i="2"/>
  <c r="O112" i="2"/>
  <c r="O128" i="2"/>
  <c r="O219" i="2"/>
  <c r="O96" i="2"/>
  <c r="O19" i="2"/>
  <c r="O215" i="2"/>
  <c r="O80" i="2"/>
  <c r="O223" i="2"/>
  <c r="O88" i="2"/>
  <c r="O23" i="2"/>
  <c r="O216" i="2"/>
  <c r="O7" i="2"/>
  <c r="O202" i="2"/>
  <c r="O83" i="2"/>
  <c r="O79" i="2"/>
  <c r="O167" i="2"/>
  <c r="S6" i="2"/>
  <c r="R6" i="2"/>
  <c r="S22" i="2"/>
  <c r="R22" i="2"/>
  <c r="S214" i="2"/>
  <c r="R214" i="2"/>
  <c r="S139" i="2"/>
  <c r="R139" i="2"/>
  <c r="M227" i="2"/>
  <c r="S246" i="2"/>
  <c r="R246" i="2"/>
  <c r="S254" i="2"/>
  <c r="R254" i="2"/>
  <c r="S20" i="2"/>
  <c r="R20" i="2"/>
  <c r="S52" i="2"/>
  <c r="R52" i="2"/>
  <c r="S84" i="2"/>
  <c r="R84" i="2"/>
  <c r="S100" i="2"/>
  <c r="R100" i="2"/>
  <c r="S116" i="2"/>
  <c r="R116" i="2"/>
  <c r="S124" i="2"/>
  <c r="R124" i="2"/>
  <c r="S132" i="2"/>
  <c r="R132" i="2"/>
  <c r="S160" i="2"/>
  <c r="R160" i="2"/>
  <c r="S196" i="2"/>
  <c r="R196" i="2"/>
  <c r="S212" i="2"/>
  <c r="R212" i="2"/>
  <c r="S220" i="2"/>
  <c r="R220" i="2"/>
  <c r="S228" i="2"/>
  <c r="R228" i="2"/>
  <c r="S244" i="2"/>
  <c r="R244" i="2"/>
  <c r="S252" i="2"/>
  <c r="R252" i="2"/>
  <c r="S14" i="2"/>
  <c r="R14" i="2"/>
  <c r="S30" i="2"/>
  <c r="R30" i="2"/>
  <c r="S54" i="2"/>
  <c r="R54" i="2"/>
  <c r="S62" i="2"/>
  <c r="R62" i="2"/>
  <c r="S70" i="2"/>
  <c r="R70" i="2"/>
  <c r="S86" i="2"/>
  <c r="R86" i="2"/>
  <c r="S94" i="2"/>
  <c r="R94" i="2"/>
  <c r="S102" i="2"/>
  <c r="R102" i="2"/>
  <c r="S118" i="2"/>
  <c r="R118" i="2"/>
  <c r="S126" i="2"/>
  <c r="R126" i="2"/>
  <c r="S130" i="2"/>
  <c r="R130" i="2"/>
  <c r="S222" i="2"/>
  <c r="R222" i="2"/>
  <c r="S4" i="2"/>
  <c r="R4" i="2"/>
  <c r="S28" i="2"/>
  <c r="R28" i="2"/>
  <c r="S36" i="2"/>
  <c r="R36" i="2"/>
  <c r="S60" i="2"/>
  <c r="R60" i="2"/>
  <c r="S68" i="2"/>
  <c r="R68" i="2"/>
  <c r="S92" i="2"/>
  <c r="R92" i="2"/>
  <c r="S5" i="2"/>
  <c r="R5" i="2"/>
  <c r="S9" i="2"/>
  <c r="R9" i="2"/>
  <c r="S13" i="2"/>
  <c r="R13" i="2"/>
  <c r="S17" i="2"/>
  <c r="R17" i="2"/>
  <c r="S21" i="2"/>
  <c r="R21" i="2"/>
  <c r="S25" i="2"/>
  <c r="R25" i="2"/>
  <c r="S29" i="2"/>
  <c r="R29" i="2"/>
  <c r="S33" i="2"/>
  <c r="R33" i="2"/>
  <c r="S37" i="2"/>
  <c r="R37" i="2"/>
  <c r="S41" i="2"/>
  <c r="R41" i="2"/>
  <c r="S45" i="2"/>
  <c r="R45" i="2"/>
  <c r="S49" i="2"/>
  <c r="R49" i="2"/>
  <c r="S53" i="2"/>
  <c r="R53" i="2"/>
  <c r="S57" i="2"/>
  <c r="R57" i="2"/>
  <c r="S61" i="2"/>
  <c r="R61" i="2"/>
  <c r="S65" i="2"/>
  <c r="R65" i="2"/>
  <c r="S69" i="2"/>
  <c r="R69" i="2"/>
  <c r="S73" i="2"/>
  <c r="R73" i="2"/>
  <c r="S77" i="2"/>
  <c r="R77" i="2"/>
  <c r="S81" i="2"/>
  <c r="R81" i="2"/>
  <c r="S85" i="2"/>
  <c r="R85" i="2"/>
  <c r="S89" i="2"/>
  <c r="R89" i="2"/>
  <c r="S93" i="2"/>
  <c r="R93" i="2"/>
  <c r="S97" i="2"/>
  <c r="R97" i="2"/>
  <c r="S101" i="2"/>
  <c r="R101" i="2"/>
  <c r="S105" i="2"/>
  <c r="R105" i="2"/>
  <c r="S109" i="2"/>
  <c r="R109" i="2"/>
  <c r="S113" i="2"/>
  <c r="R113" i="2"/>
  <c r="S117" i="2"/>
  <c r="R117" i="2"/>
  <c r="S121" i="2"/>
  <c r="R121" i="2"/>
  <c r="S125" i="2"/>
  <c r="R125" i="2"/>
  <c r="S129" i="2"/>
  <c r="R129" i="2"/>
  <c r="S133" i="2"/>
  <c r="R133" i="2"/>
  <c r="S137" i="2"/>
  <c r="R137" i="2"/>
  <c r="S141" i="2"/>
  <c r="R141" i="2"/>
  <c r="S161" i="2"/>
  <c r="R161" i="2"/>
  <c r="S165" i="2"/>
  <c r="R165" i="2"/>
  <c r="S169" i="2"/>
  <c r="R169" i="2"/>
  <c r="S173" i="2"/>
  <c r="R173" i="2"/>
  <c r="S193" i="2"/>
  <c r="R193" i="2"/>
  <c r="S197" i="2"/>
  <c r="R197" i="2"/>
  <c r="S201" i="2"/>
  <c r="R201" i="2"/>
  <c r="S205" i="2"/>
  <c r="R205" i="2"/>
  <c r="S209" i="2"/>
  <c r="R209" i="2"/>
  <c r="S213" i="2"/>
  <c r="R213" i="2"/>
  <c r="S217" i="2"/>
  <c r="R217" i="2"/>
  <c r="S221" i="2"/>
  <c r="R221" i="2"/>
  <c r="S225" i="2"/>
  <c r="R225" i="2"/>
  <c r="S229" i="2"/>
  <c r="R229" i="2"/>
  <c r="S233" i="2"/>
  <c r="R233" i="2"/>
  <c r="S237" i="2"/>
  <c r="R237" i="2"/>
  <c r="S241" i="2"/>
  <c r="R241" i="2"/>
  <c r="S245" i="2"/>
  <c r="R245" i="2"/>
  <c r="S249" i="2"/>
  <c r="R249" i="2"/>
  <c r="S253" i="2"/>
  <c r="R253" i="2"/>
  <c r="S257" i="2"/>
  <c r="R257" i="2"/>
  <c r="S26" i="2"/>
  <c r="M34" i="2"/>
  <c r="S34" i="2"/>
  <c r="S42" i="2"/>
  <c r="S58" i="2"/>
  <c r="M78" i="2"/>
  <c r="R78" i="2" s="1"/>
  <c r="S78" i="2"/>
  <c r="M82" i="2"/>
  <c r="S82" i="2"/>
  <c r="S98" i="2"/>
  <c r="M110" i="2"/>
  <c r="R110" i="2" s="1"/>
  <c r="S110" i="2"/>
  <c r="M114" i="2"/>
  <c r="R114" i="2" s="1"/>
  <c r="S114" i="2"/>
  <c r="P134" i="2"/>
  <c r="R134" i="2" s="1"/>
  <c r="S134" i="2"/>
  <c r="S142" i="2"/>
  <c r="S150" i="2"/>
  <c r="P154" i="2"/>
  <c r="S154" i="2"/>
  <c r="P166" i="2"/>
  <c r="S166" i="2"/>
  <c r="S174" i="2"/>
  <c r="P182" i="2"/>
  <c r="S182" i="2"/>
  <c r="S186" i="2"/>
  <c r="S198" i="2"/>
  <c r="P206" i="2"/>
  <c r="S206" i="2"/>
  <c r="S218" i="2"/>
  <c r="P230" i="2"/>
  <c r="S230" i="2"/>
  <c r="P238" i="2"/>
  <c r="S238" i="2"/>
  <c r="S242" i="2"/>
  <c r="S7" i="2"/>
  <c r="S11" i="2"/>
  <c r="S15" i="2"/>
  <c r="S19" i="2"/>
  <c r="S23" i="2"/>
  <c r="S27" i="2"/>
  <c r="S31" i="2"/>
  <c r="S35" i="2"/>
  <c r="S39" i="2"/>
  <c r="S43" i="2"/>
  <c r="S47" i="2"/>
  <c r="S51" i="2"/>
  <c r="S55" i="2"/>
  <c r="S59" i="2"/>
  <c r="S63" i="2"/>
  <c r="S67" i="2"/>
  <c r="S71" i="2"/>
  <c r="S75" i="2"/>
  <c r="P79" i="2"/>
  <c r="S79" i="2"/>
  <c r="S83" i="2"/>
  <c r="S87" i="2"/>
  <c r="S91" i="2"/>
  <c r="S95" i="2"/>
  <c r="S99" i="2"/>
  <c r="P103" i="2"/>
  <c r="S103" i="2"/>
  <c r="S107" i="2"/>
  <c r="S111" i="2"/>
  <c r="S115" i="2"/>
  <c r="S119" i="2"/>
  <c r="P123" i="2"/>
  <c r="S123" i="2"/>
  <c r="S127" i="2"/>
  <c r="P131" i="2"/>
  <c r="R131" i="2" s="1"/>
  <c r="S131" i="2"/>
  <c r="S135" i="2"/>
  <c r="S143" i="2"/>
  <c r="S147" i="2"/>
  <c r="S151" i="2"/>
  <c r="S155" i="2"/>
  <c r="S159" i="2"/>
  <c r="S163" i="2"/>
  <c r="P167" i="2"/>
  <c r="S167" i="2"/>
  <c r="P171" i="2"/>
  <c r="S171" i="2"/>
  <c r="S175" i="2"/>
  <c r="S179" i="2"/>
  <c r="P183" i="2"/>
  <c r="S183" i="2"/>
  <c r="P187" i="2"/>
  <c r="S187" i="2"/>
  <c r="S191" i="2"/>
  <c r="S195" i="2"/>
  <c r="S199" i="2"/>
  <c r="S203" i="2"/>
  <c r="S207" i="2"/>
  <c r="S211" i="2"/>
  <c r="P215" i="2"/>
  <c r="S215" i="2"/>
  <c r="S219" i="2"/>
  <c r="S223" i="2"/>
  <c r="S227" i="2"/>
  <c r="S231" i="2"/>
  <c r="S235" i="2"/>
  <c r="S239" i="2"/>
  <c r="P243" i="2"/>
  <c r="S243" i="2"/>
  <c r="S247" i="2"/>
  <c r="S251" i="2"/>
  <c r="S255" i="2"/>
  <c r="S2" i="2"/>
  <c r="S10" i="2"/>
  <c r="M18" i="2"/>
  <c r="S18" i="2"/>
  <c r="M38" i="2"/>
  <c r="R38" i="2" s="1"/>
  <c r="S38" i="2"/>
  <c r="M46" i="2"/>
  <c r="S46" i="2"/>
  <c r="S50" i="2"/>
  <c r="S66" i="2"/>
  <c r="S74" i="2"/>
  <c r="S90" i="2"/>
  <c r="S106" i="2"/>
  <c r="S122" i="2"/>
  <c r="S138" i="2"/>
  <c r="S146" i="2"/>
  <c r="P158" i="2"/>
  <c r="S158" i="2"/>
  <c r="S162" i="2"/>
  <c r="S170" i="2"/>
  <c r="P178" i="2"/>
  <c r="S178" i="2"/>
  <c r="P190" i="2"/>
  <c r="S190" i="2"/>
  <c r="S194" i="2"/>
  <c r="S202" i="2"/>
  <c r="S210" i="2"/>
  <c r="P226" i="2"/>
  <c r="S226" i="2"/>
  <c r="S234" i="2"/>
  <c r="S250" i="2"/>
  <c r="S3" i="2"/>
  <c r="S8" i="2"/>
  <c r="S12" i="2"/>
  <c r="S16" i="2"/>
  <c r="S24" i="2"/>
  <c r="S32" i="2"/>
  <c r="S40" i="2"/>
  <c r="S44" i="2"/>
  <c r="S48" i="2"/>
  <c r="S56" i="2"/>
  <c r="S64" i="2"/>
  <c r="S72" i="2"/>
  <c r="S76" i="2"/>
  <c r="S80" i="2"/>
  <c r="S88" i="2"/>
  <c r="S96" i="2"/>
  <c r="S104" i="2"/>
  <c r="S108" i="2"/>
  <c r="S112" i="2"/>
  <c r="S120" i="2"/>
  <c r="S128" i="2"/>
  <c r="S136" i="2"/>
  <c r="S140" i="2"/>
  <c r="P144" i="2"/>
  <c r="S144" i="2"/>
  <c r="P148" i="2"/>
  <c r="S148" i="2"/>
  <c r="S152" i="2"/>
  <c r="P156" i="2"/>
  <c r="S156" i="2"/>
  <c r="S164" i="2"/>
  <c r="S168" i="2"/>
  <c r="S172" i="2"/>
  <c r="P176" i="2"/>
  <c r="S176" i="2"/>
  <c r="P180" i="2"/>
  <c r="S180" i="2"/>
  <c r="P184" i="2"/>
  <c r="S184" i="2"/>
  <c r="P188" i="2"/>
  <c r="S188" i="2"/>
  <c r="P192" i="2"/>
  <c r="S192" i="2"/>
  <c r="M200" i="2"/>
  <c r="S200" i="2"/>
  <c r="S204" i="2"/>
  <c r="S208" i="2"/>
  <c r="S216" i="2"/>
  <c r="S224" i="2"/>
  <c r="M232" i="2"/>
  <c r="S232" i="2"/>
  <c r="S236" i="2"/>
  <c r="M240" i="2"/>
  <c r="S240" i="2"/>
  <c r="S248" i="2"/>
  <c r="M256" i="2"/>
  <c r="S256" i="2"/>
  <c r="P145" i="2"/>
  <c r="S145" i="2"/>
  <c r="P149" i="2"/>
  <c r="S149" i="2"/>
  <c r="P153" i="2"/>
  <c r="S153" i="2"/>
  <c r="P157" i="2"/>
  <c r="S157" i="2"/>
  <c r="P177" i="2"/>
  <c r="S177" i="2"/>
  <c r="P181" i="2"/>
  <c r="S181" i="2"/>
  <c r="P185" i="2"/>
  <c r="S185" i="2"/>
  <c r="P189" i="2"/>
  <c r="S189" i="2"/>
  <c r="P255" i="2"/>
  <c r="N9" i="2"/>
  <c r="N20" i="2"/>
  <c r="N28" i="2"/>
  <c r="N36" i="2"/>
  <c r="N49" i="2"/>
  <c r="N57" i="2"/>
  <c r="N65" i="2"/>
  <c r="N73" i="2"/>
  <c r="N85" i="2"/>
  <c r="N93" i="2"/>
  <c r="N101" i="2"/>
  <c r="N113" i="2"/>
  <c r="N121" i="2"/>
  <c r="N129" i="2"/>
  <c r="N137" i="2"/>
  <c r="N148" i="2"/>
  <c r="N158" i="2"/>
  <c r="N169" i="2"/>
  <c r="N181" i="2"/>
  <c r="N196" i="2"/>
  <c r="N209" i="2"/>
  <c r="N217" i="2"/>
  <c r="N225" i="2"/>
  <c r="N35" i="2"/>
  <c r="N200" i="2"/>
  <c r="N208" i="2" s="1"/>
  <c r="N204" i="2"/>
  <c r="P32" i="2"/>
  <c r="N13" i="2"/>
  <c r="N21" i="2"/>
  <c r="N29" i="2"/>
  <c r="N37" i="2"/>
  <c r="N52" i="2"/>
  <c r="N60" i="2"/>
  <c r="N68" i="2"/>
  <c r="N77" i="2"/>
  <c r="N86" i="2"/>
  <c r="N94" i="2"/>
  <c r="N102" i="2"/>
  <c r="N116" i="2"/>
  <c r="N124" i="2"/>
  <c r="N130" i="2"/>
  <c r="N139" i="2"/>
  <c r="N149" i="2"/>
  <c r="N160" i="2"/>
  <c r="N173" i="2"/>
  <c r="N185" i="2"/>
  <c r="N197" i="2"/>
  <c r="N212" i="2"/>
  <c r="N220" i="2"/>
  <c r="N228" i="2"/>
  <c r="N3" i="2"/>
  <c r="N31" i="2" s="1"/>
  <c r="N195" i="2"/>
  <c r="P88" i="2"/>
  <c r="P16" i="2"/>
  <c r="N2" i="2"/>
  <c r="R2" i="2" s="1"/>
  <c r="N67" i="2"/>
  <c r="N250" i="2"/>
  <c r="R250" i="2" s="1"/>
  <c r="N186" i="2"/>
  <c r="N34" i="2"/>
  <c r="N257" i="2"/>
  <c r="N249" i="2"/>
  <c r="N241" i="2"/>
  <c r="N74" i="2"/>
  <c r="R74" i="2" s="1"/>
  <c r="N172" i="2"/>
  <c r="R172" i="2" s="1"/>
  <c r="N122" i="2"/>
  <c r="R122" i="2" s="1"/>
  <c r="N90" i="2"/>
  <c r="R90" i="2" s="1"/>
  <c r="N10" i="2"/>
  <c r="R10" i="2" s="1"/>
  <c r="N66" i="2"/>
  <c r="R66" i="2" s="1"/>
  <c r="Q226" i="2"/>
  <c r="N254" i="2"/>
  <c r="N246" i="2"/>
  <c r="N237" i="2"/>
  <c r="N236" i="2"/>
  <c r="R236" i="2" s="1"/>
  <c r="N170" i="2"/>
  <c r="R170" i="2" s="1"/>
  <c r="N58" i="2"/>
  <c r="R58" i="2" s="1"/>
  <c r="N26" i="2"/>
  <c r="R26" i="2" s="1"/>
  <c r="N46" i="2"/>
  <c r="N98" i="2"/>
  <c r="R98" i="2" s="1"/>
  <c r="Q195" i="2"/>
  <c r="N253" i="2"/>
  <c r="N245" i="2"/>
  <c r="N188" i="2"/>
  <c r="N154" i="2"/>
  <c r="R154" i="2" s="1"/>
  <c r="N218" i="2"/>
  <c r="R218" i="2" s="1"/>
  <c r="N42" i="2"/>
  <c r="R42" i="2" s="1"/>
  <c r="N252" i="2"/>
  <c r="N244" i="2"/>
  <c r="N106" i="2"/>
  <c r="R106" i="2" s="1"/>
  <c r="N156" i="2"/>
  <c r="N140" i="2"/>
  <c r="R140" i="2" s="1"/>
  <c r="Q194" i="2"/>
  <c r="P200" i="2"/>
  <c r="P40" i="2"/>
  <c r="P104" i="2"/>
  <c r="P8" i="2"/>
  <c r="N5" i="2"/>
  <c r="N14" i="2"/>
  <c r="N22" i="2"/>
  <c r="N30" i="2"/>
  <c r="N41" i="2"/>
  <c r="N53" i="2"/>
  <c r="N61" i="2"/>
  <c r="N69" i="2"/>
  <c r="N81" i="2"/>
  <c r="N89" i="2"/>
  <c r="N97" i="2"/>
  <c r="N105" i="2"/>
  <c r="N117" i="2"/>
  <c r="N125" i="2"/>
  <c r="N132" i="2"/>
  <c r="N141" i="2"/>
  <c r="N153" i="2"/>
  <c r="N161" i="2"/>
  <c r="N177" i="2"/>
  <c r="N189" i="2"/>
  <c r="N201" i="2"/>
  <c r="N213" i="2"/>
  <c r="N221" i="2"/>
  <c r="N229" i="2"/>
  <c r="N194" i="2"/>
  <c r="N206" i="2" s="1"/>
  <c r="P72" i="2"/>
  <c r="P24" i="2"/>
  <c r="N6" i="2"/>
  <c r="N17" i="2"/>
  <c r="N25" i="2"/>
  <c r="N33" i="2"/>
  <c r="N45" i="2"/>
  <c r="N54" i="2"/>
  <c r="N62" i="2"/>
  <c r="N70" i="2"/>
  <c r="N84" i="2"/>
  <c r="N92" i="2"/>
  <c r="N100" i="2"/>
  <c r="N109" i="2"/>
  <c r="N118" i="2"/>
  <c r="N126" i="2"/>
  <c r="N133" i="2"/>
  <c r="N145" i="2"/>
  <c r="N157" i="2"/>
  <c r="N165" i="2"/>
  <c r="N180" i="2"/>
  <c r="N193" i="2"/>
  <c r="N205" i="2"/>
  <c r="N214" i="2"/>
  <c r="N222" i="2"/>
  <c r="N233" i="2"/>
  <c r="N226" i="2"/>
  <c r="N230" i="2" s="1"/>
  <c r="N138" i="2"/>
  <c r="P80" i="2"/>
  <c r="P96" i="2"/>
  <c r="P159" i="2"/>
  <c r="R159" i="2" s="1"/>
  <c r="P136" i="2"/>
  <c r="R136" i="2" s="1"/>
  <c r="P152" i="2"/>
  <c r="M152" i="2"/>
  <c r="M208" i="2"/>
  <c r="M216" i="2"/>
  <c r="M224" i="2"/>
  <c r="M248" i="2"/>
  <c r="N215" i="2"/>
  <c r="P128" i="2"/>
  <c r="P256" i="2"/>
  <c r="J48" i="2"/>
  <c r="M48" i="2" s="1"/>
  <c r="J64" i="2"/>
  <c r="M64" i="2" s="1"/>
  <c r="J56" i="2"/>
  <c r="M56" i="2" s="1"/>
  <c r="N168" i="2"/>
  <c r="N192" i="2"/>
  <c r="N184" i="2"/>
  <c r="N176" i="2"/>
  <c r="K64" i="2"/>
  <c r="O64" i="2" s="1"/>
  <c r="K56" i="2"/>
  <c r="O56" i="2" s="1"/>
  <c r="K48" i="2"/>
  <c r="O48" i="2" s="1"/>
  <c r="P120" i="2"/>
  <c r="P232" i="2"/>
  <c r="P240" i="2"/>
  <c r="M50" i="2"/>
  <c r="R50" i="2" s="1"/>
  <c r="P142" i="2"/>
  <c r="R142" i="2" s="1"/>
  <c r="P150" i="2"/>
  <c r="R150" i="2" s="1"/>
  <c r="P174" i="2"/>
  <c r="P186" i="2"/>
  <c r="M210" i="2"/>
  <c r="M242" i="2"/>
  <c r="N174" i="2"/>
  <c r="N166" i="2"/>
  <c r="N190" i="2"/>
  <c r="N182" i="2"/>
  <c r="P112" i="2"/>
  <c r="M144" i="2"/>
  <c r="P208" i="2"/>
  <c r="P198" i="2"/>
  <c r="P216" i="2"/>
  <c r="P224" i="2"/>
  <c r="P135" i="2"/>
  <c r="R135" i="2" s="1"/>
  <c r="P143" i="2"/>
  <c r="R143" i="2" s="1"/>
  <c r="P147" i="2"/>
  <c r="R147" i="2" s="1"/>
  <c r="P151" i="2"/>
  <c r="R151" i="2" s="1"/>
  <c r="P155" i="2"/>
  <c r="P175" i="2"/>
  <c r="P179" i="2"/>
  <c r="P195" i="2"/>
  <c r="P203" i="2"/>
  <c r="P207" i="2"/>
  <c r="P223" i="2"/>
  <c r="N191" i="2"/>
  <c r="N175" i="2"/>
  <c r="N187" i="2"/>
  <c r="N171" i="2"/>
  <c r="N183" i="2"/>
  <c r="N167" i="2"/>
  <c r="N179" i="2"/>
  <c r="M155" i="2"/>
  <c r="P91" i="2"/>
  <c r="P168" i="2"/>
  <c r="P71" i="2"/>
  <c r="L64" i="2"/>
  <c r="L56" i="2"/>
  <c r="L48" i="2"/>
  <c r="P199" i="2"/>
  <c r="P191" i="2"/>
  <c r="P248" i="2"/>
  <c r="P146" i="2"/>
  <c r="M146" i="2"/>
  <c r="M168" i="2"/>
  <c r="M175" i="2"/>
  <c r="M192" i="2"/>
  <c r="M223" i="2"/>
  <c r="M199" i="2"/>
  <c r="M180" i="2"/>
  <c r="M176" i="2"/>
  <c r="M219" i="2"/>
  <c r="M206" i="2"/>
  <c r="M27" i="2"/>
  <c r="M174" i="2"/>
  <c r="M188" i="2"/>
  <c r="M7" i="2"/>
  <c r="M186" i="2"/>
  <c r="R186" i="2" s="1"/>
  <c r="M185" i="2"/>
  <c r="M162" i="2"/>
  <c r="M194" i="2"/>
  <c r="M230" i="2"/>
  <c r="M3" i="2"/>
  <c r="M19" i="2"/>
  <c r="M31" i="2"/>
  <c r="M71" i="2"/>
  <c r="M83" i="2"/>
  <c r="M91" i="2"/>
  <c r="M95" i="2"/>
  <c r="M103" i="2"/>
  <c r="M115" i="2"/>
  <c r="M123" i="2"/>
  <c r="M8" i="2"/>
  <c r="M16" i="2"/>
  <c r="M24" i="2"/>
  <c r="M32" i="2"/>
  <c r="M40" i="2"/>
  <c r="M72" i="2"/>
  <c r="M80" i="2"/>
  <c r="M88" i="2"/>
  <c r="M96" i="2"/>
  <c r="M104" i="2"/>
  <c r="M112" i="2"/>
  <c r="M120" i="2"/>
  <c r="M128" i="2"/>
  <c r="M164" i="2"/>
  <c r="M181" i="2"/>
  <c r="M178" i="2"/>
  <c r="M190" i="2"/>
  <c r="M195" i="2"/>
  <c r="M183" i="2"/>
  <c r="M215" i="2"/>
  <c r="M238" i="2"/>
  <c r="M179" i="2"/>
  <c r="M189" i="2"/>
  <c r="M177" i="2"/>
  <c r="M226" i="2"/>
  <c r="M198" i="2"/>
  <c r="M15" i="2"/>
  <c r="M35" i="2"/>
  <c r="M67" i="2"/>
  <c r="M75" i="2"/>
  <c r="M79" i="2"/>
  <c r="M87" i="2"/>
  <c r="M99" i="2"/>
  <c r="R99" i="2" s="1"/>
  <c r="M107" i="2"/>
  <c r="M111" i="2"/>
  <c r="M119" i="2"/>
  <c r="M127" i="2"/>
  <c r="M163" i="2"/>
  <c r="R163" i="2" s="1"/>
  <c r="M171" i="2"/>
  <c r="M191" i="2"/>
  <c r="M231" i="2"/>
  <c r="M235" i="2"/>
  <c r="M239" i="2"/>
  <c r="M243" i="2"/>
  <c r="M247" i="2"/>
  <c r="M251" i="2"/>
  <c r="M255" i="2"/>
  <c r="M187" i="2"/>
  <c r="R187" i="2" s="1"/>
  <c r="M11" i="2"/>
  <c r="M184" i="2"/>
  <c r="M167" i="2"/>
  <c r="R167" i="2" s="1"/>
  <c r="M203" i="2"/>
  <c r="M207" i="2"/>
  <c r="M211" i="2"/>
  <c r="M182" i="2"/>
  <c r="M166" i="2"/>
  <c r="M23" i="2"/>
  <c r="N223" i="2"/>
  <c r="N207" i="2"/>
  <c r="N203" i="2"/>
  <c r="N219" i="2"/>
  <c r="N211" i="2"/>
  <c r="N198" i="2"/>
  <c r="N199" i="2"/>
  <c r="N232" i="2"/>
  <c r="N240" i="2" s="1"/>
  <c r="N202" i="2"/>
  <c r="R202" i="2" s="1"/>
  <c r="N234" i="2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S18" i="1"/>
  <c r="S2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N238" i="2" l="1"/>
  <c r="R156" i="2"/>
  <c r="R227" i="2"/>
  <c r="R144" i="2"/>
  <c r="R178" i="2"/>
  <c r="R194" i="2"/>
  <c r="N7" i="2"/>
  <c r="R31" i="2"/>
  <c r="R226" i="2"/>
  <c r="R12" i="2"/>
  <c r="R190" i="2"/>
  <c r="R8" i="2"/>
  <c r="R168" i="2"/>
  <c r="R155" i="2"/>
  <c r="R174" i="2"/>
  <c r="R208" i="2"/>
  <c r="R76" i="2"/>
  <c r="R138" i="2"/>
  <c r="R108" i="2"/>
  <c r="R188" i="2"/>
  <c r="R152" i="2"/>
  <c r="R104" i="2"/>
  <c r="R44" i="2"/>
  <c r="R176" i="2"/>
  <c r="R234" i="2"/>
  <c r="R191" i="2"/>
  <c r="R35" i="2"/>
  <c r="R40" i="2"/>
  <c r="R67" i="2"/>
  <c r="R232" i="2"/>
  <c r="R146" i="2"/>
  <c r="R242" i="2"/>
  <c r="R175" i="2"/>
  <c r="N27" i="2"/>
  <c r="R27" i="2" s="1"/>
  <c r="R182" i="2"/>
  <c r="R192" i="2"/>
  <c r="R210" i="2"/>
  <c r="R240" i="2"/>
  <c r="R7" i="2"/>
  <c r="N15" i="2"/>
  <c r="R15" i="2" s="1"/>
  <c r="R166" i="2"/>
  <c r="R162" i="2"/>
  <c r="R82" i="2"/>
  <c r="R171" i="2"/>
  <c r="R183" i="2"/>
  <c r="R3" i="2"/>
  <c r="N19" i="2"/>
  <c r="R19" i="2" s="1"/>
  <c r="R184" i="2"/>
  <c r="R179" i="2"/>
  <c r="R195" i="2"/>
  <c r="R164" i="2"/>
  <c r="R72" i="2"/>
  <c r="R204" i="2"/>
  <c r="R200" i="2"/>
  <c r="R46" i="2"/>
  <c r="R18" i="2"/>
  <c r="R34" i="2"/>
  <c r="N11" i="2"/>
  <c r="R11" i="2" s="1"/>
  <c r="N224" i="2"/>
  <c r="R224" i="2" s="1"/>
  <c r="N23" i="2"/>
  <c r="R23" i="2" s="1"/>
  <c r="N216" i="2"/>
  <c r="R216" i="2" s="1"/>
  <c r="Q198" i="2"/>
  <c r="R198" i="2" s="1"/>
  <c r="Q206" i="2"/>
  <c r="R206" i="2" s="1"/>
  <c r="N112" i="2"/>
  <c r="R112" i="2" s="1"/>
  <c r="N120" i="2"/>
  <c r="R120" i="2" s="1"/>
  <c r="N128" i="2"/>
  <c r="R128" i="2" s="1"/>
  <c r="N16" i="2"/>
  <c r="R16" i="2" s="1"/>
  <c r="N32" i="2"/>
  <c r="R32" i="2" s="1"/>
  <c r="N24" i="2"/>
  <c r="R24" i="2" s="1"/>
  <c r="Q238" i="2"/>
  <c r="R238" i="2" s="1"/>
  <c r="Q230" i="2"/>
  <c r="R230" i="2" s="1"/>
  <c r="Q211" i="2"/>
  <c r="R211" i="2" s="1"/>
  <c r="Q215" i="2"/>
  <c r="R215" i="2" s="1"/>
  <c r="Q207" i="2"/>
  <c r="R207" i="2" s="1"/>
  <c r="Q223" i="2"/>
  <c r="R223" i="2" s="1"/>
  <c r="Q203" i="2"/>
  <c r="R203" i="2" s="1"/>
  <c r="Q219" i="2"/>
  <c r="R219" i="2" s="1"/>
  <c r="Q199" i="2"/>
  <c r="R199" i="2" s="1"/>
  <c r="P48" i="2"/>
  <c r="N256" i="2"/>
  <c r="R256" i="2" s="1"/>
  <c r="N248" i="2"/>
  <c r="R248" i="2" s="1"/>
  <c r="P56" i="2"/>
  <c r="P64" i="2"/>
  <c r="N111" i="2"/>
  <c r="R111" i="2" s="1"/>
  <c r="N119" i="2"/>
  <c r="R119" i="2" s="1"/>
  <c r="N123" i="2"/>
  <c r="R123" i="2" s="1"/>
  <c r="N107" i="2"/>
  <c r="R107" i="2" s="1"/>
  <c r="N115" i="2"/>
  <c r="R115" i="2" s="1"/>
  <c r="N127" i="2"/>
  <c r="R127" i="2" s="1"/>
  <c r="N103" i="2"/>
  <c r="R103" i="2" s="1"/>
  <c r="N96" i="2" l="1"/>
  <c r="R96" i="2" s="1"/>
  <c r="N88" i="2"/>
  <c r="R88" i="2" s="1"/>
  <c r="N80" i="2"/>
  <c r="R80" i="2" s="1"/>
  <c r="N95" i="2"/>
  <c r="R95" i="2" s="1"/>
  <c r="N75" i="2"/>
  <c r="R75" i="2" s="1"/>
  <c r="N87" i="2"/>
  <c r="R87" i="2" s="1"/>
  <c r="N83" i="2"/>
  <c r="R83" i="2" s="1"/>
  <c r="N71" i="2"/>
  <c r="R71" i="2" s="1"/>
  <c r="N79" i="2"/>
  <c r="R79" i="2" s="1"/>
  <c r="N91" i="2"/>
  <c r="R91" i="2" s="1"/>
  <c r="N64" i="2" l="1"/>
  <c r="R64" i="2" s="1"/>
  <c r="N48" i="2"/>
  <c r="R48" i="2" s="1"/>
  <c r="N56" i="2"/>
  <c r="R56" i="2" s="1"/>
  <c r="N39" i="2"/>
  <c r="N43" i="2"/>
  <c r="N63" i="2"/>
  <c r="N47" i="2"/>
  <c r="N51" i="2"/>
  <c r="N59" i="2"/>
  <c r="N55" i="2"/>
  <c r="L55" i="2"/>
  <c r="P55" i="2" s="1"/>
  <c r="L51" i="2"/>
  <c r="P51" i="2" s="1"/>
  <c r="L63" i="2"/>
  <c r="P63" i="2" s="1"/>
  <c r="K43" i="2"/>
  <c r="O43" i="2" s="1"/>
  <c r="K55" i="2"/>
  <c r="O55" i="2" s="1"/>
  <c r="K39" i="2"/>
  <c r="O39" i="2" s="1"/>
  <c r="J39" i="2"/>
  <c r="M39" i="2" s="1"/>
  <c r="J51" i="2"/>
  <c r="M51" i="2" s="1"/>
  <c r="J63" i="2"/>
  <c r="M63" i="2" s="1"/>
  <c r="J43" i="2"/>
  <c r="M43" i="2" s="1"/>
  <c r="L39" i="2"/>
  <c r="P39" i="2" s="1"/>
  <c r="L43" i="2"/>
  <c r="P43" i="2" s="1"/>
  <c r="L59" i="2"/>
  <c r="P59" i="2" s="1"/>
  <c r="L47" i="2"/>
  <c r="P47" i="2" s="1"/>
  <c r="K51" i="2"/>
  <c r="O51" i="2" s="1"/>
  <c r="K63" i="2"/>
  <c r="O63" i="2" s="1"/>
  <c r="K59" i="2"/>
  <c r="O59" i="2" s="1"/>
  <c r="K47" i="2"/>
  <c r="O47" i="2" s="1"/>
  <c r="J47" i="2"/>
  <c r="M47" i="2" s="1"/>
  <c r="J55" i="2"/>
  <c r="M55" i="2" s="1"/>
  <c r="J59" i="2"/>
  <c r="M59" i="2" s="1"/>
  <c r="R59" i="2" l="1"/>
  <c r="R43" i="2"/>
  <c r="R63" i="2"/>
  <c r="R55" i="2"/>
  <c r="R51" i="2"/>
  <c r="R47" i="2"/>
  <c r="R39" i="2"/>
  <c r="N255" i="2"/>
  <c r="R255" i="2" s="1"/>
  <c r="N247" i="2"/>
  <c r="R247" i="2" s="1"/>
  <c r="N239" i="2"/>
  <c r="R239" i="2" s="1"/>
  <c r="N231" i="2"/>
  <c r="R231" i="2" s="1"/>
  <c r="N251" i="2"/>
  <c r="R251" i="2" s="1"/>
  <c r="N243" i="2"/>
  <c r="R243" i="2" s="1"/>
  <c r="N235" i="2"/>
  <c r="R235" i="2" s="1"/>
</calcChain>
</file>

<file path=xl/sharedStrings.xml><?xml version="1.0" encoding="utf-8"?>
<sst xmlns="http://schemas.openxmlformats.org/spreadsheetml/2006/main" count="1173" uniqueCount="249">
  <si>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</si>
  <si>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</si>
  <si>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</si>
  <si>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</si>
  <si>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</si>
  <si>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</si>
  <si>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</si>
  <si>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</si>
  <si>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</si>
  <si>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</si>
  <si>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</si>
  <si>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xB</t>
  </si>
  <si>
    <t>xC</t>
  </si>
  <si>
    <t>xD</t>
  </si>
  <si>
    <t>xE</t>
  </si>
  <si>
    <t>xF</t>
  </si>
  <si>
    <t>0x</t>
  </si>
  <si>
    <t>BRK</t>
  </si>
  <si>
    <t>ORA</t>
  </si>
  <si>
    <t>izx 6</t>
  </si>
  <si>
    <t>KIL</t>
  </si>
  <si>
    <t>SLO</t>
  </si>
  <si>
    <t>izx 8</t>
  </si>
  <si>
    <t>NOP</t>
  </si>
  <si>
    <t>zp 3</t>
  </si>
  <si>
    <t>ASL</t>
  </si>
  <si>
    <t>zp 5</t>
  </si>
  <si>
    <t>PHP</t>
  </si>
  <si>
    <t>imm 2</t>
  </si>
  <si>
    <t>ANC</t>
  </si>
  <si>
    <t>abs 4</t>
  </si>
  <si>
    <t>abs 6</t>
  </si>
  <si>
    <t>1x</t>
  </si>
  <si>
    <t>BPL</t>
  </si>
  <si>
    <t>rel 2*</t>
  </si>
  <si>
    <t>izy 5*</t>
  </si>
  <si>
    <t>izy 8</t>
  </si>
  <si>
    <t>zpx 4</t>
  </si>
  <si>
    <t>zpx 6</t>
  </si>
  <si>
    <t>CLC</t>
  </si>
  <si>
    <t>aby 4*</t>
  </si>
  <si>
    <t>aby 7</t>
  </si>
  <si>
    <t>abx 4*</t>
  </si>
  <si>
    <t>abx 7</t>
  </si>
  <si>
    <t>2x</t>
  </si>
  <si>
    <t>JSR</t>
  </si>
  <si>
    <t>AND</t>
  </si>
  <si>
    <t>RLA</t>
  </si>
  <si>
    <t>BIT</t>
  </si>
  <si>
    <t>ROL</t>
  </si>
  <si>
    <t>PLP</t>
  </si>
  <si>
    <t>3x</t>
  </si>
  <si>
    <t>BMI</t>
  </si>
  <si>
    <t>SEC</t>
  </si>
  <si>
    <t>4x</t>
  </si>
  <si>
    <t>RTI</t>
  </si>
  <si>
    <t>EOR</t>
  </si>
  <si>
    <t>SRE</t>
  </si>
  <si>
    <t>LSR</t>
  </si>
  <si>
    <t>PHA</t>
  </si>
  <si>
    <t>ALR</t>
  </si>
  <si>
    <t>JMP</t>
  </si>
  <si>
    <t>abs 3</t>
  </si>
  <si>
    <t>5x</t>
  </si>
  <si>
    <t>BVC</t>
  </si>
  <si>
    <t>CLI</t>
  </si>
  <si>
    <t>6x</t>
  </si>
  <si>
    <t>RTS</t>
  </si>
  <si>
    <t>ADC</t>
  </si>
  <si>
    <t>RRA</t>
  </si>
  <si>
    <t>ROR</t>
  </si>
  <si>
    <t>PLA</t>
  </si>
  <si>
    <t>ARR</t>
  </si>
  <si>
    <t>ind 5</t>
  </si>
  <si>
    <t>7x</t>
  </si>
  <si>
    <t>BVS</t>
  </si>
  <si>
    <t>SEI</t>
  </si>
  <si>
    <t>8x</t>
  </si>
  <si>
    <t>STA</t>
  </si>
  <si>
    <t>SAX</t>
  </si>
  <si>
    <t>STY</t>
  </si>
  <si>
    <t>STX</t>
  </si>
  <si>
    <t>DEY</t>
  </si>
  <si>
    <t>TXA</t>
  </si>
  <si>
    <t>XAA</t>
  </si>
  <si>
    <t>9x</t>
  </si>
  <si>
    <t>BCC</t>
  </si>
  <si>
    <t>izy 6</t>
  </si>
  <si>
    <t>AHX</t>
  </si>
  <si>
    <t>zpy 4</t>
  </si>
  <si>
    <t>TYA</t>
  </si>
  <si>
    <t>aby 5</t>
  </si>
  <si>
    <t>TXS</t>
  </si>
  <si>
    <t>TAS</t>
  </si>
  <si>
    <t>SHY</t>
  </si>
  <si>
    <t>abx 5</t>
  </si>
  <si>
    <t>SHX</t>
  </si>
  <si>
    <t>Ax</t>
  </si>
  <si>
    <t>LDY</t>
  </si>
  <si>
    <t>LDA</t>
  </si>
  <si>
    <t>LDX</t>
  </si>
  <si>
    <t>LAX</t>
  </si>
  <si>
    <t>TAY</t>
  </si>
  <si>
    <t>TAX</t>
  </si>
  <si>
    <t>Bx</t>
  </si>
  <si>
    <t>BCS</t>
  </si>
  <si>
    <t>CLV</t>
  </si>
  <si>
    <t>TSX</t>
  </si>
  <si>
    <t>LAS</t>
  </si>
  <si>
    <t>Cx</t>
  </si>
  <si>
    <t>CPY</t>
  </si>
  <si>
    <t>CMP</t>
  </si>
  <si>
    <t>DCP</t>
  </si>
  <si>
    <t>DEC</t>
  </si>
  <si>
    <t>INY</t>
  </si>
  <si>
    <t>DEX</t>
  </si>
  <si>
    <t>AXS</t>
  </si>
  <si>
    <t>Dx</t>
  </si>
  <si>
    <t>BNE</t>
  </si>
  <si>
    <t>CLD</t>
  </si>
  <si>
    <t>Ex</t>
  </si>
  <si>
    <t>CPX</t>
  </si>
  <si>
    <t>SBC</t>
  </si>
  <si>
    <t>ISC</t>
  </si>
  <si>
    <t>INC</t>
  </si>
  <si>
    <t>INX</t>
  </si>
  <si>
    <t>Fx</t>
  </si>
  <si>
    <t>BEQ</t>
  </si>
  <si>
    <t>SED</t>
  </si>
  <si>
    <t>izx</t>
  </si>
  <si>
    <t>imm</t>
  </si>
  <si>
    <t>abs</t>
  </si>
  <si>
    <t>rel</t>
  </si>
  <si>
    <t>izy</t>
  </si>
  <si>
    <t>zpx</t>
  </si>
  <si>
    <t>aby</t>
  </si>
  <si>
    <t>abx</t>
  </si>
  <si>
    <t>ind</t>
  </si>
  <si>
    <t>zpy</t>
  </si>
  <si>
    <t/>
  </si>
  <si>
    <t>Mnemonic</t>
  </si>
  <si>
    <t>Access</t>
  </si>
  <si>
    <t>Cycles</t>
  </si>
  <si>
    <t>ExtraOnPageSwitch</t>
  </si>
  <si>
    <t>zpg</t>
  </si>
  <si>
    <t>(aaaa)</t>
  </si>
  <si>
    <t>aaaa,X</t>
  </si>
  <si>
    <t>aaaa,Y</t>
  </si>
  <si>
    <t>(aa,X)</t>
  </si>
  <si>
    <t>(aa),Y</t>
  </si>
  <si>
    <t xml:space="preserve">Immediate           </t>
  </si>
  <si>
    <t xml:space="preserve">Absolute            </t>
  </si>
  <si>
    <t xml:space="preserve">Zero Page           </t>
  </si>
  <si>
    <t xml:space="preserve">Implied             </t>
  </si>
  <si>
    <t xml:space="preserve">Indirect Absolute   </t>
  </si>
  <si>
    <t xml:space="preserve">Absolute Indexed,X  </t>
  </si>
  <si>
    <t xml:space="preserve">Absolute Indexed,Y  </t>
  </si>
  <si>
    <t xml:space="preserve">Zero Page Indexed,X </t>
  </si>
  <si>
    <t xml:space="preserve">Zero Page Indexed,Y </t>
  </si>
  <si>
    <t xml:space="preserve">Indexed Indirect    </t>
  </si>
  <si>
    <t xml:space="preserve">Indirect Indexed    </t>
  </si>
  <si>
    <t xml:space="preserve">Relative            </t>
  </si>
  <si>
    <t xml:space="preserve">Accumulator         </t>
  </si>
  <si>
    <t>imp</t>
  </si>
  <si>
    <t>acc</t>
  </si>
  <si>
    <t>AM_IMM</t>
  </si>
  <si>
    <t>AM_ABS</t>
  </si>
  <si>
    <t>AM_ZPG</t>
  </si>
  <si>
    <t>AM_IMP</t>
  </si>
  <si>
    <t>AM_IND</t>
  </si>
  <si>
    <t>AM_AIX</t>
  </si>
  <si>
    <t>AM_AIY</t>
  </si>
  <si>
    <t>AM_ZIX</t>
  </si>
  <si>
    <t>AM_ZIY</t>
  </si>
  <si>
    <t>AM_IIX</t>
  </si>
  <si>
    <t>AM_IIY</t>
  </si>
  <si>
    <t>AM_REL</t>
  </si>
  <si>
    <t>AM_ACC</t>
  </si>
  <si>
    <t>Access Memory</t>
  </si>
  <si>
    <t>memory_getImmediate();</t>
  </si>
  <si>
    <t>memory_getAbsolute();</t>
  </si>
  <si>
    <t>memory_getZeroPage();</t>
  </si>
  <si>
    <t>memory_getIndirectAbsoluteAddress();</t>
  </si>
  <si>
    <t>memory_getAbsoluteIndexedX();</t>
  </si>
  <si>
    <t>memory_getAbsoluteIndexedY();</t>
  </si>
  <si>
    <t>memory_getZeroPageIndexedX();</t>
  </si>
  <si>
    <t>memory_getZeroPageIndexedY();</t>
  </si>
  <si>
    <t>memory_getIndexedIndirectX();</t>
  </si>
  <si>
    <t>memory_getRelativeAddress();</t>
  </si>
  <si>
    <t>memory_setAbsolute(</t>
  </si>
  <si>
    <t>memory_setZeroPage(</t>
  </si>
  <si>
    <t>memory_setAbsoluteIndexedX(</t>
  </si>
  <si>
    <t>memory_setAbsoluteIndexedY(</t>
  </si>
  <si>
    <t>memory_setZeroPageIndexedX(</t>
  </si>
  <si>
    <t>memory_setZeroPageIndexedY(</t>
  </si>
  <si>
    <t>memory_setIndexedIndirectX(</t>
  </si>
  <si>
    <t>memory_setIndirectIndexedY(</t>
  </si>
  <si>
    <t>afko</t>
  </si>
  <si>
    <t>enum</t>
  </si>
  <si>
    <t>name</t>
  </si>
  <si>
    <t>format</t>
  </si>
  <si>
    <t>getter</t>
  </si>
  <si>
    <t>setter</t>
  </si>
  <si>
    <t>NZ set</t>
  </si>
  <si>
    <t>Opcode</t>
  </si>
  <si>
    <t>Illegal</t>
  </si>
  <si>
    <t>GetMem</t>
  </si>
  <si>
    <t>SetMem</t>
  </si>
  <si>
    <t>Opcode table</t>
  </si>
  <si>
    <t>Getter</t>
  </si>
  <si>
    <t>Setter</t>
  </si>
  <si>
    <t>Case code</t>
  </si>
  <si>
    <t>Action</t>
  </si>
  <si>
    <t>NZ setter</t>
  </si>
  <si>
    <t>A</t>
  </si>
  <si>
    <t>cpu.A</t>
  </si>
  <si>
    <t>voorloop spaties case</t>
  </si>
  <si>
    <t>voorloop spaties actie</t>
  </si>
  <si>
    <t>regeleinde</t>
  </si>
  <si>
    <t>#aa</t>
  </si>
  <si>
    <t>aaaa</t>
  </si>
  <si>
    <t>aa</t>
  </si>
  <si>
    <t>aa,X</t>
  </si>
  <si>
    <t>aa,Y</t>
  </si>
  <si>
    <t>value</t>
  </si>
  <si>
    <t>cpu.Y</t>
  </si>
  <si>
    <t>cpu.X</t>
  </si>
  <si>
    <t>LAST</t>
  </si>
  <si>
    <t>voorloop spaties actie2</t>
  </si>
  <si>
    <t>S1</t>
  </si>
  <si>
    <t>~S1</t>
  </si>
  <si>
    <t>S2</t>
  </si>
  <si>
    <t>~S2</t>
  </si>
  <si>
    <t>S3</t>
  </si>
  <si>
    <t>~S3</t>
  </si>
  <si>
    <t>V</t>
  </si>
  <si>
    <t>V=S1S2~S3+~S1~S2S3</t>
  </si>
  <si>
    <t>Post Action</t>
  </si>
  <si>
    <t>set last accessed memory</t>
  </si>
  <si>
    <t>memory_setLast(</t>
  </si>
  <si>
    <t>value_w</t>
  </si>
  <si>
    <t>cpu.PC</t>
  </si>
  <si>
    <t>memory_getIndirectIndexedY();</t>
  </si>
  <si>
    <t>Hex</t>
  </si>
  <si>
    <t>Hex$</t>
  </si>
  <si>
    <t>aba</t>
  </si>
  <si>
    <t>AM_ABA</t>
  </si>
  <si>
    <t>memory_getAbsoluteAddress();</t>
  </si>
  <si>
    <t>voorloop spaties actie3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</si>
</sst>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7.5"/>
      <color theme="1"/>
      <name val="Times New Roman"/>
      <family val="1"/>
    </font>
    <font>
      <b/>
      <i/>
      <sz val="7.5"/>
      <color rgb="FFFF0000"/>
      <name val="Times New Roman"/>
      <family val="1"/>
    </font>
    <font>
      <b/>
      <i/>
      <sz val="7.5"/>
      <color rgb="FF0000FF"/>
      <name val="Times New Roman"/>
      <family val="1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ourier New"/>
      <family val="3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i/>
      <sz val="10"/>
      <color rgb="FFFF0000"/>
      <name val="Arial"/>
      <family val="2"/>
    </font>
    <font>
      <i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9" fillId="0" borderId="4" xfId="0" applyFont="1" applyBorder="1"/>
    <xf numFmtId="0" fontId="9" fillId="0" borderId="4" xfId="0" applyFont="1" applyBorder="1" applyAlignment="1">
      <alignment wrapText="1"/>
    </xf>
    <xf numFmtId="0" fontId="9" fillId="0" borderId="4" xfId="0" applyFont="1" applyBorder="1" applyAlignment="1">
      <alignment vertical="top" wrapText="1"/>
    </xf>
    <xf numFmtId="0" fontId="10" fillId="0" borderId="0" xfId="0" applyFont="1"/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11" fillId="3" borderId="4" xfId="0" applyFont="1" applyFill="1" applyBorder="1" applyAlignment="1">
      <alignment vertical="top"/>
    </xf>
    <xf numFmtId="0" fontId="11" fillId="3" borderId="4" xfId="0" applyFont="1" applyFill="1" applyBorder="1" applyAlignment="1">
      <alignment vertical="top" wrapText="1"/>
    </xf>
    <xf numFmtId="0" fontId="11" fillId="0" borderId="4" xfId="0" applyFont="1" applyBorder="1" applyAlignment="1">
      <alignment vertical="top" wrapText="1"/>
    </xf>
    <xf numFmtId="0" fontId="12" fillId="0" borderId="0" xfId="0" applyFont="1"/>
    <xf numFmtId="0" fontId="11" fillId="2" borderId="4" xfId="0" applyFont="1" applyFill="1" applyBorder="1" applyAlignment="1">
      <alignment vertical="top"/>
    </xf>
    <xf numFmtId="0" fontId="11" fillId="2" borderId="4" xfId="0" applyFont="1" applyFill="1" applyBorder="1" applyAlignment="1">
      <alignment vertical="top" wrapText="1"/>
    </xf>
    <xf numFmtId="0" fontId="13" fillId="2" borderId="4" xfId="0" applyFont="1" applyFill="1" applyBorder="1" applyAlignment="1">
      <alignment vertical="top"/>
    </xf>
    <xf numFmtId="0" fontId="13" fillId="2" borderId="4" xfId="0" applyFont="1" applyFill="1" applyBorder="1" applyAlignment="1">
      <alignment vertical="top" wrapText="1"/>
    </xf>
    <xf numFmtId="0" fontId="14" fillId="2" borderId="4" xfId="0" applyFont="1" applyFill="1" applyBorder="1" applyAlignment="1">
      <alignment vertical="top"/>
    </xf>
    <xf numFmtId="0" fontId="14" fillId="2" borderId="4" xfId="0" applyFont="1" applyFill="1" applyBorder="1" applyAlignment="1">
      <alignment vertical="top" wrapText="1"/>
    </xf>
    <xf numFmtId="0" fontId="11" fillId="0" borderId="4" xfId="0" applyFont="1" applyFill="1" applyBorder="1" applyAlignment="1">
      <alignment vertical="top" wrapText="1"/>
    </xf>
    <xf numFmtId="0" fontId="11" fillId="0" borderId="4" xfId="0" applyFont="1" applyFill="1" applyBorder="1" applyAlignment="1">
      <alignment vertical="top"/>
    </xf>
    <xf numFmtId="0" fontId="11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S22" sqref="S22"/>
    </sheetView>
  </sheetViews>
  <sheetFormatPr defaultRowHeight="15" x14ac:dyDescent="0.25"/>
  <sheetData>
    <row r="1" spans="1:20" ht="15.7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20" x14ac:dyDescent="0.25">
      <c r="A2" s="16" t="s">
        <v>16</v>
      </c>
      <c r="B2" s="2" t="s">
        <v>17</v>
      </c>
      <c r="C2" s="2" t="s">
        <v>18</v>
      </c>
      <c r="D2" s="4" t="s">
        <v>20</v>
      </c>
      <c r="E2" s="4" t="s">
        <v>21</v>
      </c>
      <c r="F2" s="4" t="s">
        <v>23</v>
      </c>
      <c r="G2" s="2" t="s">
        <v>18</v>
      </c>
      <c r="H2" s="2" t="s">
        <v>25</v>
      </c>
      <c r="I2" s="4" t="s">
        <v>21</v>
      </c>
      <c r="J2" s="2" t="s">
        <v>27</v>
      </c>
      <c r="K2" s="2" t="s">
        <v>18</v>
      </c>
      <c r="L2" s="2" t="s">
        <v>25</v>
      </c>
      <c r="M2" s="4" t="s">
        <v>29</v>
      </c>
      <c r="N2" s="4" t="s">
        <v>23</v>
      </c>
      <c r="O2" s="2" t="s">
        <v>18</v>
      </c>
      <c r="P2" s="2" t="s">
        <v>25</v>
      </c>
      <c r="Q2" s="4" t="s">
        <v>21</v>
      </c>
      <c r="S2">
        <f>0</f>
        <v>0</v>
      </c>
      <c r="T2" t="str">
        <f>B2</f>
        <v>BRK</v>
      </c>
    </row>
    <row r="3" spans="1:20" x14ac:dyDescent="0.25">
      <c r="A3" s="17"/>
      <c r="B3" s="3">
        <v>7</v>
      </c>
      <c r="C3" s="3" t="s">
        <v>19</v>
      </c>
      <c r="D3" s="5"/>
      <c r="E3" s="5" t="s">
        <v>22</v>
      </c>
      <c r="F3" s="5" t="s">
        <v>24</v>
      </c>
      <c r="G3" s="3" t="s">
        <v>24</v>
      </c>
      <c r="H3" s="3" t="s">
        <v>26</v>
      </c>
      <c r="I3" s="5" t="s">
        <v>26</v>
      </c>
      <c r="J3" s="3">
        <v>3</v>
      </c>
      <c r="K3" s="3" t="s">
        <v>28</v>
      </c>
      <c r="L3" s="3">
        <v>2</v>
      </c>
      <c r="M3" s="5" t="s">
        <v>28</v>
      </c>
      <c r="N3" s="5" t="s">
        <v>30</v>
      </c>
      <c r="O3" s="3" t="s">
        <v>30</v>
      </c>
      <c r="P3" s="3" t="s">
        <v>31</v>
      </c>
      <c r="Q3" s="5" t="s">
        <v>31</v>
      </c>
      <c r="S3">
        <v>1</v>
      </c>
      <c r="T3" t="str">
        <f>C2</f>
        <v>ORA</v>
      </c>
    </row>
    <row r="4" spans="1:20" x14ac:dyDescent="0.25">
      <c r="A4" s="16" t="s">
        <v>32</v>
      </c>
      <c r="B4" s="2" t="s">
        <v>33</v>
      </c>
      <c r="C4" s="2" t="s">
        <v>18</v>
      </c>
      <c r="D4" s="4" t="s">
        <v>20</v>
      </c>
      <c r="E4" s="4" t="s">
        <v>21</v>
      </c>
      <c r="F4" s="4" t="s">
        <v>23</v>
      </c>
      <c r="G4" s="2" t="s">
        <v>18</v>
      </c>
      <c r="H4" s="2" t="s">
        <v>25</v>
      </c>
      <c r="I4" s="4" t="s">
        <v>21</v>
      </c>
      <c r="J4" s="2" t="s">
        <v>39</v>
      </c>
      <c r="K4" s="2" t="s">
        <v>18</v>
      </c>
      <c r="L4" s="4" t="s">
        <v>23</v>
      </c>
      <c r="M4" s="4" t="s">
        <v>21</v>
      </c>
      <c r="N4" s="4" t="s">
        <v>23</v>
      </c>
      <c r="O4" s="2" t="s">
        <v>18</v>
      </c>
      <c r="P4" s="2" t="s">
        <v>25</v>
      </c>
      <c r="Q4" s="4" t="s">
        <v>21</v>
      </c>
      <c r="S4">
        <v>2</v>
      </c>
      <c r="T4" t="str">
        <f>D2</f>
        <v>KIL</v>
      </c>
    </row>
    <row r="5" spans="1:20" x14ac:dyDescent="0.25">
      <c r="A5" s="17"/>
      <c r="B5" s="3" t="s">
        <v>34</v>
      </c>
      <c r="C5" s="3" t="s">
        <v>35</v>
      </c>
      <c r="D5" s="5"/>
      <c r="E5" s="5" t="s">
        <v>36</v>
      </c>
      <c r="F5" s="5" t="s">
        <v>37</v>
      </c>
      <c r="G5" s="3" t="s">
        <v>37</v>
      </c>
      <c r="H5" s="3" t="s">
        <v>38</v>
      </c>
      <c r="I5" s="5" t="s">
        <v>38</v>
      </c>
      <c r="J5" s="3">
        <v>2</v>
      </c>
      <c r="K5" s="3" t="s">
        <v>40</v>
      </c>
      <c r="L5" s="5">
        <v>2</v>
      </c>
      <c r="M5" s="5" t="s">
        <v>41</v>
      </c>
      <c r="N5" s="5" t="s">
        <v>42</v>
      </c>
      <c r="O5" s="3" t="s">
        <v>42</v>
      </c>
      <c r="P5" s="3" t="s">
        <v>43</v>
      </c>
      <c r="Q5" s="5" t="s">
        <v>43</v>
      </c>
      <c r="S5">
        <v>3</v>
      </c>
      <c r="T5" t="str">
        <f>E2</f>
        <v>SLO</v>
      </c>
    </row>
    <row r="6" spans="1:20" x14ac:dyDescent="0.25">
      <c r="A6" s="16" t="s">
        <v>44</v>
      </c>
      <c r="B6" s="2" t="s">
        <v>45</v>
      </c>
      <c r="C6" s="2" t="s">
        <v>46</v>
      </c>
      <c r="D6" s="4" t="s">
        <v>20</v>
      </c>
      <c r="E6" s="4" t="s">
        <v>47</v>
      </c>
      <c r="F6" s="2" t="s">
        <v>48</v>
      </c>
      <c r="G6" s="2" t="s">
        <v>46</v>
      </c>
      <c r="H6" s="2" t="s">
        <v>49</v>
      </c>
      <c r="I6" s="4" t="s">
        <v>47</v>
      </c>
      <c r="J6" s="2" t="s">
        <v>50</v>
      </c>
      <c r="K6" s="2" t="s">
        <v>46</v>
      </c>
      <c r="L6" s="2" t="s">
        <v>49</v>
      </c>
      <c r="M6" s="4" t="s">
        <v>29</v>
      </c>
      <c r="N6" s="2" t="s">
        <v>48</v>
      </c>
      <c r="O6" s="2" t="s">
        <v>46</v>
      </c>
      <c r="P6" s="2" t="s">
        <v>49</v>
      </c>
      <c r="Q6" s="4" t="s">
        <v>47</v>
      </c>
      <c r="S6">
        <v>4</v>
      </c>
      <c r="T6" t="str">
        <f>F2</f>
        <v>NOP</v>
      </c>
    </row>
    <row r="7" spans="1:20" x14ac:dyDescent="0.25">
      <c r="A7" s="17"/>
      <c r="B7" s="3" t="s">
        <v>31</v>
      </c>
      <c r="C7" s="3" t="s">
        <v>19</v>
      </c>
      <c r="D7" s="5"/>
      <c r="E7" s="5" t="s">
        <v>22</v>
      </c>
      <c r="F7" s="3" t="s">
        <v>24</v>
      </c>
      <c r="G7" s="3" t="s">
        <v>24</v>
      </c>
      <c r="H7" s="3" t="s">
        <v>26</v>
      </c>
      <c r="I7" s="5" t="s">
        <v>26</v>
      </c>
      <c r="J7" s="3">
        <v>4</v>
      </c>
      <c r="K7" s="3" t="s">
        <v>28</v>
      </c>
      <c r="L7" s="3">
        <v>2</v>
      </c>
      <c r="M7" s="5" t="s">
        <v>28</v>
      </c>
      <c r="N7" s="3" t="s">
        <v>30</v>
      </c>
      <c r="O7" s="3" t="s">
        <v>30</v>
      </c>
      <c r="P7" s="3" t="s">
        <v>31</v>
      </c>
      <c r="Q7" s="5" t="s">
        <v>31</v>
      </c>
      <c r="S7">
        <v>5</v>
      </c>
      <c r="T7" t="str">
        <f>G2</f>
        <v>ORA</v>
      </c>
    </row>
    <row r="8" spans="1:20" x14ac:dyDescent="0.25">
      <c r="A8" s="16" t="s">
        <v>51</v>
      </c>
      <c r="B8" s="2" t="s">
        <v>52</v>
      </c>
      <c r="C8" s="2" t="s">
        <v>46</v>
      </c>
      <c r="D8" s="4" t="s">
        <v>20</v>
      </c>
      <c r="E8" s="4" t="s">
        <v>47</v>
      </c>
      <c r="F8" s="4" t="s">
        <v>23</v>
      </c>
      <c r="G8" s="2" t="s">
        <v>46</v>
      </c>
      <c r="H8" s="2" t="s">
        <v>49</v>
      </c>
      <c r="I8" s="4" t="s">
        <v>47</v>
      </c>
      <c r="J8" s="2" t="s">
        <v>53</v>
      </c>
      <c r="K8" s="2" t="s">
        <v>46</v>
      </c>
      <c r="L8" s="4" t="s">
        <v>23</v>
      </c>
      <c r="M8" s="4" t="s">
        <v>47</v>
      </c>
      <c r="N8" s="4" t="s">
        <v>23</v>
      </c>
      <c r="O8" s="2" t="s">
        <v>46</v>
      </c>
      <c r="P8" s="2" t="s">
        <v>49</v>
      </c>
      <c r="Q8" s="4" t="s">
        <v>47</v>
      </c>
      <c r="S8">
        <v>6</v>
      </c>
      <c r="T8" t="str">
        <f>H2</f>
        <v>ASL</v>
      </c>
    </row>
    <row r="9" spans="1:20" x14ac:dyDescent="0.25">
      <c r="A9" s="17"/>
      <c r="B9" s="3" t="s">
        <v>34</v>
      </c>
      <c r="C9" s="3" t="s">
        <v>35</v>
      </c>
      <c r="D9" s="5"/>
      <c r="E9" s="5" t="s">
        <v>36</v>
      </c>
      <c r="F9" s="5" t="s">
        <v>37</v>
      </c>
      <c r="G9" s="3" t="s">
        <v>37</v>
      </c>
      <c r="H9" s="3" t="s">
        <v>38</v>
      </c>
      <c r="I9" s="5" t="s">
        <v>38</v>
      </c>
      <c r="J9" s="3">
        <v>2</v>
      </c>
      <c r="K9" s="3" t="s">
        <v>40</v>
      </c>
      <c r="L9" s="5">
        <v>2</v>
      </c>
      <c r="M9" s="5" t="s">
        <v>41</v>
      </c>
      <c r="N9" s="5" t="s">
        <v>42</v>
      </c>
      <c r="O9" s="3" t="s">
        <v>42</v>
      </c>
      <c r="P9" s="3" t="s">
        <v>43</v>
      </c>
      <c r="Q9" s="5" t="s">
        <v>43</v>
      </c>
      <c r="S9">
        <v>7</v>
      </c>
      <c r="T9" t="str">
        <f>I2</f>
        <v>SLO</v>
      </c>
    </row>
    <row r="10" spans="1:20" x14ac:dyDescent="0.25">
      <c r="A10" s="16" t="s">
        <v>54</v>
      </c>
      <c r="B10" s="2" t="s">
        <v>55</v>
      </c>
      <c r="C10" s="2" t="s">
        <v>56</v>
      </c>
      <c r="D10" s="4" t="s">
        <v>20</v>
      </c>
      <c r="E10" s="4" t="s">
        <v>57</v>
      </c>
      <c r="F10" s="4" t="s">
        <v>23</v>
      </c>
      <c r="G10" s="2" t="s">
        <v>56</v>
      </c>
      <c r="H10" s="2" t="s">
        <v>58</v>
      </c>
      <c r="I10" s="4" t="s">
        <v>57</v>
      </c>
      <c r="J10" s="2" t="s">
        <v>59</v>
      </c>
      <c r="K10" s="2" t="s">
        <v>56</v>
      </c>
      <c r="L10" s="2" t="s">
        <v>58</v>
      </c>
      <c r="M10" s="4" t="s">
        <v>60</v>
      </c>
      <c r="N10" s="2" t="s">
        <v>61</v>
      </c>
      <c r="O10" s="2" t="s">
        <v>56</v>
      </c>
      <c r="P10" s="2" t="s">
        <v>58</v>
      </c>
      <c r="Q10" s="4" t="s">
        <v>57</v>
      </c>
      <c r="S10">
        <v>8</v>
      </c>
      <c r="T10" t="str">
        <f>J2</f>
        <v>PHP</v>
      </c>
    </row>
    <row r="11" spans="1:20" x14ac:dyDescent="0.25">
      <c r="A11" s="17"/>
      <c r="B11" s="3">
        <v>6</v>
      </c>
      <c r="C11" s="3" t="s">
        <v>19</v>
      </c>
      <c r="D11" s="5"/>
      <c r="E11" s="5" t="s">
        <v>22</v>
      </c>
      <c r="F11" s="5" t="s">
        <v>24</v>
      </c>
      <c r="G11" s="3" t="s">
        <v>24</v>
      </c>
      <c r="H11" s="3" t="s">
        <v>26</v>
      </c>
      <c r="I11" s="5" t="s">
        <v>26</v>
      </c>
      <c r="J11" s="3">
        <v>3</v>
      </c>
      <c r="K11" s="3" t="s">
        <v>28</v>
      </c>
      <c r="L11" s="3">
        <v>2</v>
      </c>
      <c r="M11" s="5" t="s">
        <v>28</v>
      </c>
      <c r="N11" s="3" t="s">
        <v>62</v>
      </c>
      <c r="O11" s="3" t="s">
        <v>30</v>
      </c>
      <c r="P11" s="3" t="s">
        <v>31</v>
      </c>
      <c r="Q11" s="5" t="s">
        <v>31</v>
      </c>
      <c r="S11">
        <v>9</v>
      </c>
      <c r="T11" t="str">
        <f>K2</f>
        <v>ORA</v>
      </c>
    </row>
    <row r="12" spans="1:20" x14ac:dyDescent="0.25">
      <c r="A12" s="16" t="s">
        <v>63</v>
      </c>
      <c r="B12" s="2" t="s">
        <v>64</v>
      </c>
      <c r="C12" s="2" t="s">
        <v>56</v>
      </c>
      <c r="D12" s="4" t="s">
        <v>20</v>
      </c>
      <c r="E12" s="4" t="s">
        <v>57</v>
      </c>
      <c r="F12" s="4" t="s">
        <v>23</v>
      </c>
      <c r="G12" s="2" t="s">
        <v>56</v>
      </c>
      <c r="H12" s="2" t="s">
        <v>58</v>
      </c>
      <c r="I12" s="4" t="s">
        <v>57</v>
      </c>
      <c r="J12" s="2" t="s">
        <v>65</v>
      </c>
      <c r="K12" s="2" t="s">
        <v>56</v>
      </c>
      <c r="L12" s="4" t="s">
        <v>23</v>
      </c>
      <c r="M12" s="4" t="s">
        <v>57</v>
      </c>
      <c r="N12" s="4" t="s">
        <v>23</v>
      </c>
      <c r="O12" s="2" t="s">
        <v>56</v>
      </c>
      <c r="P12" s="2" t="s">
        <v>58</v>
      </c>
      <c r="Q12" s="4" t="s">
        <v>57</v>
      </c>
      <c r="S12">
        <v>10</v>
      </c>
      <c r="T12" t="str">
        <f>L2</f>
        <v>ASL</v>
      </c>
    </row>
    <row r="13" spans="1:20" x14ac:dyDescent="0.25">
      <c r="A13" s="17"/>
      <c r="B13" s="3" t="s">
        <v>34</v>
      </c>
      <c r="C13" s="3" t="s">
        <v>35</v>
      </c>
      <c r="D13" s="5"/>
      <c r="E13" s="5" t="s">
        <v>36</v>
      </c>
      <c r="F13" s="5" t="s">
        <v>37</v>
      </c>
      <c r="G13" s="3" t="s">
        <v>37</v>
      </c>
      <c r="H13" s="3" t="s">
        <v>38</v>
      </c>
      <c r="I13" s="5" t="s">
        <v>38</v>
      </c>
      <c r="J13" s="3">
        <v>2</v>
      </c>
      <c r="K13" s="3" t="s">
        <v>40</v>
      </c>
      <c r="L13" s="5">
        <v>2</v>
      </c>
      <c r="M13" s="5" t="s">
        <v>41</v>
      </c>
      <c r="N13" s="5" t="s">
        <v>42</v>
      </c>
      <c r="O13" s="3" t="s">
        <v>42</v>
      </c>
      <c r="P13" s="3" t="s">
        <v>43</v>
      </c>
      <c r="Q13" s="5" t="s">
        <v>43</v>
      </c>
      <c r="S13">
        <v>11</v>
      </c>
      <c r="T13" t="str">
        <f>M2</f>
        <v>ANC</v>
      </c>
    </row>
    <row r="14" spans="1:20" x14ac:dyDescent="0.25">
      <c r="A14" s="16" t="s">
        <v>66</v>
      </c>
      <c r="B14" s="2" t="s">
        <v>67</v>
      </c>
      <c r="C14" s="2" t="s">
        <v>68</v>
      </c>
      <c r="D14" s="4" t="s">
        <v>20</v>
      </c>
      <c r="E14" s="4" t="s">
        <v>69</v>
      </c>
      <c r="F14" s="4" t="s">
        <v>23</v>
      </c>
      <c r="G14" s="2" t="s">
        <v>68</v>
      </c>
      <c r="H14" s="2" t="s">
        <v>70</v>
      </c>
      <c r="I14" s="4" t="s">
        <v>69</v>
      </c>
      <c r="J14" s="2" t="s">
        <v>71</v>
      </c>
      <c r="K14" s="2" t="s">
        <v>68</v>
      </c>
      <c r="L14" s="2" t="s">
        <v>70</v>
      </c>
      <c r="M14" s="4" t="s">
        <v>72</v>
      </c>
      <c r="N14" s="2" t="s">
        <v>61</v>
      </c>
      <c r="O14" s="2" t="s">
        <v>68</v>
      </c>
      <c r="P14" s="2" t="s">
        <v>70</v>
      </c>
      <c r="Q14" s="4" t="s">
        <v>69</v>
      </c>
      <c r="S14">
        <v>12</v>
      </c>
      <c r="T14" t="str">
        <f>N2</f>
        <v>NOP</v>
      </c>
    </row>
    <row r="15" spans="1:20" x14ac:dyDescent="0.25">
      <c r="A15" s="17"/>
      <c r="B15" s="3">
        <v>6</v>
      </c>
      <c r="C15" s="3" t="s">
        <v>19</v>
      </c>
      <c r="D15" s="5"/>
      <c r="E15" s="5" t="s">
        <v>22</v>
      </c>
      <c r="F15" s="5" t="s">
        <v>24</v>
      </c>
      <c r="G15" s="3" t="s">
        <v>24</v>
      </c>
      <c r="H15" s="3" t="s">
        <v>26</v>
      </c>
      <c r="I15" s="5" t="s">
        <v>26</v>
      </c>
      <c r="J15" s="3">
        <v>4</v>
      </c>
      <c r="K15" s="3" t="s">
        <v>28</v>
      </c>
      <c r="L15" s="3">
        <v>2</v>
      </c>
      <c r="M15" s="5" t="s">
        <v>28</v>
      </c>
      <c r="N15" s="3" t="s">
        <v>73</v>
      </c>
      <c r="O15" s="3" t="s">
        <v>30</v>
      </c>
      <c r="P15" s="3" t="s">
        <v>31</v>
      </c>
      <c r="Q15" s="5" t="s">
        <v>31</v>
      </c>
      <c r="S15">
        <v>13</v>
      </c>
      <c r="T15" t="str">
        <f>O2</f>
        <v>ORA</v>
      </c>
    </row>
    <row r="16" spans="1:20" x14ac:dyDescent="0.25">
      <c r="A16" s="16" t="s">
        <v>74</v>
      </c>
      <c r="B16" s="2" t="s">
        <v>75</v>
      </c>
      <c r="C16" s="2" t="s">
        <v>68</v>
      </c>
      <c r="D16" s="4" t="s">
        <v>20</v>
      </c>
      <c r="E16" s="4" t="s">
        <v>69</v>
      </c>
      <c r="F16" s="4" t="s">
        <v>23</v>
      </c>
      <c r="G16" s="2" t="s">
        <v>68</v>
      </c>
      <c r="H16" s="2" t="s">
        <v>70</v>
      </c>
      <c r="I16" s="4" t="s">
        <v>69</v>
      </c>
      <c r="J16" s="2" t="s">
        <v>76</v>
      </c>
      <c r="K16" s="2" t="s">
        <v>68</v>
      </c>
      <c r="L16" s="4" t="s">
        <v>23</v>
      </c>
      <c r="M16" s="4" t="s">
        <v>69</v>
      </c>
      <c r="N16" s="4" t="s">
        <v>23</v>
      </c>
      <c r="O16" s="2" t="s">
        <v>68</v>
      </c>
      <c r="P16" s="2" t="s">
        <v>70</v>
      </c>
      <c r="Q16" s="4" t="s">
        <v>69</v>
      </c>
      <c r="S16">
        <v>14</v>
      </c>
      <c r="T16" t="str">
        <f>P2</f>
        <v>ASL</v>
      </c>
    </row>
    <row r="17" spans="1:20" x14ac:dyDescent="0.25">
      <c r="A17" s="17"/>
      <c r="B17" s="3" t="s">
        <v>34</v>
      </c>
      <c r="C17" s="3" t="s">
        <v>35</v>
      </c>
      <c r="D17" s="5"/>
      <c r="E17" s="5" t="s">
        <v>36</v>
      </c>
      <c r="F17" s="5" t="s">
        <v>37</v>
      </c>
      <c r="G17" s="3" t="s">
        <v>37</v>
      </c>
      <c r="H17" s="3" t="s">
        <v>38</v>
      </c>
      <c r="I17" s="5" t="s">
        <v>38</v>
      </c>
      <c r="J17" s="3">
        <v>2</v>
      </c>
      <c r="K17" s="3" t="s">
        <v>40</v>
      </c>
      <c r="L17" s="5">
        <v>2</v>
      </c>
      <c r="M17" s="5" t="s">
        <v>41</v>
      </c>
      <c r="N17" s="5" t="s">
        <v>42</v>
      </c>
      <c r="O17" s="3" t="s">
        <v>42</v>
      </c>
      <c r="P17" s="3" t="s">
        <v>43</v>
      </c>
      <c r="Q17" s="5" t="s">
        <v>43</v>
      </c>
      <c r="S17">
        <v>15</v>
      </c>
      <c r="T17" t="str">
        <f>Q2</f>
        <v>SLO</v>
      </c>
    </row>
    <row r="18" spans="1:20" x14ac:dyDescent="0.25">
      <c r="A18" s="16" t="s">
        <v>77</v>
      </c>
      <c r="B18" s="4" t="s">
        <v>23</v>
      </c>
      <c r="C18" s="2" t="s">
        <v>78</v>
      </c>
      <c r="D18" s="4" t="s">
        <v>23</v>
      </c>
      <c r="E18" s="4" t="s">
        <v>79</v>
      </c>
      <c r="F18" s="2" t="s">
        <v>80</v>
      </c>
      <c r="G18" s="2" t="s">
        <v>78</v>
      </c>
      <c r="H18" s="2" t="s">
        <v>81</v>
      </c>
      <c r="I18" s="4" t="s">
        <v>79</v>
      </c>
      <c r="J18" s="2" t="s">
        <v>82</v>
      </c>
      <c r="K18" s="4" t="s">
        <v>23</v>
      </c>
      <c r="L18" s="2" t="s">
        <v>83</v>
      </c>
      <c r="M18" s="6" t="s">
        <v>84</v>
      </c>
      <c r="N18" s="2" t="s">
        <v>80</v>
      </c>
      <c r="O18" s="2" t="s">
        <v>78</v>
      </c>
      <c r="P18" s="2" t="s">
        <v>81</v>
      </c>
      <c r="Q18" s="4" t="s">
        <v>79</v>
      </c>
      <c r="S18">
        <f>0</f>
        <v>0</v>
      </c>
      <c r="T18" t="str">
        <f>B18</f>
        <v>NOP</v>
      </c>
    </row>
    <row r="19" spans="1:20" x14ac:dyDescent="0.25">
      <c r="A19" s="17"/>
      <c r="B19" s="5" t="s">
        <v>28</v>
      </c>
      <c r="C19" s="3" t="s">
        <v>19</v>
      </c>
      <c r="D19" s="5" t="s">
        <v>28</v>
      </c>
      <c r="E19" s="5" t="s">
        <v>19</v>
      </c>
      <c r="F19" s="3" t="s">
        <v>24</v>
      </c>
      <c r="G19" s="3" t="s">
        <v>24</v>
      </c>
      <c r="H19" s="3" t="s">
        <v>24</v>
      </c>
      <c r="I19" s="5" t="s">
        <v>24</v>
      </c>
      <c r="J19" s="3">
        <v>2</v>
      </c>
      <c r="K19" s="5" t="s">
        <v>28</v>
      </c>
      <c r="L19" s="3">
        <v>2</v>
      </c>
      <c r="M19" s="7" t="s">
        <v>28</v>
      </c>
      <c r="N19" s="3" t="s">
        <v>30</v>
      </c>
      <c r="O19" s="3" t="s">
        <v>30</v>
      </c>
      <c r="P19" s="3" t="s">
        <v>30</v>
      </c>
      <c r="Q19" s="5" t="s">
        <v>30</v>
      </c>
      <c r="S19">
        <v>1</v>
      </c>
      <c r="T19" t="str">
        <f>C18</f>
        <v>STA</v>
      </c>
    </row>
    <row r="20" spans="1:20" x14ac:dyDescent="0.25">
      <c r="A20" s="16" t="s">
        <v>85</v>
      </c>
      <c r="B20" s="2" t="s">
        <v>86</v>
      </c>
      <c r="C20" s="2" t="s">
        <v>78</v>
      </c>
      <c r="D20" s="4" t="s">
        <v>20</v>
      </c>
      <c r="E20" s="8" t="s">
        <v>88</v>
      </c>
      <c r="F20" s="2" t="s">
        <v>80</v>
      </c>
      <c r="G20" s="2" t="s">
        <v>78</v>
      </c>
      <c r="H20" s="2" t="s">
        <v>81</v>
      </c>
      <c r="I20" s="4" t="s">
        <v>79</v>
      </c>
      <c r="J20" s="2" t="s">
        <v>90</v>
      </c>
      <c r="K20" s="2" t="s">
        <v>78</v>
      </c>
      <c r="L20" s="2" t="s">
        <v>92</v>
      </c>
      <c r="M20" s="8" t="s">
        <v>93</v>
      </c>
      <c r="N20" s="8" t="s">
        <v>94</v>
      </c>
      <c r="O20" s="2" t="s">
        <v>78</v>
      </c>
      <c r="P20" s="8" t="s">
        <v>96</v>
      </c>
      <c r="Q20" s="8" t="s">
        <v>88</v>
      </c>
      <c r="S20">
        <v>2</v>
      </c>
      <c r="T20" t="str">
        <f>D18</f>
        <v>NOP</v>
      </c>
    </row>
    <row r="21" spans="1:20" x14ac:dyDescent="0.25">
      <c r="A21" s="17"/>
      <c r="B21" s="3" t="s">
        <v>34</v>
      </c>
      <c r="C21" s="3" t="s">
        <v>87</v>
      </c>
      <c r="D21" s="5"/>
      <c r="E21" s="9" t="s">
        <v>87</v>
      </c>
      <c r="F21" s="3" t="s">
        <v>37</v>
      </c>
      <c r="G21" s="3" t="s">
        <v>37</v>
      </c>
      <c r="H21" s="3" t="s">
        <v>89</v>
      </c>
      <c r="I21" s="5" t="s">
        <v>89</v>
      </c>
      <c r="J21" s="3">
        <v>2</v>
      </c>
      <c r="K21" s="3" t="s">
        <v>91</v>
      </c>
      <c r="L21" s="3">
        <v>2</v>
      </c>
      <c r="M21" s="9" t="s">
        <v>91</v>
      </c>
      <c r="N21" s="9" t="s">
        <v>95</v>
      </c>
      <c r="O21" s="3" t="s">
        <v>95</v>
      </c>
      <c r="P21" s="9" t="s">
        <v>91</v>
      </c>
      <c r="Q21" s="9" t="s">
        <v>91</v>
      </c>
      <c r="S21">
        <v>3</v>
      </c>
      <c r="T21" t="str">
        <f>E18</f>
        <v>SAX</v>
      </c>
    </row>
    <row r="22" spans="1:20" x14ac:dyDescent="0.25">
      <c r="A22" s="16" t="s">
        <v>97</v>
      </c>
      <c r="B22" s="2" t="s">
        <v>98</v>
      </c>
      <c r="C22" s="2" t="s">
        <v>99</v>
      </c>
      <c r="D22" s="2" t="s">
        <v>100</v>
      </c>
      <c r="E22" s="4" t="s">
        <v>101</v>
      </c>
      <c r="F22" s="2" t="s">
        <v>98</v>
      </c>
      <c r="G22" s="2" t="s">
        <v>99</v>
      </c>
      <c r="H22" s="2" t="s">
        <v>100</v>
      </c>
      <c r="I22" s="4" t="s">
        <v>101</v>
      </c>
      <c r="J22" s="2" t="s">
        <v>102</v>
      </c>
      <c r="K22" s="2" t="s">
        <v>99</v>
      </c>
      <c r="L22" s="2" t="s">
        <v>103</v>
      </c>
      <c r="M22" s="6" t="s">
        <v>101</v>
      </c>
      <c r="N22" s="2" t="s">
        <v>98</v>
      </c>
      <c r="O22" s="2" t="s">
        <v>99</v>
      </c>
      <c r="P22" s="2" t="s">
        <v>100</v>
      </c>
      <c r="Q22" s="4" t="s">
        <v>101</v>
      </c>
      <c r="S22">
        <v>4</v>
      </c>
      <c r="T22" t="str">
        <f>F18</f>
        <v>STY</v>
      </c>
    </row>
    <row r="23" spans="1:20" x14ac:dyDescent="0.25">
      <c r="A23" s="17"/>
      <c r="B23" s="3" t="s">
        <v>28</v>
      </c>
      <c r="C23" s="3" t="s">
        <v>19</v>
      </c>
      <c r="D23" s="3" t="s">
        <v>28</v>
      </c>
      <c r="E23" s="5" t="s">
        <v>19</v>
      </c>
      <c r="F23" s="3" t="s">
        <v>24</v>
      </c>
      <c r="G23" s="3" t="s">
        <v>24</v>
      </c>
      <c r="H23" s="3" t="s">
        <v>24</v>
      </c>
      <c r="I23" s="5" t="s">
        <v>24</v>
      </c>
      <c r="J23" s="3">
        <v>2</v>
      </c>
      <c r="K23" s="3" t="s">
        <v>28</v>
      </c>
      <c r="L23" s="3">
        <v>2</v>
      </c>
      <c r="M23" s="7" t="s">
        <v>28</v>
      </c>
      <c r="N23" s="3" t="s">
        <v>30</v>
      </c>
      <c r="O23" s="3" t="s">
        <v>30</v>
      </c>
      <c r="P23" s="3" t="s">
        <v>30</v>
      </c>
      <c r="Q23" s="5" t="s">
        <v>30</v>
      </c>
      <c r="S23">
        <v>5</v>
      </c>
      <c r="T23" t="str">
        <f>G18</f>
        <v>STA</v>
      </c>
    </row>
    <row r="24" spans="1:20" x14ac:dyDescent="0.25">
      <c r="A24" s="16" t="s">
        <v>104</v>
      </c>
      <c r="B24" s="2" t="s">
        <v>105</v>
      </c>
      <c r="C24" s="2" t="s">
        <v>99</v>
      </c>
      <c r="D24" s="4" t="s">
        <v>20</v>
      </c>
      <c r="E24" s="4" t="s">
        <v>101</v>
      </c>
      <c r="F24" s="2" t="s">
        <v>98</v>
      </c>
      <c r="G24" s="2" t="s">
        <v>99</v>
      </c>
      <c r="H24" s="2" t="s">
        <v>100</v>
      </c>
      <c r="I24" s="4" t="s">
        <v>101</v>
      </c>
      <c r="J24" s="2" t="s">
        <v>106</v>
      </c>
      <c r="K24" s="2" t="s">
        <v>99</v>
      </c>
      <c r="L24" s="2" t="s">
        <v>107</v>
      </c>
      <c r="M24" s="4" t="s">
        <v>108</v>
      </c>
      <c r="N24" s="2" t="s">
        <v>98</v>
      </c>
      <c r="O24" s="2" t="s">
        <v>99</v>
      </c>
      <c r="P24" s="2" t="s">
        <v>100</v>
      </c>
      <c r="Q24" s="4" t="s">
        <v>101</v>
      </c>
      <c r="S24">
        <v>6</v>
      </c>
      <c r="T24" t="str">
        <f>H18</f>
        <v>STX</v>
      </c>
    </row>
    <row r="25" spans="1:20" x14ac:dyDescent="0.25">
      <c r="A25" s="17"/>
      <c r="B25" s="3" t="s">
        <v>34</v>
      </c>
      <c r="C25" s="3" t="s">
        <v>35</v>
      </c>
      <c r="D25" s="5"/>
      <c r="E25" s="5" t="s">
        <v>35</v>
      </c>
      <c r="F25" s="3" t="s">
        <v>37</v>
      </c>
      <c r="G25" s="3" t="s">
        <v>37</v>
      </c>
      <c r="H25" s="3" t="s">
        <v>89</v>
      </c>
      <c r="I25" s="5" t="s">
        <v>89</v>
      </c>
      <c r="J25" s="3">
        <v>2</v>
      </c>
      <c r="K25" s="3" t="s">
        <v>40</v>
      </c>
      <c r="L25" s="3">
        <v>2</v>
      </c>
      <c r="M25" s="5" t="s">
        <v>40</v>
      </c>
      <c r="N25" s="3" t="s">
        <v>42</v>
      </c>
      <c r="O25" s="3" t="s">
        <v>42</v>
      </c>
      <c r="P25" s="3" t="s">
        <v>40</v>
      </c>
      <c r="Q25" s="5" t="s">
        <v>40</v>
      </c>
      <c r="S25">
        <v>7</v>
      </c>
      <c r="T25" t="str">
        <f>I18</f>
        <v>SAX</v>
      </c>
    </row>
    <row r="26" spans="1:20" x14ac:dyDescent="0.25">
      <c r="A26" s="16" t="s">
        <v>109</v>
      </c>
      <c r="B26" s="2" t="s">
        <v>110</v>
      </c>
      <c r="C26" s="2" t="s">
        <v>111</v>
      </c>
      <c r="D26" s="4" t="s">
        <v>23</v>
      </c>
      <c r="E26" s="4" t="s">
        <v>112</v>
      </c>
      <c r="F26" s="2" t="s">
        <v>110</v>
      </c>
      <c r="G26" s="2" t="s">
        <v>111</v>
      </c>
      <c r="H26" s="2" t="s">
        <v>113</v>
      </c>
      <c r="I26" s="4" t="s">
        <v>112</v>
      </c>
      <c r="J26" s="2" t="s">
        <v>114</v>
      </c>
      <c r="K26" s="2" t="s">
        <v>111</v>
      </c>
      <c r="L26" s="2" t="s">
        <v>115</v>
      </c>
      <c r="M26" s="4" t="s">
        <v>116</v>
      </c>
      <c r="N26" s="2" t="s">
        <v>110</v>
      </c>
      <c r="O26" s="2" t="s">
        <v>111</v>
      </c>
      <c r="P26" s="2" t="s">
        <v>113</v>
      </c>
      <c r="Q26" s="4" t="s">
        <v>112</v>
      </c>
      <c r="S26">
        <v>8</v>
      </c>
      <c r="T26" t="str">
        <f>J18</f>
        <v>DEY</v>
      </c>
    </row>
    <row r="27" spans="1:20" x14ac:dyDescent="0.25">
      <c r="A27" s="17"/>
      <c r="B27" s="3" t="s">
        <v>28</v>
      </c>
      <c r="C27" s="3" t="s">
        <v>19</v>
      </c>
      <c r="D27" s="5" t="s">
        <v>28</v>
      </c>
      <c r="E27" s="5" t="s">
        <v>22</v>
      </c>
      <c r="F27" s="3" t="s">
        <v>24</v>
      </c>
      <c r="G27" s="3" t="s">
        <v>24</v>
      </c>
      <c r="H27" s="3" t="s">
        <v>26</v>
      </c>
      <c r="I27" s="5" t="s">
        <v>26</v>
      </c>
      <c r="J27" s="3">
        <v>2</v>
      </c>
      <c r="K27" s="3" t="s">
        <v>28</v>
      </c>
      <c r="L27" s="3">
        <v>2</v>
      </c>
      <c r="M27" s="5" t="s">
        <v>28</v>
      </c>
      <c r="N27" s="3" t="s">
        <v>30</v>
      </c>
      <c r="O27" s="3" t="s">
        <v>30</v>
      </c>
      <c r="P27" s="3" t="s">
        <v>31</v>
      </c>
      <c r="Q27" s="5" t="s">
        <v>31</v>
      </c>
      <c r="S27">
        <v>9</v>
      </c>
      <c r="T27" t="str">
        <f>K18</f>
        <v>NOP</v>
      </c>
    </row>
    <row r="28" spans="1:20" x14ac:dyDescent="0.25">
      <c r="A28" s="16" t="s">
        <v>117</v>
      </c>
      <c r="B28" s="2" t="s">
        <v>118</v>
      </c>
      <c r="C28" s="2" t="s">
        <v>111</v>
      </c>
      <c r="D28" s="4" t="s">
        <v>20</v>
      </c>
      <c r="E28" s="4" t="s">
        <v>112</v>
      </c>
      <c r="F28" s="4" t="s">
        <v>23</v>
      </c>
      <c r="G28" s="2" t="s">
        <v>111</v>
      </c>
      <c r="H28" s="2" t="s">
        <v>113</v>
      </c>
      <c r="I28" s="4" t="s">
        <v>112</v>
      </c>
      <c r="J28" s="2" t="s">
        <v>119</v>
      </c>
      <c r="K28" s="2" t="s">
        <v>111</v>
      </c>
      <c r="L28" s="4" t="s">
        <v>23</v>
      </c>
      <c r="M28" s="4" t="s">
        <v>112</v>
      </c>
      <c r="N28" s="4" t="s">
        <v>23</v>
      </c>
      <c r="O28" s="2" t="s">
        <v>111</v>
      </c>
      <c r="P28" s="2" t="s">
        <v>113</v>
      </c>
      <c r="Q28" s="4" t="s">
        <v>112</v>
      </c>
      <c r="S28">
        <v>10</v>
      </c>
      <c r="T28" t="str">
        <f>L18</f>
        <v>TXA</v>
      </c>
    </row>
    <row r="29" spans="1:20" x14ac:dyDescent="0.25">
      <c r="A29" s="17"/>
      <c r="B29" s="3" t="s">
        <v>34</v>
      </c>
      <c r="C29" s="3" t="s">
        <v>35</v>
      </c>
      <c r="D29" s="5"/>
      <c r="E29" s="5" t="s">
        <v>36</v>
      </c>
      <c r="F29" s="5" t="s">
        <v>37</v>
      </c>
      <c r="G29" s="3" t="s">
        <v>37</v>
      </c>
      <c r="H29" s="3" t="s">
        <v>38</v>
      </c>
      <c r="I29" s="5" t="s">
        <v>38</v>
      </c>
      <c r="J29" s="3">
        <v>2</v>
      </c>
      <c r="K29" s="3" t="s">
        <v>40</v>
      </c>
      <c r="L29" s="5">
        <v>2</v>
      </c>
      <c r="M29" s="5" t="s">
        <v>41</v>
      </c>
      <c r="N29" s="5" t="s">
        <v>42</v>
      </c>
      <c r="O29" s="3" t="s">
        <v>42</v>
      </c>
      <c r="P29" s="3" t="s">
        <v>43</v>
      </c>
      <c r="Q29" s="5" t="s">
        <v>43</v>
      </c>
      <c r="S29">
        <v>11</v>
      </c>
      <c r="T29" t="str">
        <f>M18</f>
        <v>XAA</v>
      </c>
    </row>
    <row r="30" spans="1:20" x14ac:dyDescent="0.25">
      <c r="A30" s="16" t="s">
        <v>120</v>
      </c>
      <c r="B30" s="2" t="s">
        <v>121</v>
      </c>
      <c r="C30" s="2" t="s">
        <v>122</v>
      </c>
      <c r="D30" s="4" t="s">
        <v>23</v>
      </c>
      <c r="E30" s="4" t="s">
        <v>123</v>
      </c>
      <c r="F30" s="2" t="s">
        <v>121</v>
      </c>
      <c r="G30" s="2" t="s">
        <v>122</v>
      </c>
      <c r="H30" s="2" t="s">
        <v>124</v>
      </c>
      <c r="I30" s="4" t="s">
        <v>123</v>
      </c>
      <c r="J30" s="2" t="s">
        <v>125</v>
      </c>
      <c r="K30" s="2" t="s">
        <v>122</v>
      </c>
      <c r="L30" s="2" t="s">
        <v>23</v>
      </c>
      <c r="M30" s="4" t="s">
        <v>122</v>
      </c>
      <c r="N30" s="2" t="s">
        <v>121</v>
      </c>
      <c r="O30" s="2" t="s">
        <v>122</v>
      </c>
      <c r="P30" s="2" t="s">
        <v>124</v>
      </c>
      <c r="Q30" s="4" t="s">
        <v>123</v>
      </c>
      <c r="S30">
        <v>12</v>
      </c>
      <c r="T30" t="str">
        <f>N18</f>
        <v>STY</v>
      </c>
    </row>
    <row r="31" spans="1:20" x14ac:dyDescent="0.25">
      <c r="A31" s="17"/>
      <c r="B31" s="3" t="s">
        <v>28</v>
      </c>
      <c r="C31" s="3" t="s">
        <v>19</v>
      </c>
      <c r="D31" s="5" t="s">
        <v>28</v>
      </c>
      <c r="E31" s="5" t="s">
        <v>22</v>
      </c>
      <c r="F31" s="3" t="s">
        <v>24</v>
      </c>
      <c r="G31" s="3" t="s">
        <v>24</v>
      </c>
      <c r="H31" s="3" t="s">
        <v>26</v>
      </c>
      <c r="I31" s="5" t="s">
        <v>26</v>
      </c>
      <c r="J31" s="3">
        <v>2</v>
      </c>
      <c r="K31" s="3" t="s">
        <v>28</v>
      </c>
      <c r="L31" s="3">
        <v>2</v>
      </c>
      <c r="M31" s="5" t="s">
        <v>28</v>
      </c>
      <c r="N31" s="3" t="s">
        <v>30</v>
      </c>
      <c r="O31" s="3" t="s">
        <v>30</v>
      </c>
      <c r="P31" s="3" t="s">
        <v>31</v>
      </c>
      <c r="Q31" s="5" t="s">
        <v>31</v>
      </c>
      <c r="S31">
        <v>13</v>
      </c>
      <c r="T31" t="str">
        <f>O18</f>
        <v>STA</v>
      </c>
    </row>
    <row r="32" spans="1:20" x14ac:dyDescent="0.25">
      <c r="A32" s="16" t="s">
        <v>126</v>
      </c>
      <c r="B32" s="2" t="s">
        <v>127</v>
      </c>
      <c r="C32" s="2" t="s">
        <v>122</v>
      </c>
      <c r="D32" s="4" t="s">
        <v>20</v>
      </c>
      <c r="E32" s="4" t="s">
        <v>123</v>
      </c>
      <c r="F32" s="4" t="s">
        <v>23</v>
      </c>
      <c r="G32" s="2" t="s">
        <v>122</v>
      </c>
      <c r="H32" s="2" t="s">
        <v>124</v>
      </c>
      <c r="I32" s="4" t="s">
        <v>123</v>
      </c>
      <c r="J32" s="2" t="s">
        <v>128</v>
      </c>
      <c r="K32" s="2" t="s">
        <v>122</v>
      </c>
      <c r="L32" s="4" t="s">
        <v>23</v>
      </c>
      <c r="M32" s="4" t="s">
        <v>123</v>
      </c>
      <c r="N32" s="4" t="s">
        <v>23</v>
      </c>
      <c r="O32" s="2" t="s">
        <v>122</v>
      </c>
      <c r="P32" s="2" t="s">
        <v>124</v>
      </c>
      <c r="Q32" s="4" t="s">
        <v>123</v>
      </c>
      <c r="S32">
        <v>14</v>
      </c>
      <c r="T32" t="str">
        <f>P18</f>
        <v>STX</v>
      </c>
    </row>
    <row r="33" spans="1:20" x14ac:dyDescent="0.25">
      <c r="A33" s="17"/>
      <c r="B33" s="3" t="s">
        <v>34</v>
      </c>
      <c r="C33" s="3" t="s">
        <v>35</v>
      </c>
      <c r="D33" s="5"/>
      <c r="E33" s="5" t="s">
        <v>36</v>
      </c>
      <c r="F33" s="5" t="s">
        <v>37</v>
      </c>
      <c r="G33" s="3" t="s">
        <v>37</v>
      </c>
      <c r="H33" s="3" t="s">
        <v>38</v>
      </c>
      <c r="I33" s="5" t="s">
        <v>38</v>
      </c>
      <c r="J33" s="3">
        <v>2</v>
      </c>
      <c r="K33" s="3" t="s">
        <v>40</v>
      </c>
      <c r="L33" s="5">
        <v>2</v>
      </c>
      <c r="M33" s="5" t="s">
        <v>41</v>
      </c>
      <c r="N33" s="5" t="s">
        <v>42</v>
      </c>
      <c r="O33" s="3" t="s">
        <v>42</v>
      </c>
      <c r="P33" s="3" t="s">
        <v>43</v>
      </c>
      <c r="Q33" s="5" t="s">
        <v>43</v>
      </c>
      <c r="S33">
        <v>15</v>
      </c>
      <c r="T33" t="str">
        <f>Q18</f>
        <v>SAX</v>
      </c>
    </row>
  </sheetData>
  <mergeCells count="16">
    <mergeCell ref="A2:A3"/>
    <mergeCell ref="A4:A5"/>
    <mergeCell ref="A6:A7"/>
    <mergeCell ref="A14:A15"/>
    <mergeCell ref="A16:A17"/>
    <mergeCell ref="A18:A19"/>
    <mergeCell ref="A20:A21"/>
    <mergeCell ref="A8:A9"/>
    <mergeCell ref="A10:A11"/>
    <mergeCell ref="A12:A13"/>
    <mergeCell ref="A30:A31"/>
    <mergeCell ref="A32:A33"/>
    <mergeCell ref="A22:A23"/>
    <mergeCell ref="A24:A25"/>
    <mergeCell ref="A26:A27"/>
    <mergeCell ref="A28:A2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57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03" sqref="N103"/>
    </sheetView>
  </sheetViews>
  <sheetFormatPr defaultRowHeight="15" x14ac:dyDescent="0.25"/>
  <cols>
    <col min="1" max="2" width="5.42578125" style="36" bestFit="1" customWidth="1"/>
    <col min="3" max="3" width="2.7109375" style="36" customWidth="1"/>
    <col min="4" max="5" width="5.28515625" style="36" customWidth="1"/>
    <col min="6" max="6" width="8.42578125" style="36" customWidth="1"/>
    <col min="7" max="7" width="8" style="36" customWidth="1"/>
    <col min="8" max="9" width="3.85546875" style="36" customWidth="1"/>
    <col min="10" max="10" width="10.28515625" style="36" customWidth="1"/>
    <col min="11" max="11" width="7.5703125" style="36" customWidth="1"/>
    <col min="12" max="12" width="10.140625" style="36" customWidth="1"/>
    <col min="13" max="18" width="44.28515625" style="37" customWidth="1"/>
    <col min="19" max="19" width="29.7109375" style="36" bestFit="1" customWidth="1"/>
    <col min="20" max="16384" width="9.140625" style="27"/>
  </cols>
  <sheetData>
    <row r="1" spans="1:19" s="21" customFormat="1" x14ac:dyDescent="0.25">
      <c r="A1" s="18" t="s">
        <v>204</v>
      </c>
      <c r="B1" s="18" t="s">
        <v>140</v>
      </c>
      <c r="C1" s="18" t="s">
        <v>205</v>
      </c>
      <c r="D1" s="18" t="s">
        <v>141</v>
      </c>
      <c r="E1" s="18" t="s">
        <v>243</v>
      </c>
      <c r="F1" s="18" t="s">
        <v>244</v>
      </c>
      <c r="G1" s="18" t="s">
        <v>178</v>
      </c>
      <c r="H1" s="18" t="s">
        <v>142</v>
      </c>
      <c r="I1" s="18" t="s">
        <v>143</v>
      </c>
      <c r="J1" s="18" t="s">
        <v>206</v>
      </c>
      <c r="K1" s="18" t="s">
        <v>203</v>
      </c>
      <c r="L1" s="18" t="s">
        <v>207</v>
      </c>
      <c r="M1" s="19" t="s">
        <v>209</v>
      </c>
      <c r="N1" s="19" t="s">
        <v>212</v>
      </c>
      <c r="O1" s="20" t="s">
        <v>213</v>
      </c>
      <c r="P1" s="19" t="s">
        <v>210</v>
      </c>
      <c r="Q1" s="19" t="s">
        <v>237</v>
      </c>
      <c r="R1" s="19" t="s">
        <v>211</v>
      </c>
      <c r="S1" s="18" t="s">
        <v>208</v>
      </c>
    </row>
    <row r="2" spans="1:19" ht="89.25" hidden="1" x14ac:dyDescent="0.25">
      <c r="A2" s="22">
        <v>0</v>
      </c>
      <c r="B2" s="22" t="s">
        <v>17</v>
      </c>
      <c r="C2" s="22">
        <v>0</v>
      </c>
      <c r="D2" s="22" t="s">
        <v>139</v>
      </c>
      <c r="E2" s="22" t="str">
        <f t="shared" ref="E2:E65" si="0">DEC2HEX(A2)</f>
        <v>0</v>
      </c>
      <c r="F2" s="22" t="str">
        <f>RIGHT("0"&amp;E2,2)</f>
        <v>00</v>
      </c>
      <c r="G2" s="23" t="str">
        <f>_xlfn.IFNA(VLOOKUP(D2,AccessModes!$D$2:$E$14,2,FALSE),"AM_IMP")</f>
        <v>AM_IMP</v>
      </c>
      <c r="H2" s="22">
        <v>7</v>
      </c>
      <c r="I2" s="22">
        <v>0</v>
      </c>
      <c r="J2" s="24"/>
      <c r="K2" s="24"/>
      <c r="L2" s="24"/>
      <c r="M2" s="22" t="str">
        <f>IF(LEN(J2)&gt;0,indent&amp;J2&amp;" = "&amp;VLOOKUP($G2,AccessModes!$E$2:$I$14,4,FALSE),"")</f>
        <v/>
      </c>
      <c r="N2" s="25" t="str">
        <f>indent&amp;"memory_stackPushAddress(cpu.PC+1);"&amp;newline&amp;indent&amp;"cpu_statusPush();"&amp;newline&amp;indent&amp;"cpu.PS_B = true;"&amp;newline&amp;indent&amp;"cpu.PC = MEM_IRQ_BREAK;"</f>
        <v xml:space="preserve">            memory_stackPushAddress(cpu.PC+1);
            cpu_statusPush();
            cpu.PS_B = true;
            cpu.PC = MEM_IRQ_BREAK;</v>
      </c>
      <c r="O2" s="26" t="str">
        <f t="shared" ref="O2:O65" si="1">IF(LEN(K2)&gt;0,indent&amp;"cpu.PS_N = (("&amp;K2&amp;" &amp; 0x80) != 0);"&amp;newline&amp;indent&amp;"cpu.PS_Z = ("&amp;K2&amp;" == 0);","")</f>
        <v/>
      </c>
      <c r="P2" s="22" t="str">
        <f>IF(LEN(L2)&gt;0,indent&amp;IF(L2="LAST",AccessModes!$I$16&amp;J2,VLOOKUP($G2,AccessModes!$E$2:$I$14,5,FALSE)&amp;L2)&amp;");","")</f>
        <v/>
      </c>
      <c r="Q2" s="22"/>
      <c r="R2" s="26" t="str">
        <f>IF(C2=0,indent0&amp;"case 0x"&amp;F2&amp;": /* "&amp;B2&amp;" "&amp;VLOOKUP(G2,AccessModes!$E$2:$G$14,3,FALSE)&amp;" */"&amp;newline&amp;indent&amp;"cpu.cycles = "&amp;H2&amp;";"&amp;newline&amp;IF(LEN(M2)&gt;0,M2&amp;CHAR(10),"")&amp;IF(LEN(N2)&gt;0,N2&amp;newline,"")&amp;IF(LEN(O2)&gt;0,O2&amp;newline,"")&amp;IF(LEN(P2)&gt;0,P2&amp;newline,"")&amp;IF(LEN(Q2)&gt;0,Q2&amp;newline,"")&amp;indent&amp;"break;",indent0&amp;"/* Illegal opcode 0x"&amp;F2&amp;": "&amp;B2&amp;" "&amp;VLOOKUP(G2,AccessModes!$E$2:$G$14,3,FALSE)&amp;" */"&amp;newline)</f>
        <v xml:space="preserve">        case 0x00: /* BRK  */
            cpu.cycles = 7;
            memory_stackPushAddress(cpu.PC+1);
            cpu_statusPush();
            cpu.PS_B = true;
            cpu.PC = MEM_IRQ_BREAK;
            break;</v>
      </c>
      <c r="S2" s="22" t="str">
        <f>"    {"&amp;CHAR(34)&amp;B2&amp;CHAR(34)&amp;", "&amp;IF(C2,"true ","false")&amp;", "&amp;G2&amp;", "&amp;H2&amp;", "&amp;I2&amp;"},"</f>
        <v xml:space="preserve">    {"BRK", false, AM_IMP, 7, 0},</v>
      </c>
    </row>
    <row r="3" spans="1:19" ht="89.25" hidden="1" x14ac:dyDescent="0.25">
      <c r="A3" s="22">
        <v>1</v>
      </c>
      <c r="B3" s="22" t="s">
        <v>18</v>
      </c>
      <c r="C3" s="22">
        <v>0</v>
      </c>
      <c r="D3" s="22" t="s">
        <v>129</v>
      </c>
      <c r="E3" s="22" t="str">
        <f t="shared" si="0"/>
        <v>1</v>
      </c>
      <c r="F3" s="22" t="str">
        <f t="shared" ref="F3:F66" si="2">RIGHT("0"&amp;E3,2)</f>
        <v>01</v>
      </c>
      <c r="G3" s="23" t="str">
        <f>_xlfn.IFNA(VLOOKUP(D3,AccessModes!$D$2:$E$14,2,FALSE),"AM_IMP")</f>
        <v>AM_IIX</v>
      </c>
      <c r="H3" s="22">
        <v>6</v>
      </c>
      <c r="I3" s="22">
        <v>0</v>
      </c>
      <c r="J3" s="24" t="s">
        <v>224</v>
      </c>
      <c r="K3" s="24" t="s">
        <v>215</v>
      </c>
      <c r="L3" s="24" t="str">
        <f>""</f>
        <v/>
      </c>
      <c r="M3" s="22" t="str">
        <f>IF(LEN(J3)&gt;0,indent&amp;J3&amp;" = "&amp;VLOOKUP($G3,AccessModes!$E$2:$I$14,4,FALSE),"")</f>
        <v xml:space="preserve">            value = memory_getIndexedIndirectX();</v>
      </c>
      <c r="N3" s="25" t="str">
        <f>indent&amp;K3&amp;" |= value;"</f>
        <v xml:space="preserve">            cpu.A |= value;</v>
      </c>
      <c r="O3" s="26" t="str">
        <f t="shared" si="1"/>
        <v xml:space="preserve">            cpu.PS_N = ((cpu.A &amp; 0x80) != 0);
            cpu.PS_Z = (cpu.A == 0);</v>
      </c>
      <c r="P3" s="22" t="str">
        <f>IF(LEN(L3)&gt;0,indent&amp;IF(L3="LAST",AccessModes!$I$16&amp;J3,VLOOKUP($G3,AccessModes!$E$2:$I$14,5,FALSE)&amp;L3)&amp;");","")</f>
        <v/>
      </c>
      <c r="Q3" s="22"/>
      <c r="R3" s="26" t="str">
        <f>IF(C3=0,indent0&amp;"case 0x"&amp;F3&amp;": /* "&amp;B3&amp;" "&amp;VLOOKUP(G3,AccessModes!$E$2:$G$14,3,FALSE)&amp;" */"&amp;newline&amp;indent&amp;"cpu.cycles = "&amp;H3&amp;";"&amp;newline&amp;IF(LEN(M3)&gt;0,M3&amp;CHAR(10),"")&amp;IF(LEN(N3)&gt;0,N3&amp;newline,"")&amp;IF(LEN(O3)&gt;0,O3&amp;newline,"")&amp;IF(LEN(P3)&gt;0,P3&amp;newline,"")&amp;IF(LEN(Q3)&gt;0,Q3&amp;newline,"")&amp;indent&amp;"break;",indent0&amp;"/* Illegal opcode 0x"&amp;F3&amp;": "&amp;B3&amp;" "&amp;VLOOKUP(G3,AccessModes!$E$2:$G$14,3,FALSE)&amp;" */"&amp;newline)</f>
        <v xml:space="preserve">        case 0x01: /* ORA (aa,X) */
            cpu.cycles = 6;
            value = memory_getIndexedIndirectX();
            cpu.A |= value;
            cpu.PS_N = ((cpu.A &amp; 0x80) != 0);
            cpu.PS_Z = (cpu.A == 0);
            break;</v>
      </c>
      <c r="S3" s="22" t="str">
        <f t="shared" ref="S3:S66" si="3">"    {"&amp;CHAR(34)&amp;B3&amp;CHAR(34)&amp;", "&amp;IF(C3,"true ","false")&amp;", "&amp;G3&amp;", "&amp;H3&amp;", "&amp;I3&amp;"},"</f>
        <v xml:space="preserve">    {"ORA", false, AM_IIX, 6, 0},</v>
      </c>
    </row>
    <row r="4" spans="1:19" ht="25.5" hidden="1" x14ac:dyDescent="0.25">
      <c r="A4" s="28">
        <v>2</v>
      </c>
      <c r="B4" s="28" t="s">
        <v>20</v>
      </c>
      <c r="C4" s="28">
        <v>-1</v>
      </c>
      <c r="D4" s="28"/>
      <c r="E4" s="28" t="str">
        <f t="shared" si="0"/>
        <v>2</v>
      </c>
      <c r="F4" s="28" t="str">
        <f t="shared" si="2"/>
        <v>02</v>
      </c>
      <c r="G4" s="28" t="str">
        <f>_xlfn.IFNA(VLOOKUP(D4,AccessModes!$D$2:$E$14,2,FALSE),"AM_IMP")</f>
        <v>AM_IMP</v>
      </c>
      <c r="H4" s="28">
        <v>0</v>
      </c>
      <c r="I4" s="28">
        <v>0</v>
      </c>
      <c r="J4" s="28"/>
      <c r="K4" s="28"/>
      <c r="L4" s="28"/>
      <c r="M4" s="28" t="str">
        <f>IF(LEN(J4)&gt;0,indent&amp;J4&amp;" = "&amp;VLOOKUP($G4,AccessModes!$E$2:$I$14,4,FALSE),"")</f>
        <v/>
      </c>
      <c r="N4" s="29" t="str">
        <f>indent&amp;"/* TODO: implementation of the action */"</f>
        <v xml:space="preserve">            /* TODO: implementation of the action */</v>
      </c>
      <c r="O4" s="29" t="str">
        <f t="shared" si="1"/>
        <v/>
      </c>
      <c r="P4" s="28" t="str">
        <f>IF(LEN(L4)&gt;0,indent&amp;IF(L4="LAST",AccessModes!$I$16&amp;J4,VLOOKUP($G4,AccessModes!$E$2:$I$14,5,FALSE)&amp;L4)&amp;");","")</f>
        <v/>
      </c>
      <c r="Q4" s="28"/>
      <c r="R4" s="29" t="str">
        <f>IF(C4=0,indent0&amp;"case 0x"&amp;F4&amp;": /* "&amp;B4&amp;" "&amp;VLOOKUP(G4,AccessModes!$E$2:$G$14,3,FALSE)&amp;" */"&amp;newline&amp;indent&amp;"cpu.cycles = "&amp;H4&amp;";"&amp;newline&amp;IF(LEN(M4)&gt;0,M4&amp;CHAR(10),"")&amp;IF(LEN(N4)&gt;0,N4&amp;newline,"")&amp;IF(LEN(O4)&gt;0,O4&amp;newline,"")&amp;IF(LEN(P4)&gt;0,P4&amp;newline,"")&amp;IF(LEN(Q4)&gt;0,Q4&amp;newline,"")&amp;indent&amp;"break;",indent0&amp;"/* Illegal opcode 0x"&amp;F4&amp;": "&amp;B4&amp;" "&amp;VLOOKUP(G4,AccessModes!$E$2:$G$14,3,FALSE)&amp;" */"&amp;newline)</f>
        <v xml:space="preserve">        /* Illegal opcode 0x02: KIL  */
</v>
      </c>
      <c r="S4" s="28" t="str">
        <f t="shared" si="3"/>
        <v xml:space="preserve">    {"KIL", true , AM_IMP, 0, 0},</v>
      </c>
    </row>
    <row r="5" spans="1:19" ht="25.5" hidden="1" x14ac:dyDescent="0.25">
      <c r="A5" s="28">
        <v>3</v>
      </c>
      <c r="B5" s="28" t="s">
        <v>21</v>
      </c>
      <c r="C5" s="28">
        <v>-1</v>
      </c>
      <c r="D5" s="28" t="s">
        <v>129</v>
      </c>
      <c r="E5" s="28" t="str">
        <f t="shared" si="0"/>
        <v>3</v>
      </c>
      <c r="F5" s="28" t="str">
        <f t="shared" si="2"/>
        <v>03</v>
      </c>
      <c r="G5" s="28" t="str">
        <f>_xlfn.IFNA(VLOOKUP(D5,AccessModes!$D$2:$E$14,2,FALSE),"AM_IMP")</f>
        <v>AM_IIX</v>
      </c>
      <c r="H5" s="28">
        <v>8</v>
      </c>
      <c r="I5" s="28">
        <v>0</v>
      </c>
      <c r="J5" s="28"/>
      <c r="K5" s="28"/>
      <c r="L5" s="28"/>
      <c r="M5" s="28" t="str">
        <f>IF(LEN(J5)&gt;0,indent&amp;J5&amp;" = "&amp;VLOOKUP($G5,AccessModes!$E$2:$I$14,4,FALSE),"")</f>
        <v/>
      </c>
      <c r="N5" s="29" t="str">
        <f>indent&amp;"/* TODO: implementation of the action */"</f>
        <v xml:space="preserve">            /* TODO: implementation of the action */</v>
      </c>
      <c r="O5" s="29" t="str">
        <f t="shared" si="1"/>
        <v/>
      </c>
      <c r="P5" s="28" t="str">
        <f>IF(LEN(L5)&gt;0,indent&amp;IF(L5="LAST",AccessModes!$I$16&amp;J5,VLOOKUP($G5,AccessModes!$E$2:$I$14,5,FALSE)&amp;L5)&amp;");","")</f>
        <v/>
      </c>
      <c r="Q5" s="28"/>
      <c r="R5" s="29" t="str">
        <f>IF(C5=0,indent0&amp;"case 0x"&amp;F5&amp;": /* "&amp;B5&amp;" "&amp;VLOOKUP(G5,AccessModes!$E$2:$G$14,3,FALSE)&amp;" */"&amp;newline&amp;indent&amp;"cpu.cycles = "&amp;H5&amp;";"&amp;newline&amp;IF(LEN(M5)&gt;0,M5&amp;CHAR(10),"")&amp;IF(LEN(N5)&gt;0,N5&amp;newline,"")&amp;IF(LEN(O5)&gt;0,O5&amp;newline,"")&amp;IF(LEN(P5)&gt;0,P5&amp;newline,"")&amp;IF(LEN(Q5)&gt;0,Q5&amp;newline,"")&amp;indent&amp;"break;",indent0&amp;"/* Illegal opcode 0x"&amp;F5&amp;": "&amp;B5&amp;" "&amp;VLOOKUP(G5,AccessModes!$E$2:$G$14,3,FALSE)&amp;" */"&amp;newline)</f>
        <v xml:space="preserve">        /* Illegal opcode 0x03: SLO (aa,X) */
</v>
      </c>
      <c r="S5" s="28" t="str">
        <f t="shared" si="3"/>
        <v xml:space="preserve">    {"SLO", true , AM_IIX, 8, 0},</v>
      </c>
    </row>
    <row r="6" spans="1:19" ht="25.5" hidden="1" x14ac:dyDescent="0.25">
      <c r="A6" s="28">
        <v>4</v>
      </c>
      <c r="B6" s="28" t="s">
        <v>23</v>
      </c>
      <c r="C6" s="28">
        <v>-1</v>
      </c>
      <c r="D6" s="28" t="s">
        <v>144</v>
      </c>
      <c r="E6" s="28" t="str">
        <f t="shared" si="0"/>
        <v>4</v>
      </c>
      <c r="F6" s="28" t="str">
        <f t="shared" si="2"/>
        <v>04</v>
      </c>
      <c r="G6" s="28" t="str">
        <f>_xlfn.IFNA(VLOOKUP(D6,AccessModes!$D$2:$E$14,2,FALSE),"AM_IMP")</f>
        <v>AM_ZPG</v>
      </c>
      <c r="H6" s="28">
        <v>3</v>
      </c>
      <c r="I6" s="28">
        <v>0</v>
      </c>
      <c r="J6" s="28"/>
      <c r="K6" s="28"/>
      <c r="L6" s="28"/>
      <c r="M6" s="28" t="str">
        <f>IF(LEN(J6)&gt;0,indent&amp;J6&amp;" = "&amp;VLOOKUP($G6,AccessModes!$E$2:$I$14,4,FALSE),"")</f>
        <v/>
      </c>
      <c r="N6" s="29" t="str">
        <f>indent&amp;"/* TODO: implementation of the action */"</f>
        <v xml:space="preserve">            /* TODO: implementation of the action */</v>
      </c>
      <c r="O6" s="29" t="str">
        <f t="shared" si="1"/>
        <v/>
      </c>
      <c r="P6" s="28" t="str">
        <f>IF(LEN(L6)&gt;0,indent&amp;IF(L6="LAST",AccessModes!$I$16&amp;J6,VLOOKUP($G6,AccessModes!$E$2:$I$14,5,FALSE)&amp;L6)&amp;");","")</f>
        <v/>
      </c>
      <c r="Q6" s="28"/>
      <c r="R6" s="29" t="str">
        <f>IF(C6=0,indent0&amp;"case 0x"&amp;F6&amp;": /* "&amp;B6&amp;" "&amp;VLOOKUP(G6,AccessModes!$E$2:$G$14,3,FALSE)&amp;" */"&amp;newline&amp;indent&amp;"cpu.cycles = "&amp;H6&amp;";"&amp;newline&amp;IF(LEN(M6)&gt;0,M6&amp;CHAR(10),"")&amp;IF(LEN(N6)&gt;0,N6&amp;newline,"")&amp;IF(LEN(O6)&gt;0,O6&amp;newline,"")&amp;IF(LEN(P6)&gt;0,P6&amp;newline,"")&amp;IF(LEN(Q6)&gt;0,Q6&amp;newline,"")&amp;indent&amp;"break;",indent0&amp;"/* Illegal opcode 0x"&amp;F6&amp;": "&amp;B6&amp;" "&amp;VLOOKUP(G6,AccessModes!$E$2:$G$14,3,FALSE)&amp;" */"&amp;newline)</f>
        <v xml:space="preserve">        /* Illegal opcode 0x04: NOP aa */
</v>
      </c>
      <c r="S6" s="28" t="str">
        <f t="shared" si="3"/>
        <v xml:space="preserve">    {"NOP", true , AM_ZPG, 3, 0},</v>
      </c>
    </row>
    <row r="7" spans="1:19" ht="89.25" hidden="1" x14ac:dyDescent="0.25">
      <c r="A7" s="22">
        <v>5</v>
      </c>
      <c r="B7" s="22" t="s">
        <v>18</v>
      </c>
      <c r="C7" s="22">
        <v>0</v>
      </c>
      <c r="D7" s="22" t="s">
        <v>144</v>
      </c>
      <c r="E7" s="22" t="str">
        <f t="shared" si="0"/>
        <v>5</v>
      </c>
      <c r="F7" s="22" t="str">
        <f t="shared" si="2"/>
        <v>05</v>
      </c>
      <c r="G7" s="22" t="str">
        <f>_xlfn.IFNA(VLOOKUP(D7,AccessModes!$D$2:$E$14,2,FALSE),"AM_IMP")</f>
        <v>AM_ZPG</v>
      </c>
      <c r="H7" s="22">
        <v>3</v>
      </c>
      <c r="I7" s="22">
        <v>0</v>
      </c>
      <c r="J7" s="22" t="str">
        <f>$J$3</f>
        <v>value</v>
      </c>
      <c r="K7" s="22" t="str">
        <f>$K$3</f>
        <v>cpu.A</v>
      </c>
      <c r="L7" s="22" t="str">
        <f>$L$3</f>
        <v/>
      </c>
      <c r="M7" s="22" t="str">
        <f>IF(LEN(J7)&gt;0,indent&amp;J7&amp;" = "&amp;VLOOKUP($G7,AccessModes!$E$2:$I$14,4,FALSE),"")</f>
        <v xml:space="preserve">            value = memory_getZeroPage();</v>
      </c>
      <c r="N7" s="26" t="str">
        <f>$N$3</f>
        <v xml:space="preserve">            cpu.A |= value;</v>
      </c>
      <c r="O7" s="26" t="str">
        <f t="shared" si="1"/>
        <v xml:space="preserve">            cpu.PS_N = ((cpu.A &amp; 0x80) != 0);
            cpu.PS_Z = (cpu.A == 0);</v>
      </c>
      <c r="P7" s="22" t="str">
        <f>IF(LEN(L7)&gt;0,indent&amp;IF(L7="LAST",AccessModes!$I$16&amp;J7,VLOOKUP($G7,AccessModes!$E$2:$I$14,5,FALSE)&amp;L7)&amp;");","")</f>
        <v/>
      </c>
      <c r="Q7" s="22"/>
      <c r="R7" s="26" t="str">
        <f>IF(C7=0,indent0&amp;"case 0x"&amp;F7&amp;": /* "&amp;B7&amp;" "&amp;VLOOKUP(G7,AccessModes!$E$2:$G$14,3,FALSE)&amp;" */"&amp;newline&amp;indent&amp;"cpu.cycles = "&amp;H7&amp;";"&amp;newline&amp;IF(LEN(M7)&gt;0,M7&amp;CHAR(10),"")&amp;IF(LEN(N7)&gt;0,N7&amp;newline,"")&amp;IF(LEN(O7)&gt;0,O7&amp;newline,"")&amp;IF(LEN(P7)&gt;0,P7&amp;newline,"")&amp;IF(LEN(Q7)&gt;0,Q7&amp;newline,"")&amp;indent&amp;"break;",indent0&amp;"/* Illegal opcode 0x"&amp;F7&amp;": "&amp;B7&amp;" "&amp;VLOOKUP(G7,AccessModes!$E$2:$G$14,3,FALSE)&amp;" */"&amp;newline)</f>
        <v xml:space="preserve">        case 0x05: /* ORA aa */
            cpu.cycles = 3;
            value = memory_getZeroPage();
            cpu.A |= value;
            cpu.PS_N = ((cpu.A &amp; 0x80) != 0);
            cpu.PS_Z = (cpu.A == 0);
            break;</v>
      </c>
      <c r="S7" s="22" t="str">
        <f t="shared" si="3"/>
        <v xml:space="preserve">    {"ORA", false, AM_ZPG, 3, 0},</v>
      </c>
    </row>
    <row r="8" spans="1:19" ht="114.75" hidden="1" x14ac:dyDescent="0.25">
      <c r="A8" s="22">
        <v>6</v>
      </c>
      <c r="B8" s="22" t="s">
        <v>25</v>
      </c>
      <c r="C8" s="22">
        <v>0</v>
      </c>
      <c r="D8" s="22" t="s">
        <v>144</v>
      </c>
      <c r="E8" s="22" t="str">
        <f t="shared" si="0"/>
        <v>6</v>
      </c>
      <c r="F8" s="22" t="str">
        <f t="shared" si="2"/>
        <v>06</v>
      </c>
      <c r="G8" s="22" t="str">
        <f>_xlfn.IFNA(VLOOKUP(D8,AccessModes!$D$2:$E$14,2,FALSE),"AM_IMP")</f>
        <v>AM_ZPG</v>
      </c>
      <c r="H8" s="22">
        <v>5</v>
      </c>
      <c r="I8" s="22">
        <v>0</v>
      </c>
      <c r="J8" s="24" t="str">
        <f>K8</f>
        <v>value</v>
      </c>
      <c r="K8" s="24" t="s">
        <v>224</v>
      </c>
      <c r="L8" s="24" t="s">
        <v>227</v>
      </c>
      <c r="M8" s="22" t="str">
        <f>IF(LEN(J8)&gt;0,indent&amp;J8&amp;" = "&amp;VLOOKUP($G8,AccessModes!$E$2:$I$14,4,FALSE),"")</f>
        <v xml:space="preserve">            value = memory_getZeroPage();</v>
      </c>
      <c r="N8" s="25" t="str">
        <f>indent&amp;"cpu.PS_C = (("&amp; K8 &amp; " &amp; 0x80) != 0);"&amp; newline &amp; indent &amp; K8 &amp;" &lt;&lt;= 1;"</f>
        <v xml:space="preserve">            cpu.PS_C = ((value &amp; 0x80) != 0);
            value &lt;&lt;= 1;</v>
      </c>
      <c r="O8" s="26" t="str">
        <f t="shared" si="1"/>
        <v xml:space="preserve">            cpu.PS_N = ((value &amp; 0x80) != 0);
            cpu.PS_Z = (value == 0);</v>
      </c>
      <c r="P8" s="22" t="str">
        <f>IF(LEN(L8)&gt;0,indent&amp;IF(L8="LAST",AccessModes!$I$16&amp;J8,VLOOKUP($G8,AccessModes!$E$2:$I$14,5,FALSE)&amp;L8)&amp;");","")</f>
        <v xml:space="preserve">            memory_setLast(value);</v>
      </c>
      <c r="Q8" s="22"/>
      <c r="R8" s="26" t="str">
        <f>IF(C8=0,indent0&amp;"case 0x"&amp;F8&amp;": /* "&amp;B8&amp;" "&amp;VLOOKUP(G8,AccessModes!$E$2:$G$14,3,FALSE)&amp;" */"&amp;newline&amp;indent&amp;"cpu.cycles = "&amp;H8&amp;";"&amp;newline&amp;IF(LEN(M8)&gt;0,M8&amp;CHAR(10),"")&amp;IF(LEN(N8)&gt;0,N8&amp;newline,"")&amp;IF(LEN(O8)&gt;0,O8&amp;newline,"")&amp;IF(LEN(P8)&gt;0,P8&amp;newline,"")&amp;IF(LEN(Q8)&gt;0,Q8&amp;newline,"")&amp;indent&amp;"break;",indent0&amp;"/* Illegal opcode 0x"&amp;F8&amp;": "&amp;B8&amp;" "&amp;VLOOKUP(G8,AccessModes!$E$2:$G$14,3,FALSE)&amp;" */"&amp;newline)</f>
        <v xml:space="preserve">        case 0x06: /* ASL aa */
            cpu.cycles = 5;
            value = memory_getZeroPage();
            cpu.PS_C = ((value &amp; 0x80) != 0);
            value &lt;&lt;= 1;
            cpu.PS_N = ((value &amp; 0x80) != 0);
            cpu.PS_Z = (value == 0);
            memory_setLast(value);
            break;</v>
      </c>
      <c r="S8" s="22" t="str">
        <f t="shared" si="3"/>
        <v xml:space="preserve">    {"ASL", false, AM_ZPG, 5, 0},</v>
      </c>
    </row>
    <row r="9" spans="1:19" ht="25.5" hidden="1" x14ac:dyDescent="0.25">
      <c r="A9" s="28">
        <v>7</v>
      </c>
      <c r="B9" s="28" t="s">
        <v>21</v>
      </c>
      <c r="C9" s="28">
        <v>-1</v>
      </c>
      <c r="D9" s="28" t="s">
        <v>144</v>
      </c>
      <c r="E9" s="28" t="str">
        <f t="shared" si="0"/>
        <v>7</v>
      </c>
      <c r="F9" s="28" t="str">
        <f t="shared" si="2"/>
        <v>07</v>
      </c>
      <c r="G9" s="28" t="str">
        <f>_xlfn.IFNA(VLOOKUP(D9,AccessModes!$D$2:$E$14,2,FALSE),"AM_IMP")</f>
        <v>AM_ZPG</v>
      </c>
      <c r="H9" s="28">
        <v>5</v>
      </c>
      <c r="I9" s="28">
        <v>0</v>
      </c>
      <c r="J9" s="28"/>
      <c r="K9" s="28"/>
      <c r="L9" s="28"/>
      <c r="M9" s="28" t="str">
        <f>IF(LEN(J9)&gt;0,indent&amp;J9&amp;" = "&amp;VLOOKUP($G9,AccessModes!$E$2:$I$14,4,FALSE),"")</f>
        <v/>
      </c>
      <c r="N9" s="29" t="str">
        <f>indent&amp;"/* TODO: implementation of the action */"</f>
        <v xml:space="preserve">            /* TODO: implementation of the action */</v>
      </c>
      <c r="O9" s="29" t="str">
        <f t="shared" si="1"/>
        <v/>
      </c>
      <c r="P9" s="28" t="str">
        <f>IF(LEN(L9)&gt;0,indent&amp;IF(L9="LAST",AccessModes!$I$16&amp;J9,VLOOKUP($G9,AccessModes!$E$2:$I$14,5,FALSE)&amp;L9)&amp;");","")</f>
        <v/>
      </c>
      <c r="Q9" s="28"/>
      <c r="R9" s="29" t="str">
        <f>IF(C9=0,indent0&amp;"case 0x"&amp;F9&amp;": /* "&amp;B9&amp;" "&amp;VLOOKUP(G9,AccessModes!$E$2:$G$14,3,FALSE)&amp;" */"&amp;newline&amp;indent&amp;"cpu.cycles = "&amp;H9&amp;";"&amp;newline&amp;IF(LEN(M9)&gt;0,M9&amp;CHAR(10),"")&amp;IF(LEN(N9)&gt;0,N9&amp;newline,"")&amp;IF(LEN(O9)&gt;0,O9&amp;newline,"")&amp;IF(LEN(P9)&gt;0,P9&amp;newline,"")&amp;IF(LEN(Q9)&gt;0,Q9&amp;newline,"")&amp;indent&amp;"break;",indent0&amp;"/* Illegal opcode 0x"&amp;F9&amp;": "&amp;B9&amp;" "&amp;VLOOKUP(G9,AccessModes!$E$2:$G$14,3,FALSE)&amp;" */"&amp;newline)</f>
        <v xml:space="preserve">        /* Illegal opcode 0x07: SLO aa */
</v>
      </c>
      <c r="S9" s="28" t="str">
        <f t="shared" si="3"/>
        <v xml:space="preserve">    {"SLO", true , AM_ZPG, 5, 0},</v>
      </c>
    </row>
    <row r="10" spans="1:19" ht="51" hidden="1" x14ac:dyDescent="0.25">
      <c r="A10" s="22">
        <v>8</v>
      </c>
      <c r="B10" s="22" t="s">
        <v>27</v>
      </c>
      <c r="C10" s="22">
        <v>0</v>
      </c>
      <c r="D10" s="22" t="s">
        <v>139</v>
      </c>
      <c r="E10" s="22" t="str">
        <f t="shared" si="0"/>
        <v>8</v>
      </c>
      <c r="F10" s="22" t="str">
        <f t="shared" si="2"/>
        <v>08</v>
      </c>
      <c r="G10" s="23" t="str">
        <f>_xlfn.IFNA(VLOOKUP(D10,AccessModes!$D$2:$E$14,2,FALSE),"AM_IMP")</f>
        <v>AM_IMP</v>
      </c>
      <c r="H10" s="22">
        <v>3</v>
      </c>
      <c r="I10" s="22">
        <v>0</v>
      </c>
      <c r="J10" s="24"/>
      <c r="K10" s="24"/>
      <c r="L10" s="24"/>
      <c r="M10" s="22" t="str">
        <f>IF(LEN(J10)&gt;0,indent&amp;J10&amp;" = "&amp;VLOOKUP($G10,AccessModes!$E$2:$I$14,4,FALSE),"")</f>
        <v/>
      </c>
      <c r="N10" s="25" t="str">
        <f>indent&amp;"cpu_statusPush();"</f>
        <v xml:space="preserve">            cpu_statusPush();</v>
      </c>
      <c r="O10" s="26" t="str">
        <f t="shared" si="1"/>
        <v/>
      </c>
      <c r="P10" s="22" t="str">
        <f>IF(LEN(L10)&gt;0,indent&amp;IF(L10="LAST",AccessModes!$I$16&amp;J10,VLOOKUP($G10,AccessModes!$E$2:$I$14,5,FALSE)&amp;L10)&amp;");","")</f>
        <v/>
      </c>
      <c r="Q10" s="22"/>
      <c r="R10" s="26" t="str">
        <f>IF(C10=0,indent0&amp;"case 0x"&amp;F10&amp;": /* "&amp;B10&amp;" "&amp;VLOOKUP(G10,AccessModes!$E$2:$G$14,3,FALSE)&amp;" */"&amp;newline&amp;indent&amp;"cpu.cycles = "&amp;H10&amp;";"&amp;newline&amp;IF(LEN(M10)&gt;0,M10&amp;CHAR(10),"")&amp;IF(LEN(N10)&gt;0,N10&amp;newline,"")&amp;IF(LEN(O10)&gt;0,O10&amp;newline,"")&amp;IF(LEN(P10)&gt;0,P10&amp;newline,"")&amp;IF(LEN(Q10)&gt;0,Q10&amp;newline,"")&amp;indent&amp;"break;",indent0&amp;"/* Illegal opcode 0x"&amp;F10&amp;": "&amp;B10&amp;" "&amp;VLOOKUP(G10,AccessModes!$E$2:$G$14,3,FALSE)&amp;" */"&amp;newline)</f>
        <v xml:space="preserve">        case 0x08: /* PHP  */
            cpu.cycles = 3;
            cpu_statusPush();
            break;</v>
      </c>
      <c r="S10" s="22" t="str">
        <f t="shared" si="3"/>
        <v xml:space="preserve">    {"PHP", false, AM_IMP, 3, 0},</v>
      </c>
    </row>
    <row r="11" spans="1:19" ht="89.25" hidden="1" x14ac:dyDescent="0.25">
      <c r="A11" s="22">
        <v>9</v>
      </c>
      <c r="B11" s="22" t="s">
        <v>18</v>
      </c>
      <c r="C11" s="22">
        <v>0</v>
      </c>
      <c r="D11" s="22" t="s">
        <v>130</v>
      </c>
      <c r="E11" s="22" t="str">
        <f t="shared" si="0"/>
        <v>9</v>
      </c>
      <c r="F11" s="22" t="str">
        <f t="shared" si="2"/>
        <v>09</v>
      </c>
      <c r="G11" s="22" t="str">
        <f>_xlfn.IFNA(VLOOKUP(D11,AccessModes!$D$2:$E$14,2,FALSE),"AM_IMP")</f>
        <v>AM_IMM</v>
      </c>
      <c r="H11" s="22">
        <v>2</v>
      </c>
      <c r="I11" s="22">
        <v>0</v>
      </c>
      <c r="J11" s="22" t="str">
        <f>$J$3</f>
        <v>value</v>
      </c>
      <c r="K11" s="22" t="str">
        <f>$K$3</f>
        <v>cpu.A</v>
      </c>
      <c r="L11" s="22" t="str">
        <f>$L$3</f>
        <v/>
      </c>
      <c r="M11" s="22" t="str">
        <f>IF(LEN(J11)&gt;0,indent&amp;J11&amp;" = "&amp;VLOOKUP($G11,AccessModes!$E$2:$I$14,4,FALSE),"")</f>
        <v xml:space="preserve">            value = memory_getImmediate();</v>
      </c>
      <c r="N11" s="26" t="str">
        <f>$N$3</f>
        <v xml:space="preserve">            cpu.A |= value;</v>
      </c>
      <c r="O11" s="26" t="str">
        <f t="shared" si="1"/>
        <v xml:space="preserve">            cpu.PS_N = ((cpu.A &amp; 0x80) != 0);
            cpu.PS_Z = (cpu.A == 0);</v>
      </c>
      <c r="P11" s="22" t="str">
        <f>IF(LEN(L11)&gt;0,indent&amp;IF(L11="LAST",AccessModes!$I$16&amp;J11,VLOOKUP($G11,AccessModes!$E$2:$I$14,5,FALSE)&amp;L11)&amp;");","")</f>
        <v/>
      </c>
      <c r="Q11" s="22"/>
      <c r="R11" s="26" t="str">
        <f>IF(C11=0,indent0&amp;"case 0x"&amp;F11&amp;": /* "&amp;B11&amp;" "&amp;VLOOKUP(G11,AccessModes!$E$2:$G$14,3,FALSE)&amp;" */"&amp;newline&amp;indent&amp;"cpu.cycles = "&amp;H11&amp;";"&amp;newline&amp;IF(LEN(M11)&gt;0,M11&amp;CHAR(10),"")&amp;IF(LEN(N11)&gt;0,N11&amp;newline,"")&amp;IF(LEN(O11)&gt;0,O11&amp;newline,"")&amp;IF(LEN(P11)&gt;0,P11&amp;newline,"")&amp;IF(LEN(Q11)&gt;0,Q11&amp;newline,"")&amp;indent&amp;"break;",indent0&amp;"/* Illegal opcode 0x"&amp;F11&amp;": "&amp;B11&amp;" "&amp;VLOOKUP(G11,AccessModes!$E$2:$G$14,3,FALSE)&amp;" */"&amp;newline)</f>
        <v xml:space="preserve">        case 0x09: /* ORA #aa */
            cpu.cycles = 2;
            value = memory_getImmediate();
            cpu.A |= value;
            cpu.PS_N = ((cpu.A &amp; 0x80) != 0);
            cpu.PS_Z = (cpu.A == 0);
            break;</v>
      </c>
      <c r="S11" s="22" t="str">
        <f t="shared" si="3"/>
        <v xml:space="preserve">    {"ORA", false, AM_IMM, 2, 0},</v>
      </c>
    </row>
    <row r="12" spans="1:19" ht="89.25" hidden="1" x14ac:dyDescent="0.25">
      <c r="A12" s="22">
        <v>10</v>
      </c>
      <c r="B12" s="22" t="s">
        <v>25</v>
      </c>
      <c r="C12" s="22">
        <v>0</v>
      </c>
      <c r="D12" s="22" t="s">
        <v>139</v>
      </c>
      <c r="E12" s="22" t="str">
        <f t="shared" si="0"/>
        <v>A</v>
      </c>
      <c r="F12" s="22" t="str">
        <f t="shared" si="2"/>
        <v>0A</v>
      </c>
      <c r="G12" s="23" t="str">
        <f>_xlfn.IFNA(VLOOKUP(D12,AccessModes!$D$2:$E$14,2,FALSE),"AM_IMP")</f>
        <v>AM_IMP</v>
      </c>
      <c r="H12" s="22">
        <v>2</v>
      </c>
      <c r="I12" s="22">
        <v>0</v>
      </c>
      <c r="J12" s="24" t="str">
        <f>""</f>
        <v/>
      </c>
      <c r="K12" s="24" t="s">
        <v>215</v>
      </c>
      <c r="L12" s="24" t="str">
        <f>""</f>
        <v/>
      </c>
      <c r="M12" s="22" t="str">
        <f>IF(LEN(J12)&gt;0,indent&amp;J12&amp;" = "&amp;VLOOKUP($G12,AccessModes!$E$2:$I$14,4,FALSE),"")</f>
        <v/>
      </c>
      <c r="N12" s="25" t="str">
        <f>indent&amp;"cpu.PS_C = (("&amp; K12 &amp; " &amp; 0x80) != 0);"&amp; newline &amp; indent &amp; K12 &amp;" &lt;&lt;= 1;"</f>
        <v xml:space="preserve">            cpu.PS_C = ((cpu.A &amp; 0x80) != 0);
            cpu.A &lt;&lt;= 1;</v>
      </c>
      <c r="O12" s="26" t="str">
        <f t="shared" si="1"/>
        <v xml:space="preserve">            cpu.PS_N = ((cpu.A &amp; 0x80) != 0);
            cpu.PS_Z = (cpu.A == 0);</v>
      </c>
      <c r="P12" s="22" t="str">
        <f>IF(LEN(L12)&gt;0,indent&amp;IF(L12="LAST",AccessModes!$I$16&amp;J12,VLOOKUP($G12,AccessModes!$E$2:$I$14,5,FALSE)&amp;L12)&amp;");","")</f>
        <v/>
      </c>
      <c r="Q12" s="22"/>
      <c r="R12" s="26" t="str">
        <f>IF(C12=0,indent0&amp;"case 0x"&amp;F12&amp;": /* "&amp;B12&amp;" "&amp;VLOOKUP(G12,AccessModes!$E$2:$G$14,3,FALSE)&amp;" */"&amp;newline&amp;indent&amp;"cpu.cycles = "&amp;H12&amp;";"&amp;newline&amp;IF(LEN(M12)&gt;0,M12&amp;CHAR(10),"")&amp;IF(LEN(N12)&gt;0,N12&amp;newline,"")&amp;IF(LEN(O12)&gt;0,O12&amp;newline,"")&amp;IF(LEN(P12)&gt;0,P12&amp;newline,"")&amp;IF(LEN(Q12)&gt;0,Q12&amp;newline,"")&amp;indent&amp;"break;",indent0&amp;"/* Illegal opcode 0x"&amp;F12&amp;": "&amp;B12&amp;" "&amp;VLOOKUP(G12,AccessModes!$E$2:$G$14,3,FALSE)&amp;" */"&amp;newline)</f>
        <v xml:space="preserve">        case 0x0A: /* ASL  */
            cpu.cycles = 2;
            cpu.PS_C = ((cpu.A &amp; 0x80) != 0);
            cpu.A &lt;&lt;= 1;
            cpu.PS_N = ((cpu.A &amp; 0x80) != 0);
            cpu.PS_Z = (cpu.A == 0);
            break;</v>
      </c>
      <c r="S12" s="22" t="str">
        <f t="shared" si="3"/>
        <v xml:space="preserve">    {"ASL", false, AM_IMP, 2, 0},</v>
      </c>
    </row>
    <row r="13" spans="1:19" ht="25.5" hidden="1" x14ac:dyDescent="0.25">
      <c r="A13" s="28">
        <v>11</v>
      </c>
      <c r="B13" s="28" t="s">
        <v>29</v>
      </c>
      <c r="C13" s="28">
        <v>-1</v>
      </c>
      <c r="D13" s="28" t="s">
        <v>130</v>
      </c>
      <c r="E13" s="28" t="str">
        <f t="shared" si="0"/>
        <v>B</v>
      </c>
      <c r="F13" s="28" t="str">
        <f t="shared" si="2"/>
        <v>0B</v>
      </c>
      <c r="G13" s="28" t="str">
        <f>_xlfn.IFNA(VLOOKUP(D13,AccessModes!$D$2:$E$14,2,FALSE),"AM_IMP")</f>
        <v>AM_IMM</v>
      </c>
      <c r="H13" s="28">
        <v>2</v>
      </c>
      <c r="I13" s="28">
        <v>0</v>
      </c>
      <c r="J13" s="28"/>
      <c r="K13" s="28"/>
      <c r="L13" s="28"/>
      <c r="M13" s="28" t="str">
        <f>IF(LEN(J13)&gt;0,indent&amp;J13&amp;" = "&amp;VLOOKUP($G13,AccessModes!$E$2:$I$14,4,FALSE),"")</f>
        <v/>
      </c>
      <c r="N13" s="29" t="str">
        <f>indent&amp;"/* TODO: implementation of the action */"</f>
        <v xml:space="preserve">            /* TODO: implementation of the action */</v>
      </c>
      <c r="O13" s="29" t="str">
        <f t="shared" si="1"/>
        <v/>
      </c>
      <c r="P13" s="28" t="str">
        <f>IF(LEN(L13)&gt;0,indent&amp;IF(L13="LAST",AccessModes!$I$16&amp;J13,VLOOKUP($G13,AccessModes!$E$2:$I$14,5,FALSE)&amp;L13)&amp;");","")</f>
        <v/>
      </c>
      <c r="Q13" s="28"/>
      <c r="R13" s="29" t="str">
        <f>IF(C13=0,indent0&amp;"case 0x"&amp;F13&amp;": /* "&amp;B13&amp;" "&amp;VLOOKUP(G13,AccessModes!$E$2:$G$14,3,FALSE)&amp;" */"&amp;newline&amp;indent&amp;"cpu.cycles = "&amp;H13&amp;";"&amp;newline&amp;IF(LEN(M13)&gt;0,M13&amp;CHAR(10),"")&amp;IF(LEN(N13)&gt;0,N13&amp;newline,"")&amp;IF(LEN(O13)&gt;0,O13&amp;newline,"")&amp;IF(LEN(P13)&gt;0,P13&amp;newline,"")&amp;IF(LEN(Q13)&gt;0,Q13&amp;newline,"")&amp;indent&amp;"break;",indent0&amp;"/* Illegal opcode 0x"&amp;F13&amp;": "&amp;B13&amp;" "&amp;VLOOKUP(G13,AccessModes!$E$2:$G$14,3,FALSE)&amp;" */"&amp;newline)</f>
        <v xml:space="preserve">        /* Illegal opcode 0x0B: ANC #aa */
</v>
      </c>
      <c r="S13" s="28" t="str">
        <f t="shared" si="3"/>
        <v xml:space="preserve">    {"ANC", true , AM_IMM, 2, 0},</v>
      </c>
    </row>
    <row r="14" spans="1:19" ht="25.5" hidden="1" x14ac:dyDescent="0.25">
      <c r="A14" s="28">
        <v>12</v>
      </c>
      <c r="B14" s="28" t="s">
        <v>23</v>
      </c>
      <c r="C14" s="28">
        <v>-1</v>
      </c>
      <c r="D14" s="28" t="s">
        <v>131</v>
      </c>
      <c r="E14" s="28" t="str">
        <f t="shared" si="0"/>
        <v>C</v>
      </c>
      <c r="F14" s="28" t="str">
        <f t="shared" si="2"/>
        <v>0C</v>
      </c>
      <c r="G14" s="28" t="str">
        <f>_xlfn.IFNA(VLOOKUP(D14,AccessModes!$D$2:$E$14,2,FALSE),"AM_IMP")</f>
        <v>AM_ABS</v>
      </c>
      <c r="H14" s="28">
        <v>4</v>
      </c>
      <c r="I14" s="28">
        <v>0</v>
      </c>
      <c r="J14" s="28"/>
      <c r="K14" s="28"/>
      <c r="L14" s="28"/>
      <c r="M14" s="28" t="str">
        <f>IF(LEN(J14)&gt;0,indent&amp;J14&amp;" = "&amp;VLOOKUP($G14,AccessModes!$E$2:$I$14,4,FALSE),"")</f>
        <v/>
      </c>
      <c r="N14" s="29" t="str">
        <f>indent&amp;"/* TODO: implementation of the action */"</f>
        <v xml:space="preserve">            /* TODO: implementation of the action */</v>
      </c>
      <c r="O14" s="29" t="str">
        <f t="shared" si="1"/>
        <v/>
      </c>
      <c r="P14" s="28" t="str">
        <f>IF(LEN(L14)&gt;0,indent&amp;IF(L14="LAST",AccessModes!$I$16&amp;J14,VLOOKUP($G14,AccessModes!$E$2:$I$14,5,FALSE)&amp;L14)&amp;");","")</f>
        <v/>
      </c>
      <c r="Q14" s="28"/>
      <c r="R14" s="29" t="str">
        <f>IF(C14=0,indent0&amp;"case 0x"&amp;F14&amp;": /* "&amp;B14&amp;" "&amp;VLOOKUP(G14,AccessModes!$E$2:$G$14,3,FALSE)&amp;" */"&amp;newline&amp;indent&amp;"cpu.cycles = "&amp;H14&amp;";"&amp;newline&amp;IF(LEN(M14)&gt;0,M14&amp;CHAR(10),"")&amp;IF(LEN(N14)&gt;0,N14&amp;newline,"")&amp;IF(LEN(O14)&gt;0,O14&amp;newline,"")&amp;IF(LEN(P14)&gt;0,P14&amp;newline,"")&amp;IF(LEN(Q14)&gt;0,Q14&amp;newline,"")&amp;indent&amp;"break;",indent0&amp;"/* Illegal opcode 0x"&amp;F14&amp;": "&amp;B14&amp;" "&amp;VLOOKUP(G14,AccessModes!$E$2:$G$14,3,FALSE)&amp;" */"&amp;newline)</f>
        <v xml:space="preserve">        /* Illegal opcode 0x0C: NOP aaaa */
</v>
      </c>
      <c r="S14" s="28" t="str">
        <f t="shared" si="3"/>
        <v xml:space="preserve">    {"NOP", true , AM_ABS, 4, 0},</v>
      </c>
    </row>
    <row r="15" spans="1:19" ht="89.25" hidden="1" x14ac:dyDescent="0.25">
      <c r="A15" s="22">
        <v>13</v>
      </c>
      <c r="B15" s="22" t="s">
        <v>18</v>
      </c>
      <c r="C15" s="22">
        <v>0</v>
      </c>
      <c r="D15" s="22" t="s">
        <v>131</v>
      </c>
      <c r="E15" s="22" t="str">
        <f t="shared" si="0"/>
        <v>D</v>
      </c>
      <c r="F15" s="22" t="str">
        <f t="shared" si="2"/>
        <v>0D</v>
      </c>
      <c r="G15" s="22" t="str">
        <f>_xlfn.IFNA(VLOOKUP(D15,AccessModes!$D$2:$E$14,2,FALSE),"AM_IMP")</f>
        <v>AM_ABS</v>
      </c>
      <c r="H15" s="22">
        <v>4</v>
      </c>
      <c r="I15" s="22">
        <v>0</v>
      </c>
      <c r="J15" s="22" t="str">
        <f>$J$3</f>
        <v>value</v>
      </c>
      <c r="K15" s="22" t="str">
        <f>$K$3</f>
        <v>cpu.A</v>
      </c>
      <c r="L15" s="22" t="str">
        <f>$L$3</f>
        <v/>
      </c>
      <c r="M15" s="22" t="str">
        <f>IF(LEN(J15)&gt;0,indent&amp;J15&amp;" = "&amp;VLOOKUP($G15,AccessModes!$E$2:$I$14,4,FALSE),"")</f>
        <v xml:space="preserve">            value = memory_getAbsolute();</v>
      </c>
      <c r="N15" s="26" t="str">
        <f>$N$3</f>
        <v xml:space="preserve">            cpu.A |= value;</v>
      </c>
      <c r="O15" s="26" t="str">
        <f t="shared" si="1"/>
        <v xml:space="preserve">            cpu.PS_N = ((cpu.A &amp; 0x80) != 0);
            cpu.PS_Z = (cpu.A == 0);</v>
      </c>
      <c r="P15" s="22" t="str">
        <f>IF(LEN(L15)&gt;0,indent&amp;IF(L15="LAST",AccessModes!$I$16&amp;J15,VLOOKUP($G15,AccessModes!$E$2:$I$14,5,FALSE)&amp;L15)&amp;");","")</f>
        <v/>
      </c>
      <c r="Q15" s="22"/>
      <c r="R15" s="26" t="str">
        <f>IF(C15=0,indent0&amp;"case 0x"&amp;F15&amp;": /* "&amp;B15&amp;" "&amp;VLOOKUP(G15,AccessModes!$E$2:$G$14,3,FALSE)&amp;" */"&amp;newline&amp;indent&amp;"cpu.cycles = "&amp;H15&amp;";"&amp;newline&amp;IF(LEN(M15)&gt;0,M15&amp;CHAR(10),"")&amp;IF(LEN(N15)&gt;0,N15&amp;newline,"")&amp;IF(LEN(O15)&gt;0,O15&amp;newline,"")&amp;IF(LEN(P15)&gt;0,P15&amp;newline,"")&amp;IF(LEN(Q15)&gt;0,Q15&amp;newline,"")&amp;indent&amp;"break;",indent0&amp;"/* Illegal opcode 0x"&amp;F15&amp;": "&amp;B15&amp;" "&amp;VLOOKUP(G15,AccessModes!$E$2:$G$14,3,FALSE)&amp;" */"&amp;newline)</f>
        <v xml:space="preserve">        case 0x0D: /* ORA aaaa */
            cpu.cycles = 4;
            value = memory_getAbsolute();
            cpu.A |= value;
            cpu.PS_N = ((cpu.A &amp; 0x80) != 0);
            cpu.PS_Z = (cpu.A == 0);
            break;</v>
      </c>
      <c r="S15" s="22" t="str">
        <f t="shared" si="3"/>
        <v xml:space="preserve">    {"ORA", false, AM_ABS, 4, 0},</v>
      </c>
    </row>
    <row r="16" spans="1:19" ht="114.75" hidden="1" x14ac:dyDescent="0.25">
      <c r="A16" s="22">
        <v>14</v>
      </c>
      <c r="B16" s="22" t="s">
        <v>25</v>
      </c>
      <c r="C16" s="22">
        <v>0</v>
      </c>
      <c r="D16" s="22" t="s">
        <v>131</v>
      </c>
      <c r="E16" s="22" t="str">
        <f t="shared" si="0"/>
        <v>E</v>
      </c>
      <c r="F16" s="22" t="str">
        <f t="shared" si="2"/>
        <v>0E</v>
      </c>
      <c r="G16" s="22" t="str">
        <f>_xlfn.IFNA(VLOOKUP(D16,AccessModes!$D$2:$E$14,2,FALSE),"AM_IMP")</f>
        <v>AM_ABS</v>
      </c>
      <c r="H16" s="22">
        <v>6</v>
      </c>
      <c r="I16" s="22">
        <v>0</v>
      </c>
      <c r="J16" s="22" t="str">
        <f>$J$8</f>
        <v>value</v>
      </c>
      <c r="K16" s="22" t="str">
        <f>$K$8</f>
        <v>value</v>
      </c>
      <c r="L16" s="22" t="str">
        <f>$L$8</f>
        <v>LAST</v>
      </c>
      <c r="M16" s="22" t="str">
        <f>IF(LEN(J16)&gt;0,indent&amp;J16&amp;" = "&amp;VLOOKUP($G16,AccessModes!$E$2:$I$14,4,FALSE),"")</f>
        <v xml:space="preserve">            value = memory_getAbsolute();</v>
      </c>
      <c r="N16" s="26" t="str">
        <f>$N$8</f>
        <v xml:space="preserve">            cpu.PS_C = ((value &amp; 0x80) != 0);
            value &lt;&lt;= 1;</v>
      </c>
      <c r="O16" s="26" t="str">
        <f t="shared" si="1"/>
        <v xml:space="preserve">            cpu.PS_N = ((value &amp; 0x80) != 0);
            cpu.PS_Z = (value == 0);</v>
      </c>
      <c r="P16" s="22" t="str">
        <f>IF(LEN(L16)&gt;0,indent&amp;IF(L16="LAST",AccessModes!$I$16&amp;J16,VLOOKUP($G16,AccessModes!$E$2:$I$14,5,FALSE)&amp;L16)&amp;");","")</f>
        <v xml:space="preserve">            memory_setLast(value);</v>
      </c>
      <c r="Q16" s="22"/>
      <c r="R16" s="26" t="str">
        <f>IF(C16=0,indent0&amp;"case 0x"&amp;F16&amp;": /* "&amp;B16&amp;" "&amp;VLOOKUP(G16,AccessModes!$E$2:$G$14,3,FALSE)&amp;" */"&amp;newline&amp;indent&amp;"cpu.cycles = "&amp;H16&amp;";"&amp;newline&amp;IF(LEN(M16)&gt;0,M16&amp;CHAR(10),"")&amp;IF(LEN(N16)&gt;0,N16&amp;newline,"")&amp;IF(LEN(O16)&gt;0,O16&amp;newline,"")&amp;IF(LEN(P16)&gt;0,P16&amp;newline,"")&amp;IF(LEN(Q16)&gt;0,Q16&amp;newline,"")&amp;indent&amp;"break;",indent0&amp;"/* Illegal opcode 0x"&amp;F16&amp;": "&amp;B16&amp;" "&amp;VLOOKUP(G16,AccessModes!$E$2:$G$14,3,FALSE)&amp;" */"&amp;newline)</f>
        <v xml:space="preserve">        case 0x0E: /* ASL aaaa */
            cpu.cycles = 6;
            value = memory_getAbsolute();
            cpu.PS_C = ((value &amp; 0x80) != 0);
            value &lt;&lt;= 1;
            cpu.PS_N = ((value &amp; 0x80) != 0);
            cpu.PS_Z = (value == 0);
            memory_setLast(value);
            break;</v>
      </c>
      <c r="S16" s="22" t="str">
        <f t="shared" si="3"/>
        <v xml:space="preserve">    {"ASL", false, AM_ABS, 6, 0},</v>
      </c>
    </row>
    <row r="17" spans="1:19" ht="25.5" hidden="1" x14ac:dyDescent="0.25">
      <c r="A17" s="28">
        <v>15</v>
      </c>
      <c r="B17" s="28" t="s">
        <v>21</v>
      </c>
      <c r="C17" s="28">
        <v>-1</v>
      </c>
      <c r="D17" s="28" t="s">
        <v>131</v>
      </c>
      <c r="E17" s="28" t="str">
        <f t="shared" si="0"/>
        <v>F</v>
      </c>
      <c r="F17" s="28" t="str">
        <f t="shared" si="2"/>
        <v>0F</v>
      </c>
      <c r="G17" s="28" t="str">
        <f>_xlfn.IFNA(VLOOKUP(D17,AccessModes!$D$2:$E$14,2,FALSE),"AM_IMP")</f>
        <v>AM_ABS</v>
      </c>
      <c r="H17" s="28">
        <v>6</v>
      </c>
      <c r="I17" s="28">
        <v>0</v>
      </c>
      <c r="J17" s="28"/>
      <c r="K17" s="28"/>
      <c r="L17" s="28"/>
      <c r="M17" s="28" t="str">
        <f>IF(LEN(J17)&gt;0,indent&amp;J17&amp;" = "&amp;VLOOKUP($G17,AccessModes!$E$2:$I$14,4,FALSE),"")</f>
        <v/>
      </c>
      <c r="N17" s="29" t="str">
        <f>indent&amp;"/* TODO: implementation of the action */"</f>
        <v xml:space="preserve">            /* TODO: implementation of the action */</v>
      </c>
      <c r="O17" s="29" t="str">
        <f t="shared" si="1"/>
        <v/>
      </c>
      <c r="P17" s="28" t="str">
        <f>IF(LEN(L17)&gt;0,indent&amp;IF(L17="LAST",AccessModes!$I$16&amp;J17,VLOOKUP($G17,AccessModes!$E$2:$I$14,5,FALSE)&amp;L17)&amp;");","")</f>
        <v/>
      </c>
      <c r="Q17" s="28"/>
      <c r="R17" s="29" t="str">
        <f>IF(C17=0,indent0&amp;"case 0x"&amp;F17&amp;": /* "&amp;B17&amp;" "&amp;VLOOKUP(G17,AccessModes!$E$2:$G$14,3,FALSE)&amp;" */"&amp;newline&amp;indent&amp;"cpu.cycles = "&amp;H17&amp;";"&amp;newline&amp;IF(LEN(M17)&gt;0,M17&amp;CHAR(10),"")&amp;IF(LEN(N17)&gt;0,N17&amp;newline,"")&amp;IF(LEN(O17)&gt;0,O17&amp;newline,"")&amp;IF(LEN(P17)&gt;0,P17&amp;newline,"")&amp;IF(LEN(Q17)&gt;0,Q17&amp;newline,"")&amp;indent&amp;"break;",indent0&amp;"/* Illegal opcode 0x"&amp;F17&amp;": "&amp;B17&amp;" "&amp;VLOOKUP(G17,AccessModes!$E$2:$G$14,3,FALSE)&amp;" */"&amp;newline)</f>
        <v xml:space="preserve">        /* Illegal opcode 0x0F: SLO aaaa */
</v>
      </c>
      <c r="S17" s="28" t="str">
        <f t="shared" si="3"/>
        <v xml:space="preserve">    {"SLO", true , AM_ABS, 6, 0},</v>
      </c>
    </row>
    <row r="18" spans="1:19" ht="102" hidden="1" x14ac:dyDescent="0.25">
      <c r="A18" s="22">
        <v>16</v>
      </c>
      <c r="B18" s="22" t="s">
        <v>33</v>
      </c>
      <c r="C18" s="22">
        <v>0</v>
      </c>
      <c r="D18" s="22" t="s">
        <v>132</v>
      </c>
      <c r="E18" s="22" t="str">
        <f t="shared" si="0"/>
        <v>10</v>
      </c>
      <c r="F18" s="22" t="str">
        <f t="shared" si="2"/>
        <v>10</v>
      </c>
      <c r="G18" s="22" t="str">
        <f>_xlfn.IFNA(VLOOKUP(D18,AccessModes!$D$2:$E$14,2,FALSE),"AM_IMP")</f>
        <v>AM_REL</v>
      </c>
      <c r="H18" s="22">
        <v>2</v>
      </c>
      <c r="I18" s="22">
        <v>1</v>
      </c>
      <c r="J18" s="24" t="s">
        <v>240</v>
      </c>
      <c r="K18" s="24"/>
      <c r="L18" s="24"/>
      <c r="M18" s="22" t="str">
        <f>IF(LEN(J18)&gt;0,indent&amp;J18&amp;" = "&amp;VLOOKUP($G18,AccessModes!$E$2:$I$14,4,FALSE),"")</f>
        <v xml:space="preserve">            value_w = memory_getRelativeAddress();</v>
      </c>
      <c r="N18" s="25" t="str">
        <f>indent&amp;"if(!cpu.PS_N) {"&amp;newline&amp;indent2&amp;"++cpu.cycles;"&amp;newline&amp;indent2&amp;"cpu.PC = "&amp;J18&amp;";"&amp;newline&amp;indent&amp;"}"</f>
        <v xml:space="preserve">            if(!cpu.PS_N) {
                ++cpu.cycles;
                cpu.PC = value_w;
            }</v>
      </c>
      <c r="O18" s="26" t="str">
        <f t="shared" si="1"/>
        <v/>
      </c>
      <c r="P18" s="22" t="str">
        <f>IF(LEN(L18)&gt;0,indent&amp;IF(L18="LAST",AccessModes!$I$16&amp;J18,VLOOKUP($G18,AccessModes!$E$2:$I$14,5,FALSE)&amp;L18)&amp;");","")</f>
        <v/>
      </c>
      <c r="Q18" s="22"/>
      <c r="R18" s="26" t="str">
        <f>IF(C18=0,indent0&amp;"case 0x"&amp;F18&amp;": /* "&amp;B18&amp;" "&amp;VLOOKUP(G18,AccessModes!$E$2:$G$14,3,FALSE)&amp;" */"&amp;newline&amp;indent&amp;"cpu.cycles = "&amp;H18&amp;";"&amp;newline&amp;IF(LEN(M18)&gt;0,M18&amp;CHAR(10),"")&amp;IF(LEN(N18)&gt;0,N18&amp;newline,"")&amp;IF(LEN(O18)&gt;0,O18&amp;newline,"")&amp;IF(LEN(P18)&gt;0,P18&amp;newline,"")&amp;IF(LEN(Q18)&gt;0,Q18&amp;newline,"")&amp;indent&amp;"break;",indent0&amp;"/* Illegal opcode 0x"&amp;F18&amp;": "&amp;B18&amp;" "&amp;VLOOKUP(G18,AccessModes!$E$2:$G$14,3,FALSE)&amp;" */"&amp;newline)</f>
        <v xml:space="preserve">        case 0x10: /* BPL aaaa */
            cpu.cycles = 2;
            value_w = memory_getRelativeAddress();
            if(!cpu.PS_N) {
                ++cpu.cycles;
                cpu.PC = value_w;
            }
            break;</v>
      </c>
      <c r="S18" s="22" t="str">
        <f t="shared" si="3"/>
        <v xml:space="preserve">    {"BPL", false, AM_REL, 2, 1},</v>
      </c>
    </row>
    <row r="19" spans="1:19" ht="89.25" hidden="1" x14ac:dyDescent="0.25">
      <c r="A19" s="22">
        <v>17</v>
      </c>
      <c r="B19" s="22" t="s">
        <v>18</v>
      </c>
      <c r="C19" s="22">
        <v>0</v>
      </c>
      <c r="D19" s="22" t="s">
        <v>133</v>
      </c>
      <c r="E19" s="22" t="str">
        <f t="shared" si="0"/>
        <v>11</v>
      </c>
      <c r="F19" s="22" t="str">
        <f t="shared" si="2"/>
        <v>11</v>
      </c>
      <c r="G19" s="22" t="str">
        <f>_xlfn.IFNA(VLOOKUP(D19,AccessModes!$D$2:$E$14,2,FALSE),"AM_IMP")</f>
        <v>AM_IIY</v>
      </c>
      <c r="H19" s="22">
        <v>5</v>
      </c>
      <c r="I19" s="22">
        <v>1</v>
      </c>
      <c r="J19" s="22" t="str">
        <f>$J$3</f>
        <v>value</v>
      </c>
      <c r="K19" s="22" t="str">
        <f>$K$3</f>
        <v>cpu.A</v>
      </c>
      <c r="L19" s="22" t="str">
        <f>$L$3</f>
        <v/>
      </c>
      <c r="M19" s="22" t="str">
        <f>IF(LEN(J19)&gt;0,indent&amp;J19&amp;" = "&amp;VLOOKUP($G19,AccessModes!$E$2:$I$14,4,FALSE),"")</f>
        <v xml:space="preserve">            value = memory_getIndirectIndexedY();</v>
      </c>
      <c r="N19" s="26" t="str">
        <f>$N$3</f>
        <v xml:space="preserve">            cpu.A |= value;</v>
      </c>
      <c r="O19" s="26" t="str">
        <f t="shared" si="1"/>
        <v xml:space="preserve">            cpu.PS_N = ((cpu.A &amp; 0x80) != 0);
            cpu.PS_Z = (cpu.A == 0);</v>
      </c>
      <c r="P19" s="22" t="str">
        <f>IF(LEN(L19)&gt;0,indent&amp;IF(L19="LAST",AccessModes!$I$16&amp;J19,VLOOKUP($G19,AccessModes!$E$2:$I$14,5,FALSE)&amp;L19)&amp;");","")</f>
        <v/>
      </c>
      <c r="Q19" s="22"/>
      <c r="R19" s="26" t="str">
        <f>IF(C19=0,indent0&amp;"case 0x"&amp;F19&amp;": /* "&amp;B19&amp;" "&amp;VLOOKUP(G19,AccessModes!$E$2:$G$14,3,FALSE)&amp;" */"&amp;newline&amp;indent&amp;"cpu.cycles = "&amp;H19&amp;";"&amp;newline&amp;IF(LEN(M19)&gt;0,M19&amp;CHAR(10),"")&amp;IF(LEN(N19)&gt;0,N19&amp;newline,"")&amp;IF(LEN(O19)&gt;0,O19&amp;newline,"")&amp;IF(LEN(P19)&gt;0,P19&amp;newline,"")&amp;IF(LEN(Q19)&gt;0,Q19&amp;newline,"")&amp;indent&amp;"break;",indent0&amp;"/* Illegal opcode 0x"&amp;F19&amp;": "&amp;B19&amp;" "&amp;VLOOKUP(G19,AccessModes!$E$2:$G$14,3,FALSE)&amp;" */"&amp;newline)</f>
        <v xml:space="preserve">        case 0x11: /* ORA (aa),Y */
            cpu.cycles = 5;
            value = memory_getIndirectIndexedY();
            cpu.A |= value;
            cpu.PS_N = ((cpu.A &amp; 0x80) != 0);
            cpu.PS_Z = (cpu.A == 0);
            break;</v>
      </c>
      <c r="S19" s="22" t="str">
        <f t="shared" si="3"/>
        <v xml:space="preserve">    {"ORA", false, AM_IIY, 5, 1},</v>
      </c>
    </row>
    <row r="20" spans="1:19" ht="25.5" hidden="1" x14ac:dyDescent="0.25">
      <c r="A20" s="28">
        <v>18</v>
      </c>
      <c r="B20" s="28" t="s">
        <v>20</v>
      </c>
      <c r="C20" s="28">
        <v>-1</v>
      </c>
      <c r="D20" s="28"/>
      <c r="E20" s="28" t="str">
        <f t="shared" si="0"/>
        <v>12</v>
      </c>
      <c r="F20" s="28" t="str">
        <f t="shared" si="2"/>
        <v>12</v>
      </c>
      <c r="G20" s="28" t="str">
        <f>_xlfn.IFNA(VLOOKUP(D20,AccessModes!$D$2:$E$14,2,FALSE),"AM_IMP")</f>
        <v>AM_IMP</v>
      </c>
      <c r="H20" s="28">
        <v>0</v>
      </c>
      <c r="I20" s="28">
        <v>0</v>
      </c>
      <c r="J20" s="28"/>
      <c r="K20" s="28"/>
      <c r="L20" s="28"/>
      <c r="M20" s="28" t="str">
        <f>IF(LEN(J20)&gt;0,indent&amp;J20&amp;" = "&amp;VLOOKUP($G20,AccessModes!$E$2:$I$14,4,FALSE),"")</f>
        <v/>
      </c>
      <c r="N20" s="29" t="str">
        <f>indent&amp;"/* TODO: implementation of the action */"</f>
        <v xml:space="preserve">            /* TODO: implementation of the action */</v>
      </c>
      <c r="O20" s="29" t="str">
        <f t="shared" si="1"/>
        <v/>
      </c>
      <c r="P20" s="28" t="str">
        <f>IF(LEN(L20)&gt;0,indent&amp;IF(L20="LAST",AccessModes!$I$16&amp;J20,VLOOKUP($G20,AccessModes!$E$2:$I$14,5,FALSE)&amp;L20)&amp;");","")</f>
        <v/>
      </c>
      <c r="Q20" s="28"/>
      <c r="R20" s="29" t="str">
        <f>IF(C20=0,indent0&amp;"case 0x"&amp;F20&amp;": /* "&amp;B20&amp;" "&amp;VLOOKUP(G20,AccessModes!$E$2:$G$14,3,FALSE)&amp;" */"&amp;newline&amp;indent&amp;"cpu.cycles = "&amp;H20&amp;";"&amp;newline&amp;IF(LEN(M20)&gt;0,M20&amp;CHAR(10),"")&amp;IF(LEN(N20)&gt;0,N20&amp;newline,"")&amp;IF(LEN(O20)&gt;0,O20&amp;newline,"")&amp;IF(LEN(P20)&gt;0,P20&amp;newline,"")&amp;IF(LEN(Q20)&gt;0,Q20&amp;newline,"")&amp;indent&amp;"break;",indent0&amp;"/* Illegal opcode 0x"&amp;F20&amp;": "&amp;B20&amp;" "&amp;VLOOKUP(G20,AccessModes!$E$2:$G$14,3,FALSE)&amp;" */"&amp;newline)</f>
        <v xml:space="preserve">        /* Illegal opcode 0x12: KIL  */
</v>
      </c>
      <c r="S20" s="28" t="str">
        <f t="shared" si="3"/>
        <v xml:space="preserve">    {"KIL", true , AM_IMP, 0, 0},</v>
      </c>
    </row>
    <row r="21" spans="1:19" ht="25.5" hidden="1" x14ac:dyDescent="0.25">
      <c r="A21" s="28">
        <v>19</v>
      </c>
      <c r="B21" s="28" t="s">
        <v>21</v>
      </c>
      <c r="C21" s="28">
        <v>-1</v>
      </c>
      <c r="D21" s="28" t="s">
        <v>133</v>
      </c>
      <c r="E21" s="28" t="str">
        <f t="shared" si="0"/>
        <v>13</v>
      </c>
      <c r="F21" s="28" t="str">
        <f t="shared" si="2"/>
        <v>13</v>
      </c>
      <c r="G21" s="28" t="str">
        <f>_xlfn.IFNA(VLOOKUP(D21,AccessModes!$D$2:$E$14,2,FALSE),"AM_IMP")</f>
        <v>AM_IIY</v>
      </c>
      <c r="H21" s="28">
        <v>8</v>
      </c>
      <c r="I21" s="28">
        <v>0</v>
      </c>
      <c r="J21" s="28"/>
      <c r="K21" s="28"/>
      <c r="L21" s="28"/>
      <c r="M21" s="28" t="str">
        <f>IF(LEN(J21)&gt;0,indent&amp;J21&amp;" = "&amp;VLOOKUP($G21,AccessModes!$E$2:$I$14,4,FALSE),"")</f>
        <v/>
      </c>
      <c r="N21" s="29" t="str">
        <f>indent&amp;"/* TODO: implementation of the action */"</f>
        <v xml:space="preserve">            /* TODO: implementation of the action */</v>
      </c>
      <c r="O21" s="29" t="str">
        <f t="shared" si="1"/>
        <v/>
      </c>
      <c r="P21" s="28" t="str">
        <f>IF(LEN(L21)&gt;0,indent&amp;IF(L21="LAST",AccessModes!$I$16&amp;J21,VLOOKUP($G21,AccessModes!$E$2:$I$14,5,FALSE)&amp;L21)&amp;");","")</f>
        <v/>
      </c>
      <c r="Q21" s="28"/>
      <c r="R21" s="29" t="str">
        <f>IF(C21=0,indent0&amp;"case 0x"&amp;F21&amp;": /* "&amp;B21&amp;" "&amp;VLOOKUP(G21,AccessModes!$E$2:$G$14,3,FALSE)&amp;" */"&amp;newline&amp;indent&amp;"cpu.cycles = "&amp;H21&amp;";"&amp;newline&amp;IF(LEN(M21)&gt;0,M21&amp;CHAR(10),"")&amp;IF(LEN(N21)&gt;0,N21&amp;newline,"")&amp;IF(LEN(O21)&gt;0,O21&amp;newline,"")&amp;IF(LEN(P21)&gt;0,P21&amp;newline,"")&amp;IF(LEN(Q21)&gt;0,Q21&amp;newline,"")&amp;indent&amp;"break;",indent0&amp;"/* Illegal opcode 0x"&amp;F21&amp;": "&amp;B21&amp;" "&amp;VLOOKUP(G21,AccessModes!$E$2:$G$14,3,FALSE)&amp;" */"&amp;newline)</f>
        <v xml:space="preserve">        /* Illegal opcode 0x13: SLO (aa),Y */
</v>
      </c>
      <c r="S21" s="28" t="str">
        <f t="shared" si="3"/>
        <v xml:space="preserve">    {"SLO", true , AM_IIY, 8, 0},</v>
      </c>
    </row>
    <row r="22" spans="1:19" ht="25.5" hidden="1" x14ac:dyDescent="0.25">
      <c r="A22" s="28">
        <v>20</v>
      </c>
      <c r="B22" s="28" t="s">
        <v>23</v>
      </c>
      <c r="C22" s="28">
        <v>-1</v>
      </c>
      <c r="D22" s="28" t="s">
        <v>134</v>
      </c>
      <c r="E22" s="28" t="str">
        <f t="shared" si="0"/>
        <v>14</v>
      </c>
      <c r="F22" s="28" t="str">
        <f t="shared" si="2"/>
        <v>14</v>
      </c>
      <c r="G22" s="28" t="str">
        <f>_xlfn.IFNA(VLOOKUP(D22,AccessModes!$D$2:$E$14,2,FALSE),"AM_IMP")</f>
        <v>AM_ZIX</v>
      </c>
      <c r="H22" s="28">
        <v>4</v>
      </c>
      <c r="I22" s="28">
        <v>0</v>
      </c>
      <c r="J22" s="28"/>
      <c r="K22" s="28"/>
      <c r="L22" s="28"/>
      <c r="M22" s="28" t="str">
        <f>IF(LEN(J22)&gt;0,indent&amp;J22&amp;" = "&amp;VLOOKUP($G22,AccessModes!$E$2:$I$14,4,FALSE),"")</f>
        <v/>
      </c>
      <c r="N22" s="29" t="str">
        <f>indent&amp;"/* TODO: implementation of the action */"</f>
        <v xml:space="preserve">            /* TODO: implementation of the action */</v>
      </c>
      <c r="O22" s="29" t="str">
        <f t="shared" si="1"/>
        <v/>
      </c>
      <c r="P22" s="28" t="str">
        <f>IF(LEN(L22)&gt;0,indent&amp;IF(L22="LAST",AccessModes!$I$16&amp;J22,VLOOKUP($G22,AccessModes!$E$2:$I$14,5,FALSE)&amp;L22)&amp;");","")</f>
        <v/>
      </c>
      <c r="Q22" s="28"/>
      <c r="R22" s="29" t="str">
        <f>IF(C22=0,indent0&amp;"case 0x"&amp;F22&amp;": /* "&amp;B22&amp;" "&amp;VLOOKUP(G22,AccessModes!$E$2:$G$14,3,FALSE)&amp;" */"&amp;newline&amp;indent&amp;"cpu.cycles = "&amp;H22&amp;";"&amp;newline&amp;IF(LEN(M22)&gt;0,M22&amp;CHAR(10),"")&amp;IF(LEN(N22)&gt;0,N22&amp;newline,"")&amp;IF(LEN(O22)&gt;0,O22&amp;newline,"")&amp;IF(LEN(P22)&gt;0,P22&amp;newline,"")&amp;IF(LEN(Q22)&gt;0,Q22&amp;newline,"")&amp;indent&amp;"break;",indent0&amp;"/* Illegal opcode 0x"&amp;F22&amp;": "&amp;B22&amp;" "&amp;VLOOKUP(G22,AccessModes!$E$2:$G$14,3,FALSE)&amp;" */"&amp;newline)</f>
        <v xml:space="preserve">        /* Illegal opcode 0x14: NOP aa,X */
</v>
      </c>
      <c r="S22" s="28" t="str">
        <f t="shared" si="3"/>
        <v xml:space="preserve">    {"NOP", true , AM_ZIX, 4, 0},</v>
      </c>
    </row>
    <row r="23" spans="1:19" ht="89.25" hidden="1" x14ac:dyDescent="0.25">
      <c r="A23" s="22">
        <v>21</v>
      </c>
      <c r="B23" s="22" t="s">
        <v>18</v>
      </c>
      <c r="C23" s="22">
        <v>0</v>
      </c>
      <c r="D23" s="22" t="s">
        <v>134</v>
      </c>
      <c r="E23" s="22" t="str">
        <f t="shared" si="0"/>
        <v>15</v>
      </c>
      <c r="F23" s="22" t="str">
        <f t="shared" si="2"/>
        <v>15</v>
      </c>
      <c r="G23" s="22" t="str">
        <f>_xlfn.IFNA(VLOOKUP(D23,AccessModes!$D$2:$E$14,2,FALSE),"AM_IMP")</f>
        <v>AM_ZIX</v>
      </c>
      <c r="H23" s="22">
        <v>4</v>
      </c>
      <c r="I23" s="22">
        <v>0</v>
      </c>
      <c r="J23" s="22" t="str">
        <f>$J$3</f>
        <v>value</v>
      </c>
      <c r="K23" s="22" t="str">
        <f>$K$3</f>
        <v>cpu.A</v>
      </c>
      <c r="L23" s="22" t="str">
        <f>$L$3</f>
        <v/>
      </c>
      <c r="M23" s="22" t="str">
        <f>IF(LEN(J23)&gt;0,indent&amp;J23&amp;" = "&amp;VLOOKUP($G23,AccessModes!$E$2:$I$14,4,FALSE),"")</f>
        <v xml:space="preserve">            value = memory_getZeroPageIndexedX();</v>
      </c>
      <c r="N23" s="26" t="str">
        <f>$N$3</f>
        <v xml:space="preserve">            cpu.A |= value;</v>
      </c>
      <c r="O23" s="26" t="str">
        <f t="shared" si="1"/>
        <v xml:space="preserve">            cpu.PS_N = ((cpu.A &amp; 0x80) != 0);
            cpu.PS_Z = (cpu.A == 0);</v>
      </c>
      <c r="P23" s="22" t="str">
        <f>IF(LEN(L23)&gt;0,indent&amp;IF(L23="LAST",AccessModes!$I$16&amp;J23,VLOOKUP($G23,AccessModes!$E$2:$I$14,5,FALSE)&amp;L23)&amp;");","")</f>
        <v/>
      </c>
      <c r="Q23" s="22"/>
      <c r="R23" s="26" t="str">
        <f>IF(C23=0,indent0&amp;"case 0x"&amp;F23&amp;": /* "&amp;B23&amp;" "&amp;VLOOKUP(G23,AccessModes!$E$2:$G$14,3,FALSE)&amp;" */"&amp;newline&amp;indent&amp;"cpu.cycles = "&amp;H23&amp;";"&amp;newline&amp;IF(LEN(M23)&gt;0,M23&amp;CHAR(10),"")&amp;IF(LEN(N23)&gt;0,N23&amp;newline,"")&amp;IF(LEN(O23)&gt;0,O23&amp;newline,"")&amp;IF(LEN(P23)&gt;0,P23&amp;newline,"")&amp;IF(LEN(Q23)&gt;0,Q23&amp;newline,"")&amp;indent&amp;"break;",indent0&amp;"/* Illegal opcode 0x"&amp;F23&amp;": "&amp;B23&amp;" "&amp;VLOOKUP(G23,AccessModes!$E$2:$G$14,3,FALSE)&amp;" */"&amp;newline)</f>
        <v xml:space="preserve">        case 0x15: /* ORA aa,X */
            cpu.cycles = 4;
            value = memory_getZeroPageIndexedX();
            cpu.A |= value;
            cpu.PS_N = ((cpu.A &amp; 0x80) != 0);
            cpu.PS_Z = (cpu.A == 0);
            break;</v>
      </c>
      <c r="S23" s="22" t="str">
        <f t="shared" si="3"/>
        <v xml:space="preserve">    {"ORA", false, AM_ZIX, 4, 0},</v>
      </c>
    </row>
    <row r="24" spans="1:19" ht="114.75" hidden="1" x14ac:dyDescent="0.25">
      <c r="A24" s="22">
        <v>22</v>
      </c>
      <c r="B24" s="22" t="s">
        <v>25</v>
      </c>
      <c r="C24" s="22">
        <v>0</v>
      </c>
      <c r="D24" s="22" t="s">
        <v>134</v>
      </c>
      <c r="E24" s="22" t="str">
        <f t="shared" si="0"/>
        <v>16</v>
      </c>
      <c r="F24" s="22" t="str">
        <f t="shared" si="2"/>
        <v>16</v>
      </c>
      <c r="G24" s="22" t="str">
        <f>_xlfn.IFNA(VLOOKUP(D24,AccessModes!$D$2:$E$14,2,FALSE),"AM_IMP")</f>
        <v>AM_ZIX</v>
      </c>
      <c r="H24" s="22">
        <v>6</v>
      </c>
      <c r="I24" s="22">
        <v>0</v>
      </c>
      <c r="J24" s="22" t="str">
        <f>$J$8</f>
        <v>value</v>
      </c>
      <c r="K24" s="22" t="str">
        <f>$K$8</f>
        <v>value</v>
      </c>
      <c r="L24" s="22" t="str">
        <f>$L$8</f>
        <v>LAST</v>
      </c>
      <c r="M24" s="22" t="str">
        <f>IF(LEN(J24)&gt;0,indent&amp;J24&amp;" = "&amp;VLOOKUP($G24,AccessModes!$E$2:$I$14,4,FALSE),"")</f>
        <v xml:space="preserve">            value = memory_getZeroPageIndexedX();</v>
      </c>
      <c r="N24" s="26" t="str">
        <f>$N$8</f>
        <v xml:space="preserve">            cpu.PS_C = ((value &amp; 0x80) != 0);
            value &lt;&lt;= 1;</v>
      </c>
      <c r="O24" s="26" t="str">
        <f t="shared" si="1"/>
        <v xml:space="preserve">            cpu.PS_N = ((value &amp; 0x80) != 0);
            cpu.PS_Z = (value == 0);</v>
      </c>
      <c r="P24" s="22" t="str">
        <f>IF(LEN(L24)&gt;0,indent&amp;IF(L24="LAST",AccessModes!$I$16&amp;J24,VLOOKUP($G24,AccessModes!$E$2:$I$14,5,FALSE)&amp;L24)&amp;");","")</f>
        <v xml:space="preserve">            memory_setLast(value);</v>
      </c>
      <c r="Q24" s="22"/>
      <c r="R24" s="26" t="str">
        <f>IF(C24=0,indent0&amp;"case 0x"&amp;F24&amp;": /* "&amp;B24&amp;" "&amp;VLOOKUP(G24,AccessModes!$E$2:$G$14,3,FALSE)&amp;" */"&amp;newline&amp;indent&amp;"cpu.cycles = "&amp;H24&amp;";"&amp;newline&amp;IF(LEN(M24)&gt;0,M24&amp;CHAR(10),"")&amp;IF(LEN(N24)&gt;0,N24&amp;newline,"")&amp;IF(LEN(O24)&gt;0,O24&amp;newline,"")&amp;IF(LEN(P24)&gt;0,P24&amp;newline,"")&amp;IF(LEN(Q24)&gt;0,Q24&amp;newline,"")&amp;indent&amp;"break;",indent0&amp;"/* Illegal opcode 0x"&amp;F24&amp;": "&amp;B24&amp;" "&amp;VLOOKUP(G24,AccessModes!$E$2:$G$14,3,FALSE)&amp;" */"&amp;newline)</f>
        <v xml:space="preserve">        case 0x16: /* ASL aa,X */
            cpu.cycles = 6;
            value = memory_getZeroPageIndexedX();
            cpu.PS_C = ((value &amp; 0x80) != 0);
            value &lt;&lt;= 1;
            cpu.PS_N = ((value &amp; 0x80) != 0);
            cpu.PS_Z = (value == 0);
            memory_setLast(value);
            break;</v>
      </c>
      <c r="S24" s="22" t="str">
        <f t="shared" si="3"/>
        <v xml:space="preserve">    {"ASL", false, AM_ZIX, 6, 0},</v>
      </c>
    </row>
    <row r="25" spans="1:19" ht="25.5" hidden="1" x14ac:dyDescent="0.25">
      <c r="A25" s="28">
        <v>23</v>
      </c>
      <c r="B25" s="28" t="s">
        <v>21</v>
      </c>
      <c r="C25" s="28">
        <v>-1</v>
      </c>
      <c r="D25" s="28" t="s">
        <v>134</v>
      </c>
      <c r="E25" s="28" t="str">
        <f t="shared" si="0"/>
        <v>17</v>
      </c>
      <c r="F25" s="28" t="str">
        <f t="shared" si="2"/>
        <v>17</v>
      </c>
      <c r="G25" s="28" t="str">
        <f>_xlfn.IFNA(VLOOKUP(D25,AccessModes!$D$2:$E$14,2,FALSE),"AM_IMP")</f>
        <v>AM_ZIX</v>
      </c>
      <c r="H25" s="28">
        <v>6</v>
      </c>
      <c r="I25" s="28">
        <v>0</v>
      </c>
      <c r="J25" s="28"/>
      <c r="K25" s="28"/>
      <c r="L25" s="28"/>
      <c r="M25" s="28" t="str">
        <f>IF(LEN(J25)&gt;0,indent&amp;J25&amp;" = "&amp;VLOOKUP($G25,AccessModes!$E$2:$I$14,4,FALSE),"")</f>
        <v/>
      </c>
      <c r="N25" s="29" t="str">
        <f>indent&amp;"/* TODO: implementation of the action */"</f>
        <v xml:space="preserve">            /* TODO: implementation of the action */</v>
      </c>
      <c r="O25" s="29" t="str">
        <f t="shared" si="1"/>
        <v/>
      </c>
      <c r="P25" s="28" t="str">
        <f>IF(LEN(L25)&gt;0,indent&amp;IF(L25="LAST",AccessModes!$I$16&amp;J25,VLOOKUP($G25,AccessModes!$E$2:$I$14,5,FALSE)&amp;L25)&amp;");","")</f>
        <v/>
      </c>
      <c r="Q25" s="28"/>
      <c r="R25" s="29" t="str">
        <f>IF(C25=0,indent0&amp;"case 0x"&amp;F25&amp;": /* "&amp;B25&amp;" "&amp;VLOOKUP(G25,AccessModes!$E$2:$G$14,3,FALSE)&amp;" */"&amp;newline&amp;indent&amp;"cpu.cycles = "&amp;H25&amp;";"&amp;newline&amp;IF(LEN(M25)&gt;0,M25&amp;CHAR(10),"")&amp;IF(LEN(N25)&gt;0,N25&amp;newline,"")&amp;IF(LEN(O25)&gt;0,O25&amp;newline,"")&amp;IF(LEN(P25)&gt;0,P25&amp;newline,"")&amp;IF(LEN(Q25)&gt;0,Q25&amp;newline,"")&amp;indent&amp;"break;",indent0&amp;"/* Illegal opcode 0x"&amp;F25&amp;": "&amp;B25&amp;" "&amp;VLOOKUP(G25,AccessModes!$E$2:$G$14,3,FALSE)&amp;" */"&amp;newline)</f>
        <v xml:space="preserve">        /* Illegal opcode 0x17: SLO aa,X */
</v>
      </c>
      <c r="S25" s="28" t="str">
        <f t="shared" si="3"/>
        <v xml:space="preserve">    {"SLO", true , AM_ZIX, 6, 0},</v>
      </c>
    </row>
    <row r="26" spans="1:19" ht="51" hidden="1" x14ac:dyDescent="0.25">
      <c r="A26" s="22">
        <v>24</v>
      </c>
      <c r="B26" s="22" t="s">
        <v>39</v>
      </c>
      <c r="C26" s="22">
        <v>0</v>
      </c>
      <c r="D26" s="22" t="s">
        <v>139</v>
      </c>
      <c r="E26" s="22" t="str">
        <f t="shared" si="0"/>
        <v>18</v>
      </c>
      <c r="F26" s="22" t="str">
        <f t="shared" si="2"/>
        <v>18</v>
      </c>
      <c r="G26" s="22" t="str">
        <f>_xlfn.IFNA(VLOOKUP(D26,AccessModes!$D$2:$E$14,2,FALSE),"AM_IMP")</f>
        <v>AM_IMP</v>
      </c>
      <c r="H26" s="22">
        <v>2</v>
      </c>
      <c r="I26" s="22">
        <v>0</v>
      </c>
      <c r="J26" s="24"/>
      <c r="K26" s="24"/>
      <c r="L26" s="24"/>
      <c r="M26" s="22" t="str">
        <f>IF(LEN(J26)&gt;0,indent&amp;J26&amp;" = "&amp;VLOOKUP($G26,AccessModes!$E$2:$I$14,4,FALSE),"")</f>
        <v/>
      </c>
      <c r="N26" s="25" t="str">
        <f>indent&amp;"cpu.PS_C = false;"</f>
        <v xml:space="preserve">            cpu.PS_C = false;</v>
      </c>
      <c r="O26" s="26" t="str">
        <f t="shared" si="1"/>
        <v/>
      </c>
      <c r="P26" s="22" t="str">
        <f>IF(LEN(L26)&gt;0,indent&amp;IF(L26="LAST",AccessModes!$I$16&amp;J26,VLOOKUP($G26,AccessModes!$E$2:$I$14,5,FALSE)&amp;L26)&amp;");","")</f>
        <v/>
      </c>
      <c r="Q26" s="22"/>
      <c r="R26" s="26" t="str">
        <f>IF(C26=0,indent0&amp;"case 0x"&amp;F26&amp;": /* "&amp;B26&amp;" "&amp;VLOOKUP(G26,AccessModes!$E$2:$G$14,3,FALSE)&amp;" */"&amp;newline&amp;indent&amp;"cpu.cycles = "&amp;H26&amp;";"&amp;newline&amp;IF(LEN(M26)&gt;0,M26&amp;CHAR(10),"")&amp;IF(LEN(N26)&gt;0,N26&amp;newline,"")&amp;IF(LEN(O26)&gt;0,O26&amp;newline,"")&amp;IF(LEN(P26)&gt;0,P26&amp;newline,"")&amp;IF(LEN(Q26)&gt;0,Q26&amp;newline,"")&amp;indent&amp;"break;",indent0&amp;"/* Illegal opcode 0x"&amp;F26&amp;": "&amp;B26&amp;" "&amp;VLOOKUP(G26,AccessModes!$E$2:$G$14,3,FALSE)&amp;" */"&amp;newline)</f>
        <v xml:space="preserve">        case 0x18: /* CLC  */
            cpu.cycles = 2;
            cpu.PS_C = false;
            break;</v>
      </c>
      <c r="S26" s="22" t="str">
        <f t="shared" si="3"/>
        <v xml:space="preserve">    {"CLC", false, AM_IMP, 2, 0},</v>
      </c>
    </row>
    <row r="27" spans="1:19" ht="89.25" hidden="1" x14ac:dyDescent="0.25">
      <c r="A27" s="22">
        <v>25</v>
      </c>
      <c r="B27" s="22" t="s">
        <v>18</v>
      </c>
      <c r="C27" s="22">
        <v>0</v>
      </c>
      <c r="D27" s="22" t="s">
        <v>135</v>
      </c>
      <c r="E27" s="22" t="str">
        <f t="shared" si="0"/>
        <v>19</v>
      </c>
      <c r="F27" s="22" t="str">
        <f t="shared" si="2"/>
        <v>19</v>
      </c>
      <c r="G27" s="22" t="str">
        <f>_xlfn.IFNA(VLOOKUP(D27,AccessModes!$D$2:$E$14,2,FALSE),"AM_IMP")</f>
        <v>AM_AIY</v>
      </c>
      <c r="H27" s="22">
        <v>4</v>
      </c>
      <c r="I27" s="22">
        <v>1</v>
      </c>
      <c r="J27" s="22" t="str">
        <f>$J$3</f>
        <v>value</v>
      </c>
      <c r="K27" s="22" t="str">
        <f>$K$3</f>
        <v>cpu.A</v>
      </c>
      <c r="L27" s="22" t="str">
        <f>$L$3</f>
        <v/>
      </c>
      <c r="M27" s="22" t="str">
        <f>IF(LEN(J27)&gt;0,indent&amp;J27&amp;" = "&amp;VLOOKUP($G27,AccessModes!$E$2:$I$14,4,FALSE),"")</f>
        <v xml:space="preserve">            value = memory_getAbsoluteIndexedY();</v>
      </c>
      <c r="N27" s="26" t="str">
        <f>$N$3</f>
        <v xml:space="preserve">            cpu.A |= value;</v>
      </c>
      <c r="O27" s="26" t="str">
        <f t="shared" si="1"/>
        <v xml:space="preserve">            cpu.PS_N = ((cpu.A &amp; 0x80) != 0);
            cpu.PS_Z = (cpu.A == 0);</v>
      </c>
      <c r="P27" s="22" t="str">
        <f>IF(LEN(L27)&gt;0,indent&amp;IF(L27="LAST",AccessModes!$I$16&amp;J27,VLOOKUP($G27,AccessModes!$E$2:$I$14,5,FALSE)&amp;L27)&amp;");","")</f>
        <v/>
      </c>
      <c r="Q27" s="22"/>
      <c r="R27" s="26" t="str">
        <f>IF(C27=0,indent0&amp;"case 0x"&amp;F27&amp;": /* "&amp;B27&amp;" "&amp;VLOOKUP(G27,AccessModes!$E$2:$G$14,3,FALSE)&amp;" */"&amp;newline&amp;indent&amp;"cpu.cycles = "&amp;H27&amp;";"&amp;newline&amp;IF(LEN(M27)&gt;0,M27&amp;CHAR(10),"")&amp;IF(LEN(N27)&gt;0,N27&amp;newline,"")&amp;IF(LEN(O27)&gt;0,O27&amp;newline,"")&amp;IF(LEN(P27)&gt;0,P27&amp;newline,"")&amp;IF(LEN(Q27)&gt;0,Q27&amp;newline,"")&amp;indent&amp;"break;",indent0&amp;"/* Illegal opcode 0x"&amp;F27&amp;": "&amp;B27&amp;" "&amp;VLOOKUP(G27,AccessModes!$E$2:$G$14,3,FALSE)&amp;" */"&amp;newline)</f>
        <v xml:space="preserve">        case 0x19: /* ORA aaaa,Y */
            cpu.cycles = 4;
            value = memory_getAbsoluteIndexedY();
            cpu.A |= value;
            cpu.PS_N = ((cpu.A &amp; 0x80) != 0);
            cpu.PS_Z = (cpu.A == 0);
            break;</v>
      </c>
      <c r="S27" s="22" t="str">
        <f t="shared" si="3"/>
        <v xml:space="preserve">    {"ORA", false, AM_AIY, 4, 1},</v>
      </c>
    </row>
    <row r="28" spans="1:19" ht="25.5" hidden="1" x14ac:dyDescent="0.25">
      <c r="A28" s="28">
        <v>26</v>
      </c>
      <c r="B28" s="28" t="s">
        <v>23</v>
      </c>
      <c r="C28" s="28">
        <v>-1</v>
      </c>
      <c r="D28" s="28" t="s">
        <v>139</v>
      </c>
      <c r="E28" s="28" t="str">
        <f t="shared" si="0"/>
        <v>1A</v>
      </c>
      <c r="F28" s="28" t="str">
        <f t="shared" si="2"/>
        <v>1A</v>
      </c>
      <c r="G28" s="28" t="str">
        <f>_xlfn.IFNA(VLOOKUP(D28,AccessModes!$D$2:$E$14,2,FALSE),"AM_IMP")</f>
        <v>AM_IMP</v>
      </c>
      <c r="H28" s="28">
        <v>2</v>
      </c>
      <c r="I28" s="28">
        <v>0</v>
      </c>
      <c r="J28" s="28"/>
      <c r="K28" s="28"/>
      <c r="L28" s="28"/>
      <c r="M28" s="28" t="str">
        <f>IF(LEN(J28)&gt;0,indent&amp;J28&amp;" = "&amp;VLOOKUP($G28,AccessModes!$E$2:$I$14,4,FALSE),"")</f>
        <v/>
      </c>
      <c r="N28" s="29" t="str">
        <f>indent&amp;"/* TODO: implementation of the action */"</f>
        <v xml:space="preserve">            /* TODO: implementation of the action */</v>
      </c>
      <c r="O28" s="29" t="str">
        <f t="shared" si="1"/>
        <v/>
      </c>
      <c r="P28" s="28" t="str">
        <f>IF(LEN(L28)&gt;0,indent&amp;IF(L28="LAST",AccessModes!$I$16&amp;J28,VLOOKUP($G28,AccessModes!$E$2:$I$14,5,FALSE)&amp;L28)&amp;");","")</f>
        <v/>
      </c>
      <c r="Q28" s="28"/>
      <c r="R28" s="29" t="str">
        <f>IF(C28=0,indent0&amp;"case 0x"&amp;F28&amp;": /* "&amp;B28&amp;" "&amp;VLOOKUP(G28,AccessModes!$E$2:$G$14,3,FALSE)&amp;" */"&amp;newline&amp;indent&amp;"cpu.cycles = "&amp;H28&amp;";"&amp;newline&amp;IF(LEN(M28)&gt;0,M28&amp;CHAR(10),"")&amp;IF(LEN(N28)&gt;0,N28&amp;newline,"")&amp;IF(LEN(O28)&gt;0,O28&amp;newline,"")&amp;IF(LEN(P28)&gt;0,P28&amp;newline,"")&amp;IF(LEN(Q28)&gt;0,Q28&amp;newline,"")&amp;indent&amp;"break;",indent0&amp;"/* Illegal opcode 0x"&amp;F28&amp;": "&amp;B28&amp;" "&amp;VLOOKUP(G28,AccessModes!$E$2:$G$14,3,FALSE)&amp;" */"&amp;newline)</f>
        <v xml:space="preserve">        /* Illegal opcode 0x1A: NOP  */
</v>
      </c>
      <c r="S28" s="28" t="str">
        <f t="shared" si="3"/>
        <v xml:space="preserve">    {"NOP", true , AM_IMP, 2, 0},</v>
      </c>
    </row>
    <row r="29" spans="1:19" ht="25.5" hidden="1" x14ac:dyDescent="0.25">
      <c r="A29" s="28">
        <v>27</v>
      </c>
      <c r="B29" s="28" t="s">
        <v>21</v>
      </c>
      <c r="C29" s="28">
        <v>-1</v>
      </c>
      <c r="D29" s="28" t="s">
        <v>135</v>
      </c>
      <c r="E29" s="28" t="str">
        <f t="shared" si="0"/>
        <v>1B</v>
      </c>
      <c r="F29" s="28" t="str">
        <f t="shared" si="2"/>
        <v>1B</v>
      </c>
      <c r="G29" s="28" t="str">
        <f>_xlfn.IFNA(VLOOKUP(D29,AccessModes!$D$2:$E$14,2,FALSE),"AM_IMP")</f>
        <v>AM_AIY</v>
      </c>
      <c r="H29" s="28">
        <v>7</v>
      </c>
      <c r="I29" s="28">
        <v>0</v>
      </c>
      <c r="J29" s="28"/>
      <c r="K29" s="28"/>
      <c r="L29" s="28"/>
      <c r="M29" s="28" t="str">
        <f>IF(LEN(J29)&gt;0,indent&amp;J29&amp;" = "&amp;VLOOKUP($G29,AccessModes!$E$2:$I$14,4,FALSE),"")</f>
        <v/>
      </c>
      <c r="N29" s="29" t="str">
        <f>indent&amp;"/* TODO: implementation of the action */"</f>
        <v xml:space="preserve">            /* TODO: implementation of the action */</v>
      </c>
      <c r="O29" s="29" t="str">
        <f t="shared" si="1"/>
        <v/>
      </c>
      <c r="P29" s="28" t="str">
        <f>IF(LEN(L29)&gt;0,indent&amp;IF(L29="LAST",AccessModes!$I$16&amp;J29,VLOOKUP($G29,AccessModes!$E$2:$I$14,5,FALSE)&amp;L29)&amp;");","")</f>
        <v/>
      </c>
      <c r="Q29" s="28"/>
      <c r="R29" s="29" t="str">
        <f>IF(C29=0,indent0&amp;"case 0x"&amp;F29&amp;": /* "&amp;B29&amp;" "&amp;VLOOKUP(G29,AccessModes!$E$2:$G$14,3,FALSE)&amp;" */"&amp;newline&amp;indent&amp;"cpu.cycles = "&amp;H29&amp;";"&amp;newline&amp;IF(LEN(M29)&gt;0,M29&amp;CHAR(10),"")&amp;IF(LEN(N29)&gt;0,N29&amp;newline,"")&amp;IF(LEN(O29)&gt;0,O29&amp;newline,"")&amp;IF(LEN(P29)&gt;0,P29&amp;newline,"")&amp;IF(LEN(Q29)&gt;0,Q29&amp;newline,"")&amp;indent&amp;"break;",indent0&amp;"/* Illegal opcode 0x"&amp;F29&amp;": "&amp;B29&amp;" "&amp;VLOOKUP(G29,AccessModes!$E$2:$G$14,3,FALSE)&amp;" */"&amp;newline)</f>
        <v xml:space="preserve">        /* Illegal opcode 0x1B: SLO aaaa,Y */
</v>
      </c>
      <c r="S29" s="28" t="str">
        <f t="shared" si="3"/>
        <v xml:space="preserve">    {"SLO", true , AM_AIY, 7, 0},</v>
      </c>
    </row>
    <row r="30" spans="1:19" ht="25.5" hidden="1" x14ac:dyDescent="0.25">
      <c r="A30" s="28">
        <v>28</v>
      </c>
      <c r="B30" s="28" t="s">
        <v>23</v>
      </c>
      <c r="C30" s="28">
        <v>-1</v>
      </c>
      <c r="D30" s="28" t="s">
        <v>136</v>
      </c>
      <c r="E30" s="28" t="str">
        <f t="shared" si="0"/>
        <v>1C</v>
      </c>
      <c r="F30" s="28" t="str">
        <f t="shared" si="2"/>
        <v>1C</v>
      </c>
      <c r="G30" s="28" t="str">
        <f>_xlfn.IFNA(VLOOKUP(D30,AccessModes!$D$2:$E$14,2,FALSE),"AM_IMP")</f>
        <v>AM_AIX</v>
      </c>
      <c r="H30" s="28">
        <v>4</v>
      </c>
      <c r="I30" s="28">
        <v>1</v>
      </c>
      <c r="J30" s="28"/>
      <c r="K30" s="28"/>
      <c r="L30" s="28"/>
      <c r="M30" s="28" t="str">
        <f>IF(LEN(J30)&gt;0,indent&amp;J30&amp;" = "&amp;VLOOKUP($G30,AccessModes!$E$2:$I$14,4,FALSE),"")</f>
        <v/>
      </c>
      <c r="N30" s="29" t="str">
        <f>indent&amp;"/* TODO: implementation of the action */"</f>
        <v xml:space="preserve">            /* TODO: implementation of the action */</v>
      </c>
      <c r="O30" s="29" t="str">
        <f t="shared" si="1"/>
        <v/>
      </c>
      <c r="P30" s="28" t="str">
        <f>IF(LEN(L30)&gt;0,indent&amp;IF(L30="LAST",AccessModes!$I$16&amp;J30,VLOOKUP($G30,AccessModes!$E$2:$I$14,5,FALSE)&amp;L30)&amp;");","")</f>
        <v/>
      </c>
      <c r="Q30" s="28"/>
      <c r="R30" s="29" t="str">
        <f>IF(C30=0,indent0&amp;"case 0x"&amp;F30&amp;": /* "&amp;B30&amp;" "&amp;VLOOKUP(G30,AccessModes!$E$2:$G$14,3,FALSE)&amp;" */"&amp;newline&amp;indent&amp;"cpu.cycles = "&amp;H30&amp;";"&amp;newline&amp;IF(LEN(M30)&gt;0,M30&amp;CHAR(10),"")&amp;IF(LEN(N30)&gt;0,N30&amp;newline,"")&amp;IF(LEN(O30)&gt;0,O30&amp;newline,"")&amp;IF(LEN(P30)&gt;0,P30&amp;newline,"")&amp;IF(LEN(Q30)&gt;0,Q30&amp;newline,"")&amp;indent&amp;"break;",indent0&amp;"/* Illegal opcode 0x"&amp;F30&amp;": "&amp;B30&amp;" "&amp;VLOOKUP(G30,AccessModes!$E$2:$G$14,3,FALSE)&amp;" */"&amp;newline)</f>
        <v xml:space="preserve">        /* Illegal opcode 0x1C: NOP aaaa,X */
</v>
      </c>
      <c r="S30" s="28" t="str">
        <f t="shared" si="3"/>
        <v xml:space="preserve">    {"NOP", true , AM_AIX, 4, 1},</v>
      </c>
    </row>
    <row r="31" spans="1:19" ht="89.25" hidden="1" x14ac:dyDescent="0.25">
      <c r="A31" s="22">
        <v>29</v>
      </c>
      <c r="B31" s="22" t="s">
        <v>18</v>
      </c>
      <c r="C31" s="22">
        <v>0</v>
      </c>
      <c r="D31" s="22" t="s">
        <v>136</v>
      </c>
      <c r="E31" s="22" t="str">
        <f t="shared" si="0"/>
        <v>1D</v>
      </c>
      <c r="F31" s="22" t="str">
        <f t="shared" si="2"/>
        <v>1D</v>
      </c>
      <c r="G31" s="22" t="str">
        <f>_xlfn.IFNA(VLOOKUP(D31,AccessModes!$D$2:$E$14,2,FALSE),"AM_IMP")</f>
        <v>AM_AIX</v>
      </c>
      <c r="H31" s="22">
        <v>4</v>
      </c>
      <c r="I31" s="22">
        <v>1</v>
      </c>
      <c r="J31" s="22" t="str">
        <f>$J$3</f>
        <v>value</v>
      </c>
      <c r="K31" s="22" t="str">
        <f>$K$3</f>
        <v>cpu.A</v>
      </c>
      <c r="L31" s="22" t="str">
        <f>$L$3</f>
        <v/>
      </c>
      <c r="M31" s="22" t="str">
        <f>IF(LEN(J31)&gt;0,indent&amp;J31&amp;" = "&amp;VLOOKUP($G31,AccessModes!$E$2:$I$14,4,FALSE),"")</f>
        <v xml:space="preserve">            value = memory_getAbsoluteIndexedX();</v>
      </c>
      <c r="N31" s="26" t="str">
        <f>$N$3</f>
        <v xml:space="preserve">            cpu.A |= value;</v>
      </c>
      <c r="O31" s="26" t="str">
        <f t="shared" si="1"/>
        <v xml:space="preserve">            cpu.PS_N = ((cpu.A &amp; 0x80) != 0);
            cpu.PS_Z = (cpu.A == 0);</v>
      </c>
      <c r="P31" s="22" t="str">
        <f>IF(LEN(L31)&gt;0,indent&amp;IF(L31="LAST",AccessModes!$I$16&amp;J31,VLOOKUP($G31,AccessModes!$E$2:$I$14,5,FALSE)&amp;L31)&amp;");","")</f>
        <v/>
      </c>
      <c r="Q31" s="22"/>
      <c r="R31" s="26" t="str">
        <f>IF(C31=0,indent0&amp;"case 0x"&amp;F31&amp;": /* "&amp;B31&amp;" "&amp;VLOOKUP(G31,AccessModes!$E$2:$G$14,3,FALSE)&amp;" */"&amp;newline&amp;indent&amp;"cpu.cycles = "&amp;H31&amp;";"&amp;newline&amp;IF(LEN(M31)&gt;0,M31&amp;CHAR(10),"")&amp;IF(LEN(N31)&gt;0,N31&amp;newline,"")&amp;IF(LEN(O31)&gt;0,O31&amp;newline,"")&amp;IF(LEN(P31)&gt;0,P31&amp;newline,"")&amp;IF(LEN(Q31)&gt;0,Q31&amp;newline,"")&amp;indent&amp;"break;",indent0&amp;"/* Illegal opcode 0x"&amp;F31&amp;": "&amp;B31&amp;" "&amp;VLOOKUP(G31,AccessModes!$E$2:$G$14,3,FALSE)&amp;" */"&amp;newline)</f>
        <v xml:space="preserve">        case 0x1D: /* ORA aaaa,X */
            cpu.cycles = 4;
            value = memory_getAbsoluteIndexedX();
            cpu.A |= value;
            cpu.PS_N = ((cpu.A &amp; 0x80) != 0);
            cpu.PS_Z = (cpu.A == 0);
            break;</v>
      </c>
      <c r="S31" s="22" t="str">
        <f t="shared" si="3"/>
        <v xml:space="preserve">    {"ORA", false, AM_AIX, 4, 1},</v>
      </c>
    </row>
    <row r="32" spans="1:19" ht="114.75" hidden="1" x14ac:dyDescent="0.25">
      <c r="A32" s="22">
        <v>30</v>
      </c>
      <c r="B32" s="22" t="s">
        <v>25</v>
      </c>
      <c r="C32" s="22">
        <v>0</v>
      </c>
      <c r="D32" s="22" t="s">
        <v>136</v>
      </c>
      <c r="E32" s="22" t="str">
        <f t="shared" si="0"/>
        <v>1E</v>
      </c>
      <c r="F32" s="22" t="str">
        <f t="shared" si="2"/>
        <v>1E</v>
      </c>
      <c r="G32" s="22" t="str">
        <f>_xlfn.IFNA(VLOOKUP(D32,AccessModes!$D$2:$E$14,2,FALSE),"AM_IMP")</f>
        <v>AM_AIX</v>
      </c>
      <c r="H32" s="22">
        <v>7</v>
      </c>
      <c r="I32" s="22">
        <v>0</v>
      </c>
      <c r="J32" s="22" t="str">
        <f>$J$8</f>
        <v>value</v>
      </c>
      <c r="K32" s="22" t="str">
        <f>$K$8</f>
        <v>value</v>
      </c>
      <c r="L32" s="22" t="str">
        <f>$L$8</f>
        <v>LAST</v>
      </c>
      <c r="M32" s="22" t="str">
        <f>IF(LEN(J32)&gt;0,indent&amp;J32&amp;" = "&amp;VLOOKUP($G32,AccessModes!$E$2:$I$14,4,FALSE),"")</f>
        <v xml:space="preserve">            value = memory_getAbsoluteIndexedX();</v>
      </c>
      <c r="N32" s="26" t="str">
        <f>$N$8</f>
        <v xml:space="preserve">            cpu.PS_C = ((value &amp; 0x80) != 0);
            value &lt;&lt;= 1;</v>
      </c>
      <c r="O32" s="26" t="str">
        <f t="shared" si="1"/>
        <v xml:space="preserve">            cpu.PS_N = ((value &amp; 0x80) != 0);
            cpu.PS_Z = (value == 0);</v>
      </c>
      <c r="P32" s="22" t="str">
        <f>IF(LEN(L32)&gt;0,indent&amp;IF(L32="LAST",AccessModes!$I$16&amp;J32,VLOOKUP($G32,AccessModes!$E$2:$I$14,5,FALSE)&amp;L32)&amp;");","")</f>
        <v xml:space="preserve">            memory_setLast(value);</v>
      </c>
      <c r="Q32" s="22"/>
      <c r="R32" s="26" t="str">
        <f>IF(C32=0,indent0&amp;"case 0x"&amp;F32&amp;": /* "&amp;B32&amp;" "&amp;VLOOKUP(G32,AccessModes!$E$2:$G$14,3,FALSE)&amp;" */"&amp;newline&amp;indent&amp;"cpu.cycles = "&amp;H32&amp;";"&amp;newline&amp;IF(LEN(M32)&gt;0,M32&amp;CHAR(10),"")&amp;IF(LEN(N32)&gt;0,N32&amp;newline,"")&amp;IF(LEN(O32)&gt;0,O32&amp;newline,"")&amp;IF(LEN(P32)&gt;0,P32&amp;newline,"")&amp;IF(LEN(Q32)&gt;0,Q32&amp;newline,"")&amp;indent&amp;"break;",indent0&amp;"/* Illegal opcode 0x"&amp;F32&amp;": "&amp;B32&amp;" "&amp;VLOOKUP(G32,AccessModes!$E$2:$G$14,3,FALSE)&amp;" */"&amp;newline)</f>
        <v xml:space="preserve">        case 0x1E: /* ASL aaaa,X */
            cpu.cycles = 7;
            value = memory_getAbsoluteIndexedX();
            cpu.PS_C = ((value &amp; 0x80) != 0);
            value &lt;&lt;= 1;
            cpu.PS_N = ((value &amp; 0x80) != 0);
            cpu.PS_Z = (value == 0);
            memory_setLast(value);
            break;</v>
      </c>
      <c r="S32" s="22" t="str">
        <f t="shared" si="3"/>
        <v xml:space="preserve">    {"ASL", false, AM_AIX, 7, 0},</v>
      </c>
    </row>
    <row r="33" spans="1:19" ht="25.5" hidden="1" x14ac:dyDescent="0.25">
      <c r="A33" s="28">
        <v>31</v>
      </c>
      <c r="B33" s="28" t="s">
        <v>21</v>
      </c>
      <c r="C33" s="28">
        <v>-1</v>
      </c>
      <c r="D33" s="28" t="s">
        <v>136</v>
      </c>
      <c r="E33" s="28" t="str">
        <f t="shared" si="0"/>
        <v>1F</v>
      </c>
      <c r="F33" s="28" t="str">
        <f t="shared" si="2"/>
        <v>1F</v>
      </c>
      <c r="G33" s="28" t="str">
        <f>_xlfn.IFNA(VLOOKUP(D33,AccessModes!$D$2:$E$14,2,FALSE),"AM_IMP")</f>
        <v>AM_AIX</v>
      </c>
      <c r="H33" s="28">
        <v>7</v>
      </c>
      <c r="I33" s="28">
        <v>0</v>
      </c>
      <c r="J33" s="28"/>
      <c r="K33" s="28"/>
      <c r="L33" s="28"/>
      <c r="M33" s="28" t="str">
        <f>IF(LEN(J33)&gt;0,indent&amp;J33&amp;" = "&amp;VLOOKUP($G33,AccessModes!$E$2:$I$14,4,FALSE),"")</f>
        <v/>
      </c>
      <c r="N33" s="29" t="str">
        <f>indent&amp;"/* TODO: implementation of the action */"</f>
        <v xml:space="preserve">            /* TODO: implementation of the action */</v>
      </c>
      <c r="O33" s="29" t="str">
        <f t="shared" si="1"/>
        <v/>
      </c>
      <c r="P33" s="28" t="str">
        <f>IF(LEN(L33)&gt;0,indent&amp;IF(L33="LAST",AccessModes!$I$16&amp;J33,VLOOKUP($G33,AccessModes!$E$2:$I$14,5,FALSE)&amp;L33)&amp;");","")</f>
        <v/>
      </c>
      <c r="Q33" s="28"/>
      <c r="R33" s="29" t="str">
        <f>IF(C33=0,indent0&amp;"case 0x"&amp;F33&amp;": /* "&amp;B33&amp;" "&amp;VLOOKUP(G33,AccessModes!$E$2:$G$14,3,FALSE)&amp;" */"&amp;newline&amp;indent&amp;"cpu.cycles = "&amp;H33&amp;";"&amp;newline&amp;IF(LEN(M33)&gt;0,M33&amp;CHAR(10),"")&amp;IF(LEN(N33)&gt;0,N33&amp;newline,"")&amp;IF(LEN(O33)&gt;0,O33&amp;newline,"")&amp;IF(LEN(P33)&gt;0,P33&amp;newline,"")&amp;IF(LEN(Q33)&gt;0,Q33&amp;newline,"")&amp;indent&amp;"break;",indent0&amp;"/* Illegal opcode 0x"&amp;F33&amp;": "&amp;B33&amp;" "&amp;VLOOKUP(G33,AccessModes!$E$2:$G$14,3,FALSE)&amp;" */"&amp;newline)</f>
        <v xml:space="preserve">        /* Illegal opcode 0x1F: SLO aaaa,X */
</v>
      </c>
      <c r="S33" s="28" t="str">
        <f t="shared" si="3"/>
        <v xml:space="preserve">    {"SLO", true , AM_AIX, 7, 0},</v>
      </c>
    </row>
    <row r="34" spans="1:19" ht="76.5" hidden="1" x14ac:dyDescent="0.25">
      <c r="A34" s="22">
        <v>32</v>
      </c>
      <c r="B34" s="22" t="s">
        <v>45</v>
      </c>
      <c r="C34" s="22">
        <v>0</v>
      </c>
      <c r="D34" s="22" t="s">
        <v>245</v>
      </c>
      <c r="E34" s="22" t="str">
        <f t="shared" si="0"/>
        <v>20</v>
      </c>
      <c r="F34" s="22" t="str">
        <f t="shared" si="2"/>
        <v>20</v>
      </c>
      <c r="G34" s="22" t="str">
        <f>_xlfn.IFNA(VLOOKUP(D34,AccessModes!$D$2:$E$14,2,FALSE),"AM_IMP")</f>
        <v>AM_ABA</v>
      </c>
      <c r="H34" s="22">
        <v>6</v>
      </c>
      <c r="I34" s="22">
        <v>0</v>
      </c>
      <c r="J34" s="24" t="s">
        <v>240</v>
      </c>
      <c r="K34" s="24"/>
      <c r="L34" s="24"/>
      <c r="M34" s="22" t="str">
        <f>IF(LEN(J34)&gt;0,indent&amp;J34&amp;" = "&amp;VLOOKUP($G34,AccessModes!$E$2:$I$14,4,FALSE),"")</f>
        <v xml:space="preserve">            value_w = memory_getAbsoluteAddress();</v>
      </c>
      <c r="N34" s="25" t="str">
        <f>indent&amp;"memory_stackPushAddress(cpu.PC - 1);"&amp;newline&amp;indent&amp;"cpu.PC = "&amp;J34&amp;";"</f>
        <v xml:space="preserve">            memory_stackPushAddress(cpu.PC - 1);
            cpu.PC = value_w;</v>
      </c>
      <c r="O34" s="26" t="str">
        <f t="shared" si="1"/>
        <v/>
      </c>
      <c r="P34" s="22" t="str">
        <f>IF(LEN(L34)&gt;0,indent&amp;IF(L34="LAST",AccessModes!$I$16&amp;J34,VLOOKUP($G34,AccessModes!$E$2:$I$14,5,FALSE)&amp;L34)&amp;");","")</f>
        <v/>
      </c>
      <c r="Q34" s="22"/>
      <c r="R34" s="26" t="str">
        <f>IF(C34=0,indent0&amp;"case 0x"&amp;F34&amp;": /* "&amp;B34&amp;" "&amp;VLOOKUP(G34,AccessModes!$E$2:$G$14,3,FALSE)&amp;" */"&amp;newline&amp;indent&amp;"cpu.cycles = "&amp;H34&amp;";"&amp;newline&amp;IF(LEN(M34)&gt;0,M34&amp;CHAR(10),"")&amp;IF(LEN(N34)&gt;0,N34&amp;newline,"")&amp;IF(LEN(O34)&gt;0,O34&amp;newline,"")&amp;IF(LEN(P34)&gt;0,P34&amp;newline,"")&amp;IF(LEN(Q34)&gt;0,Q34&amp;newline,"")&amp;indent&amp;"break;",indent0&amp;"/* Illegal opcode 0x"&amp;F34&amp;": "&amp;B34&amp;" "&amp;VLOOKUP(G34,AccessModes!$E$2:$G$14,3,FALSE)&amp;" */"&amp;newline)</f>
        <v xml:space="preserve">        case 0x20: /* JSR aaaa */
            cpu.cycles = 6;
            value_w = memory_getAbsoluteAddress();
            memory_stackPushAddress(cpu.PC - 1);
            cpu.PC = value_w;
            break;</v>
      </c>
      <c r="S34" s="22" t="str">
        <f t="shared" si="3"/>
        <v xml:space="preserve">    {"JSR", false, AM_ABA, 6, 0},</v>
      </c>
    </row>
    <row r="35" spans="1:19" ht="89.25" hidden="1" x14ac:dyDescent="0.25">
      <c r="A35" s="22">
        <v>33</v>
      </c>
      <c r="B35" s="22" t="s">
        <v>46</v>
      </c>
      <c r="C35" s="22">
        <v>0</v>
      </c>
      <c r="D35" s="22" t="s">
        <v>129</v>
      </c>
      <c r="E35" s="22" t="str">
        <f t="shared" si="0"/>
        <v>21</v>
      </c>
      <c r="F35" s="22" t="str">
        <f t="shared" si="2"/>
        <v>21</v>
      </c>
      <c r="G35" s="22" t="str">
        <f>_xlfn.IFNA(VLOOKUP(D35,AccessModes!$D$2:$E$14,2,FALSE),"AM_IMP")</f>
        <v>AM_IIX</v>
      </c>
      <c r="H35" s="22">
        <v>6</v>
      </c>
      <c r="I35" s="22">
        <v>0</v>
      </c>
      <c r="J35" s="24" t="s">
        <v>224</v>
      </c>
      <c r="K35" s="24" t="s">
        <v>215</v>
      </c>
      <c r="L35" s="24" t="str">
        <f>""</f>
        <v/>
      </c>
      <c r="M35" s="22" t="str">
        <f>IF(LEN(J35)&gt;0,indent&amp;J35&amp;" = "&amp;VLOOKUP($G35,AccessModes!$E$2:$I$14,4,FALSE),"")</f>
        <v xml:space="preserve">            value = memory_getIndexedIndirectX();</v>
      </c>
      <c r="N35" s="25" t="str">
        <f>indent&amp;K35&amp;" &amp;= value;"</f>
        <v xml:space="preserve">            cpu.A &amp;= value;</v>
      </c>
      <c r="O35" s="26" t="str">
        <f t="shared" si="1"/>
        <v xml:space="preserve">            cpu.PS_N = ((cpu.A &amp; 0x80) != 0);
            cpu.PS_Z = (cpu.A == 0);</v>
      </c>
      <c r="P35" s="22" t="str">
        <f>IF(LEN(L35)&gt;0,indent&amp;IF(L35="LAST",AccessModes!$I$16&amp;J35,VLOOKUP($G35,AccessModes!$E$2:$I$14,5,FALSE)&amp;L35)&amp;");","")</f>
        <v/>
      </c>
      <c r="Q35" s="22"/>
      <c r="R35" s="26" t="str">
        <f>IF(C35=0,indent0&amp;"case 0x"&amp;F35&amp;": /* "&amp;B35&amp;" "&amp;VLOOKUP(G35,AccessModes!$E$2:$G$14,3,FALSE)&amp;" */"&amp;newline&amp;indent&amp;"cpu.cycles = "&amp;H35&amp;";"&amp;newline&amp;IF(LEN(M35)&gt;0,M35&amp;CHAR(10),"")&amp;IF(LEN(N35)&gt;0,N35&amp;newline,"")&amp;IF(LEN(O35)&gt;0,O35&amp;newline,"")&amp;IF(LEN(P35)&gt;0,P35&amp;newline,"")&amp;IF(LEN(Q35)&gt;0,Q35&amp;newline,"")&amp;indent&amp;"break;",indent0&amp;"/* Illegal opcode 0x"&amp;F35&amp;": "&amp;B35&amp;" "&amp;VLOOKUP(G35,AccessModes!$E$2:$G$14,3,FALSE)&amp;" */"&amp;newline)</f>
        <v xml:space="preserve">        case 0x21: /* AND (aa,X) */
            cpu.cycles = 6;
            value = memory_getIndexedIndirectX();
            cpu.A &amp;= value;
            cpu.PS_N = ((cpu.A &amp; 0x80) != 0);
            cpu.PS_Z = (cpu.A == 0);
            break;</v>
      </c>
      <c r="S35" s="22" t="str">
        <f t="shared" si="3"/>
        <v xml:space="preserve">    {"AND", false, AM_IIX, 6, 0},</v>
      </c>
    </row>
    <row r="36" spans="1:19" ht="25.5" hidden="1" x14ac:dyDescent="0.25">
      <c r="A36" s="28">
        <v>34</v>
      </c>
      <c r="B36" s="28" t="s">
        <v>20</v>
      </c>
      <c r="C36" s="28">
        <v>-1</v>
      </c>
      <c r="D36" s="28"/>
      <c r="E36" s="28" t="str">
        <f t="shared" si="0"/>
        <v>22</v>
      </c>
      <c r="F36" s="28" t="str">
        <f t="shared" si="2"/>
        <v>22</v>
      </c>
      <c r="G36" s="28" t="str">
        <f>_xlfn.IFNA(VLOOKUP(D36,AccessModes!$D$2:$E$14,2,FALSE),"AM_IMP")</f>
        <v>AM_IMP</v>
      </c>
      <c r="H36" s="28">
        <v>0</v>
      </c>
      <c r="I36" s="28">
        <v>0</v>
      </c>
      <c r="J36" s="28"/>
      <c r="K36" s="28"/>
      <c r="L36" s="28"/>
      <c r="M36" s="28" t="str">
        <f>IF(LEN(J36)&gt;0,indent&amp;J36&amp;" = "&amp;VLOOKUP($G36,AccessModes!$E$2:$I$14,4,FALSE),"")</f>
        <v/>
      </c>
      <c r="N36" s="29" t="str">
        <f>indent&amp;"/* TODO: implementation of the action */"</f>
        <v xml:space="preserve">            /* TODO: implementation of the action */</v>
      </c>
      <c r="O36" s="29" t="str">
        <f t="shared" si="1"/>
        <v/>
      </c>
      <c r="P36" s="28" t="str">
        <f>IF(LEN(L36)&gt;0,indent&amp;IF(L36="LAST",AccessModes!$I$16&amp;J36,VLOOKUP($G36,AccessModes!$E$2:$I$14,5,FALSE)&amp;L36)&amp;");","")</f>
        <v/>
      </c>
      <c r="Q36" s="28"/>
      <c r="R36" s="29" t="str">
        <f>IF(C36=0,indent0&amp;"case 0x"&amp;F36&amp;": /* "&amp;B36&amp;" "&amp;VLOOKUP(G36,AccessModes!$E$2:$G$14,3,FALSE)&amp;" */"&amp;newline&amp;indent&amp;"cpu.cycles = "&amp;H36&amp;";"&amp;newline&amp;IF(LEN(M36)&gt;0,M36&amp;CHAR(10),"")&amp;IF(LEN(N36)&gt;0,N36&amp;newline,"")&amp;IF(LEN(O36)&gt;0,O36&amp;newline,"")&amp;IF(LEN(P36)&gt;0,P36&amp;newline,"")&amp;IF(LEN(Q36)&gt;0,Q36&amp;newline,"")&amp;indent&amp;"break;",indent0&amp;"/* Illegal opcode 0x"&amp;F36&amp;": "&amp;B36&amp;" "&amp;VLOOKUP(G36,AccessModes!$E$2:$G$14,3,FALSE)&amp;" */"&amp;newline)</f>
        <v xml:space="preserve">        /* Illegal opcode 0x22: KIL  */
</v>
      </c>
      <c r="S36" s="28" t="str">
        <f t="shared" si="3"/>
        <v xml:space="preserve">    {"KIL", true , AM_IMP, 0, 0},</v>
      </c>
    </row>
    <row r="37" spans="1:19" ht="25.5" hidden="1" x14ac:dyDescent="0.25">
      <c r="A37" s="28">
        <v>35</v>
      </c>
      <c r="B37" s="28" t="s">
        <v>47</v>
      </c>
      <c r="C37" s="28">
        <v>-1</v>
      </c>
      <c r="D37" s="28" t="s">
        <v>129</v>
      </c>
      <c r="E37" s="28" t="str">
        <f t="shared" si="0"/>
        <v>23</v>
      </c>
      <c r="F37" s="28" t="str">
        <f t="shared" si="2"/>
        <v>23</v>
      </c>
      <c r="G37" s="28" t="str">
        <f>_xlfn.IFNA(VLOOKUP(D37,AccessModes!$D$2:$E$14,2,FALSE),"AM_IMP")</f>
        <v>AM_IIX</v>
      </c>
      <c r="H37" s="28">
        <v>8</v>
      </c>
      <c r="I37" s="28">
        <v>0</v>
      </c>
      <c r="J37" s="28"/>
      <c r="K37" s="28"/>
      <c r="L37" s="28"/>
      <c r="M37" s="28" t="str">
        <f>IF(LEN(J37)&gt;0,indent&amp;J37&amp;" = "&amp;VLOOKUP($G37,AccessModes!$E$2:$I$14,4,FALSE),"")</f>
        <v/>
      </c>
      <c r="N37" s="29" t="str">
        <f>indent&amp;"/* TODO: implementation of the action */"</f>
        <v xml:space="preserve">            /* TODO: implementation of the action */</v>
      </c>
      <c r="O37" s="29" t="str">
        <f t="shared" si="1"/>
        <v/>
      </c>
      <c r="P37" s="28" t="str">
        <f>IF(LEN(L37)&gt;0,indent&amp;IF(L37="LAST",AccessModes!$I$16&amp;J37,VLOOKUP($G37,AccessModes!$E$2:$I$14,5,FALSE)&amp;L37)&amp;");","")</f>
        <v/>
      </c>
      <c r="Q37" s="28"/>
      <c r="R37" s="29" t="str">
        <f>IF(C37=0,indent0&amp;"case 0x"&amp;F37&amp;": /* "&amp;B37&amp;" "&amp;VLOOKUP(G37,AccessModes!$E$2:$G$14,3,FALSE)&amp;" */"&amp;newline&amp;indent&amp;"cpu.cycles = "&amp;H37&amp;";"&amp;newline&amp;IF(LEN(M37)&gt;0,M37&amp;CHAR(10),"")&amp;IF(LEN(N37)&gt;0,N37&amp;newline,"")&amp;IF(LEN(O37)&gt;0,O37&amp;newline,"")&amp;IF(LEN(P37)&gt;0,P37&amp;newline,"")&amp;IF(LEN(Q37)&gt;0,Q37&amp;newline,"")&amp;indent&amp;"break;",indent0&amp;"/* Illegal opcode 0x"&amp;F37&amp;": "&amp;B37&amp;" "&amp;VLOOKUP(G37,AccessModes!$E$2:$G$14,3,FALSE)&amp;" */"&amp;newline)</f>
        <v xml:space="preserve">        /* Illegal opcode 0x23: RLA (aa,X) */
</v>
      </c>
      <c r="S37" s="28" t="str">
        <f t="shared" si="3"/>
        <v xml:space="preserve">    {"RLA", true , AM_IIX, 8, 0},</v>
      </c>
    </row>
    <row r="38" spans="1:19" ht="89.25" hidden="1" x14ac:dyDescent="0.25">
      <c r="A38" s="22">
        <v>36</v>
      </c>
      <c r="B38" s="22" t="s">
        <v>48</v>
      </c>
      <c r="C38" s="22">
        <v>0</v>
      </c>
      <c r="D38" s="22" t="s">
        <v>144</v>
      </c>
      <c r="E38" s="22" t="str">
        <f t="shared" si="0"/>
        <v>24</v>
      </c>
      <c r="F38" s="22" t="str">
        <f t="shared" si="2"/>
        <v>24</v>
      </c>
      <c r="G38" s="22" t="str">
        <f>_xlfn.IFNA(VLOOKUP(D38,AccessModes!$D$2:$E$14,2,FALSE),"AM_IMP")</f>
        <v>AM_ZPG</v>
      </c>
      <c r="H38" s="22">
        <v>3</v>
      </c>
      <c r="I38" s="22">
        <v>0</v>
      </c>
      <c r="J38" s="24" t="s">
        <v>224</v>
      </c>
      <c r="K38" s="24" t="str">
        <f>""</f>
        <v/>
      </c>
      <c r="L38" s="24" t="str">
        <f>""</f>
        <v/>
      </c>
      <c r="M38" s="22" t="str">
        <f>IF(LEN(J38)&gt;0,indent&amp;J38&amp;" = "&amp;VLOOKUP($G38,AccessModes!$E$2:$I$14,4,FALSE),"")</f>
        <v xml:space="preserve">            value = memory_getZeroPage();</v>
      </c>
      <c r="N38" s="25" t="str">
        <f>indent&amp;"cpu.PS_N = ((value &amp; 0x80) != 0);"&amp;newline&amp;indent&amp;"cpu.PS_V = ((value &amp; 0x40) != 0);"&amp;newline&amp;indent&amp;"cpu.PS_Z = ((value &amp; cpu.A) != 0);"</f>
        <v xml:space="preserve">            cpu.PS_N = ((value &amp; 0x80) != 0);
            cpu.PS_V = ((value &amp; 0x40) != 0);
            cpu.PS_Z = ((value &amp; cpu.A) != 0);</v>
      </c>
      <c r="O38" s="26" t="str">
        <f t="shared" si="1"/>
        <v/>
      </c>
      <c r="P38" s="22" t="str">
        <f>IF(LEN(L38)&gt;0,indent&amp;IF(L38="LAST",AccessModes!$I$16&amp;J38,VLOOKUP($G38,AccessModes!$E$2:$I$14,5,FALSE)&amp;L38)&amp;");","")</f>
        <v/>
      </c>
      <c r="Q38" s="22"/>
      <c r="R38" s="26" t="str">
        <f>IF(C38=0,indent0&amp;"case 0x"&amp;F38&amp;": /* "&amp;B38&amp;" "&amp;VLOOKUP(G38,AccessModes!$E$2:$G$14,3,FALSE)&amp;" */"&amp;newline&amp;indent&amp;"cpu.cycles = "&amp;H38&amp;";"&amp;newline&amp;IF(LEN(M38)&gt;0,M38&amp;CHAR(10),"")&amp;IF(LEN(N38)&gt;0,N38&amp;newline,"")&amp;IF(LEN(O38)&gt;0,O38&amp;newline,"")&amp;IF(LEN(P38)&gt;0,P38&amp;newline,"")&amp;IF(LEN(Q38)&gt;0,Q38&amp;newline,"")&amp;indent&amp;"break;",indent0&amp;"/* Illegal opcode 0x"&amp;F38&amp;": "&amp;B38&amp;" "&amp;VLOOKUP(G38,AccessModes!$E$2:$G$14,3,FALSE)&amp;" */"&amp;newline)</f>
        <v xml:space="preserve">        case 0x24: /* BIT aa */
            cpu.cycles = 3;
            value = memory_getZeroPage();
            cpu.PS_N = ((value &amp; 0x80) != 0);
            cpu.PS_V = ((value &amp; 0x40) != 0);
            cpu.PS_Z = ((value &amp; cpu.A) != 0);
            break;</v>
      </c>
      <c r="S38" s="22" t="str">
        <f t="shared" si="3"/>
        <v xml:space="preserve">    {"BIT", false, AM_ZPG, 3, 0},</v>
      </c>
    </row>
    <row r="39" spans="1:19" ht="89.25" hidden="1" x14ac:dyDescent="0.25">
      <c r="A39" s="22">
        <v>37</v>
      </c>
      <c r="B39" s="22" t="s">
        <v>46</v>
      </c>
      <c r="C39" s="22">
        <v>0</v>
      </c>
      <c r="D39" s="22" t="s">
        <v>144</v>
      </c>
      <c r="E39" s="22" t="str">
        <f t="shared" si="0"/>
        <v>25</v>
      </c>
      <c r="F39" s="22" t="str">
        <f t="shared" si="2"/>
        <v>25</v>
      </c>
      <c r="G39" s="22" t="str">
        <f>_xlfn.IFNA(VLOOKUP(D39,AccessModes!$D$2:$E$14,2,FALSE),"AM_IMP")</f>
        <v>AM_ZPG</v>
      </c>
      <c r="H39" s="22">
        <v>3</v>
      </c>
      <c r="I39" s="22">
        <v>0</v>
      </c>
      <c r="J39" s="22" t="str">
        <f>$J$35</f>
        <v>value</v>
      </c>
      <c r="K39" s="22" t="str">
        <f>$K$35</f>
        <v>cpu.A</v>
      </c>
      <c r="L39" s="22" t="str">
        <f>$L$35</f>
        <v/>
      </c>
      <c r="M39" s="22" t="str">
        <f>IF(LEN(J39)&gt;0,indent&amp;J39&amp;" = "&amp;VLOOKUP($G39,AccessModes!$E$2:$I$14,4,FALSE),"")</f>
        <v xml:space="preserve">            value = memory_getZeroPage();</v>
      </c>
      <c r="N39" s="26" t="str">
        <f>$N$35</f>
        <v xml:space="preserve">            cpu.A &amp;= value;</v>
      </c>
      <c r="O39" s="26" t="str">
        <f t="shared" si="1"/>
        <v xml:space="preserve">            cpu.PS_N = ((cpu.A &amp; 0x80) != 0);
            cpu.PS_Z = (cpu.A == 0);</v>
      </c>
      <c r="P39" s="22" t="str">
        <f>IF(LEN(L39)&gt;0,indent&amp;IF(L39="LAST",AccessModes!$I$16&amp;J39,VLOOKUP($G39,AccessModes!$E$2:$I$14,5,FALSE)&amp;L39)&amp;");","")</f>
        <v/>
      </c>
      <c r="Q39" s="22"/>
      <c r="R39" s="26" t="str">
        <f>IF(C39=0,indent0&amp;"case 0x"&amp;F39&amp;": /* "&amp;B39&amp;" "&amp;VLOOKUP(G39,AccessModes!$E$2:$G$14,3,FALSE)&amp;" */"&amp;newline&amp;indent&amp;"cpu.cycles = "&amp;H39&amp;";"&amp;newline&amp;IF(LEN(M39)&gt;0,M39&amp;CHAR(10),"")&amp;IF(LEN(N39)&gt;0,N39&amp;newline,"")&amp;IF(LEN(O39)&gt;0,O39&amp;newline,"")&amp;IF(LEN(P39)&gt;0,P39&amp;newline,"")&amp;IF(LEN(Q39)&gt;0,Q39&amp;newline,"")&amp;indent&amp;"break;",indent0&amp;"/* Illegal opcode 0x"&amp;F39&amp;": "&amp;B39&amp;" "&amp;VLOOKUP(G39,AccessModes!$E$2:$G$14,3,FALSE)&amp;" */"&amp;newline)</f>
        <v xml:space="preserve">        case 0x25: /* AND aa */
            cpu.cycles = 3;
            value = memory_getZeroPage();
            cpu.A &amp;= value;
            cpu.PS_N = ((cpu.A &amp; 0x80) != 0);
            cpu.PS_Z = (cpu.A == 0);
            break;</v>
      </c>
      <c r="S39" s="22" t="str">
        <f t="shared" si="3"/>
        <v xml:space="preserve">    {"AND", false, AM_ZPG, 3, 0},</v>
      </c>
    </row>
    <row r="40" spans="1:19" ht="127.5" hidden="1" x14ac:dyDescent="0.25">
      <c r="A40" s="22">
        <v>38</v>
      </c>
      <c r="B40" s="22" t="s">
        <v>49</v>
      </c>
      <c r="C40" s="22">
        <v>0</v>
      </c>
      <c r="D40" s="22" t="s">
        <v>144</v>
      </c>
      <c r="E40" s="22" t="str">
        <f t="shared" si="0"/>
        <v>26</v>
      </c>
      <c r="F40" s="22" t="str">
        <f t="shared" si="2"/>
        <v>26</v>
      </c>
      <c r="G40" s="22" t="str">
        <f>_xlfn.IFNA(VLOOKUP(D40,AccessModes!$D$2:$E$14,2,FALSE),"AM_IMP")</f>
        <v>AM_ZPG</v>
      </c>
      <c r="H40" s="22">
        <v>5</v>
      </c>
      <c r="I40" s="22">
        <v>0</v>
      </c>
      <c r="J40" s="24" t="str">
        <f>K40</f>
        <v>value</v>
      </c>
      <c r="K40" s="24" t="s">
        <v>224</v>
      </c>
      <c r="L40" s="24" t="s">
        <v>227</v>
      </c>
      <c r="M40" s="22" t="str">
        <f>IF(LEN(J40)&gt;0,indent&amp;J40&amp;" = "&amp;VLOOKUP($G40,AccessModes!$E$2:$I$14,4,FALSE),"")</f>
        <v xml:space="preserve">            value = memory_getZeroPage();</v>
      </c>
      <c r="N40" s="25" t="str">
        <f>indent&amp;"tmp_PS_C = cpu.PS_C;"&amp; newline &amp; indent&amp;"cpu.PS_C = (("&amp; K40 &amp; " &amp; 0x80) != 0);"&amp; newline &amp; indent &amp; K40 &amp;" = (value &lt;&lt; 1) | (byte)tmp_PS_C;"</f>
        <v xml:space="preserve">            tmp_PS_C = cpu.PS_C;
            cpu.PS_C = ((value &amp; 0x80) != 0);
            value = (value &lt;&lt; 1) | (byte)tmp_PS_C;</v>
      </c>
      <c r="O40" s="26" t="str">
        <f t="shared" si="1"/>
        <v xml:space="preserve">            cpu.PS_N = ((value &amp; 0x80) != 0);
            cpu.PS_Z = (value == 0);</v>
      </c>
      <c r="P40" s="22" t="str">
        <f>IF(LEN(L40)&gt;0,indent&amp;IF(L40="LAST",AccessModes!$I$16&amp;J40,VLOOKUP($G40,AccessModes!$E$2:$I$14,5,FALSE)&amp;L40)&amp;");","")</f>
        <v xml:space="preserve">            memory_setLast(value);</v>
      </c>
      <c r="Q40" s="22"/>
      <c r="R40" s="26" t="str">
        <f>IF(C40=0,indent0&amp;"case 0x"&amp;F40&amp;": /* "&amp;B40&amp;" "&amp;VLOOKUP(G40,AccessModes!$E$2:$G$14,3,FALSE)&amp;" */"&amp;newline&amp;indent&amp;"cpu.cycles = "&amp;H40&amp;";"&amp;newline&amp;IF(LEN(M40)&gt;0,M40&amp;CHAR(10),"")&amp;IF(LEN(N40)&gt;0,N40&amp;newline,"")&amp;IF(LEN(O40)&gt;0,O40&amp;newline,"")&amp;IF(LEN(P40)&gt;0,P40&amp;newline,"")&amp;IF(LEN(Q40)&gt;0,Q40&amp;newline,"")&amp;indent&amp;"break;",indent0&amp;"/* Illegal opcode 0x"&amp;F40&amp;": "&amp;B40&amp;" "&amp;VLOOKUP(G40,AccessModes!$E$2:$G$14,3,FALSE)&amp;" */"&amp;newline)</f>
        <v xml:space="preserve">        case 0x26: /* ROL aa */
            cpu.cycles = 5;
            value = memory_getZeroPage();
            tmp_PS_C = cpu.PS_C;
            cpu.PS_C = ((value &amp; 0x80) != 0);
            value = (value &lt;&lt; 1) | (byte)tmp_PS_C;
            cpu.PS_N = ((value &amp; 0x80) != 0);
            cpu.PS_Z = (value == 0);
            memory_setLast(value);
            break;</v>
      </c>
      <c r="S40" s="22" t="str">
        <f t="shared" si="3"/>
        <v xml:space="preserve">    {"ROL", false, AM_ZPG, 5, 0},</v>
      </c>
    </row>
    <row r="41" spans="1:19" ht="25.5" hidden="1" x14ac:dyDescent="0.25">
      <c r="A41" s="28">
        <v>39</v>
      </c>
      <c r="B41" s="28" t="s">
        <v>47</v>
      </c>
      <c r="C41" s="28">
        <v>-1</v>
      </c>
      <c r="D41" s="28" t="s">
        <v>144</v>
      </c>
      <c r="E41" s="28" t="str">
        <f t="shared" si="0"/>
        <v>27</v>
      </c>
      <c r="F41" s="28" t="str">
        <f t="shared" si="2"/>
        <v>27</v>
      </c>
      <c r="G41" s="28" t="str">
        <f>_xlfn.IFNA(VLOOKUP(D41,AccessModes!$D$2:$E$14,2,FALSE),"AM_IMP")</f>
        <v>AM_ZPG</v>
      </c>
      <c r="H41" s="28">
        <v>5</v>
      </c>
      <c r="I41" s="28">
        <v>0</v>
      </c>
      <c r="J41" s="28"/>
      <c r="K41" s="28"/>
      <c r="L41" s="28"/>
      <c r="M41" s="28" t="str">
        <f>IF(LEN(J41)&gt;0,indent&amp;J41&amp;" = "&amp;VLOOKUP($G41,AccessModes!$E$2:$I$14,4,FALSE),"")</f>
        <v/>
      </c>
      <c r="N41" s="29" t="str">
        <f>indent&amp;"/* TODO: implementation of the action */"</f>
        <v xml:space="preserve">            /* TODO: implementation of the action */</v>
      </c>
      <c r="O41" s="29" t="str">
        <f t="shared" si="1"/>
        <v/>
      </c>
      <c r="P41" s="28" t="str">
        <f>IF(LEN(L41)&gt;0,indent&amp;IF(L41="LAST",AccessModes!$I$16&amp;J41,VLOOKUP($G41,AccessModes!$E$2:$I$14,5,FALSE)&amp;L41)&amp;");","")</f>
        <v/>
      </c>
      <c r="Q41" s="28"/>
      <c r="R41" s="29" t="str">
        <f>IF(C41=0,indent0&amp;"case 0x"&amp;F41&amp;": /* "&amp;B41&amp;" "&amp;VLOOKUP(G41,AccessModes!$E$2:$G$14,3,FALSE)&amp;" */"&amp;newline&amp;indent&amp;"cpu.cycles = "&amp;H41&amp;";"&amp;newline&amp;IF(LEN(M41)&gt;0,M41&amp;CHAR(10),"")&amp;IF(LEN(N41)&gt;0,N41&amp;newline,"")&amp;IF(LEN(O41)&gt;0,O41&amp;newline,"")&amp;IF(LEN(P41)&gt;0,P41&amp;newline,"")&amp;IF(LEN(Q41)&gt;0,Q41&amp;newline,"")&amp;indent&amp;"break;",indent0&amp;"/* Illegal opcode 0x"&amp;F41&amp;": "&amp;B41&amp;" "&amp;VLOOKUP(G41,AccessModes!$E$2:$G$14,3,FALSE)&amp;" */"&amp;newline)</f>
        <v xml:space="preserve">        /* Illegal opcode 0x27: RLA aa */
</v>
      </c>
      <c r="S41" s="28" t="str">
        <f t="shared" si="3"/>
        <v xml:space="preserve">    {"RLA", true , AM_ZPG, 5, 0},</v>
      </c>
    </row>
    <row r="42" spans="1:19" ht="51" hidden="1" x14ac:dyDescent="0.25">
      <c r="A42" s="22">
        <v>40</v>
      </c>
      <c r="B42" s="22" t="s">
        <v>50</v>
      </c>
      <c r="C42" s="22">
        <v>0</v>
      </c>
      <c r="D42" s="22" t="s">
        <v>139</v>
      </c>
      <c r="E42" s="22" t="str">
        <f t="shared" si="0"/>
        <v>28</v>
      </c>
      <c r="F42" s="22" t="str">
        <f t="shared" si="2"/>
        <v>28</v>
      </c>
      <c r="G42" s="22" t="str">
        <f>_xlfn.IFNA(VLOOKUP(D42,AccessModes!$D$2:$E$14,2,FALSE),"AM_IMP")</f>
        <v>AM_IMP</v>
      </c>
      <c r="H42" s="22">
        <v>4</v>
      </c>
      <c r="I42" s="22">
        <v>0</v>
      </c>
      <c r="J42" s="24"/>
      <c r="K42" s="24"/>
      <c r="L42" s="24"/>
      <c r="M42" s="22" t="str">
        <f>IF(LEN(J42)&gt;0,indent&amp;J42&amp;" = "&amp;VLOOKUP($G42,AccessModes!$E$2:$I$14,4,FALSE),"")</f>
        <v/>
      </c>
      <c r="N42" s="25" t="str">
        <f>indent&amp;"cpu_statusPull();"</f>
        <v xml:space="preserve">            cpu_statusPull();</v>
      </c>
      <c r="O42" s="26" t="str">
        <f t="shared" si="1"/>
        <v/>
      </c>
      <c r="P42" s="22" t="str">
        <f>IF(LEN(L42)&gt;0,indent&amp;IF(L42="LAST",AccessModes!$I$16&amp;J42,VLOOKUP($G42,AccessModes!$E$2:$I$14,5,FALSE)&amp;L42)&amp;");","")</f>
        <v/>
      </c>
      <c r="Q42" s="22"/>
      <c r="R42" s="26" t="str">
        <f>IF(C42=0,indent0&amp;"case 0x"&amp;F42&amp;": /* "&amp;B42&amp;" "&amp;VLOOKUP(G42,AccessModes!$E$2:$G$14,3,FALSE)&amp;" */"&amp;newline&amp;indent&amp;"cpu.cycles = "&amp;H42&amp;";"&amp;newline&amp;IF(LEN(M42)&gt;0,M42&amp;CHAR(10),"")&amp;IF(LEN(N42)&gt;0,N42&amp;newline,"")&amp;IF(LEN(O42)&gt;0,O42&amp;newline,"")&amp;IF(LEN(P42)&gt;0,P42&amp;newline,"")&amp;IF(LEN(Q42)&gt;0,Q42&amp;newline,"")&amp;indent&amp;"break;",indent0&amp;"/* Illegal opcode 0x"&amp;F42&amp;": "&amp;B42&amp;" "&amp;VLOOKUP(G42,AccessModes!$E$2:$G$14,3,FALSE)&amp;" */"&amp;newline)</f>
        <v xml:space="preserve">        case 0x28: /* PLP  */
            cpu.cycles = 4;
            cpu_statusPull();
            break;</v>
      </c>
      <c r="S42" s="22" t="str">
        <f t="shared" si="3"/>
        <v xml:space="preserve">    {"PLP", false, AM_IMP, 4, 0},</v>
      </c>
    </row>
    <row r="43" spans="1:19" ht="89.25" hidden="1" x14ac:dyDescent="0.25">
      <c r="A43" s="22">
        <v>41</v>
      </c>
      <c r="B43" s="22" t="s">
        <v>46</v>
      </c>
      <c r="C43" s="22">
        <v>0</v>
      </c>
      <c r="D43" s="22" t="s">
        <v>130</v>
      </c>
      <c r="E43" s="22" t="str">
        <f t="shared" si="0"/>
        <v>29</v>
      </c>
      <c r="F43" s="22" t="str">
        <f t="shared" si="2"/>
        <v>29</v>
      </c>
      <c r="G43" s="22" t="str">
        <f>_xlfn.IFNA(VLOOKUP(D43,AccessModes!$D$2:$E$14,2,FALSE),"AM_IMP")</f>
        <v>AM_IMM</v>
      </c>
      <c r="H43" s="22">
        <v>2</v>
      </c>
      <c r="I43" s="22">
        <v>0</v>
      </c>
      <c r="J43" s="22" t="str">
        <f>$J$35</f>
        <v>value</v>
      </c>
      <c r="K43" s="22" t="str">
        <f>$K$35</f>
        <v>cpu.A</v>
      </c>
      <c r="L43" s="22" t="str">
        <f>$L$35</f>
        <v/>
      </c>
      <c r="M43" s="22" t="str">
        <f>IF(LEN(J43)&gt;0,indent&amp;J43&amp;" = "&amp;VLOOKUP($G43,AccessModes!$E$2:$I$14,4,FALSE),"")</f>
        <v xml:space="preserve">            value = memory_getImmediate();</v>
      </c>
      <c r="N43" s="26" t="str">
        <f>$N$35</f>
        <v xml:space="preserve">            cpu.A &amp;= value;</v>
      </c>
      <c r="O43" s="26" t="str">
        <f t="shared" si="1"/>
        <v xml:space="preserve">            cpu.PS_N = ((cpu.A &amp; 0x80) != 0);
            cpu.PS_Z = (cpu.A == 0);</v>
      </c>
      <c r="P43" s="22" t="str">
        <f>IF(LEN(L43)&gt;0,indent&amp;IF(L43="LAST",AccessModes!$I$16&amp;J43,VLOOKUP($G43,AccessModes!$E$2:$I$14,5,FALSE)&amp;L43)&amp;");","")</f>
        <v/>
      </c>
      <c r="Q43" s="22"/>
      <c r="R43" s="26" t="str">
        <f>IF(C43=0,indent0&amp;"case 0x"&amp;F43&amp;": /* "&amp;B43&amp;" "&amp;VLOOKUP(G43,AccessModes!$E$2:$G$14,3,FALSE)&amp;" */"&amp;newline&amp;indent&amp;"cpu.cycles = "&amp;H43&amp;";"&amp;newline&amp;IF(LEN(M43)&gt;0,M43&amp;CHAR(10),"")&amp;IF(LEN(N43)&gt;0,N43&amp;newline,"")&amp;IF(LEN(O43)&gt;0,O43&amp;newline,"")&amp;IF(LEN(P43)&gt;0,P43&amp;newline,"")&amp;IF(LEN(Q43)&gt;0,Q43&amp;newline,"")&amp;indent&amp;"break;",indent0&amp;"/* Illegal opcode 0x"&amp;F43&amp;": "&amp;B43&amp;" "&amp;VLOOKUP(G43,AccessModes!$E$2:$G$14,3,FALSE)&amp;" */"&amp;newline)</f>
        <v xml:space="preserve">        case 0x29: /* AND #aa */
            cpu.cycles = 2;
            value = memory_getImmediate();
            cpu.A &amp;= value;
            cpu.PS_N = ((cpu.A &amp; 0x80) != 0);
            cpu.PS_Z = (cpu.A == 0);
            break;</v>
      </c>
      <c r="S43" s="22" t="str">
        <f t="shared" si="3"/>
        <v xml:space="preserve">    {"AND", false, AM_IMM, 2, 0},</v>
      </c>
    </row>
    <row r="44" spans="1:19" ht="102" hidden="1" x14ac:dyDescent="0.25">
      <c r="A44" s="22">
        <v>42</v>
      </c>
      <c r="B44" s="22" t="s">
        <v>49</v>
      </c>
      <c r="C44" s="22">
        <v>0</v>
      </c>
      <c r="D44" s="22" t="s">
        <v>139</v>
      </c>
      <c r="E44" s="22" t="str">
        <f t="shared" si="0"/>
        <v>2A</v>
      </c>
      <c r="F44" s="22" t="str">
        <f t="shared" si="2"/>
        <v>2A</v>
      </c>
      <c r="G44" s="22" t="str">
        <f>_xlfn.IFNA(VLOOKUP(D44,AccessModes!$D$2:$E$14,2,FALSE),"AM_IMP")</f>
        <v>AM_IMP</v>
      </c>
      <c r="H44" s="22">
        <v>2</v>
      </c>
      <c r="I44" s="22">
        <v>0</v>
      </c>
      <c r="J44" s="24" t="str">
        <f>""</f>
        <v/>
      </c>
      <c r="K44" s="24" t="s">
        <v>215</v>
      </c>
      <c r="L44" s="24" t="str">
        <f>""</f>
        <v/>
      </c>
      <c r="M44" s="22" t="str">
        <f>IF(LEN(J44)&gt;0,indent&amp;J44&amp;" = "&amp;VLOOKUP($G44,AccessModes!$E$2:$I$14,4,FALSE),"")</f>
        <v/>
      </c>
      <c r="N44" s="25" t="str">
        <f>indent&amp;"tmp_PS_C = cpu.PS_C;"&amp; newline &amp; indent&amp;"cpu.PS_C = (("&amp; K44 &amp; " &amp; 0x80) != 0);"&amp; newline &amp; indent &amp; K44 &amp;" = (value &lt;&lt; 1) | (byte)tmp_PS_C;"</f>
        <v xml:space="preserve">            tmp_PS_C = cpu.PS_C;
            cpu.PS_C = ((cpu.A &amp; 0x80) != 0);
            cpu.A = (value &lt;&lt; 1) | (byte)tmp_PS_C;</v>
      </c>
      <c r="O44" s="26" t="str">
        <f t="shared" si="1"/>
        <v xml:space="preserve">            cpu.PS_N = ((cpu.A &amp; 0x80) != 0);
            cpu.PS_Z = (cpu.A == 0);</v>
      </c>
      <c r="P44" s="22" t="str">
        <f>IF(LEN(L44)&gt;0,indent&amp;IF(L44="LAST",AccessModes!$I$16&amp;J44,VLOOKUP($G44,AccessModes!$E$2:$I$14,5,FALSE)&amp;L44)&amp;");","")</f>
        <v/>
      </c>
      <c r="Q44" s="22"/>
      <c r="R44" s="26" t="str">
        <f>IF(C44=0,indent0&amp;"case 0x"&amp;F44&amp;": /* "&amp;B44&amp;" "&amp;VLOOKUP(G44,AccessModes!$E$2:$G$14,3,FALSE)&amp;" */"&amp;newline&amp;indent&amp;"cpu.cycles = "&amp;H44&amp;";"&amp;newline&amp;IF(LEN(M44)&gt;0,M44&amp;CHAR(10),"")&amp;IF(LEN(N44)&gt;0,N44&amp;newline,"")&amp;IF(LEN(O44)&gt;0,O44&amp;newline,"")&amp;IF(LEN(P44)&gt;0,P44&amp;newline,"")&amp;IF(LEN(Q44)&gt;0,Q44&amp;newline,"")&amp;indent&amp;"break;",indent0&amp;"/* Illegal opcode 0x"&amp;F44&amp;": "&amp;B44&amp;" "&amp;VLOOKUP(G44,AccessModes!$E$2:$G$14,3,FALSE)&amp;" */"&amp;newline)</f>
        <v xml:space="preserve">        case 0x2A: /* ROL  */
            cpu.cycles = 2;
            tmp_PS_C = cpu.PS_C;
            cpu.PS_C = ((cpu.A &amp; 0x80) != 0);
            cpu.A = (value &lt;&lt; 1) | (byte)tmp_PS_C;
            cpu.PS_N = ((cpu.A &amp; 0x80) != 0);
            cpu.PS_Z = (cpu.A == 0);
            break;</v>
      </c>
      <c r="S44" s="22" t="str">
        <f t="shared" si="3"/>
        <v xml:space="preserve">    {"ROL", false, AM_IMP, 2, 0},</v>
      </c>
    </row>
    <row r="45" spans="1:19" ht="25.5" hidden="1" x14ac:dyDescent="0.25">
      <c r="A45" s="28">
        <v>43</v>
      </c>
      <c r="B45" s="28" t="s">
        <v>29</v>
      </c>
      <c r="C45" s="28">
        <v>-1</v>
      </c>
      <c r="D45" s="28" t="s">
        <v>130</v>
      </c>
      <c r="E45" s="28" t="str">
        <f t="shared" si="0"/>
        <v>2B</v>
      </c>
      <c r="F45" s="28" t="str">
        <f t="shared" si="2"/>
        <v>2B</v>
      </c>
      <c r="G45" s="28" t="str">
        <f>_xlfn.IFNA(VLOOKUP(D45,AccessModes!$D$2:$E$14,2,FALSE),"AM_IMP")</f>
        <v>AM_IMM</v>
      </c>
      <c r="H45" s="28">
        <v>2</v>
      </c>
      <c r="I45" s="28">
        <v>0</v>
      </c>
      <c r="J45" s="28"/>
      <c r="K45" s="28"/>
      <c r="L45" s="28"/>
      <c r="M45" s="28" t="str">
        <f>IF(LEN(J45)&gt;0,indent&amp;J45&amp;" = "&amp;VLOOKUP($G45,AccessModes!$E$2:$I$14,4,FALSE),"")</f>
        <v/>
      </c>
      <c r="N45" s="29" t="str">
        <f>indent&amp;"/* TODO: implementation of the action */"</f>
        <v xml:space="preserve">            /* TODO: implementation of the action */</v>
      </c>
      <c r="O45" s="29" t="str">
        <f t="shared" si="1"/>
        <v/>
      </c>
      <c r="P45" s="28" t="str">
        <f>IF(LEN(L45)&gt;0,indent&amp;IF(L45="LAST",AccessModes!$I$16&amp;J45,VLOOKUP($G45,AccessModes!$E$2:$I$14,5,FALSE)&amp;L45)&amp;");","")</f>
        <v/>
      </c>
      <c r="Q45" s="28"/>
      <c r="R45" s="29" t="str">
        <f>IF(C45=0,indent0&amp;"case 0x"&amp;F45&amp;": /* "&amp;B45&amp;" "&amp;VLOOKUP(G45,AccessModes!$E$2:$G$14,3,FALSE)&amp;" */"&amp;newline&amp;indent&amp;"cpu.cycles = "&amp;H45&amp;";"&amp;newline&amp;IF(LEN(M45)&gt;0,M45&amp;CHAR(10),"")&amp;IF(LEN(N45)&gt;0,N45&amp;newline,"")&amp;IF(LEN(O45)&gt;0,O45&amp;newline,"")&amp;IF(LEN(P45)&gt;0,P45&amp;newline,"")&amp;IF(LEN(Q45)&gt;0,Q45&amp;newline,"")&amp;indent&amp;"break;",indent0&amp;"/* Illegal opcode 0x"&amp;F45&amp;": "&amp;B45&amp;" "&amp;VLOOKUP(G45,AccessModes!$E$2:$G$14,3,FALSE)&amp;" */"&amp;newline)</f>
        <v xml:space="preserve">        /* Illegal opcode 0x2B: ANC #aa */
</v>
      </c>
      <c r="S45" s="28" t="str">
        <f t="shared" si="3"/>
        <v xml:space="preserve">    {"ANC", true , AM_IMM, 2, 0},</v>
      </c>
    </row>
    <row r="46" spans="1:19" ht="89.25" hidden="1" x14ac:dyDescent="0.25">
      <c r="A46" s="22">
        <v>44</v>
      </c>
      <c r="B46" s="22" t="s">
        <v>48</v>
      </c>
      <c r="C46" s="22">
        <v>0</v>
      </c>
      <c r="D46" s="22" t="s">
        <v>131</v>
      </c>
      <c r="E46" s="22" t="str">
        <f t="shared" si="0"/>
        <v>2C</v>
      </c>
      <c r="F46" s="22" t="str">
        <f t="shared" si="2"/>
        <v>2C</v>
      </c>
      <c r="G46" s="22" t="str">
        <f>_xlfn.IFNA(VLOOKUP(D46,AccessModes!$D$2:$E$14,2,FALSE),"AM_IMP")</f>
        <v>AM_ABS</v>
      </c>
      <c r="H46" s="22">
        <v>4</v>
      </c>
      <c r="I46" s="22">
        <v>0</v>
      </c>
      <c r="J46" s="22" t="str">
        <f>$J$38</f>
        <v>value</v>
      </c>
      <c r="K46" s="22" t="str">
        <f>$K$38</f>
        <v/>
      </c>
      <c r="L46" s="22" t="str">
        <f>$L$38</f>
        <v/>
      </c>
      <c r="M46" s="22" t="str">
        <f>IF(LEN(J46)&gt;0,indent&amp;J46&amp;" = "&amp;VLOOKUP($G46,AccessModes!$E$2:$I$14,4,FALSE),"")</f>
        <v xml:space="preserve">            value = memory_getAbsolute();</v>
      </c>
      <c r="N46" s="26" t="str">
        <f>$N$38</f>
        <v xml:space="preserve">            cpu.PS_N = ((value &amp; 0x80) != 0);
            cpu.PS_V = ((value &amp; 0x40) != 0);
            cpu.PS_Z = ((value &amp; cpu.A) != 0);</v>
      </c>
      <c r="O46" s="26" t="str">
        <f t="shared" si="1"/>
        <v/>
      </c>
      <c r="P46" s="22" t="str">
        <f>IF(LEN(L46)&gt;0,indent&amp;IF(L46="LAST",AccessModes!$I$16&amp;J46,VLOOKUP($G46,AccessModes!$E$2:$I$14,5,FALSE)&amp;L46)&amp;");","")</f>
        <v/>
      </c>
      <c r="Q46" s="22"/>
      <c r="R46" s="26" t="str">
        <f>IF(C46=0,indent0&amp;"case 0x"&amp;F46&amp;": /* "&amp;B46&amp;" "&amp;VLOOKUP(G46,AccessModes!$E$2:$G$14,3,FALSE)&amp;" */"&amp;newline&amp;indent&amp;"cpu.cycles = "&amp;H46&amp;";"&amp;newline&amp;IF(LEN(M46)&gt;0,M46&amp;CHAR(10),"")&amp;IF(LEN(N46)&gt;0,N46&amp;newline,"")&amp;IF(LEN(O46)&gt;0,O46&amp;newline,"")&amp;IF(LEN(P46)&gt;0,P46&amp;newline,"")&amp;IF(LEN(Q46)&gt;0,Q46&amp;newline,"")&amp;indent&amp;"break;",indent0&amp;"/* Illegal opcode 0x"&amp;F46&amp;": "&amp;B46&amp;" "&amp;VLOOKUP(G46,AccessModes!$E$2:$G$14,3,FALSE)&amp;" */"&amp;newline)</f>
        <v xml:space="preserve">        case 0x2C: /* BIT aaaa */
            cpu.cycles = 4;
            value = memory_getAbsolute();
            cpu.PS_N = ((value &amp; 0x80) != 0);
            cpu.PS_V = ((value &amp; 0x40) != 0);
            cpu.PS_Z = ((value &amp; cpu.A) != 0);
            break;</v>
      </c>
      <c r="S46" s="22" t="str">
        <f t="shared" si="3"/>
        <v xml:space="preserve">    {"BIT", false, AM_ABS, 4, 0},</v>
      </c>
    </row>
    <row r="47" spans="1:19" ht="89.25" hidden="1" x14ac:dyDescent="0.25">
      <c r="A47" s="22">
        <v>45</v>
      </c>
      <c r="B47" s="22" t="s">
        <v>46</v>
      </c>
      <c r="C47" s="22">
        <v>0</v>
      </c>
      <c r="D47" s="22" t="s">
        <v>131</v>
      </c>
      <c r="E47" s="22" t="str">
        <f t="shared" si="0"/>
        <v>2D</v>
      </c>
      <c r="F47" s="22" t="str">
        <f t="shared" si="2"/>
        <v>2D</v>
      </c>
      <c r="G47" s="22" t="str">
        <f>_xlfn.IFNA(VLOOKUP(D47,AccessModes!$D$2:$E$14,2,FALSE),"AM_IMP")</f>
        <v>AM_ABS</v>
      </c>
      <c r="H47" s="22">
        <v>4</v>
      </c>
      <c r="I47" s="22">
        <v>0</v>
      </c>
      <c r="J47" s="22" t="str">
        <f>$J$35</f>
        <v>value</v>
      </c>
      <c r="K47" s="22" t="str">
        <f>$K$35</f>
        <v>cpu.A</v>
      </c>
      <c r="L47" s="22" t="str">
        <f>$L$35</f>
        <v/>
      </c>
      <c r="M47" s="22" t="str">
        <f>IF(LEN(J47)&gt;0,indent&amp;J47&amp;" = "&amp;VLOOKUP($G47,AccessModes!$E$2:$I$14,4,FALSE),"")</f>
        <v xml:space="preserve">            value = memory_getAbsolute();</v>
      </c>
      <c r="N47" s="26" t="str">
        <f>$N$35</f>
        <v xml:space="preserve">            cpu.A &amp;= value;</v>
      </c>
      <c r="O47" s="26" t="str">
        <f t="shared" si="1"/>
        <v xml:space="preserve">            cpu.PS_N = ((cpu.A &amp; 0x80) != 0);
            cpu.PS_Z = (cpu.A == 0);</v>
      </c>
      <c r="P47" s="22" t="str">
        <f>IF(LEN(L47)&gt;0,indent&amp;IF(L47="LAST",AccessModes!$I$16&amp;J47,VLOOKUP($G47,AccessModes!$E$2:$I$14,5,FALSE)&amp;L47)&amp;");","")</f>
        <v/>
      </c>
      <c r="Q47" s="22"/>
      <c r="R47" s="26" t="str">
        <f>IF(C47=0,indent0&amp;"case 0x"&amp;F47&amp;": /* "&amp;B47&amp;" "&amp;VLOOKUP(G47,AccessModes!$E$2:$G$14,3,FALSE)&amp;" */"&amp;newline&amp;indent&amp;"cpu.cycles = "&amp;H47&amp;";"&amp;newline&amp;IF(LEN(M47)&gt;0,M47&amp;CHAR(10),"")&amp;IF(LEN(N47)&gt;0,N47&amp;newline,"")&amp;IF(LEN(O47)&gt;0,O47&amp;newline,"")&amp;IF(LEN(P47)&gt;0,P47&amp;newline,"")&amp;IF(LEN(Q47)&gt;0,Q47&amp;newline,"")&amp;indent&amp;"break;",indent0&amp;"/* Illegal opcode 0x"&amp;F47&amp;": "&amp;B47&amp;" "&amp;VLOOKUP(G47,AccessModes!$E$2:$G$14,3,FALSE)&amp;" */"&amp;newline)</f>
        <v xml:space="preserve">        case 0x2D: /* AND aaaa */
            cpu.cycles = 4;
            value = memory_getAbsolute();
            cpu.A &amp;= value;
            cpu.PS_N = ((cpu.A &amp; 0x80) != 0);
            cpu.PS_Z = (cpu.A == 0);
            break;</v>
      </c>
      <c r="S47" s="22" t="str">
        <f t="shared" si="3"/>
        <v xml:space="preserve">    {"AND", false, AM_ABS, 4, 0},</v>
      </c>
    </row>
    <row r="48" spans="1:19" ht="127.5" hidden="1" x14ac:dyDescent="0.25">
      <c r="A48" s="22">
        <v>46</v>
      </c>
      <c r="B48" s="22" t="s">
        <v>49</v>
      </c>
      <c r="C48" s="22">
        <v>0</v>
      </c>
      <c r="D48" s="22" t="s">
        <v>131</v>
      </c>
      <c r="E48" s="22" t="str">
        <f t="shared" si="0"/>
        <v>2E</v>
      </c>
      <c r="F48" s="22" t="str">
        <f t="shared" si="2"/>
        <v>2E</v>
      </c>
      <c r="G48" s="22" t="str">
        <f>_xlfn.IFNA(VLOOKUP(D48,AccessModes!$D$2:$E$14,2,FALSE),"AM_IMP")</f>
        <v>AM_ABS</v>
      </c>
      <c r="H48" s="22">
        <v>6</v>
      </c>
      <c r="I48" s="22">
        <v>0</v>
      </c>
      <c r="J48" s="22" t="str">
        <f>$J$40</f>
        <v>value</v>
      </c>
      <c r="K48" s="22" t="str">
        <f>$K$40</f>
        <v>value</v>
      </c>
      <c r="L48" s="22" t="str">
        <f>$L$40</f>
        <v>LAST</v>
      </c>
      <c r="M48" s="22" t="str">
        <f>IF(LEN(J48)&gt;0,indent&amp;J48&amp;" = "&amp;VLOOKUP($G48,AccessModes!$E$2:$I$14,4,FALSE),"")</f>
        <v xml:space="preserve">            value = memory_getAbsolute();</v>
      </c>
      <c r="N48" s="26" t="str">
        <f>$N$40</f>
        <v xml:space="preserve">            tmp_PS_C = cpu.PS_C;
            cpu.PS_C = ((value &amp; 0x80) != 0);
            value = (value &lt;&lt; 1) | (byte)tmp_PS_C;</v>
      </c>
      <c r="O48" s="26" t="str">
        <f t="shared" si="1"/>
        <v xml:space="preserve">            cpu.PS_N = ((value &amp; 0x80) != 0);
            cpu.PS_Z = (value == 0);</v>
      </c>
      <c r="P48" s="22" t="str">
        <f>IF(LEN(L48)&gt;0,indent&amp;IF(L48="LAST",AccessModes!$I$16&amp;J48,VLOOKUP($G48,AccessModes!$E$2:$I$14,5,FALSE)&amp;L48)&amp;");","")</f>
        <v xml:space="preserve">            memory_setLast(value);</v>
      </c>
      <c r="Q48" s="22"/>
      <c r="R48" s="26" t="str">
        <f>IF(C48=0,indent0&amp;"case 0x"&amp;F48&amp;": /* "&amp;B48&amp;" "&amp;VLOOKUP(G48,AccessModes!$E$2:$G$14,3,FALSE)&amp;" */"&amp;newline&amp;indent&amp;"cpu.cycles = "&amp;H48&amp;";"&amp;newline&amp;IF(LEN(M48)&gt;0,M48&amp;CHAR(10),"")&amp;IF(LEN(N48)&gt;0,N48&amp;newline,"")&amp;IF(LEN(O48)&gt;0,O48&amp;newline,"")&amp;IF(LEN(P48)&gt;0,P48&amp;newline,"")&amp;IF(LEN(Q48)&gt;0,Q48&amp;newline,"")&amp;indent&amp;"break;",indent0&amp;"/* Illegal opcode 0x"&amp;F48&amp;": "&amp;B48&amp;" "&amp;VLOOKUP(G48,AccessModes!$E$2:$G$14,3,FALSE)&amp;" */"&amp;newline)</f>
        <v xml:space="preserve">        case 0x2E: /* ROL aaaa */
            cpu.cycles = 6;
            value = memory_getAbsolute();
            tmp_PS_C = cpu.PS_C;
            cpu.PS_C = ((value &amp; 0x80) != 0);
            value = (value &lt;&lt; 1) | (byte)tmp_PS_C;
            cpu.PS_N = ((value &amp; 0x80) != 0);
            cpu.PS_Z = (value == 0);
            memory_setLast(value);
            break;</v>
      </c>
      <c r="S48" s="22" t="str">
        <f t="shared" si="3"/>
        <v xml:space="preserve">    {"ROL", false, AM_ABS, 6, 0},</v>
      </c>
    </row>
    <row r="49" spans="1:19" ht="25.5" hidden="1" x14ac:dyDescent="0.25">
      <c r="A49" s="28">
        <v>47</v>
      </c>
      <c r="B49" s="28" t="s">
        <v>47</v>
      </c>
      <c r="C49" s="28">
        <v>-1</v>
      </c>
      <c r="D49" s="28" t="s">
        <v>131</v>
      </c>
      <c r="E49" s="28" t="str">
        <f t="shared" si="0"/>
        <v>2F</v>
      </c>
      <c r="F49" s="28" t="str">
        <f t="shared" si="2"/>
        <v>2F</v>
      </c>
      <c r="G49" s="28" t="str">
        <f>_xlfn.IFNA(VLOOKUP(D49,AccessModes!$D$2:$E$14,2,FALSE),"AM_IMP")</f>
        <v>AM_ABS</v>
      </c>
      <c r="H49" s="28">
        <v>6</v>
      </c>
      <c r="I49" s="28">
        <v>0</v>
      </c>
      <c r="J49" s="28"/>
      <c r="K49" s="28"/>
      <c r="L49" s="28"/>
      <c r="M49" s="28" t="str">
        <f>IF(LEN(J49)&gt;0,indent&amp;J49&amp;" = "&amp;VLOOKUP($G49,AccessModes!$E$2:$I$14,4,FALSE),"")</f>
        <v/>
      </c>
      <c r="N49" s="29" t="str">
        <f>indent&amp;"/* TODO: implementation of the action */"</f>
        <v xml:space="preserve">            /* TODO: implementation of the action */</v>
      </c>
      <c r="O49" s="29" t="str">
        <f t="shared" si="1"/>
        <v/>
      </c>
      <c r="P49" s="28" t="str">
        <f>IF(LEN(L49)&gt;0,indent&amp;IF(L49="LAST",AccessModes!$I$16&amp;J49,VLOOKUP($G49,AccessModes!$E$2:$I$14,5,FALSE)&amp;L49)&amp;");","")</f>
        <v/>
      </c>
      <c r="Q49" s="28"/>
      <c r="R49" s="29" t="str">
        <f>IF(C49=0,indent0&amp;"case 0x"&amp;F49&amp;": /* "&amp;B49&amp;" "&amp;VLOOKUP(G49,AccessModes!$E$2:$G$14,3,FALSE)&amp;" */"&amp;newline&amp;indent&amp;"cpu.cycles = "&amp;H49&amp;";"&amp;newline&amp;IF(LEN(M49)&gt;0,M49&amp;CHAR(10),"")&amp;IF(LEN(N49)&gt;0,N49&amp;newline,"")&amp;IF(LEN(O49)&gt;0,O49&amp;newline,"")&amp;IF(LEN(P49)&gt;0,P49&amp;newline,"")&amp;IF(LEN(Q49)&gt;0,Q49&amp;newline,"")&amp;indent&amp;"break;",indent0&amp;"/* Illegal opcode 0x"&amp;F49&amp;": "&amp;B49&amp;" "&amp;VLOOKUP(G49,AccessModes!$E$2:$G$14,3,FALSE)&amp;" */"&amp;newline)</f>
        <v xml:space="preserve">        /* Illegal opcode 0x2F: RLA aaaa */
</v>
      </c>
      <c r="S49" s="28" t="str">
        <f t="shared" si="3"/>
        <v xml:space="preserve">    {"RLA", true , AM_ABS, 6, 0},</v>
      </c>
    </row>
    <row r="50" spans="1:19" ht="102" hidden="1" x14ac:dyDescent="0.25">
      <c r="A50" s="22">
        <v>48</v>
      </c>
      <c r="B50" s="22" t="s">
        <v>52</v>
      </c>
      <c r="C50" s="22">
        <v>0</v>
      </c>
      <c r="D50" s="22" t="s">
        <v>132</v>
      </c>
      <c r="E50" s="22" t="str">
        <f t="shared" si="0"/>
        <v>30</v>
      </c>
      <c r="F50" s="22" t="str">
        <f t="shared" si="2"/>
        <v>30</v>
      </c>
      <c r="G50" s="22" t="str">
        <f>_xlfn.IFNA(VLOOKUP(D50,AccessModes!$D$2:$E$14,2,FALSE),"AM_IMP")</f>
        <v>AM_REL</v>
      </c>
      <c r="H50" s="22">
        <v>2</v>
      </c>
      <c r="I50" s="22">
        <v>1</v>
      </c>
      <c r="J50" s="24" t="s">
        <v>240</v>
      </c>
      <c r="K50" s="24"/>
      <c r="L50" s="24"/>
      <c r="M50" s="22" t="str">
        <f>IF(LEN(J50)&gt;0,indent&amp;J50&amp;" = "&amp;VLOOKUP($G50,AccessModes!$E$2:$I$14,4,FALSE),"")</f>
        <v xml:space="preserve">            value_w = memory_getRelativeAddress();</v>
      </c>
      <c r="N50" s="25" t="str">
        <f>indent&amp;"if(cpu.PS_N) {"&amp;newline&amp;indent2&amp;"++cpu.cycles;"&amp;newline&amp;indent2&amp;"cpu.PC = "&amp;J50&amp;";"&amp;newline&amp;indent&amp;"}"</f>
        <v xml:space="preserve">            if(cpu.PS_N) {
                ++cpu.cycles;
                cpu.PC = value_w;
            }</v>
      </c>
      <c r="O50" s="26" t="str">
        <f t="shared" si="1"/>
        <v/>
      </c>
      <c r="P50" s="22" t="str">
        <f>IF(LEN(L50)&gt;0,indent&amp;IF(L50="LAST",AccessModes!$I$16&amp;J50,VLOOKUP($G50,AccessModes!$E$2:$I$14,5,FALSE)&amp;L50)&amp;");","")</f>
        <v/>
      </c>
      <c r="Q50" s="22"/>
      <c r="R50" s="26" t="str">
        <f>IF(C50=0,indent0&amp;"case 0x"&amp;F50&amp;": /* "&amp;B50&amp;" "&amp;VLOOKUP(G50,AccessModes!$E$2:$G$14,3,FALSE)&amp;" */"&amp;newline&amp;indent&amp;"cpu.cycles = "&amp;H50&amp;";"&amp;newline&amp;IF(LEN(M50)&gt;0,M50&amp;CHAR(10),"")&amp;IF(LEN(N50)&gt;0,N50&amp;newline,"")&amp;IF(LEN(O50)&gt;0,O50&amp;newline,"")&amp;IF(LEN(P50)&gt;0,P50&amp;newline,"")&amp;IF(LEN(Q50)&gt;0,Q50&amp;newline,"")&amp;indent&amp;"break;",indent0&amp;"/* Illegal opcode 0x"&amp;F50&amp;": "&amp;B50&amp;" "&amp;VLOOKUP(G50,AccessModes!$E$2:$G$14,3,FALSE)&amp;" */"&amp;newline)</f>
        <v xml:space="preserve">        case 0x30: /* BMI aaaa */
            cpu.cycles = 2;
            value_w = memory_getRelativeAddress();
            if(cpu.PS_N) {
                ++cpu.cycles;
                cpu.PC = value_w;
            }
            break;</v>
      </c>
      <c r="S50" s="22" t="str">
        <f t="shared" si="3"/>
        <v xml:space="preserve">    {"BMI", false, AM_REL, 2, 1},</v>
      </c>
    </row>
    <row r="51" spans="1:19" ht="89.25" hidden="1" x14ac:dyDescent="0.25">
      <c r="A51" s="22">
        <v>49</v>
      </c>
      <c r="B51" s="22" t="s">
        <v>46</v>
      </c>
      <c r="C51" s="22">
        <v>0</v>
      </c>
      <c r="D51" s="22" t="s">
        <v>133</v>
      </c>
      <c r="E51" s="22" t="str">
        <f t="shared" si="0"/>
        <v>31</v>
      </c>
      <c r="F51" s="22" t="str">
        <f t="shared" si="2"/>
        <v>31</v>
      </c>
      <c r="G51" s="22" t="str">
        <f>_xlfn.IFNA(VLOOKUP(D51,AccessModes!$D$2:$E$14,2,FALSE),"AM_IMP")</f>
        <v>AM_IIY</v>
      </c>
      <c r="H51" s="22">
        <v>5</v>
      </c>
      <c r="I51" s="22">
        <v>1</v>
      </c>
      <c r="J51" s="22" t="str">
        <f>$J$35</f>
        <v>value</v>
      </c>
      <c r="K51" s="22" t="str">
        <f>$K$35</f>
        <v>cpu.A</v>
      </c>
      <c r="L51" s="22" t="str">
        <f>$L$35</f>
        <v/>
      </c>
      <c r="M51" s="22" t="str">
        <f>IF(LEN(J51)&gt;0,indent&amp;J51&amp;" = "&amp;VLOOKUP($G51,AccessModes!$E$2:$I$14,4,FALSE),"")</f>
        <v xml:space="preserve">            value = memory_getIndirectIndexedY();</v>
      </c>
      <c r="N51" s="26" t="str">
        <f>$N$35</f>
        <v xml:space="preserve">            cpu.A &amp;= value;</v>
      </c>
      <c r="O51" s="26" t="str">
        <f t="shared" si="1"/>
        <v xml:space="preserve">            cpu.PS_N = ((cpu.A &amp; 0x80) != 0);
            cpu.PS_Z = (cpu.A == 0);</v>
      </c>
      <c r="P51" s="22" t="str">
        <f>IF(LEN(L51)&gt;0,indent&amp;IF(L51="LAST",AccessModes!$I$16&amp;J51,VLOOKUP($G51,AccessModes!$E$2:$I$14,5,FALSE)&amp;L51)&amp;");","")</f>
        <v/>
      </c>
      <c r="Q51" s="22"/>
      <c r="R51" s="26" t="str">
        <f>IF(C51=0,indent0&amp;"case 0x"&amp;F51&amp;": /* "&amp;B51&amp;" "&amp;VLOOKUP(G51,AccessModes!$E$2:$G$14,3,FALSE)&amp;" */"&amp;newline&amp;indent&amp;"cpu.cycles = "&amp;H51&amp;";"&amp;newline&amp;IF(LEN(M51)&gt;0,M51&amp;CHAR(10),"")&amp;IF(LEN(N51)&gt;0,N51&amp;newline,"")&amp;IF(LEN(O51)&gt;0,O51&amp;newline,"")&amp;IF(LEN(P51)&gt;0,P51&amp;newline,"")&amp;IF(LEN(Q51)&gt;0,Q51&amp;newline,"")&amp;indent&amp;"break;",indent0&amp;"/* Illegal opcode 0x"&amp;F51&amp;": "&amp;B51&amp;" "&amp;VLOOKUP(G51,AccessModes!$E$2:$G$14,3,FALSE)&amp;" */"&amp;newline)</f>
        <v xml:space="preserve">        case 0x31: /* AND (aa),Y */
            cpu.cycles = 5;
            value = memory_getIndirectIndexedY();
            cpu.A &amp;= value;
            cpu.PS_N = ((cpu.A &amp; 0x80) != 0);
            cpu.PS_Z = (cpu.A == 0);
            break;</v>
      </c>
      <c r="S51" s="22" t="str">
        <f t="shared" si="3"/>
        <v xml:space="preserve">    {"AND", false, AM_IIY, 5, 1},</v>
      </c>
    </row>
    <row r="52" spans="1:19" ht="25.5" hidden="1" x14ac:dyDescent="0.25">
      <c r="A52" s="28">
        <v>50</v>
      </c>
      <c r="B52" s="28" t="s">
        <v>20</v>
      </c>
      <c r="C52" s="28">
        <v>-1</v>
      </c>
      <c r="D52" s="28"/>
      <c r="E52" s="28" t="str">
        <f t="shared" si="0"/>
        <v>32</v>
      </c>
      <c r="F52" s="28" t="str">
        <f t="shared" si="2"/>
        <v>32</v>
      </c>
      <c r="G52" s="28" t="str">
        <f>_xlfn.IFNA(VLOOKUP(D52,AccessModes!$D$2:$E$14,2,FALSE),"AM_IMP")</f>
        <v>AM_IMP</v>
      </c>
      <c r="H52" s="28">
        <v>0</v>
      </c>
      <c r="I52" s="28">
        <v>0</v>
      </c>
      <c r="J52" s="28"/>
      <c r="K52" s="28"/>
      <c r="L52" s="28"/>
      <c r="M52" s="28" t="str">
        <f>IF(LEN(J52)&gt;0,indent&amp;J52&amp;" = "&amp;VLOOKUP($G52,AccessModes!$E$2:$I$14,4,FALSE),"")</f>
        <v/>
      </c>
      <c r="N52" s="29" t="str">
        <f>indent&amp;"/* TODO: implementation of the action */"</f>
        <v xml:space="preserve">            /* TODO: implementation of the action */</v>
      </c>
      <c r="O52" s="29" t="str">
        <f t="shared" si="1"/>
        <v/>
      </c>
      <c r="P52" s="28" t="str">
        <f>IF(LEN(L52)&gt;0,indent&amp;IF(L52="LAST",AccessModes!$I$16&amp;J52,VLOOKUP($G52,AccessModes!$E$2:$I$14,5,FALSE)&amp;L52)&amp;");","")</f>
        <v/>
      </c>
      <c r="Q52" s="28"/>
      <c r="R52" s="29" t="str">
        <f>IF(C52=0,indent0&amp;"case 0x"&amp;F52&amp;": /* "&amp;B52&amp;" "&amp;VLOOKUP(G52,AccessModes!$E$2:$G$14,3,FALSE)&amp;" */"&amp;newline&amp;indent&amp;"cpu.cycles = "&amp;H52&amp;";"&amp;newline&amp;IF(LEN(M52)&gt;0,M52&amp;CHAR(10),"")&amp;IF(LEN(N52)&gt;0,N52&amp;newline,"")&amp;IF(LEN(O52)&gt;0,O52&amp;newline,"")&amp;IF(LEN(P52)&gt;0,P52&amp;newline,"")&amp;IF(LEN(Q52)&gt;0,Q52&amp;newline,"")&amp;indent&amp;"break;",indent0&amp;"/* Illegal opcode 0x"&amp;F52&amp;": "&amp;B52&amp;" "&amp;VLOOKUP(G52,AccessModes!$E$2:$G$14,3,FALSE)&amp;" */"&amp;newline)</f>
        <v xml:space="preserve">        /* Illegal opcode 0x32: KIL  */
</v>
      </c>
      <c r="S52" s="28" t="str">
        <f t="shared" si="3"/>
        <v xml:space="preserve">    {"KIL", true , AM_IMP, 0, 0},</v>
      </c>
    </row>
    <row r="53" spans="1:19" ht="25.5" hidden="1" x14ac:dyDescent="0.25">
      <c r="A53" s="28">
        <v>51</v>
      </c>
      <c r="B53" s="28" t="s">
        <v>47</v>
      </c>
      <c r="C53" s="28">
        <v>-1</v>
      </c>
      <c r="D53" s="28" t="s">
        <v>133</v>
      </c>
      <c r="E53" s="28" t="str">
        <f t="shared" si="0"/>
        <v>33</v>
      </c>
      <c r="F53" s="28" t="str">
        <f t="shared" si="2"/>
        <v>33</v>
      </c>
      <c r="G53" s="28" t="str">
        <f>_xlfn.IFNA(VLOOKUP(D53,AccessModes!$D$2:$E$14,2,FALSE),"AM_IMP")</f>
        <v>AM_IIY</v>
      </c>
      <c r="H53" s="28">
        <v>8</v>
      </c>
      <c r="I53" s="28">
        <v>0</v>
      </c>
      <c r="J53" s="28"/>
      <c r="K53" s="28"/>
      <c r="L53" s="28"/>
      <c r="M53" s="28" t="str">
        <f>IF(LEN(J53)&gt;0,indent&amp;J53&amp;" = "&amp;VLOOKUP($G53,AccessModes!$E$2:$I$14,4,FALSE),"")</f>
        <v/>
      </c>
      <c r="N53" s="29" t="str">
        <f>indent&amp;"/* TODO: implementation of the action */"</f>
        <v xml:space="preserve">            /* TODO: implementation of the action */</v>
      </c>
      <c r="O53" s="29" t="str">
        <f t="shared" si="1"/>
        <v/>
      </c>
      <c r="P53" s="28" t="str">
        <f>IF(LEN(L53)&gt;0,indent&amp;IF(L53="LAST",AccessModes!$I$16&amp;J53,VLOOKUP($G53,AccessModes!$E$2:$I$14,5,FALSE)&amp;L53)&amp;");","")</f>
        <v/>
      </c>
      <c r="Q53" s="28"/>
      <c r="R53" s="29" t="str">
        <f>IF(C53=0,indent0&amp;"case 0x"&amp;F53&amp;": /* "&amp;B53&amp;" "&amp;VLOOKUP(G53,AccessModes!$E$2:$G$14,3,FALSE)&amp;" */"&amp;newline&amp;indent&amp;"cpu.cycles = "&amp;H53&amp;";"&amp;newline&amp;IF(LEN(M53)&gt;0,M53&amp;CHAR(10),"")&amp;IF(LEN(N53)&gt;0,N53&amp;newline,"")&amp;IF(LEN(O53)&gt;0,O53&amp;newline,"")&amp;IF(LEN(P53)&gt;0,P53&amp;newline,"")&amp;IF(LEN(Q53)&gt;0,Q53&amp;newline,"")&amp;indent&amp;"break;",indent0&amp;"/* Illegal opcode 0x"&amp;F53&amp;": "&amp;B53&amp;" "&amp;VLOOKUP(G53,AccessModes!$E$2:$G$14,3,FALSE)&amp;" */"&amp;newline)</f>
        <v xml:space="preserve">        /* Illegal opcode 0x33: RLA (aa),Y */
</v>
      </c>
      <c r="S53" s="28" t="str">
        <f t="shared" si="3"/>
        <v xml:space="preserve">    {"RLA", true , AM_IIY, 8, 0},</v>
      </c>
    </row>
    <row r="54" spans="1:19" ht="25.5" hidden="1" x14ac:dyDescent="0.25">
      <c r="A54" s="28">
        <v>52</v>
      </c>
      <c r="B54" s="28" t="s">
        <v>23</v>
      </c>
      <c r="C54" s="28">
        <v>-1</v>
      </c>
      <c r="D54" s="28" t="s">
        <v>134</v>
      </c>
      <c r="E54" s="28" t="str">
        <f t="shared" si="0"/>
        <v>34</v>
      </c>
      <c r="F54" s="28" t="str">
        <f t="shared" si="2"/>
        <v>34</v>
      </c>
      <c r="G54" s="28" t="str">
        <f>_xlfn.IFNA(VLOOKUP(D54,AccessModes!$D$2:$E$14,2,FALSE),"AM_IMP")</f>
        <v>AM_ZIX</v>
      </c>
      <c r="H54" s="28">
        <v>4</v>
      </c>
      <c r="I54" s="28">
        <v>0</v>
      </c>
      <c r="J54" s="28"/>
      <c r="K54" s="28"/>
      <c r="L54" s="28"/>
      <c r="M54" s="28" t="str">
        <f>IF(LEN(J54)&gt;0,indent&amp;J54&amp;" = "&amp;VLOOKUP($G54,AccessModes!$E$2:$I$14,4,FALSE),"")</f>
        <v/>
      </c>
      <c r="N54" s="29" t="str">
        <f>indent&amp;"/* TODO: implementation of the action */"</f>
        <v xml:space="preserve">            /* TODO: implementation of the action */</v>
      </c>
      <c r="O54" s="29" t="str">
        <f t="shared" si="1"/>
        <v/>
      </c>
      <c r="P54" s="28" t="str">
        <f>IF(LEN(L54)&gt;0,indent&amp;IF(L54="LAST",AccessModes!$I$16&amp;J54,VLOOKUP($G54,AccessModes!$E$2:$I$14,5,FALSE)&amp;L54)&amp;");","")</f>
        <v/>
      </c>
      <c r="Q54" s="28"/>
      <c r="R54" s="29" t="str">
        <f>IF(C54=0,indent0&amp;"case 0x"&amp;F54&amp;": /* "&amp;B54&amp;" "&amp;VLOOKUP(G54,AccessModes!$E$2:$G$14,3,FALSE)&amp;" */"&amp;newline&amp;indent&amp;"cpu.cycles = "&amp;H54&amp;";"&amp;newline&amp;IF(LEN(M54)&gt;0,M54&amp;CHAR(10),"")&amp;IF(LEN(N54)&gt;0,N54&amp;newline,"")&amp;IF(LEN(O54)&gt;0,O54&amp;newline,"")&amp;IF(LEN(P54)&gt;0,P54&amp;newline,"")&amp;IF(LEN(Q54)&gt;0,Q54&amp;newline,"")&amp;indent&amp;"break;",indent0&amp;"/* Illegal opcode 0x"&amp;F54&amp;": "&amp;B54&amp;" "&amp;VLOOKUP(G54,AccessModes!$E$2:$G$14,3,FALSE)&amp;" */"&amp;newline)</f>
        <v xml:space="preserve">        /* Illegal opcode 0x34: NOP aa,X */
</v>
      </c>
      <c r="S54" s="28" t="str">
        <f t="shared" si="3"/>
        <v xml:space="preserve">    {"NOP", true , AM_ZIX, 4, 0},</v>
      </c>
    </row>
    <row r="55" spans="1:19" ht="89.25" hidden="1" x14ac:dyDescent="0.25">
      <c r="A55" s="22">
        <v>53</v>
      </c>
      <c r="B55" s="22" t="s">
        <v>46</v>
      </c>
      <c r="C55" s="22">
        <v>0</v>
      </c>
      <c r="D55" s="22" t="s">
        <v>134</v>
      </c>
      <c r="E55" s="22" t="str">
        <f t="shared" si="0"/>
        <v>35</v>
      </c>
      <c r="F55" s="22" t="str">
        <f t="shared" si="2"/>
        <v>35</v>
      </c>
      <c r="G55" s="22" t="str">
        <f>_xlfn.IFNA(VLOOKUP(D55,AccessModes!$D$2:$E$14,2,FALSE),"AM_IMP")</f>
        <v>AM_ZIX</v>
      </c>
      <c r="H55" s="22">
        <v>4</v>
      </c>
      <c r="I55" s="22">
        <v>0</v>
      </c>
      <c r="J55" s="22" t="str">
        <f>$J$35</f>
        <v>value</v>
      </c>
      <c r="K55" s="22" t="str">
        <f>$K$35</f>
        <v>cpu.A</v>
      </c>
      <c r="L55" s="22" t="str">
        <f>$L$35</f>
        <v/>
      </c>
      <c r="M55" s="22" t="str">
        <f>IF(LEN(J55)&gt;0,indent&amp;J55&amp;" = "&amp;VLOOKUP($G55,AccessModes!$E$2:$I$14,4,FALSE),"")</f>
        <v xml:space="preserve">            value = memory_getZeroPageIndexedX();</v>
      </c>
      <c r="N55" s="26" t="str">
        <f>$N$35</f>
        <v xml:space="preserve">            cpu.A &amp;= value;</v>
      </c>
      <c r="O55" s="26" t="str">
        <f t="shared" si="1"/>
        <v xml:space="preserve">            cpu.PS_N = ((cpu.A &amp; 0x80) != 0);
            cpu.PS_Z = (cpu.A == 0);</v>
      </c>
      <c r="P55" s="22" t="str">
        <f>IF(LEN(L55)&gt;0,indent&amp;IF(L55="LAST",AccessModes!$I$16&amp;J55,VLOOKUP($G55,AccessModes!$E$2:$I$14,5,FALSE)&amp;L55)&amp;");","")</f>
        <v/>
      </c>
      <c r="Q55" s="22"/>
      <c r="R55" s="26" t="str">
        <f>IF(C55=0,indent0&amp;"case 0x"&amp;F55&amp;": /* "&amp;B55&amp;" "&amp;VLOOKUP(G55,AccessModes!$E$2:$G$14,3,FALSE)&amp;" */"&amp;newline&amp;indent&amp;"cpu.cycles = "&amp;H55&amp;";"&amp;newline&amp;IF(LEN(M55)&gt;0,M55&amp;CHAR(10),"")&amp;IF(LEN(N55)&gt;0,N55&amp;newline,"")&amp;IF(LEN(O55)&gt;0,O55&amp;newline,"")&amp;IF(LEN(P55)&gt;0,P55&amp;newline,"")&amp;IF(LEN(Q55)&gt;0,Q55&amp;newline,"")&amp;indent&amp;"break;",indent0&amp;"/* Illegal opcode 0x"&amp;F55&amp;": "&amp;B55&amp;" "&amp;VLOOKUP(G55,AccessModes!$E$2:$G$14,3,FALSE)&amp;" */"&amp;newline)</f>
        <v xml:space="preserve">        case 0x35: /* AND aa,X */
            cpu.cycles = 4;
            value = memory_getZeroPageIndexedX();
            cpu.A &amp;= value;
            cpu.PS_N = ((cpu.A &amp; 0x80) != 0);
            cpu.PS_Z = (cpu.A == 0);
            break;</v>
      </c>
      <c r="S55" s="22" t="str">
        <f t="shared" si="3"/>
        <v xml:space="preserve">    {"AND", false, AM_ZIX, 4, 0},</v>
      </c>
    </row>
    <row r="56" spans="1:19" ht="127.5" hidden="1" x14ac:dyDescent="0.25">
      <c r="A56" s="22">
        <v>54</v>
      </c>
      <c r="B56" s="22" t="s">
        <v>49</v>
      </c>
      <c r="C56" s="22">
        <v>0</v>
      </c>
      <c r="D56" s="22" t="s">
        <v>134</v>
      </c>
      <c r="E56" s="22" t="str">
        <f t="shared" si="0"/>
        <v>36</v>
      </c>
      <c r="F56" s="22" t="str">
        <f t="shared" si="2"/>
        <v>36</v>
      </c>
      <c r="G56" s="22" t="str">
        <f>_xlfn.IFNA(VLOOKUP(D56,AccessModes!$D$2:$E$14,2,FALSE),"AM_IMP")</f>
        <v>AM_ZIX</v>
      </c>
      <c r="H56" s="22">
        <v>6</v>
      </c>
      <c r="I56" s="22">
        <v>0</v>
      </c>
      <c r="J56" s="22" t="str">
        <f>$J$40</f>
        <v>value</v>
      </c>
      <c r="K56" s="22" t="str">
        <f>$K$40</f>
        <v>value</v>
      </c>
      <c r="L56" s="22" t="str">
        <f>$L$40</f>
        <v>LAST</v>
      </c>
      <c r="M56" s="22" t="str">
        <f>IF(LEN(J56)&gt;0,indent&amp;J56&amp;" = "&amp;VLOOKUP($G56,AccessModes!$E$2:$I$14,4,FALSE),"")</f>
        <v xml:space="preserve">            value = memory_getZeroPageIndexedX();</v>
      </c>
      <c r="N56" s="26" t="str">
        <f>$N$40</f>
        <v xml:space="preserve">            tmp_PS_C = cpu.PS_C;
            cpu.PS_C = ((value &amp; 0x80) != 0);
            value = (value &lt;&lt; 1) | (byte)tmp_PS_C;</v>
      </c>
      <c r="O56" s="26" t="str">
        <f t="shared" si="1"/>
        <v xml:space="preserve">            cpu.PS_N = ((value &amp; 0x80) != 0);
            cpu.PS_Z = (value == 0);</v>
      </c>
      <c r="P56" s="22" t="str">
        <f>IF(LEN(L56)&gt;0,indent&amp;IF(L56="LAST",AccessModes!$I$16&amp;J56,VLOOKUP($G56,AccessModes!$E$2:$I$14,5,FALSE)&amp;L56)&amp;");","")</f>
        <v xml:space="preserve">            memory_setLast(value);</v>
      </c>
      <c r="Q56" s="22"/>
      <c r="R56" s="26" t="str">
        <f>IF(C56=0,indent0&amp;"case 0x"&amp;F56&amp;": /* "&amp;B56&amp;" "&amp;VLOOKUP(G56,AccessModes!$E$2:$G$14,3,FALSE)&amp;" */"&amp;newline&amp;indent&amp;"cpu.cycles = "&amp;H56&amp;";"&amp;newline&amp;IF(LEN(M56)&gt;0,M56&amp;CHAR(10),"")&amp;IF(LEN(N56)&gt;0,N56&amp;newline,"")&amp;IF(LEN(O56)&gt;0,O56&amp;newline,"")&amp;IF(LEN(P56)&gt;0,P56&amp;newline,"")&amp;IF(LEN(Q56)&gt;0,Q56&amp;newline,"")&amp;indent&amp;"break;",indent0&amp;"/* Illegal opcode 0x"&amp;F56&amp;": "&amp;B56&amp;" "&amp;VLOOKUP(G56,AccessModes!$E$2:$G$14,3,FALSE)&amp;" */"&amp;newline)</f>
        <v xml:space="preserve">        case 0x36: /* ROL aa,X */
            cpu.cycles = 6;
            value = memory_getZeroPageIndexedX();
            tmp_PS_C = cpu.PS_C;
            cpu.PS_C = ((value &amp; 0x80) != 0);
            value = (value &lt;&lt; 1) | (byte)tmp_PS_C;
            cpu.PS_N = ((value &amp; 0x80) != 0);
            cpu.PS_Z = (value == 0);
            memory_setLast(value);
            break;</v>
      </c>
      <c r="S56" s="22" t="str">
        <f t="shared" si="3"/>
        <v xml:space="preserve">    {"ROL", false, AM_ZIX, 6, 0},</v>
      </c>
    </row>
    <row r="57" spans="1:19" ht="25.5" hidden="1" x14ac:dyDescent="0.25">
      <c r="A57" s="28">
        <v>55</v>
      </c>
      <c r="B57" s="28" t="s">
        <v>47</v>
      </c>
      <c r="C57" s="28">
        <v>-1</v>
      </c>
      <c r="D57" s="28" t="s">
        <v>134</v>
      </c>
      <c r="E57" s="28" t="str">
        <f t="shared" si="0"/>
        <v>37</v>
      </c>
      <c r="F57" s="28" t="str">
        <f t="shared" si="2"/>
        <v>37</v>
      </c>
      <c r="G57" s="28" t="str">
        <f>_xlfn.IFNA(VLOOKUP(D57,AccessModes!$D$2:$E$14,2,FALSE),"AM_IMP")</f>
        <v>AM_ZIX</v>
      </c>
      <c r="H57" s="28">
        <v>6</v>
      </c>
      <c r="I57" s="28">
        <v>0</v>
      </c>
      <c r="J57" s="28"/>
      <c r="K57" s="28"/>
      <c r="L57" s="28"/>
      <c r="M57" s="28" t="str">
        <f>IF(LEN(J57)&gt;0,indent&amp;J57&amp;" = "&amp;VLOOKUP($G57,AccessModes!$E$2:$I$14,4,FALSE),"")</f>
        <v/>
      </c>
      <c r="N57" s="29" t="str">
        <f>indent&amp;"/* TODO: implementation of the action */"</f>
        <v xml:space="preserve">            /* TODO: implementation of the action */</v>
      </c>
      <c r="O57" s="29" t="str">
        <f t="shared" si="1"/>
        <v/>
      </c>
      <c r="P57" s="28" t="str">
        <f>IF(LEN(L57)&gt;0,indent&amp;IF(L57="LAST",AccessModes!$I$16&amp;J57,VLOOKUP($G57,AccessModes!$E$2:$I$14,5,FALSE)&amp;L57)&amp;");","")</f>
        <v/>
      </c>
      <c r="Q57" s="28"/>
      <c r="R57" s="29" t="str">
        <f>IF(C57=0,indent0&amp;"case 0x"&amp;F57&amp;": /* "&amp;B57&amp;" "&amp;VLOOKUP(G57,AccessModes!$E$2:$G$14,3,FALSE)&amp;" */"&amp;newline&amp;indent&amp;"cpu.cycles = "&amp;H57&amp;";"&amp;newline&amp;IF(LEN(M57)&gt;0,M57&amp;CHAR(10),"")&amp;IF(LEN(N57)&gt;0,N57&amp;newline,"")&amp;IF(LEN(O57)&gt;0,O57&amp;newline,"")&amp;IF(LEN(P57)&gt;0,P57&amp;newline,"")&amp;IF(LEN(Q57)&gt;0,Q57&amp;newline,"")&amp;indent&amp;"break;",indent0&amp;"/* Illegal opcode 0x"&amp;F57&amp;": "&amp;B57&amp;" "&amp;VLOOKUP(G57,AccessModes!$E$2:$G$14,3,FALSE)&amp;" */"&amp;newline)</f>
        <v xml:space="preserve">        /* Illegal opcode 0x37: RLA aa,X */
</v>
      </c>
      <c r="S57" s="28" t="str">
        <f t="shared" si="3"/>
        <v xml:space="preserve">    {"RLA", true , AM_ZIX, 6, 0},</v>
      </c>
    </row>
    <row r="58" spans="1:19" ht="51" hidden="1" x14ac:dyDescent="0.25">
      <c r="A58" s="22">
        <v>56</v>
      </c>
      <c r="B58" s="22" t="s">
        <v>53</v>
      </c>
      <c r="C58" s="22">
        <v>0</v>
      </c>
      <c r="D58" s="22" t="s">
        <v>139</v>
      </c>
      <c r="E58" s="22" t="str">
        <f t="shared" si="0"/>
        <v>38</v>
      </c>
      <c r="F58" s="22" t="str">
        <f t="shared" si="2"/>
        <v>38</v>
      </c>
      <c r="G58" s="22" t="str">
        <f>_xlfn.IFNA(VLOOKUP(D58,AccessModes!$D$2:$E$14,2,FALSE),"AM_IMP")</f>
        <v>AM_IMP</v>
      </c>
      <c r="H58" s="22">
        <v>2</v>
      </c>
      <c r="I58" s="22">
        <v>0</v>
      </c>
      <c r="J58" s="24"/>
      <c r="K58" s="24"/>
      <c r="L58" s="24"/>
      <c r="M58" s="22" t="str">
        <f>IF(LEN(J58)&gt;0,indent&amp;J58&amp;" = "&amp;VLOOKUP($G58,AccessModes!$E$2:$I$14,4,FALSE),"")</f>
        <v/>
      </c>
      <c r="N58" s="25" t="str">
        <f>indent&amp;"cpu.PS_C = true;"</f>
        <v xml:space="preserve">            cpu.PS_C = true;</v>
      </c>
      <c r="O58" s="26" t="str">
        <f t="shared" si="1"/>
        <v/>
      </c>
      <c r="P58" s="22" t="str">
        <f>IF(LEN(L58)&gt;0,indent&amp;IF(L58="LAST",AccessModes!$I$16&amp;J58,VLOOKUP($G58,AccessModes!$E$2:$I$14,5,FALSE)&amp;L58)&amp;");","")</f>
        <v/>
      </c>
      <c r="Q58" s="22"/>
      <c r="R58" s="26" t="str">
        <f>IF(C58=0,indent0&amp;"case 0x"&amp;F58&amp;": /* "&amp;B58&amp;" "&amp;VLOOKUP(G58,AccessModes!$E$2:$G$14,3,FALSE)&amp;" */"&amp;newline&amp;indent&amp;"cpu.cycles = "&amp;H58&amp;";"&amp;newline&amp;IF(LEN(M58)&gt;0,M58&amp;CHAR(10),"")&amp;IF(LEN(N58)&gt;0,N58&amp;newline,"")&amp;IF(LEN(O58)&gt;0,O58&amp;newline,"")&amp;IF(LEN(P58)&gt;0,P58&amp;newline,"")&amp;IF(LEN(Q58)&gt;0,Q58&amp;newline,"")&amp;indent&amp;"break;",indent0&amp;"/* Illegal opcode 0x"&amp;F58&amp;": "&amp;B58&amp;" "&amp;VLOOKUP(G58,AccessModes!$E$2:$G$14,3,FALSE)&amp;" */"&amp;newline)</f>
        <v xml:space="preserve">        case 0x38: /* SEC  */
            cpu.cycles = 2;
            cpu.PS_C = true;
            break;</v>
      </c>
      <c r="S58" s="22" t="str">
        <f t="shared" si="3"/>
        <v xml:space="preserve">    {"SEC", false, AM_IMP, 2, 0},</v>
      </c>
    </row>
    <row r="59" spans="1:19" ht="89.25" hidden="1" x14ac:dyDescent="0.25">
      <c r="A59" s="22">
        <v>57</v>
      </c>
      <c r="B59" s="22" t="s">
        <v>46</v>
      </c>
      <c r="C59" s="22">
        <v>0</v>
      </c>
      <c r="D59" s="22" t="s">
        <v>135</v>
      </c>
      <c r="E59" s="22" t="str">
        <f t="shared" si="0"/>
        <v>39</v>
      </c>
      <c r="F59" s="22" t="str">
        <f t="shared" si="2"/>
        <v>39</v>
      </c>
      <c r="G59" s="22" t="str">
        <f>_xlfn.IFNA(VLOOKUP(D59,AccessModes!$D$2:$E$14,2,FALSE),"AM_IMP")</f>
        <v>AM_AIY</v>
      </c>
      <c r="H59" s="22">
        <v>4</v>
      </c>
      <c r="I59" s="22">
        <v>1</v>
      </c>
      <c r="J59" s="22" t="str">
        <f>$J$35</f>
        <v>value</v>
      </c>
      <c r="K59" s="22" t="str">
        <f>$K$35</f>
        <v>cpu.A</v>
      </c>
      <c r="L59" s="22" t="str">
        <f>$L$35</f>
        <v/>
      </c>
      <c r="M59" s="22" t="str">
        <f>IF(LEN(J59)&gt;0,indent&amp;J59&amp;" = "&amp;VLOOKUP($G59,AccessModes!$E$2:$I$14,4,FALSE),"")</f>
        <v xml:space="preserve">            value = memory_getAbsoluteIndexedY();</v>
      </c>
      <c r="N59" s="26" t="str">
        <f>$N$35</f>
        <v xml:space="preserve">            cpu.A &amp;= value;</v>
      </c>
      <c r="O59" s="26" t="str">
        <f t="shared" si="1"/>
        <v xml:space="preserve">            cpu.PS_N = ((cpu.A &amp; 0x80) != 0);
            cpu.PS_Z = (cpu.A == 0);</v>
      </c>
      <c r="P59" s="22" t="str">
        <f>IF(LEN(L59)&gt;0,indent&amp;IF(L59="LAST",AccessModes!$I$16&amp;J59,VLOOKUP($G59,AccessModes!$E$2:$I$14,5,FALSE)&amp;L59)&amp;");","")</f>
        <v/>
      </c>
      <c r="Q59" s="22"/>
      <c r="R59" s="26" t="str">
        <f>IF(C59=0,indent0&amp;"case 0x"&amp;F59&amp;": /* "&amp;B59&amp;" "&amp;VLOOKUP(G59,AccessModes!$E$2:$G$14,3,FALSE)&amp;" */"&amp;newline&amp;indent&amp;"cpu.cycles = "&amp;H59&amp;";"&amp;newline&amp;IF(LEN(M59)&gt;0,M59&amp;CHAR(10),"")&amp;IF(LEN(N59)&gt;0,N59&amp;newline,"")&amp;IF(LEN(O59)&gt;0,O59&amp;newline,"")&amp;IF(LEN(P59)&gt;0,P59&amp;newline,"")&amp;IF(LEN(Q59)&gt;0,Q59&amp;newline,"")&amp;indent&amp;"break;",indent0&amp;"/* Illegal opcode 0x"&amp;F59&amp;": "&amp;B59&amp;" "&amp;VLOOKUP(G59,AccessModes!$E$2:$G$14,3,FALSE)&amp;" */"&amp;newline)</f>
        <v xml:space="preserve">        case 0x39: /* AND aaaa,Y */
            cpu.cycles = 4;
            value = memory_getAbsoluteIndexedY();
            cpu.A &amp;= value;
            cpu.PS_N = ((cpu.A &amp; 0x80) != 0);
            cpu.PS_Z = (cpu.A == 0);
            break;</v>
      </c>
      <c r="S59" s="22" t="str">
        <f t="shared" si="3"/>
        <v xml:space="preserve">    {"AND", false, AM_AIY, 4, 1},</v>
      </c>
    </row>
    <row r="60" spans="1:19" ht="25.5" hidden="1" x14ac:dyDescent="0.25">
      <c r="A60" s="28">
        <v>58</v>
      </c>
      <c r="B60" s="28" t="s">
        <v>23</v>
      </c>
      <c r="C60" s="28">
        <v>-1</v>
      </c>
      <c r="D60" s="28" t="s">
        <v>139</v>
      </c>
      <c r="E60" s="28" t="str">
        <f t="shared" si="0"/>
        <v>3A</v>
      </c>
      <c r="F60" s="28" t="str">
        <f t="shared" si="2"/>
        <v>3A</v>
      </c>
      <c r="G60" s="28" t="str">
        <f>_xlfn.IFNA(VLOOKUP(D60,AccessModes!$D$2:$E$14,2,FALSE),"AM_IMP")</f>
        <v>AM_IMP</v>
      </c>
      <c r="H60" s="28">
        <v>2</v>
      </c>
      <c r="I60" s="28">
        <v>0</v>
      </c>
      <c r="J60" s="28"/>
      <c r="K60" s="28"/>
      <c r="L60" s="28"/>
      <c r="M60" s="28" t="str">
        <f>IF(LEN(J60)&gt;0,indent&amp;J60&amp;" = "&amp;VLOOKUP($G60,AccessModes!$E$2:$I$14,4,FALSE),"")</f>
        <v/>
      </c>
      <c r="N60" s="29" t="str">
        <f>indent&amp;"/* TODO: implementation of the action */"</f>
        <v xml:space="preserve">            /* TODO: implementation of the action */</v>
      </c>
      <c r="O60" s="29" t="str">
        <f t="shared" si="1"/>
        <v/>
      </c>
      <c r="P60" s="28" t="str">
        <f>IF(LEN(L60)&gt;0,indent&amp;IF(L60="LAST",AccessModes!$I$16&amp;J60,VLOOKUP($G60,AccessModes!$E$2:$I$14,5,FALSE)&amp;L60)&amp;");","")</f>
        <v/>
      </c>
      <c r="Q60" s="28"/>
      <c r="R60" s="29" t="str">
        <f>IF(C60=0,indent0&amp;"case 0x"&amp;F60&amp;": /* "&amp;B60&amp;" "&amp;VLOOKUP(G60,AccessModes!$E$2:$G$14,3,FALSE)&amp;" */"&amp;newline&amp;indent&amp;"cpu.cycles = "&amp;H60&amp;";"&amp;newline&amp;IF(LEN(M60)&gt;0,M60&amp;CHAR(10),"")&amp;IF(LEN(N60)&gt;0,N60&amp;newline,"")&amp;IF(LEN(O60)&gt;0,O60&amp;newline,"")&amp;IF(LEN(P60)&gt;0,P60&amp;newline,"")&amp;IF(LEN(Q60)&gt;0,Q60&amp;newline,"")&amp;indent&amp;"break;",indent0&amp;"/* Illegal opcode 0x"&amp;F60&amp;": "&amp;B60&amp;" "&amp;VLOOKUP(G60,AccessModes!$E$2:$G$14,3,FALSE)&amp;" */"&amp;newline)</f>
        <v xml:space="preserve">        /* Illegal opcode 0x3A: NOP  */
</v>
      </c>
      <c r="S60" s="28" t="str">
        <f t="shared" si="3"/>
        <v xml:space="preserve">    {"NOP", true , AM_IMP, 2, 0},</v>
      </c>
    </row>
    <row r="61" spans="1:19" ht="25.5" hidden="1" x14ac:dyDescent="0.25">
      <c r="A61" s="28">
        <v>59</v>
      </c>
      <c r="B61" s="28" t="s">
        <v>47</v>
      </c>
      <c r="C61" s="28">
        <v>-1</v>
      </c>
      <c r="D61" s="28" t="s">
        <v>135</v>
      </c>
      <c r="E61" s="28" t="str">
        <f t="shared" si="0"/>
        <v>3B</v>
      </c>
      <c r="F61" s="28" t="str">
        <f t="shared" si="2"/>
        <v>3B</v>
      </c>
      <c r="G61" s="28" t="str">
        <f>_xlfn.IFNA(VLOOKUP(D61,AccessModes!$D$2:$E$14,2,FALSE),"AM_IMP")</f>
        <v>AM_AIY</v>
      </c>
      <c r="H61" s="28">
        <v>7</v>
      </c>
      <c r="I61" s="28">
        <v>0</v>
      </c>
      <c r="J61" s="28"/>
      <c r="K61" s="28"/>
      <c r="L61" s="28"/>
      <c r="M61" s="28" t="str">
        <f>IF(LEN(J61)&gt;0,indent&amp;J61&amp;" = "&amp;VLOOKUP($G61,AccessModes!$E$2:$I$14,4,FALSE),"")</f>
        <v/>
      </c>
      <c r="N61" s="29" t="str">
        <f>indent&amp;"/* TODO: implementation of the action */"</f>
        <v xml:space="preserve">            /* TODO: implementation of the action */</v>
      </c>
      <c r="O61" s="29" t="str">
        <f t="shared" si="1"/>
        <v/>
      </c>
      <c r="P61" s="28" t="str">
        <f>IF(LEN(L61)&gt;0,indent&amp;IF(L61="LAST",AccessModes!$I$16&amp;J61,VLOOKUP($G61,AccessModes!$E$2:$I$14,5,FALSE)&amp;L61)&amp;");","")</f>
        <v/>
      </c>
      <c r="Q61" s="28"/>
      <c r="R61" s="29" t="str">
        <f>IF(C61=0,indent0&amp;"case 0x"&amp;F61&amp;": /* "&amp;B61&amp;" "&amp;VLOOKUP(G61,AccessModes!$E$2:$G$14,3,FALSE)&amp;" */"&amp;newline&amp;indent&amp;"cpu.cycles = "&amp;H61&amp;";"&amp;newline&amp;IF(LEN(M61)&gt;0,M61&amp;CHAR(10),"")&amp;IF(LEN(N61)&gt;0,N61&amp;newline,"")&amp;IF(LEN(O61)&gt;0,O61&amp;newline,"")&amp;IF(LEN(P61)&gt;0,P61&amp;newline,"")&amp;IF(LEN(Q61)&gt;0,Q61&amp;newline,"")&amp;indent&amp;"break;",indent0&amp;"/* Illegal opcode 0x"&amp;F61&amp;": "&amp;B61&amp;" "&amp;VLOOKUP(G61,AccessModes!$E$2:$G$14,3,FALSE)&amp;" */"&amp;newline)</f>
        <v xml:space="preserve">        /* Illegal opcode 0x3B: RLA aaaa,Y */
</v>
      </c>
      <c r="S61" s="28" t="str">
        <f t="shared" si="3"/>
        <v xml:space="preserve">    {"RLA", true , AM_AIY, 7, 0},</v>
      </c>
    </row>
    <row r="62" spans="1:19" ht="25.5" hidden="1" x14ac:dyDescent="0.25">
      <c r="A62" s="28">
        <v>60</v>
      </c>
      <c r="B62" s="28" t="s">
        <v>23</v>
      </c>
      <c r="C62" s="28">
        <v>-1</v>
      </c>
      <c r="D62" s="28" t="s">
        <v>136</v>
      </c>
      <c r="E62" s="28" t="str">
        <f t="shared" si="0"/>
        <v>3C</v>
      </c>
      <c r="F62" s="28" t="str">
        <f t="shared" si="2"/>
        <v>3C</v>
      </c>
      <c r="G62" s="28" t="str">
        <f>_xlfn.IFNA(VLOOKUP(D62,AccessModes!$D$2:$E$14,2,FALSE),"AM_IMP")</f>
        <v>AM_AIX</v>
      </c>
      <c r="H62" s="28">
        <v>4</v>
      </c>
      <c r="I62" s="28">
        <v>1</v>
      </c>
      <c r="J62" s="28"/>
      <c r="K62" s="28"/>
      <c r="L62" s="28"/>
      <c r="M62" s="28" t="str">
        <f>IF(LEN(J62)&gt;0,indent&amp;J62&amp;" = "&amp;VLOOKUP($G62,AccessModes!$E$2:$I$14,4,FALSE),"")</f>
        <v/>
      </c>
      <c r="N62" s="29" t="str">
        <f>indent&amp;"/* TODO: implementation of the action */"</f>
        <v xml:space="preserve">            /* TODO: implementation of the action */</v>
      </c>
      <c r="O62" s="29" t="str">
        <f t="shared" si="1"/>
        <v/>
      </c>
      <c r="P62" s="28" t="str">
        <f>IF(LEN(L62)&gt;0,indent&amp;IF(L62="LAST",AccessModes!$I$16&amp;J62,VLOOKUP($G62,AccessModes!$E$2:$I$14,5,FALSE)&amp;L62)&amp;");","")</f>
        <v/>
      </c>
      <c r="Q62" s="28"/>
      <c r="R62" s="29" t="str">
        <f>IF(C62=0,indent0&amp;"case 0x"&amp;F62&amp;": /* "&amp;B62&amp;" "&amp;VLOOKUP(G62,AccessModes!$E$2:$G$14,3,FALSE)&amp;" */"&amp;newline&amp;indent&amp;"cpu.cycles = "&amp;H62&amp;";"&amp;newline&amp;IF(LEN(M62)&gt;0,M62&amp;CHAR(10),"")&amp;IF(LEN(N62)&gt;0,N62&amp;newline,"")&amp;IF(LEN(O62)&gt;0,O62&amp;newline,"")&amp;IF(LEN(P62)&gt;0,P62&amp;newline,"")&amp;IF(LEN(Q62)&gt;0,Q62&amp;newline,"")&amp;indent&amp;"break;",indent0&amp;"/* Illegal opcode 0x"&amp;F62&amp;": "&amp;B62&amp;" "&amp;VLOOKUP(G62,AccessModes!$E$2:$G$14,3,FALSE)&amp;" */"&amp;newline)</f>
        <v xml:space="preserve">        /* Illegal opcode 0x3C: NOP aaaa,X */
</v>
      </c>
      <c r="S62" s="28" t="str">
        <f t="shared" si="3"/>
        <v xml:space="preserve">    {"NOP", true , AM_AIX, 4, 1},</v>
      </c>
    </row>
    <row r="63" spans="1:19" ht="89.25" hidden="1" x14ac:dyDescent="0.25">
      <c r="A63" s="22">
        <v>61</v>
      </c>
      <c r="B63" s="22" t="s">
        <v>46</v>
      </c>
      <c r="C63" s="22">
        <v>0</v>
      </c>
      <c r="D63" s="22" t="s">
        <v>136</v>
      </c>
      <c r="E63" s="22" t="str">
        <f t="shared" si="0"/>
        <v>3D</v>
      </c>
      <c r="F63" s="22" t="str">
        <f t="shared" si="2"/>
        <v>3D</v>
      </c>
      <c r="G63" s="22" t="str">
        <f>_xlfn.IFNA(VLOOKUP(D63,AccessModes!$D$2:$E$14,2,FALSE),"AM_IMP")</f>
        <v>AM_AIX</v>
      </c>
      <c r="H63" s="22">
        <v>4</v>
      </c>
      <c r="I63" s="22">
        <v>1</v>
      </c>
      <c r="J63" s="22" t="str">
        <f>$J$35</f>
        <v>value</v>
      </c>
      <c r="K63" s="22" t="str">
        <f>$K$35</f>
        <v>cpu.A</v>
      </c>
      <c r="L63" s="22" t="str">
        <f>$L$35</f>
        <v/>
      </c>
      <c r="M63" s="22" t="str">
        <f>IF(LEN(J63)&gt;0,indent&amp;J63&amp;" = "&amp;VLOOKUP($G63,AccessModes!$E$2:$I$14,4,FALSE),"")</f>
        <v xml:space="preserve">            value = memory_getAbsoluteIndexedX();</v>
      </c>
      <c r="N63" s="26" t="str">
        <f>$N$35</f>
        <v xml:space="preserve">            cpu.A &amp;= value;</v>
      </c>
      <c r="O63" s="26" t="str">
        <f t="shared" si="1"/>
        <v xml:space="preserve">            cpu.PS_N = ((cpu.A &amp; 0x80) != 0);
            cpu.PS_Z = (cpu.A == 0);</v>
      </c>
      <c r="P63" s="22" t="str">
        <f>IF(LEN(L63)&gt;0,indent&amp;IF(L63="LAST",AccessModes!$I$16&amp;J63,VLOOKUP($G63,AccessModes!$E$2:$I$14,5,FALSE)&amp;L63)&amp;");","")</f>
        <v/>
      </c>
      <c r="Q63" s="22"/>
      <c r="R63" s="26" t="str">
        <f>IF(C63=0,indent0&amp;"case 0x"&amp;F63&amp;": /* "&amp;B63&amp;" "&amp;VLOOKUP(G63,AccessModes!$E$2:$G$14,3,FALSE)&amp;" */"&amp;newline&amp;indent&amp;"cpu.cycles = "&amp;H63&amp;";"&amp;newline&amp;IF(LEN(M63)&gt;0,M63&amp;CHAR(10),"")&amp;IF(LEN(N63)&gt;0,N63&amp;newline,"")&amp;IF(LEN(O63)&gt;0,O63&amp;newline,"")&amp;IF(LEN(P63)&gt;0,P63&amp;newline,"")&amp;IF(LEN(Q63)&gt;0,Q63&amp;newline,"")&amp;indent&amp;"break;",indent0&amp;"/* Illegal opcode 0x"&amp;F63&amp;": "&amp;B63&amp;" "&amp;VLOOKUP(G63,AccessModes!$E$2:$G$14,3,FALSE)&amp;" */"&amp;newline)</f>
        <v xml:space="preserve">        case 0x3D: /* AND aaaa,X */
            cpu.cycles = 4;
            value = memory_getAbsoluteIndexedX();
            cpu.A &amp;= value;
            cpu.PS_N = ((cpu.A &amp; 0x80) != 0);
            cpu.PS_Z = (cpu.A == 0);
            break;</v>
      </c>
      <c r="S63" s="22" t="str">
        <f t="shared" si="3"/>
        <v xml:space="preserve">    {"AND", false, AM_AIX, 4, 1},</v>
      </c>
    </row>
    <row r="64" spans="1:19" ht="127.5" hidden="1" x14ac:dyDescent="0.25">
      <c r="A64" s="22">
        <v>62</v>
      </c>
      <c r="B64" s="22" t="s">
        <v>49</v>
      </c>
      <c r="C64" s="22">
        <v>0</v>
      </c>
      <c r="D64" s="22" t="s">
        <v>136</v>
      </c>
      <c r="E64" s="22" t="str">
        <f t="shared" si="0"/>
        <v>3E</v>
      </c>
      <c r="F64" s="22" t="str">
        <f t="shared" si="2"/>
        <v>3E</v>
      </c>
      <c r="G64" s="22" t="str">
        <f>_xlfn.IFNA(VLOOKUP(D64,AccessModes!$D$2:$E$14,2,FALSE),"AM_IMP")</f>
        <v>AM_AIX</v>
      </c>
      <c r="H64" s="22">
        <v>7</v>
      </c>
      <c r="I64" s="22">
        <v>0</v>
      </c>
      <c r="J64" s="22" t="str">
        <f>$J$40</f>
        <v>value</v>
      </c>
      <c r="K64" s="22" t="str">
        <f>$K$40</f>
        <v>value</v>
      </c>
      <c r="L64" s="22" t="str">
        <f>$L$40</f>
        <v>LAST</v>
      </c>
      <c r="M64" s="22" t="str">
        <f>IF(LEN(J64)&gt;0,indent&amp;J64&amp;" = "&amp;VLOOKUP($G64,AccessModes!$E$2:$I$14,4,FALSE),"")</f>
        <v xml:space="preserve">            value = memory_getAbsoluteIndexedX();</v>
      </c>
      <c r="N64" s="26" t="str">
        <f>$N$40</f>
        <v xml:space="preserve">            tmp_PS_C = cpu.PS_C;
            cpu.PS_C = ((value &amp; 0x80) != 0);
            value = (value &lt;&lt; 1) | (byte)tmp_PS_C;</v>
      </c>
      <c r="O64" s="26" t="str">
        <f t="shared" si="1"/>
        <v xml:space="preserve">            cpu.PS_N = ((value &amp; 0x80) != 0);
            cpu.PS_Z = (value == 0);</v>
      </c>
      <c r="P64" s="22" t="str">
        <f>IF(LEN(L64)&gt;0,indent&amp;IF(L64="LAST",AccessModes!$I$16&amp;J64,VLOOKUP($G64,AccessModes!$E$2:$I$14,5,FALSE)&amp;L64)&amp;");","")</f>
        <v xml:space="preserve">            memory_setLast(value);</v>
      </c>
      <c r="Q64" s="22"/>
      <c r="R64" s="26" t="str">
        <f>IF(C64=0,indent0&amp;"case 0x"&amp;F64&amp;": /* "&amp;B64&amp;" "&amp;VLOOKUP(G64,AccessModes!$E$2:$G$14,3,FALSE)&amp;" */"&amp;newline&amp;indent&amp;"cpu.cycles = "&amp;H64&amp;";"&amp;newline&amp;IF(LEN(M64)&gt;0,M64&amp;CHAR(10),"")&amp;IF(LEN(N64)&gt;0,N64&amp;newline,"")&amp;IF(LEN(O64)&gt;0,O64&amp;newline,"")&amp;IF(LEN(P64)&gt;0,P64&amp;newline,"")&amp;IF(LEN(Q64)&gt;0,Q64&amp;newline,"")&amp;indent&amp;"break;",indent0&amp;"/* Illegal opcode 0x"&amp;F64&amp;": "&amp;B64&amp;" "&amp;VLOOKUP(G64,AccessModes!$E$2:$G$14,3,FALSE)&amp;" */"&amp;newline)</f>
        <v xml:space="preserve">        case 0x3E: /* ROL aaaa,X */
            cpu.cycles = 7;
            value = memory_getAbsoluteIndexedX();
            tmp_PS_C = cpu.PS_C;
            cpu.PS_C = ((value &amp; 0x80) != 0);
            value = (value &lt;&lt; 1) | (byte)tmp_PS_C;
            cpu.PS_N = ((value &amp; 0x80) != 0);
            cpu.PS_Z = (value == 0);
            memory_setLast(value);
            break;</v>
      </c>
      <c r="S64" s="22" t="str">
        <f t="shared" si="3"/>
        <v xml:space="preserve">    {"ROL", false, AM_AIX, 7, 0},</v>
      </c>
    </row>
    <row r="65" spans="1:19" ht="25.5" hidden="1" x14ac:dyDescent="0.25">
      <c r="A65" s="28">
        <v>63</v>
      </c>
      <c r="B65" s="28" t="s">
        <v>47</v>
      </c>
      <c r="C65" s="28">
        <v>-1</v>
      </c>
      <c r="D65" s="28" t="s">
        <v>136</v>
      </c>
      <c r="E65" s="28" t="str">
        <f t="shared" si="0"/>
        <v>3F</v>
      </c>
      <c r="F65" s="28" t="str">
        <f t="shared" si="2"/>
        <v>3F</v>
      </c>
      <c r="G65" s="28" t="str">
        <f>_xlfn.IFNA(VLOOKUP(D65,AccessModes!$D$2:$E$14,2,FALSE),"AM_IMP")</f>
        <v>AM_AIX</v>
      </c>
      <c r="H65" s="28">
        <v>7</v>
      </c>
      <c r="I65" s="28">
        <v>0</v>
      </c>
      <c r="J65" s="28"/>
      <c r="K65" s="28"/>
      <c r="L65" s="28"/>
      <c r="M65" s="28" t="str">
        <f>IF(LEN(J65)&gt;0,indent&amp;J65&amp;" = "&amp;VLOOKUP($G65,AccessModes!$E$2:$I$14,4,FALSE),"")</f>
        <v/>
      </c>
      <c r="N65" s="29" t="str">
        <f>indent&amp;"/* TODO: implementation of the action */"</f>
        <v xml:space="preserve">            /* TODO: implementation of the action */</v>
      </c>
      <c r="O65" s="29" t="str">
        <f t="shared" si="1"/>
        <v/>
      </c>
      <c r="P65" s="28" t="str">
        <f>IF(LEN(L65)&gt;0,indent&amp;IF(L65="LAST",AccessModes!$I$16&amp;J65,VLOOKUP($G65,AccessModes!$E$2:$I$14,5,FALSE)&amp;L65)&amp;");","")</f>
        <v/>
      </c>
      <c r="Q65" s="28"/>
      <c r="R65" s="29" t="str">
        <f>IF(C65=0,indent0&amp;"case 0x"&amp;F65&amp;": /* "&amp;B65&amp;" "&amp;VLOOKUP(G65,AccessModes!$E$2:$G$14,3,FALSE)&amp;" */"&amp;newline&amp;indent&amp;"cpu.cycles = "&amp;H65&amp;";"&amp;newline&amp;IF(LEN(M65)&gt;0,M65&amp;CHAR(10),"")&amp;IF(LEN(N65)&gt;0,N65&amp;newline,"")&amp;IF(LEN(O65)&gt;0,O65&amp;newline,"")&amp;IF(LEN(P65)&gt;0,P65&amp;newline,"")&amp;IF(LEN(Q65)&gt;0,Q65&amp;newline,"")&amp;indent&amp;"break;",indent0&amp;"/* Illegal opcode 0x"&amp;F65&amp;": "&amp;B65&amp;" "&amp;VLOOKUP(G65,AccessModes!$E$2:$G$14,3,FALSE)&amp;" */"&amp;newline)</f>
        <v xml:space="preserve">        /* Illegal opcode 0x3F: RLA aaaa,X */
</v>
      </c>
      <c r="S65" s="28" t="str">
        <f t="shared" si="3"/>
        <v xml:space="preserve">    {"RLA", true , AM_AIX, 7, 0},</v>
      </c>
    </row>
    <row r="66" spans="1:19" ht="63.75" hidden="1" x14ac:dyDescent="0.25">
      <c r="A66" s="22">
        <v>64</v>
      </c>
      <c r="B66" s="22" t="s">
        <v>55</v>
      </c>
      <c r="C66" s="22">
        <v>0</v>
      </c>
      <c r="D66" s="22" t="s">
        <v>139</v>
      </c>
      <c r="E66" s="22" t="str">
        <f t="shared" ref="E66:E129" si="4">DEC2HEX(A66)</f>
        <v>40</v>
      </c>
      <c r="F66" s="22" t="str">
        <f t="shared" si="2"/>
        <v>40</v>
      </c>
      <c r="G66" s="22" t="str">
        <f>_xlfn.IFNA(VLOOKUP(D66,AccessModes!$D$2:$E$14,2,FALSE),"AM_IMP")</f>
        <v>AM_IMP</v>
      </c>
      <c r="H66" s="22">
        <v>6</v>
      </c>
      <c r="I66" s="22">
        <v>0</v>
      </c>
      <c r="J66" s="24"/>
      <c r="K66" s="24"/>
      <c r="L66" s="24"/>
      <c r="M66" s="22" t="str">
        <f>IF(LEN(J66)&gt;0,indent&amp;J66&amp;" = "&amp;VLOOKUP($G66,AccessModes!$E$2:$I$14,4,FALSE),"")</f>
        <v/>
      </c>
      <c r="N66" s="25" t="str">
        <f>indent&amp;"cpu_statusPull();"&amp;newline&amp;indent&amp;"cpu.PC = memory_stackPullAddress();"</f>
        <v xml:space="preserve">            cpu_statusPull();
            cpu.PC = memory_stackPullAddress();</v>
      </c>
      <c r="O66" s="26" t="str">
        <f t="shared" ref="O66:O129" si="5">IF(LEN(K66)&gt;0,indent&amp;"cpu.PS_N = (("&amp;K66&amp;" &amp; 0x80) != 0);"&amp;newline&amp;indent&amp;"cpu.PS_Z = ("&amp;K66&amp;" == 0);","")</f>
        <v/>
      </c>
      <c r="P66" s="22" t="str">
        <f>IF(LEN(L66)&gt;0,indent&amp;IF(L66="LAST",AccessModes!$I$16&amp;J66,VLOOKUP($G66,AccessModes!$E$2:$I$14,5,FALSE)&amp;L66)&amp;");","")</f>
        <v/>
      </c>
      <c r="Q66" s="22"/>
      <c r="R66" s="26" t="str">
        <f>IF(C66=0,indent0&amp;"case 0x"&amp;F66&amp;": /* "&amp;B66&amp;" "&amp;VLOOKUP(G66,AccessModes!$E$2:$G$14,3,FALSE)&amp;" */"&amp;newline&amp;indent&amp;"cpu.cycles = "&amp;H66&amp;";"&amp;newline&amp;IF(LEN(M66)&gt;0,M66&amp;CHAR(10),"")&amp;IF(LEN(N66)&gt;0,N66&amp;newline,"")&amp;IF(LEN(O66)&gt;0,O66&amp;newline,"")&amp;IF(LEN(P66)&gt;0,P66&amp;newline,"")&amp;IF(LEN(Q66)&gt;0,Q66&amp;newline,"")&amp;indent&amp;"break;",indent0&amp;"/* Illegal opcode 0x"&amp;F66&amp;": "&amp;B66&amp;" "&amp;VLOOKUP(G66,AccessModes!$E$2:$G$14,3,FALSE)&amp;" */"&amp;newline)</f>
        <v xml:space="preserve">        case 0x40: /* RTI  */
            cpu.cycles = 6;
            cpu_statusPull();
            cpu.PC = memory_stackPullAddress();
            break;</v>
      </c>
      <c r="S66" s="22" t="str">
        <f t="shared" si="3"/>
        <v xml:space="preserve">    {"RTI", false, AM_IMP, 6, 0},</v>
      </c>
    </row>
    <row r="67" spans="1:19" ht="89.25" hidden="1" x14ac:dyDescent="0.25">
      <c r="A67" s="22">
        <v>65</v>
      </c>
      <c r="B67" s="22" t="s">
        <v>56</v>
      </c>
      <c r="C67" s="22">
        <v>0</v>
      </c>
      <c r="D67" s="22" t="s">
        <v>129</v>
      </c>
      <c r="E67" s="22" t="str">
        <f t="shared" si="4"/>
        <v>41</v>
      </c>
      <c r="F67" s="22" t="str">
        <f t="shared" ref="F67:F130" si="6">RIGHT("0"&amp;E67,2)</f>
        <v>41</v>
      </c>
      <c r="G67" s="22" t="str">
        <f>_xlfn.IFNA(VLOOKUP(D67,AccessModes!$D$2:$E$14,2,FALSE),"AM_IMP")</f>
        <v>AM_IIX</v>
      </c>
      <c r="H67" s="22">
        <v>6</v>
      </c>
      <c r="I67" s="22">
        <v>0</v>
      </c>
      <c r="J67" s="24" t="s">
        <v>224</v>
      </c>
      <c r="K67" s="24" t="s">
        <v>215</v>
      </c>
      <c r="L67" s="24" t="str">
        <f>""</f>
        <v/>
      </c>
      <c r="M67" s="22" t="str">
        <f>IF(LEN(J67)&gt;0,indent&amp;J67&amp;" = "&amp;VLOOKUP($G67,AccessModes!$E$2:$I$14,4,FALSE),"")</f>
        <v xml:space="preserve">            value = memory_getIndexedIndirectX();</v>
      </c>
      <c r="N67" s="25" t="str">
        <f>indent&amp;K67&amp;" ^= value;"</f>
        <v xml:space="preserve">            cpu.A ^= value;</v>
      </c>
      <c r="O67" s="26" t="str">
        <f t="shared" si="5"/>
        <v xml:space="preserve">            cpu.PS_N = ((cpu.A &amp; 0x80) != 0);
            cpu.PS_Z = (cpu.A == 0);</v>
      </c>
      <c r="P67" s="22" t="str">
        <f>IF(LEN(L67)&gt;0,indent&amp;IF(L67="LAST",AccessModes!$I$16&amp;J67,VLOOKUP($G67,AccessModes!$E$2:$I$14,5,FALSE)&amp;L67)&amp;");","")</f>
        <v/>
      </c>
      <c r="Q67" s="22"/>
      <c r="R67" s="26" t="str">
        <f>IF(C67=0,indent0&amp;"case 0x"&amp;F67&amp;": /* "&amp;B67&amp;" "&amp;VLOOKUP(G67,AccessModes!$E$2:$G$14,3,FALSE)&amp;" */"&amp;newline&amp;indent&amp;"cpu.cycles = "&amp;H67&amp;";"&amp;newline&amp;IF(LEN(M67)&gt;0,M67&amp;CHAR(10),"")&amp;IF(LEN(N67)&gt;0,N67&amp;newline,"")&amp;IF(LEN(O67)&gt;0,O67&amp;newline,"")&amp;IF(LEN(P67)&gt;0,P67&amp;newline,"")&amp;IF(LEN(Q67)&gt;0,Q67&amp;newline,"")&amp;indent&amp;"break;",indent0&amp;"/* Illegal opcode 0x"&amp;F67&amp;": "&amp;B67&amp;" "&amp;VLOOKUP(G67,AccessModes!$E$2:$G$14,3,FALSE)&amp;" */"&amp;newline)</f>
        <v xml:space="preserve">        case 0x41: /* EOR (aa,X) */
            cpu.cycles = 6;
            value = memory_getIndexedIndirectX();
            cpu.A ^= value;
            cpu.PS_N = ((cpu.A &amp; 0x80) != 0);
            cpu.PS_Z = (cpu.A == 0);
            break;</v>
      </c>
      <c r="S67" s="22" t="str">
        <f t="shared" ref="S67:S130" si="7">"    {"&amp;CHAR(34)&amp;B67&amp;CHAR(34)&amp;", "&amp;IF(C67,"true ","false")&amp;", "&amp;G67&amp;", "&amp;H67&amp;", "&amp;I67&amp;"},"</f>
        <v xml:space="preserve">    {"EOR", false, AM_IIX, 6, 0},</v>
      </c>
    </row>
    <row r="68" spans="1:19" ht="25.5" hidden="1" x14ac:dyDescent="0.25">
      <c r="A68" s="28">
        <v>66</v>
      </c>
      <c r="B68" s="28" t="s">
        <v>20</v>
      </c>
      <c r="C68" s="28">
        <v>-1</v>
      </c>
      <c r="D68" s="28"/>
      <c r="E68" s="28" t="str">
        <f t="shared" si="4"/>
        <v>42</v>
      </c>
      <c r="F68" s="28" t="str">
        <f t="shared" si="6"/>
        <v>42</v>
      </c>
      <c r="G68" s="28" t="str">
        <f>_xlfn.IFNA(VLOOKUP(D68,AccessModes!$D$2:$E$14,2,FALSE),"AM_IMP")</f>
        <v>AM_IMP</v>
      </c>
      <c r="H68" s="28">
        <v>0</v>
      </c>
      <c r="I68" s="28">
        <v>0</v>
      </c>
      <c r="J68" s="28"/>
      <c r="K68" s="28"/>
      <c r="L68" s="28"/>
      <c r="M68" s="28" t="str">
        <f>IF(LEN(J68)&gt;0,indent&amp;J68&amp;" = "&amp;VLOOKUP($G68,AccessModes!$E$2:$I$14,4,FALSE),"")</f>
        <v/>
      </c>
      <c r="N68" s="29" t="str">
        <f>indent&amp;"/* TODO: implementation of the action */"</f>
        <v xml:space="preserve">            /* TODO: implementation of the action */</v>
      </c>
      <c r="O68" s="29" t="str">
        <f t="shared" si="5"/>
        <v/>
      </c>
      <c r="P68" s="28" t="str">
        <f>IF(LEN(L68)&gt;0,indent&amp;IF(L68="LAST",AccessModes!$I$16&amp;J68,VLOOKUP($G68,AccessModes!$E$2:$I$14,5,FALSE)&amp;L68)&amp;");","")</f>
        <v/>
      </c>
      <c r="Q68" s="28"/>
      <c r="R68" s="29" t="str">
        <f>IF(C68=0,indent0&amp;"case 0x"&amp;F68&amp;": /* "&amp;B68&amp;" "&amp;VLOOKUP(G68,AccessModes!$E$2:$G$14,3,FALSE)&amp;" */"&amp;newline&amp;indent&amp;"cpu.cycles = "&amp;H68&amp;";"&amp;newline&amp;IF(LEN(M68)&gt;0,M68&amp;CHAR(10),"")&amp;IF(LEN(N68)&gt;0,N68&amp;newline,"")&amp;IF(LEN(O68)&gt;0,O68&amp;newline,"")&amp;IF(LEN(P68)&gt;0,P68&amp;newline,"")&amp;IF(LEN(Q68)&gt;0,Q68&amp;newline,"")&amp;indent&amp;"break;",indent0&amp;"/* Illegal opcode 0x"&amp;F68&amp;": "&amp;B68&amp;" "&amp;VLOOKUP(G68,AccessModes!$E$2:$G$14,3,FALSE)&amp;" */"&amp;newline)</f>
        <v xml:space="preserve">        /* Illegal opcode 0x42: KIL  */
</v>
      </c>
      <c r="S68" s="28" t="str">
        <f t="shared" si="7"/>
        <v xml:space="preserve">    {"KIL", true , AM_IMP, 0, 0},</v>
      </c>
    </row>
    <row r="69" spans="1:19" ht="25.5" hidden="1" x14ac:dyDescent="0.25">
      <c r="A69" s="28">
        <v>67</v>
      </c>
      <c r="B69" s="28" t="s">
        <v>57</v>
      </c>
      <c r="C69" s="28">
        <v>-1</v>
      </c>
      <c r="D69" s="28" t="s">
        <v>129</v>
      </c>
      <c r="E69" s="28" t="str">
        <f t="shared" si="4"/>
        <v>43</v>
      </c>
      <c r="F69" s="28" t="str">
        <f t="shared" si="6"/>
        <v>43</v>
      </c>
      <c r="G69" s="28" t="str">
        <f>_xlfn.IFNA(VLOOKUP(D69,AccessModes!$D$2:$E$14,2,FALSE),"AM_IMP")</f>
        <v>AM_IIX</v>
      </c>
      <c r="H69" s="28">
        <v>8</v>
      </c>
      <c r="I69" s="28">
        <v>0</v>
      </c>
      <c r="J69" s="28"/>
      <c r="K69" s="28"/>
      <c r="L69" s="28"/>
      <c r="M69" s="28" t="str">
        <f>IF(LEN(J69)&gt;0,indent&amp;J69&amp;" = "&amp;VLOOKUP($G69,AccessModes!$E$2:$I$14,4,FALSE),"")</f>
        <v/>
      </c>
      <c r="N69" s="29" t="str">
        <f>indent&amp;"/* TODO: implementation of the action */"</f>
        <v xml:space="preserve">            /* TODO: implementation of the action */</v>
      </c>
      <c r="O69" s="29" t="str">
        <f t="shared" si="5"/>
        <v/>
      </c>
      <c r="P69" s="28" t="str">
        <f>IF(LEN(L69)&gt;0,indent&amp;IF(L69="LAST",AccessModes!$I$16&amp;J69,VLOOKUP($G69,AccessModes!$E$2:$I$14,5,FALSE)&amp;L69)&amp;");","")</f>
        <v/>
      </c>
      <c r="Q69" s="28"/>
      <c r="R69" s="29" t="str">
        <f>IF(C69=0,indent0&amp;"case 0x"&amp;F69&amp;": /* "&amp;B69&amp;" "&amp;VLOOKUP(G69,AccessModes!$E$2:$G$14,3,FALSE)&amp;" */"&amp;newline&amp;indent&amp;"cpu.cycles = "&amp;H69&amp;";"&amp;newline&amp;IF(LEN(M69)&gt;0,M69&amp;CHAR(10),"")&amp;IF(LEN(N69)&gt;0,N69&amp;newline,"")&amp;IF(LEN(O69)&gt;0,O69&amp;newline,"")&amp;IF(LEN(P69)&gt;0,P69&amp;newline,"")&amp;IF(LEN(Q69)&gt;0,Q69&amp;newline,"")&amp;indent&amp;"break;",indent0&amp;"/* Illegal opcode 0x"&amp;F69&amp;": "&amp;B69&amp;" "&amp;VLOOKUP(G69,AccessModes!$E$2:$G$14,3,FALSE)&amp;" */"&amp;newline)</f>
        <v xml:space="preserve">        /* Illegal opcode 0x43: SRE (aa,X) */
</v>
      </c>
      <c r="S69" s="28" t="str">
        <f t="shared" si="7"/>
        <v xml:space="preserve">    {"SRE", true , AM_IIX, 8, 0},</v>
      </c>
    </row>
    <row r="70" spans="1:19" ht="25.5" hidden="1" x14ac:dyDescent="0.25">
      <c r="A70" s="28">
        <v>68</v>
      </c>
      <c r="B70" s="28" t="s">
        <v>23</v>
      </c>
      <c r="C70" s="28">
        <v>-1</v>
      </c>
      <c r="D70" s="28" t="s">
        <v>144</v>
      </c>
      <c r="E70" s="28" t="str">
        <f t="shared" si="4"/>
        <v>44</v>
      </c>
      <c r="F70" s="28" t="str">
        <f t="shared" si="6"/>
        <v>44</v>
      </c>
      <c r="G70" s="28" t="str">
        <f>_xlfn.IFNA(VLOOKUP(D70,AccessModes!$D$2:$E$14,2,FALSE),"AM_IMP")</f>
        <v>AM_ZPG</v>
      </c>
      <c r="H70" s="28">
        <v>3</v>
      </c>
      <c r="I70" s="28">
        <v>0</v>
      </c>
      <c r="J70" s="28"/>
      <c r="K70" s="28"/>
      <c r="L70" s="28"/>
      <c r="M70" s="28" t="str">
        <f>IF(LEN(J70)&gt;0,indent&amp;J70&amp;" = "&amp;VLOOKUP($G70,AccessModes!$E$2:$I$14,4,FALSE),"")</f>
        <v/>
      </c>
      <c r="N70" s="29" t="str">
        <f>indent&amp;"/* TODO: implementation of the action */"</f>
        <v xml:space="preserve">            /* TODO: implementation of the action */</v>
      </c>
      <c r="O70" s="29" t="str">
        <f t="shared" si="5"/>
        <v/>
      </c>
      <c r="P70" s="28" t="str">
        <f>IF(LEN(L70)&gt;0,indent&amp;IF(L70="LAST",AccessModes!$I$16&amp;J70,VLOOKUP($G70,AccessModes!$E$2:$I$14,5,FALSE)&amp;L70)&amp;");","")</f>
        <v/>
      </c>
      <c r="Q70" s="28"/>
      <c r="R70" s="29" t="str">
        <f>IF(C70=0,indent0&amp;"case 0x"&amp;F70&amp;": /* "&amp;B70&amp;" "&amp;VLOOKUP(G70,AccessModes!$E$2:$G$14,3,FALSE)&amp;" */"&amp;newline&amp;indent&amp;"cpu.cycles = "&amp;H70&amp;";"&amp;newline&amp;IF(LEN(M70)&gt;0,M70&amp;CHAR(10),"")&amp;IF(LEN(N70)&gt;0,N70&amp;newline,"")&amp;IF(LEN(O70)&gt;0,O70&amp;newline,"")&amp;IF(LEN(P70)&gt;0,P70&amp;newline,"")&amp;IF(LEN(Q70)&gt;0,Q70&amp;newline,"")&amp;indent&amp;"break;",indent0&amp;"/* Illegal opcode 0x"&amp;F70&amp;": "&amp;B70&amp;" "&amp;VLOOKUP(G70,AccessModes!$E$2:$G$14,3,FALSE)&amp;" */"&amp;newline)</f>
        <v xml:space="preserve">        /* Illegal opcode 0x44: NOP aa */
</v>
      </c>
      <c r="S70" s="28" t="str">
        <f t="shared" si="7"/>
        <v xml:space="preserve">    {"NOP", true , AM_ZPG, 3, 0},</v>
      </c>
    </row>
    <row r="71" spans="1:19" ht="89.25" hidden="1" x14ac:dyDescent="0.25">
      <c r="A71" s="22">
        <v>69</v>
      </c>
      <c r="B71" s="22" t="s">
        <v>56</v>
      </c>
      <c r="C71" s="22">
        <v>0</v>
      </c>
      <c r="D71" s="22" t="s">
        <v>144</v>
      </c>
      <c r="E71" s="22" t="str">
        <f t="shared" si="4"/>
        <v>45</v>
      </c>
      <c r="F71" s="22" t="str">
        <f t="shared" si="6"/>
        <v>45</v>
      </c>
      <c r="G71" s="22" t="str">
        <f>_xlfn.IFNA(VLOOKUP(D71,AccessModes!$D$2:$E$14,2,FALSE),"AM_IMP")</f>
        <v>AM_ZPG</v>
      </c>
      <c r="H71" s="22">
        <v>3</v>
      </c>
      <c r="I71" s="22">
        <v>0</v>
      </c>
      <c r="J71" s="22" t="str">
        <f>$J$67</f>
        <v>value</v>
      </c>
      <c r="K71" s="22" t="str">
        <f>$K$67</f>
        <v>cpu.A</v>
      </c>
      <c r="L71" s="22" t="str">
        <f>$L$67</f>
        <v/>
      </c>
      <c r="M71" s="22" t="str">
        <f>IF(LEN(J71)&gt;0,indent&amp;J71&amp;" = "&amp;VLOOKUP($G71,AccessModes!$E$2:$I$14,4,FALSE),"")</f>
        <v xml:space="preserve">            value = memory_getZeroPage();</v>
      </c>
      <c r="N71" s="26" t="str">
        <f>$N$67</f>
        <v xml:space="preserve">            cpu.A ^= value;</v>
      </c>
      <c r="O71" s="26" t="str">
        <f t="shared" si="5"/>
        <v xml:space="preserve">            cpu.PS_N = ((cpu.A &amp; 0x80) != 0);
            cpu.PS_Z = (cpu.A == 0);</v>
      </c>
      <c r="P71" s="22" t="str">
        <f>IF(LEN(L71)&gt;0,indent&amp;IF(L71="LAST",AccessModes!$I$16&amp;J71,VLOOKUP($G71,AccessModes!$E$2:$I$14,5,FALSE)&amp;L71)&amp;");","")</f>
        <v/>
      </c>
      <c r="Q71" s="22"/>
      <c r="R71" s="26" t="str">
        <f>IF(C71=0,indent0&amp;"case 0x"&amp;F71&amp;": /* "&amp;B71&amp;" "&amp;VLOOKUP(G71,AccessModes!$E$2:$G$14,3,FALSE)&amp;" */"&amp;newline&amp;indent&amp;"cpu.cycles = "&amp;H71&amp;";"&amp;newline&amp;IF(LEN(M71)&gt;0,M71&amp;CHAR(10),"")&amp;IF(LEN(N71)&gt;0,N71&amp;newline,"")&amp;IF(LEN(O71)&gt;0,O71&amp;newline,"")&amp;IF(LEN(P71)&gt;0,P71&amp;newline,"")&amp;IF(LEN(Q71)&gt;0,Q71&amp;newline,"")&amp;indent&amp;"break;",indent0&amp;"/* Illegal opcode 0x"&amp;F71&amp;": "&amp;B71&amp;" "&amp;VLOOKUP(G71,AccessModes!$E$2:$G$14,3,FALSE)&amp;" */"&amp;newline)</f>
        <v xml:space="preserve">        case 0x45: /* EOR aa */
            cpu.cycles = 3;
            value = memory_getZeroPage();
            cpu.A ^= value;
            cpu.PS_N = ((cpu.A &amp; 0x80) != 0);
            cpu.PS_Z = (cpu.A == 0);
            break;</v>
      </c>
      <c r="S71" s="22" t="str">
        <f t="shared" si="7"/>
        <v xml:space="preserve">    {"EOR", false, AM_ZPG, 3, 0},</v>
      </c>
    </row>
    <row r="72" spans="1:19" ht="114.75" hidden="1" x14ac:dyDescent="0.25">
      <c r="A72" s="22">
        <v>70</v>
      </c>
      <c r="B72" s="22" t="s">
        <v>58</v>
      </c>
      <c r="C72" s="22">
        <v>0</v>
      </c>
      <c r="D72" s="22" t="s">
        <v>144</v>
      </c>
      <c r="E72" s="22" t="str">
        <f t="shared" si="4"/>
        <v>46</v>
      </c>
      <c r="F72" s="22" t="str">
        <f t="shared" si="6"/>
        <v>46</v>
      </c>
      <c r="G72" s="22" t="str">
        <f>_xlfn.IFNA(VLOOKUP(D72,AccessModes!$D$2:$E$14,2,FALSE),"AM_IMP")</f>
        <v>AM_ZPG</v>
      </c>
      <c r="H72" s="22">
        <v>5</v>
      </c>
      <c r="I72" s="22">
        <v>0</v>
      </c>
      <c r="J72" s="24" t="s">
        <v>224</v>
      </c>
      <c r="K72" s="24" t="s">
        <v>224</v>
      </c>
      <c r="L72" s="24" t="s">
        <v>227</v>
      </c>
      <c r="M72" s="22" t="str">
        <f>IF(LEN(J72)&gt;0,indent&amp;J72&amp;" = "&amp;VLOOKUP($G72,AccessModes!$E$2:$I$14,4,FALSE),"")</f>
        <v xml:space="preserve">            value = memory_getZeroPage();</v>
      </c>
      <c r="N72" s="25" t="str">
        <f>indent&amp;"cpu.PS_C = (("&amp; K72 &amp; " &amp; 0x01) != 0);"&amp; newline &amp; indent &amp; K72 &amp;" &gt;&gt;= 1;"</f>
        <v xml:space="preserve">            cpu.PS_C = ((value &amp; 0x01) != 0);
            value &gt;&gt;= 1;</v>
      </c>
      <c r="O72" s="26" t="str">
        <f t="shared" si="5"/>
        <v xml:space="preserve">            cpu.PS_N = ((value &amp; 0x80) != 0);
            cpu.PS_Z = (value == 0);</v>
      </c>
      <c r="P72" s="22" t="str">
        <f>IF(LEN(L72)&gt;0,indent&amp;IF(L72="LAST",AccessModes!$I$16&amp;J72,VLOOKUP($G72,AccessModes!$E$2:$I$14,5,FALSE)&amp;L72)&amp;");","")</f>
        <v xml:space="preserve">            memory_setLast(value);</v>
      </c>
      <c r="Q72" s="22"/>
      <c r="R72" s="26" t="str">
        <f>IF(C72=0,indent0&amp;"case 0x"&amp;F72&amp;": /* "&amp;B72&amp;" "&amp;VLOOKUP(G72,AccessModes!$E$2:$G$14,3,FALSE)&amp;" */"&amp;newline&amp;indent&amp;"cpu.cycles = "&amp;H72&amp;";"&amp;newline&amp;IF(LEN(M72)&gt;0,M72&amp;CHAR(10),"")&amp;IF(LEN(N72)&gt;0,N72&amp;newline,"")&amp;IF(LEN(O72)&gt;0,O72&amp;newline,"")&amp;IF(LEN(P72)&gt;0,P72&amp;newline,"")&amp;IF(LEN(Q72)&gt;0,Q72&amp;newline,"")&amp;indent&amp;"break;",indent0&amp;"/* Illegal opcode 0x"&amp;F72&amp;": "&amp;B72&amp;" "&amp;VLOOKUP(G72,AccessModes!$E$2:$G$14,3,FALSE)&amp;" */"&amp;newline)</f>
        <v xml:space="preserve">        case 0x46: /* LSR aa */
            cpu.cycles = 5;
            value = memory_getZeroPage();
            cpu.PS_C = ((value &amp; 0x01) != 0);
            value &gt;&gt;= 1;
            cpu.PS_N = ((value &amp; 0x80) != 0);
            cpu.PS_Z = (value == 0);
            memory_setLast(value);
            break;</v>
      </c>
      <c r="S72" s="22" t="str">
        <f t="shared" si="7"/>
        <v xml:space="preserve">    {"LSR", false, AM_ZPG, 5, 0},</v>
      </c>
    </row>
    <row r="73" spans="1:19" ht="25.5" hidden="1" x14ac:dyDescent="0.25">
      <c r="A73" s="28">
        <v>71</v>
      </c>
      <c r="B73" s="28" t="s">
        <v>57</v>
      </c>
      <c r="C73" s="28">
        <v>-1</v>
      </c>
      <c r="D73" s="28" t="s">
        <v>144</v>
      </c>
      <c r="E73" s="28" t="str">
        <f t="shared" si="4"/>
        <v>47</v>
      </c>
      <c r="F73" s="28" t="str">
        <f t="shared" si="6"/>
        <v>47</v>
      </c>
      <c r="G73" s="28" t="str">
        <f>_xlfn.IFNA(VLOOKUP(D73,AccessModes!$D$2:$E$14,2,FALSE),"AM_IMP")</f>
        <v>AM_ZPG</v>
      </c>
      <c r="H73" s="28">
        <v>5</v>
      </c>
      <c r="I73" s="28">
        <v>0</v>
      </c>
      <c r="J73" s="28"/>
      <c r="K73" s="28"/>
      <c r="L73" s="28"/>
      <c r="M73" s="28" t="str">
        <f>IF(LEN(J73)&gt;0,indent&amp;J73&amp;" = "&amp;VLOOKUP($G73,AccessModes!$E$2:$I$14,4,FALSE),"")</f>
        <v/>
      </c>
      <c r="N73" s="29" t="str">
        <f>indent&amp;"/* TODO: implementation of the action */"</f>
        <v xml:space="preserve">            /* TODO: implementation of the action */</v>
      </c>
      <c r="O73" s="29" t="str">
        <f t="shared" si="5"/>
        <v/>
      </c>
      <c r="P73" s="28" t="str">
        <f>IF(LEN(L73)&gt;0,indent&amp;IF(L73="LAST",AccessModes!$I$16&amp;J73,VLOOKUP($G73,AccessModes!$E$2:$I$14,5,FALSE)&amp;L73)&amp;");","")</f>
        <v/>
      </c>
      <c r="Q73" s="28"/>
      <c r="R73" s="29" t="str">
        <f>IF(C73=0,indent0&amp;"case 0x"&amp;F73&amp;": /* "&amp;B73&amp;" "&amp;VLOOKUP(G73,AccessModes!$E$2:$G$14,3,FALSE)&amp;" */"&amp;newline&amp;indent&amp;"cpu.cycles = "&amp;H73&amp;";"&amp;newline&amp;IF(LEN(M73)&gt;0,M73&amp;CHAR(10),"")&amp;IF(LEN(N73)&gt;0,N73&amp;newline,"")&amp;IF(LEN(O73)&gt;0,O73&amp;newline,"")&amp;IF(LEN(P73)&gt;0,P73&amp;newline,"")&amp;IF(LEN(Q73)&gt;0,Q73&amp;newline,"")&amp;indent&amp;"break;",indent0&amp;"/* Illegal opcode 0x"&amp;F73&amp;": "&amp;B73&amp;" "&amp;VLOOKUP(G73,AccessModes!$E$2:$G$14,3,FALSE)&amp;" */"&amp;newline)</f>
        <v xml:space="preserve">        /* Illegal opcode 0x47: SRE aa */
</v>
      </c>
      <c r="S73" s="28" t="str">
        <f t="shared" si="7"/>
        <v xml:space="preserve">    {"SRE", true , AM_ZPG, 5, 0},</v>
      </c>
    </row>
    <row r="74" spans="1:19" ht="51" hidden="1" x14ac:dyDescent="0.25">
      <c r="A74" s="22">
        <v>72</v>
      </c>
      <c r="B74" s="22" t="s">
        <v>59</v>
      </c>
      <c r="C74" s="22">
        <v>0</v>
      </c>
      <c r="D74" s="22" t="s">
        <v>139</v>
      </c>
      <c r="E74" s="22" t="str">
        <f t="shared" si="4"/>
        <v>48</v>
      </c>
      <c r="F74" s="22" t="str">
        <f t="shared" si="6"/>
        <v>48</v>
      </c>
      <c r="G74" s="23" t="str">
        <f>_xlfn.IFNA(VLOOKUP(D74,AccessModes!$D$2:$E$14,2,FALSE),"AM_IMP")</f>
        <v>AM_IMP</v>
      </c>
      <c r="H74" s="22">
        <v>3</v>
      </c>
      <c r="I74" s="22">
        <v>0</v>
      </c>
      <c r="J74" s="24"/>
      <c r="K74" s="24"/>
      <c r="L74" s="24"/>
      <c r="M74" s="22" t="str">
        <f>IF(LEN(J74)&gt;0,indent&amp;J74&amp;" = "&amp;VLOOKUP($G74,AccessModes!$E$2:$I$14,4,FALSE),"")</f>
        <v/>
      </c>
      <c r="N74" s="25" t="str">
        <f>indent&amp;"memory_stackPush(cpu.A);"</f>
        <v xml:space="preserve">            memory_stackPush(cpu.A);</v>
      </c>
      <c r="O74" s="26" t="str">
        <f t="shared" si="5"/>
        <v/>
      </c>
      <c r="P74" s="22" t="str">
        <f>IF(LEN(L74)&gt;0,indent&amp;IF(L74="LAST",AccessModes!$I$16&amp;J74,VLOOKUP($G74,AccessModes!$E$2:$I$14,5,FALSE)&amp;L74)&amp;");","")</f>
        <v/>
      </c>
      <c r="Q74" s="22"/>
      <c r="R74" s="26" t="str">
        <f>IF(C74=0,indent0&amp;"case 0x"&amp;F74&amp;": /* "&amp;B74&amp;" "&amp;VLOOKUP(G74,AccessModes!$E$2:$G$14,3,FALSE)&amp;" */"&amp;newline&amp;indent&amp;"cpu.cycles = "&amp;H74&amp;";"&amp;newline&amp;IF(LEN(M74)&gt;0,M74&amp;CHAR(10),"")&amp;IF(LEN(N74)&gt;0,N74&amp;newline,"")&amp;IF(LEN(O74)&gt;0,O74&amp;newline,"")&amp;IF(LEN(P74)&gt;0,P74&amp;newline,"")&amp;IF(LEN(Q74)&gt;0,Q74&amp;newline,"")&amp;indent&amp;"break;",indent0&amp;"/* Illegal opcode 0x"&amp;F74&amp;": "&amp;B74&amp;" "&amp;VLOOKUP(G74,AccessModes!$E$2:$G$14,3,FALSE)&amp;" */"&amp;newline)</f>
        <v xml:space="preserve">        case 0x48: /* PHA  */
            cpu.cycles = 3;
            memory_stackPush(cpu.A);
            break;</v>
      </c>
      <c r="S74" s="22" t="str">
        <f t="shared" si="7"/>
        <v xml:space="preserve">    {"PHA", false, AM_IMP, 3, 0},</v>
      </c>
    </row>
    <row r="75" spans="1:19" ht="89.25" hidden="1" x14ac:dyDescent="0.25">
      <c r="A75" s="22">
        <v>73</v>
      </c>
      <c r="B75" s="22" t="s">
        <v>56</v>
      </c>
      <c r="C75" s="22">
        <v>0</v>
      </c>
      <c r="D75" s="22" t="s">
        <v>130</v>
      </c>
      <c r="E75" s="22" t="str">
        <f t="shared" si="4"/>
        <v>49</v>
      </c>
      <c r="F75" s="22" t="str">
        <f t="shared" si="6"/>
        <v>49</v>
      </c>
      <c r="G75" s="22" t="str">
        <f>_xlfn.IFNA(VLOOKUP(D75,AccessModes!$D$2:$E$14,2,FALSE),"AM_IMP")</f>
        <v>AM_IMM</v>
      </c>
      <c r="H75" s="22">
        <v>2</v>
      </c>
      <c r="I75" s="22">
        <v>0</v>
      </c>
      <c r="J75" s="22" t="str">
        <f>$J$67</f>
        <v>value</v>
      </c>
      <c r="K75" s="22" t="str">
        <f>$K$67</f>
        <v>cpu.A</v>
      </c>
      <c r="L75" s="22" t="str">
        <f>$L$67</f>
        <v/>
      </c>
      <c r="M75" s="22" t="str">
        <f>IF(LEN(J75)&gt;0,indent&amp;J75&amp;" = "&amp;VLOOKUP($G75,AccessModes!$E$2:$I$14,4,FALSE),"")</f>
        <v xml:space="preserve">            value = memory_getImmediate();</v>
      </c>
      <c r="N75" s="26" t="str">
        <f>$N$67</f>
        <v xml:space="preserve">            cpu.A ^= value;</v>
      </c>
      <c r="O75" s="26" t="str">
        <f t="shared" si="5"/>
        <v xml:space="preserve">            cpu.PS_N = ((cpu.A &amp; 0x80) != 0);
            cpu.PS_Z = (cpu.A == 0);</v>
      </c>
      <c r="P75" s="22" t="str">
        <f>IF(LEN(L75)&gt;0,indent&amp;IF(L75="LAST",AccessModes!$I$16&amp;J75,VLOOKUP($G75,AccessModes!$E$2:$I$14,5,FALSE)&amp;L75)&amp;");","")</f>
        <v/>
      </c>
      <c r="Q75" s="22"/>
      <c r="R75" s="26" t="str">
        <f>IF(C75=0,indent0&amp;"case 0x"&amp;F75&amp;": /* "&amp;B75&amp;" "&amp;VLOOKUP(G75,AccessModes!$E$2:$G$14,3,FALSE)&amp;" */"&amp;newline&amp;indent&amp;"cpu.cycles = "&amp;H75&amp;";"&amp;newline&amp;IF(LEN(M75)&gt;0,M75&amp;CHAR(10),"")&amp;IF(LEN(N75)&gt;0,N75&amp;newline,"")&amp;IF(LEN(O75)&gt;0,O75&amp;newline,"")&amp;IF(LEN(P75)&gt;0,P75&amp;newline,"")&amp;IF(LEN(Q75)&gt;0,Q75&amp;newline,"")&amp;indent&amp;"break;",indent0&amp;"/* Illegal opcode 0x"&amp;F75&amp;": "&amp;B75&amp;" "&amp;VLOOKUP(G75,AccessModes!$E$2:$G$14,3,FALSE)&amp;" */"&amp;newline)</f>
        <v xml:space="preserve">        case 0x49: /* EOR #aa */
            cpu.cycles = 2;
            value = memory_getImmediate();
            cpu.A ^= value;
            cpu.PS_N = ((cpu.A &amp; 0x80) != 0);
            cpu.PS_Z = (cpu.A == 0);
            break;</v>
      </c>
      <c r="S75" s="22" t="str">
        <f t="shared" si="7"/>
        <v xml:space="preserve">    {"EOR", false, AM_IMM, 2, 0},</v>
      </c>
    </row>
    <row r="76" spans="1:19" ht="89.25" hidden="1" x14ac:dyDescent="0.25">
      <c r="A76" s="22">
        <v>74</v>
      </c>
      <c r="B76" s="22" t="s">
        <v>58</v>
      </c>
      <c r="C76" s="22">
        <v>0</v>
      </c>
      <c r="D76" s="22" t="s">
        <v>139</v>
      </c>
      <c r="E76" s="22" t="str">
        <f t="shared" si="4"/>
        <v>4A</v>
      </c>
      <c r="F76" s="22" t="str">
        <f t="shared" si="6"/>
        <v>4A</v>
      </c>
      <c r="G76" s="22" t="str">
        <f>_xlfn.IFNA(VLOOKUP(D76,AccessModes!$D$2:$E$14,2,FALSE),"AM_IMP")</f>
        <v>AM_IMP</v>
      </c>
      <c r="H76" s="22">
        <v>2</v>
      </c>
      <c r="I76" s="22">
        <v>0</v>
      </c>
      <c r="J76" s="24" t="str">
        <f>""</f>
        <v/>
      </c>
      <c r="K76" s="24" t="s">
        <v>215</v>
      </c>
      <c r="L76" s="24" t="str">
        <f>""</f>
        <v/>
      </c>
      <c r="M76" s="22" t="str">
        <f>IF(LEN(J76)&gt;0,indent&amp;J76&amp;" = "&amp;VLOOKUP($G76,AccessModes!$E$2:$I$14,4,FALSE),"")</f>
        <v/>
      </c>
      <c r="N76" s="25" t="str">
        <f>indent&amp;"cpu.PS_C = (("&amp; K76 &amp; " &amp; 0x01) != 0);"&amp; newline &amp; indent &amp; K76 &amp;" &gt;&gt;= 1;"</f>
        <v xml:space="preserve">            cpu.PS_C = ((cpu.A &amp; 0x01) != 0);
            cpu.A &gt;&gt;= 1;</v>
      </c>
      <c r="O76" s="26" t="str">
        <f t="shared" si="5"/>
        <v xml:space="preserve">            cpu.PS_N = ((cpu.A &amp; 0x80) != 0);
            cpu.PS_Z = (cpu.A == 0);</v>
      </c>
      <c r="P76" s="22" t="str">
        <f>IF(LEN(L76)&gt;0,indent&amp;IF(L76="LAST",AccessModes!$I$16&amp;J76,VLOOKUP($G76,AccessModes!$E$2:$I$14,5,FALSE)&amp;L76)&amp;");","")</f>
        <v/>
      </c>
      <c r="Q76" s="22"/>
      <c r="R76" s="26" t="str">
        <f>IF(C76=0,indent0&amp;"case 0x"&amp;F76&amp;": /* "&amp;B76&amp;" "&amp;VLOOKUP(G76,AccessModes!$E$2:$G$14,3,FALSE)&amp;" */"&amp;newline&amp;indent&amp;"cpu.cycles = "&amp;H76&amp;";"&amp;newline&amp;IF(LEN(M76)&gt;0,M76&amp;CHAR(10),"")&amp;IF(LEN(N76)&gt;0,N76&amp;newline,"")&amp;IF(LEN(O76)&gt;0,O76&amp;newline,"")&amp;IF(LEN(P76)&gt;0,P76&amp;newline,"")&amp;IF(LEN(Q76)&gt;0,Q76&amp;newline,"")&amp;indent&amp;"break;",indent0&amp;"/* Illegal opcode 0x"&amp;F76&amp;": "&amp;B76&amp;" "&amp;VLOOKUP(G76,AccessModes!$E$2:$G$14,3,FALSE)&amp;" */"&amp;newline)</f>
        <v xml:space="preserve">        case 0x4A: /* LSR  */
            cpu.cycles = 2;
            cpu.PS_C = ((cpu.A &amp; 0x01) != 0);
            cpu.A &gt;&gt;= 1;
            cpu.PS_N = ((cpu.A &amp; 0x80) != 0);
            cpu.PS_Z = (cpu.A == 0);
            break;</v>
      </c>
      <c r="S76" s="22" t="str">
        <f t="shared" si="7"/>
        <v xml:space="preserve">    {"LSR", false, AM_IMP, 2, 0},</v>
      </c>
    </row>
    <row r="77" spans="1:19" ht="25.5" hidden="1" x14ac:dyDescent="0.25">
      <c r="A77" s="28">
        <v>75</v>
      </c>
      <c r="B77" s="28" t="s">
        <v>60</v>
      </c>
      <c r="C77" s="28">
        <v>-1</v>
      </c>
      <c r="D77" s="28" t="s">
        <v>130</v>
      </c>
      <c r="E77" s="28" t="str">
        <f t="shared" si="4"/>
        <v>4B</v>
      </c>
      <c r="F77" s="28" t="str">
        <f t="shared" si="6"/>
        <v>4B</v>
      </c>
      <c r="G77" s="28" t="str">
        <f>_xlfn.IFNA(VLOOKUP(D77,AccessModes!$D$2:$E$14,2,FALSE),"AM_IMP")</f>
        <v>AM_IMM</v>
      </c>
      <c r="H77" s="28">
        <v>2</v>
      </c>
      <c r="I77" s="28">
        <v>0</v>
      </c>
      <c r="J77" s="28"/>
      <c r="K77" s="28"/>
      <c r="L77" s="28"/>
      <c r="M77" s="28" t="str">
        <f>IF(LEN(J77)&gt;0,indent&amp;J77&amp;" = "&amp;VLOOKUP($G77,AccessModes!$E$2:$I$14,4,FALSE),"")</f>
        <v/>
      </c>
      <c r="N77" s="29" t="str">
        <f>indent&amp;"/* TODO: implementation of the action */"</f>
        <v xml:space="preserve">            /* TODO: implementation of the action */</v>
      </c>
      <c r="O77" s="29" t="str">
        <f t="shared" si="5"/>
        <v/>
      </c>
      <c r="P77" s="28" t="str">
        <f>IF(LEN(L77)&gt;0,indent&amp;IF(L77="LAST",AccessModes!$I$16&amp;J77,VLOOKUP($G77,AccessModes!$E$2:$I$14,5,FALSE)&amp;L77)&amp;");","")</f>
        <v/>
      </c>
      <c r="Q77" s="28"/>
      <c r="R77" s="29" t="str">
        <f>IF(C77=0,indent0&amp;"case 0x"&amp;F77&amp;": /* "&amp;B77&amp;" "&amp;VLOOKUP(G77,AccessModes!$E$2:$G$14,3,FALSE)&amp;" */"&amp;newline&amp;indent&amp;"cpu.cycles = "&amp;H77&amp;";"&amp;newline&amp;IF(LEN(M77)&gt;0,M77&amp;CHAR(10),"")&amp;IF(LEN(N77)&gt;0,N77&amp;newline,"")&amp;IF(LEN(O77)&gt;0,O77&amp;newline,"")&amp;IF(LEN(P77)&gt;0,P77&amp;newline,"")&amp;IF(LEN(Q77)&gt;0,Q77&amp;newline,"")&amp;indent&amp;"break;",indent0&amp;"/* Illegal opcode 0x"&amp;F77&amp;": "&amp;B77&amp;" "&amp;VLOOKUP(G77,AccessModes!$E$2:$G$14,3,FALSE)&amp;" */"&amp;newline)</f>
        <v xml:space="preserve">        /* Illegal opcode 0x4B: ALR #aa */
</v>
      </c>
      <c r="S77" s="28" t="str">
        <f t="shared" si="7"/>
        <v xml:space="preserve">    {"ALR", true , AM_IMM, 2, 0},</v>
      </c>
    </row>
    <row r="78" spans="1:19" ht="51" hidden="1" x14ac:dyDescent="0.25">
      <c r="A78" s="22">
        <v>76</v>
      </c>
      <c r="B78" s="22" t="s">
        <v>61</v>
      </c>
      <c r="C78" s="22">
        <v>0</v>
      </c>
      <c r="D78" s="22" t="s">
        <v>245</v>
      </c>
      <c r="E78" s="22" t="str">
        <f t="shared" si="4"/>
        <v>4C</v>
      </c>
      <c r="F78" s="22" t="str">
        <f t="shared" si="6"/>
        <v>4C</v>
      </c>
      <c r="G78" s="22" t="str">
        <f>_xlfn.IFNA(VLOOKUP(D78,AccessModes!$D$2:$E$14,2,FALSE),"AM_IMP")</f>
        <v>AM_ABA</v>
      </c>
      <c r="H78" s="22">
        <v>3</v>
      </c>
      <c r="I78" s="22">
        <v>0</v>
      </c>
      <c r="J78" s="24" t="s">
        <v>241</v>
      </c>
      <c r="K78" s="24" t="str">
        <f>""</f>
        <v/>
      </c>
      <c r="L78" s="24" t="str">
        <f>""</f>
        <v/>
      </c>
      <c r="M78" s="22" t="str">
        <f>IF(LEN(J78)&gt;0,indent&amp;J78&amp;" = "&amp;VLOOKUP($G78,AccessModes!$E$2:$I$14,4,FALSE),"")</f>
        <v xml:space="preserve">            cpu.PC = memory_getAbsoluteAddress();</v>
      </c>
      <c r="N78" s="25" t="str">
        <f>""</f>
        <v/>
      </c>
      <c r="O78" s="26" t="str">
        <f t="shared" si="5"/>
        <v/>
      </c>
      <c r="P78" s="22" t="str">
        <f>IF(LEN(L78)&gt;0,indent&amp;IF(L78="LAST",AccessModes!$I$16&amp;J78,VLOOKUP($G78,AccessModes!$E$2:$I$14,5,FALSE)&amp;L78)&amp;");","")</f>
        <v/>
      </c>
      <c r="Q78" s="22"/>
      <c r="R78" s="26" t="str">
        <f>IF(C78=0,indent0&amp;"case 0x"&amp;F78&amp;": /* "&amp;B78&amp;" "&amp;VLOOKUP(G78,AccessModes!$E$2:$G$14,3,FALSE)&amp;" */"&amp;newline&amp;indent&amp;"cpu.cycles = "&amp;H78&amp;";"&amp;newline&amp;IF(LEN(M78)&gt;0,M78&amp;CHAR(10),"")&amp;IF(LEN(N78)&gt;0,N78&amp;newline,"")&amp;IF(LEN(O78)&gt;0,O78&amp;newline,"")&amp;IF(LEN(P78)&gt;0,P78&amp;newline,"")&amp;IF(LEN(Q78)&gt;0,Q78&amp;newline,"")&amp;indent&amp;"break;",indent0&amp;"/* Illegal opcode 0x"&amp;F78&amp;": "&amp;B78&amp;" "&amp;VLOOKUP(G78,AccessModes!$E$2:$G$14,3,FALSE)&amp;" */"&amp;newline)</f>
        <v xml:space="preserve">        case 0x4C: /* JMP aaaa */
            cpu.cycles = 3;
            cpu.PC = memory_getAbsoluteAddress();
            break;</v>
      </c>
      <c r="S78" s="22" t="str">
        <f t="shared" si="7"/>
        <v xml:space="preserve">    {"JMP", false, AM_ABA, 3, 0},</v>
      </c>
    </row>
    <row r="79" spans="1:19" ht="89.25" hidden="1" x14ac:dyDescent="0.25">
      <c r="A79" s="22">
        <v>77</v>
      </c>
      <c r="B79" s="22" t="s">
        <v>56</v>
      </c>
      <c r="C79" s="22">
        <v>0</v>
      </c>
      <c r="D79" s="22" t="s">
        <v>131</v>
      </c>
      <c r="E79" s="22" t="str">
        <f t="shared" si="4"/>
        <v>4D</v>
      </c>
      <c r="F79" s="22" t="str">
        <f t="shared" si="6"/>
        <v>4D</v>
      </c>
      <c r="G79" s="22" t="str">
        <f>_xlfn.IFNA(VLOOKUP(D79,AccessModes!$D$2:$E$14,2,FALSE),"AM_IMP")</f>
        <v>AM_ABS</v>
      </c>
      <c r="H79" s="22">
        <v>4</v>
      </c>
      <c r="I79" s="22">
        <v>0</v>
      </c>
      <c r="J79" s="22" t="str">
        <f>$J$67</f>
        <v>value</v>
      </c>
      <c r="K79" s="22" t="str">
        <f>$K$67</f>
        <v>cpu.A</v>
      </c>
      <c r="L79" s="22" t="str">
        <f>$L$67</f>
        <v/>
      </c>
      <c r="M79" s="22" t="str">
        <f>IF(LEN(J79)&gt;0,indent&amp;J79&amp;" = "&amp;VLOOKUP($G79,AccessModes!$E$2:$I$14,4,FALSE),"")</f>
        <v xml:space="preserve">            value = memory_getAbsolute();</v>
      </c>
      <c r="N79" s="26" t="str">
        <f>$N$67</f>
        <v xml:space="preserve">            cpu.A ^= value;</v>
      </c>
      <c r="O79" s="26" t="str">
        <f t="shared" si="5"/>
        <v xml:space="preserve">            cpu.PS_N = ((cpu.A &amp; 0x80) != 0);
            cpu.PS_Z = (cpu.A == 0);</v>
      </c>
      <c r="P79" s="22" t="str">
        <f>IF(LEN(L79)&gt;0,indent&amp;IF(L79="LAST",AccessModes!$I$16&amp;J79,VLOOKUP($G79,AccessModes!$E$2:$I$14,5,FALSE)&amp;L79)&amp;");","")</f>
        <v/>
      </c>
      <c r="Q79" s="22"/>
      <c r="R79" s="26" t="str">
        <f>IF(C79=0,indent0&amp;"case 0x"&amp;F79&amp;": /* "&amp;B79&amp;" "&amp;VLOOKUP(G79,AccessModes!$E$2:$G$14,3,FALSE)&amp;" */"&amp;newline&amp;indent&amp;"cpu.cycles = "&amp;H79&amp;";"&amp;newline&amp;IF(LEN(M79)&gt;0,M79&amp;CHAR(10),"")&amp;IF(LEN(N79)&gt;0,N79&amp;newline,"")&amp;IF(LEN(O79)&gt;0,O79&amp;newline,"")&amp;IF(LEN(P79)&gt;0,P79&amp;newline,"")&amp;IF(LEN(Q79)&gt;0,Q79&amp;newline,"")&amp;indent&amp;"break;",indent0&amp;"/* Illegal opcode 0x"&amp;F79&amp;": "&amp;B79&amp;" "&amp;VLOOKUP(G79,AccessModes!$E$2:$G$14,3,FALSE)&amp;" */"&amp;newline)</f>
        <v xml:space="preserve">        case 0x4D: /* EOR aaaa */
            cpu.cycles = 4;
            value = memory_getAbsolute();
            cpu.A ^= value;
            cpu.PS_N = ((cpu.A &amp; 0x80) != 0);
            cpu.PS_Z = (cpu.A == 0);
            break;</v>
      </c>
      <c r="S79" s="22" t="str">
        <f t="shared" si="7"/>
        <v xml:space="preserve">    {"EOR", false, AM_ABS, 4, 0},</v>
      </c>
    </row>
    <row r="80" spans="1:19" ht="114.75" hidden="1" x14ac:dyDescent="0.25">
      <c r="A80" s="22">
        <v>78</v>
      </c>
      <c r="B80" s="22" t="s">
        <v>58</v>
      </c>
      <c r="C80" s="22">
        <v>0</v>
      </c>
      <c r="D80" s="22" t="s">
        <v>131</v>
      </c>
      <c r="E80" s="22" t="str">
        <f t="shared" si="4"/>
        <v>4E</v>
      </c>
      <c r="F80" s="22" t="str">
        <f t="shared" si="6"/>
        <v>4E</v>
      </c>
      <c r="G80" s="22" t="str">
        <f>_xlfn.IFNA(VLOOKUP(D80,AccessModes!$D$2:$E$14,2,FALSE),"AM_IMP")</f>
        <v>AM_ABS</v>
      </c>
      <c r="H80" s="22">
        <v>6</v>
      </c>
      <c r="I80" s="22">
        <v>0</v>
      </c>
      <c r="J80" s="22" t="str">
        <f>$J$8</f>
        <v>value</v>
      </c>
      <c r="K80" s="22" t="str">
        <f>$K$8</f>
        <v>value</v>
      </c>
      <c r="L80" s="22" t="str">
        <f>$L$8</f>
        <v>LAST</v>
      </c>
      <c r="M80" s="22" t="str">
        <f>IF(LEN(J80)&gt;0,indent&amp;J80&amp;" = "&amp;VLOOKUP($G80,AccessModes!$E$2:$I$14,4,FALSE),"")</f>
        <v xml:space="preserve">            value = memory_getAbsolute();</v>
      </c>
      <c r="N80" s="26" t="str">
        <f>$N$72</f>
        <v xml:space="preserve">            cpu.PS_C = ((value &amp; 0x01) != 0);
            value &gt;&gt;= 1;</v>
      </c>
      <c r="O80" s="26" t="str">
        <f t="shared" si="5"/>
        <v xml:space="preserve">            cpu.PS_N = ((value &amp; 0x80) != 0);
            cpu.PS_Z = (value == 0);</v>
      </c>
      <c r="P80" s="22" t="str">
        <f>IF(LEN(L80)&gt;0,indent&amp;IF(L80="LAST",AccessModes!$I$16&amp;J80,VLOOKUP($G80,AccessModes!$E$2:$I$14,5,FALSE)&amp;L80)&amp;");","")</f>
        <v xml:space="preserve">            memory_setLast(value);</v>
      </c>
      <c r="Q80" s="22"/>
      <c r="R80" s="26" t="str">
        <f>IF(C80=0,indent0&amp;"case 0x"&amp;F80&amp;": /* "&amp;B80&amp;" "&amp;VLOOKUP(G80,AccessModes!$E$2:$G$14,3,FALSE)&amp;" */"&amp;newline&amp;indent&amp;"cpu.cycles = "&amp;H80&amp;";"&amp;newline&amp;IF(LEN(M80)&gt;0,M80&amp;CHAR(10),"")&amp;IF(LEN(N80)&gt;0,N80&amp;newline,"")&amp;IF(LEN(O80)&gt;0,O80&amp;newline,"")&amp;IF(LEN(P80)&gt;0,P80&amp;newline,"")&amp;IF(LEN(Q80)&gt;0,Q80&amp;newline,"")&amp;indent&amp;"break;",indent0&amp;"/* Illegal opcode 0x"&amp;F80&amp;": "&amp;B80&amp;" "&amp;VLOOKUP(G80,AccessModes!$E$2:$G$14,3,FALSE)&amp;" */"&amp;newline)</f>
        <v xml:space="preserve">        case 0x4E: /* LSR aaaa */
            cpu.cycles = 6;
            value = memory_getAbsolute();
            cpu.PS_C = ((value &amp; 0x01) != 0);
            value &gt;&gt;= 1;
            cpu.PS_N = ((value &amp; 0x80) != 0);
            cpu.PS_Z = (value == 0);
            memory_setLast(value);
            break;</v>
      </c>
      <c r="S80" s="22" t="str">
        <f t="shared" si="7"/>
        <v xml:space="preserve">    {"LSR", false, AM_ABS, 6, 0},</v>
      </c>
    </row>
    <row r="81" spans="1:19" ht="25.5" hidden="1" x14ac:dyDescent="0.25">
      <c r="A81" s="28">
        <v>79</v>
      </c>
      <c r="B81" s="28" t="s">
        <v>57</v>
      </c>
      <c r="C81" s="28">
        <v>-1</v>
      </c>
      <c r="D81" s="28" t="s">
        <v>131</v>
      </c>
      <c r="E81" s="28" t="str">
        <f t="shared" si="4"/>
        <v>4F</v>
      </c>
      <c r="F81" s="28" t="str">
        <f t="shared" si="6"/>
        <v>4F</v>
      </c>
      <c r="G81" s="28" t="str">
        <f>_xlfn.IFNA(VLOOKUP(D81,AccessModes!$D$2:$E$14,2,FALSE),"AM_IMP")</f>
        <v>AM_ABS</v>
      </c>
      <c r="H81" s="28">
        <v>6</v>
      </c>
      <c r="I81" s="28">
        <v>0</v>
      </c>
      <c r="J81" s="28"/>
      <c r="K81" s="28"/>
      <c r="L81" s="28"/>
      <c r="M81" s="28" t="str">
        <f>IF(LEN(J81)&gt;0,indent&amp;J81&amp;" = "&amp;VLOOKUP($G81,AccessModes!$E$2:$I$14,4,FALSE),"")</f>
        <v/>
      </c>
      <c r="N81" s="29" t="str">
        <f>indent&amp;"/* TODO: implementation of the action */"</f>
        <v xml:space="preserve">            /* TODO: implementation of the action */</v>
      </c>
      <c r="O81" s="29" t="str">
        <f t="shared" si="5"/>
        <v/>
      </c>
      <c r="P81" s="28" t="str">
        <f>IF(LEN(L81)&gt;0,indent&amp;IF(L81="LAST",AccessModes!$I$16&amp;J81,VLOOKUP($G81,AccessModes!$E$2:$I$14,5,FALSE)&amp;L81)&amp;");","")</f>
        <v/>
      </c>
      <c r="Q81" s="28"/>
      <c r="R81" s="29" t="str">
        <f>IF(C81=0,indent0&amp;"case 0x"&amp;F81&amp;": /* "&amp;B81&amp;" "&amp;VLOOKUP(G81,AccessModes!$E$2:$G$14,3,FALSE)&amp;" */"&amp;newline&amp;indent&amp;"cpu.cycles = "&amp;H81&amp;";"&amp;newline&amp;IF(LEN(M81)&gt;0,M81&amp;CHAR(10),"")&amp;IF(LEN(N81)&gt;0,N81&amp;newline,"")&amp;IF(LEN(O81)&gt;0,O81&amp;newline,"")&amp;IF(LEN(P81)&gt;0,P81&amp;newline,"")&amp;IF(LEN(Q81)&gt;0,Q81&amp;newline,"")&amp;indent&amp;"break;",indent0&amp;"/* Illegal opcode 0x"&amp;F81&amp;": "&amp;B81&amp;" "&amp;VLOOKUP(G81,AccessModes!$E$2:$G$14,3,FALSE)&amp;" */"&amp;newline)</f>
        <v xml:space="preserve">        /* Illegal opcode 0x4F: SRE aaaa */
</v>
      </c>
      <c r="S81" s="28" t="str">
        <f t="shared" si="7"/>
        <v xml:space="preserve">    {"SRE", true , AM_ABS, 6, 0},</v>
      </c>
    </row>
    <row r="82" spans="1:19" ht="102" hidden="1" x14ac:dyDescent="0.25">
      <c r="A82" s="22">
        <v>80</v>
      </c>
      <c r="B82" s="22" t="s">
        <v>64</v>
      </c>
      <c r="C82" s="22">
        <v>0</v>
      </c>
      <c r="D82" s="22" t="s">
        <v>132</v>
      </c>
      <c r="E82" s="22" t="str">
        <f t="shared" si="4"/>
        <v>50</v>
      </c>
      <c r="F82" s="22" t="str">
        <f t="shared" si="6"/>
        <v>50</v>
      </c>
      <c r="G82" s="22" t="str">
        <f>_xlfn.IFNA(VLOOKUP(D82,AccessModes!$D$2:$E$14,2,FALSE),"AM_IMP")</f>
        <v>AM_REL</v>
      </c>
      <c r="H82" s="22">
        <v>2</v>
      </c>
      <c r="I82" s="22">
        <v>1</v>
      </c>
      <c r="J82" s="24" t="s">
        <v>240</v>
      </c>
      <c r="K82" s="24"/>
      <c r="L82" s="24"/>
      <c r="M82" s="22" t="str">
        <f>IF(LEN(J82)&gt;0,indent&amp;J82&amp;" = "&amp;VLOOKUP($G82,AccessModes!$E$2:$I$14,4,FALSE),"")</f>
        <v xml:space="preserve">            value_w = memory_getRelativeAddress();</v>
      </c>
      <c r="N82" s="25" t="str">
        <f>indent&amp;"if(!cpu.PS_V) {"&amp;newline&amp;indent2&amp;"++cpu.cycles;"&amp;newline&amp;indent2&amp;"cpu.PC = "&amp;J82&amp;";"&amp;newline&amp;indent&amp;"}"</f>
        <v xml:space="preserve">            if(!cpu.PS_V) {
                ++cpu.cycles;
                cpu.PC = value_w;
            }</v>
      </c>
      <c r="O82" s="26" t="str">
        <f t="shared" si="5"/>
        <v/>
      </c>
      <c r="P82" s="22" t="str">
        <f>IF(LEN(L82)&gt;0,indent&amp;IF(L82="LAST",AccessModes!$I$16&amp;J82,VLOOKUP($G82,AccessModes!$E$2:$I$14,5,FALSE)&amp;L82)&amp;");","")</f>
        <v/>
      </c>
      <c r="Q82" s="22"/>
      <c r="R82" s="26" t="str">
        <f>IF(C82=0,indent0&amp;"case 0x"&amp;F82&amp;": /* "&amp;B82&amp;" "&amp;VLOOKUP(G82,AccessModes!$E$2:$G$14,3,FALSE)&amp;" */"&amp;newline&amp;indent&amp;"cpu.cycles = "&amp;H82&amp;";"&amp;newline&amp;IF(LEN(M82)&gt;0,M82&amp;CHAR(10),"")&amp;IF(LEN(N82)&gt;0,N82&amp;newline,"")&amp;IF(LEN(O82)&gt;0,O82&amp;newline,"")&amp;IF(LEN(P82)&gt;0,P82&amp;newline,"")&amp;IF(LEN(Q82)&gt;0,Q82&amp;newline,"")&amp;indent&amp;"break;",indent0&amp;"/* Illegal opcode 0x"&amp;F82&amp;": "&amp;B82&amp;" "&amp;VLOOKUP(G82,AccessModes!$E$2:$G$14,3,FALSE)&amp;" */"&amp;newline)</f>
        <v xml:space="preserve">        case 0x50: /* BVC aaaa */
            cpu.cycles = 2;
            value_w = memory_getRelativeAddress();
            if(!cpu.PS_V) {
                ++cpu.cycles;
                cpu.PC = value_w;
            }
            break;</v>
      </c>
      <c r="S82" s="22" t="str">
        <f t="shared" si="7"/>
        <v xml:space="preserve">    {"BVC", false, AM_REL, 2, 1},</v>
      </c>
    </row>
    <row r="83" spans="1:19" ht="89.25" hidden="1" x14ac:dyDescent="0.25">
      <c r="A83" s="22">
        <v>81</v>
      </c>
      <c r="B83" s="22" t="s">
        <v>56</v>
      </c>
      <c r="C83" s="22">
        <v>0</v>
      </c>
      <c r="D83" s="22" t="s">
        <v>133</v>
      </c>
      <c r="E83" s="22" t="str">
        <f t="shared" si="4"/>
        <v>51</v>
      </c>
      <c r="F83" s="22" t="str">
        <f t="shared" si="6"/>
        <v>51</v>
      </c>
      <c r="G83" s="22" t="str">
        <f>_xlfn.IFNA(VLOOKUP(D83,AccessModes!$D$2:$E$14,2,FALSE),"AM_IMP")</f>
        <v>AM_IIY</v>
      </c>
      <c r="H83" s="22">
        <v>5</v>
      </c>
      <c r="I83" s="22">
        <v>1</v>
      </c>
      <c r="J83" s="22" t="str">
        <f>$J$67</f>
        <v>value</v>
      </c>
      <c r="K83" s="22" t="str">
        <f>$K$67</f>
        <v>cpu.A</v>
      </c>
      <c r="L83" s="22" t="str">
        <f>$L$67</f>
        <v/>
      </c>
      <c r="M83" s="22" t="str">
        <f>IF(LEN(J83)&gt;0,indent&amp;J83&amp;" = "&amp;VLOOKUP($G83,AccessModes!$E$2:$I$14,4,FALSE),"")</f>
        <v xml:space="preserve">            value = memory_getIndirectIndexedY();</v>
      </c>
      <c r="N83" s="26" t="str">
        <f>$N$67</f>
        <v xml:space="preserve">            cpu.A ^= value;</v>
      </c>
      <c r="O83" s="26" t="str">
        <f t="shared" si="5"/>
        <v xml:space="preserve">            cpu.PS_N = ((cpu.A &amp; 0x80) != 0);
            cpu.PS_Z = (cpu.A == 0);</v>
      </c>
      <c r="P83" s="22" t="str">
        <f>IF(LEN(L83)&gt;0,indent&amp;IF(L83="LAST",AccessModes!$I$16&amp;J83,VLOOKUP($G83,AccessModes!$E$2:$I$14,5,FALSE)&amp;L83)&amp;");","")</f>
        <v/>
      </c>
      <c r="Q83" s="22"/>
      <c r="R83" s="26" t="str">
        <f>IF(C83=0,indent0&amp;"case 0x"&amp;F83&amp;": /* "&amp;B83&amp;" "&amp;VLOOKUP(G83,AccessModes!$E$2:$G$14,3,FALSE)&amp;" */"&amp;newline&amp;indent&amp;"cpu.cycles = "&amp;H83&amp;";"&amp;newline&amp;IF(LEN(M83)&gt;0,M83&amp;CHAR(10),"")&amp;IF(LEN(N83)&gt;0,N83&amp;newline,"")&amp;IF(LEN(O83)&gt;0,O83&amp;newline,"")&amp;IF(LEN(P83)&gt;0,P83&amp;newline,"")&amp;IF(LEN(Q83)&gt;0,Q83&amp;newline,"")&amp;indent&amp;"break;",indent0&amp;"/* Illegal opcode 0x"&amp;F83&amp;": "&amp;B83&amp;" "&amp;VLOOKUP(G83,AccessModes!$E$2:$G$14,3,FALSE)&amp;" */"&amp;newline)</f>
        <v xml:space="preserve">        case 0x51: /* EOR (aa),Y */
            cpu.cycles = 5;
            value = memory_getIndirectIndexedY();
            cpu.A ^= value;
            cpu.PS_N = ((cpu.A &amp; 0x80) != 0);
            cpu.PS_Z = (cpu.A == 0);
            break;</v>
      </c>
      <c r="S83" s="22" t="str">
        <f t="shared" si="7"/>
        <v xml:space="preserve">    {"EOR", false, AM_IIY, 5, 1},</v>
      </c>
    </row>
    <row r="84" spans="1:19" ht="25.5" hidden="1" x14ac:dyDescent="0.25">
      <c r="A84" s="28">
        <v>82</v>
      </c>
      <c r="B84" s="28" t="s">
        <v>20</v>
      </c>
      <c r="C84" s="28">
        <v>-1</v>
      </c>
      <c r="D84" s="28"/>
      <c r="E84" s="28" t="str">
        <f t="shared" si="4"/>
        <v>52</v>
      </c>
      <c r="F84" s="28" t="str">
        <f t="shared" si="6"/>
        <v>52</v>
      </c>
      <c r="G84" s="28" t="str">
        <f>_xlfn.IFNA(VLOOKUP(D84,AccessModes!$D$2:$E$14,2,FALSE),"AM_IMP")</f>
        <v>AM_IMP</v>
      </c>
      <c r="H84" s="28">
        <v>0</v>
      </c>
      <c r="I84" s="28">
        <v>0</v>
      </c>
      <c r="J84" s="28"/>
      <c r="K84" s="28"/>
      <c r="L84" s="28"/>
      <c r="M84" s="28" t="str">
        <f>IF(LEN(J84)&gt;0,indent&amp;J84&amp;" = "&amp;VLOOKUP($G84,AccessModes!$E$2:$I$14,4,FALSE),"")</f>
        <v/>
      </c>
      <c r="N84" s="29" t="str">
        <f>indent&amp;"/* TODO: implementation of the action */"</f>
        <v xml:space="preserve">            /* TODO: implementation of the action */</v>
      </c>
      <c r="O84" s="29" t="str">
        <f t="shared" si="5"/>
        <v/>
      </c>
      <c r="P84" s="28" t="str">
        <f>IF(LEN(L84)&gt;0,indent&amp;IF(L84="LAST",AccessModes!$I$16&amp;J84,VLOOKUP($G84,AccessModes!$E$2:$I$14,5,FALSE)&amp;L84)&amp;");","")</f>
        <v/>
      </c>
      <c r="Q84" s="28"/>
      <c r="R84" s="29" t="str">
        <f>IF(C84=0,indent0&amp;"case 0x"&amp;F84&amp;": /* "&amp;B84&amp;" "&amp;VLOOKUP(G84,AccessModes!$E$2:$G$14,3,FALSE)&amp;" */"&amp;newline&amp;indent&amp;"cpu.cycles = "&amp;H84&amp;";"&amp;newline&amp;IF(LEN(M84)&gt;0,M84&amp;CHAR(10),"")&amp;IF(LEN(N84)&gt;0,N84&amp;newline,"")&amp;IF(LEN(O84)&gt;0,O84&amp;newline,"")&amp;IF(LEN(P84)&gt;0,P84&amp;newline,"")&amp;IF(LEN(Q84)&gt;0,Q84&amp;newline,"")&amp;indent&amp;"break;",indent0&amp;"/* Illegal opcode 0x"&amp;F84&amp;": "&amp;B84&amp;" "&amp;VLOOKUP(G84,AccessModes!$E$2:$G$14,3,FALSE)&amp;" */"&amp;newline)</f>
        <v xml:space="preserve">        /* Illegal opcode 0x52: KIL  */
</v>
      </c>
      <c r="S84" s="28" t="str">
        <f t="shared" si="7"/>
        <v xml:space="preserve">    {"KIL", true , AM_IMP, 0, 0},</v>
      </c>
    </row>
    <row r="85" spans="1:19" ht="25.5" hidden="1" x14ac:dyDescent="0.25">
      <c r="A85" s="28">
        <v>83</v>
      </c>
      <c r="B85" s="28" t="s">
        <v>57</v>
      </c>
      <c r="C85" s="28">
        <v>-1</v>
      </c>
      <c r="D85" s="28" t="s">
        <v>133</v>
      </c>
      <c r="E85" s="28" t="str">
        <f t="shared" si="4"/>
        <v>53</v>
      </c>
      <c r="F85" s="28" t="str">
        <f t="shared" si="6"/>
        <v>53</v>
      </c>
      <c r="G85" s="28" t="str">
        <f>_xlfn.IFNA(VLOOKUP(D85,AccessModes!$D$2:$E$14,2,FALSE),"AM_IMP")</f>
        <v>AM_IIY</v>
      </c>
      <c r="H85" s="28">
        <v>8</v>
      </c>
      <c r="I85" s="28">
        <v>0</v>
      </c>
      <c r="J85" s="28"/>
      <c r="K85" s="28"/>
      <c r="L85" s="28"/>
      <c r="M85" s="28" t="str">
        <f>IF(LEN(J85)&gt;0,indent&amp;J85&amp;" = "&amp;VLOOKUP($G85,AccessModes!$E$2:$I$14,4,FALSE),"")</f>
        <v/>
      </c>
      <c r="N85" s="29" t="str">
        <f>indent&amp;"/* TODO: implementation of the action */"</f>
        <v xml:space="preserve">            /* TODO: implementation of the action */</v>
      </c>
      <c r="O85" s="29" t="str">
        <f t="shared" si="5"/>
        <v/>
      </c>
      <c r="P85" s="28" t="str">
        <f>IF(LEN(L85)&gt;0,indent&amp;IF(L85="LAST",AccessModes!$I$16&amp;J85,VLOOKUP($G85,AccessModes!$E$2:$I$14,5,FALSE)&amp;L85)&amp;");","")</f>
        <v/>
      </c>
      <c r="Q85" s="28"/>
      <c r="R85" s="29" t="str">
        <f>IF(C85=0,indent0&amp;"case 0x"&amp;F85&amp;": /* "&amp;B85&amp;" "&amp;VLOOKUP(G85,AccessModes!$E$2:$G$14,3,FALSE)&amp;" */"&amp;newline&amp;indent&amp;"cpu.cycles = "&amp;H85&amp;";"&amp;newline&amp;IF(LEN(M85)&gt;0,M85&amp;CHAR(10),"")&amp;IF(LEN(N85)&gt;0,N85&amp;newline,"")&amp;IF(LEN(O85)&gt;0,O85&amp;newline,"")&amp;IF(LEN(P85)&gt;0,P85&amp;newline,"")&amp;IF(LEN(Q85)&gt;0,Q85&amp;newline,"")&amp;indent&amp;"break;",indent0&amp;"/* Illegal opcode 0x"&amp;F85&amp;": "&amp;B85&amp;" "&amp;VLOOKUP(G85,AccessModes!$E$2:$G$14,3,FALSE)&amp;" */"&amp;newline)</f>
        <v xml:space="preserve">        /* Illegal opcode 0x53: SRE (aa),Y */
</v>
      </c>
      <c r="S85" s="28" t="str">
        <f t="shared" si="7"/>
        <v xml:space="preserve">    {"SRE", true , AM_IIY, 8, 0},</v>
      </c>
    </row>
    <row r="86" spans="1:19" ht="25.5" hidden="1" x14ac:dyDescent="0.25">
      <c r="A86" s="28">
        <v>84</v>
      </c>
      <c r="B86" s="28" t="s">
        <v>23</v>
      </c>
      <c r="C86" s="28">
        <v>-1</v>
      </c>
      <c r="D86" s="28" t="s">
        <v>134</v>
      </c>
      <c r="E86" s="28" t="str">
        <f t="shared" si="4"/>
        <v>54</v>
      </c>
      <c r="F86" s="28" t="str">
        <f t="shared" si="6"/>
        <v>54</v>
      </c>
      <c r="G86" s="28" t="str">
        <f>_xlfn.IFNA(VLOOKUP(D86,AccessModes!$D$2:$E$14,2,FALSE),"AM_IMP")</f>
        <v>AM_ZIX</v>
      </c>
      <c r="H86" s="28">
        <v>4</v>
      </c>
      <c r="I86" s="28">
        <v>0</v>
      </c>
      <c r="J86" s="28"/>
      <c r="K86" s="28"/>
      <c r="L86" s="28"/>
      <c r="M86" s="28" t="str">
        <f>IF(LEN(J86)&gt;0,indent&amp;J86&amp;" = "&amp;VLOOKUP($G86,AccessModes!$E$2:$I$14,4,FALSE),"")</f>
        <v/>
      </c>
      <c r="N86" s="29" t="str">
        <f>indent&amp;"/* TODO: implementation of the action */"</f>
        <v xml:space="preserve">            /* TODO: implementation of the action */</v>
      </c>
      <c r="O86" s="29" t="str">
        <f t="shared" si="5"/>
        <v/>
      </c>
      <c r="P86" s="28" t="str">
        <f>IF(LEN(L86)&gt;0,indent&amp;IF(L86="LAST",AccessModes!$I$16&amp;J86,VLOOKUP($G86,AccessModes!$E$2:$I$14,5,FALSE)&amp;L86)&amp;");","")</f>
        <v/>
      </c>
      <c r="Q86" s="28"/>
      <c r="R86" s="29" t="str">
        <f>IF(C86=0,indent0&amp;"case 0x"&amp;F86&amp;": /* "&amp;B86&amp;" "&amp;VLOOKUP(G86,AccessModes!$E$2:$G$14,3,FALSE)&amp;" */"&amp;newline&amp;indent&amp;"cpu.cycles = "&amp;H86&amp;";"&amp;newline&amp;IF(LEN(M86)&gt;0,M86&amp;CHAR(10),"")&amp;IF(LEN(N86)&gt;0,N86&amp;newline,"")&amp;IF(LEN(O86)&gt;0,O86&amp;newline,"")&amp;IF(LEN(P86)&gt;0,P86&amp;newline,"")&amp;IF(LEN(Q86)&gt;0,Q86&amp;newline,"")&amp;indent&amp;"break;",indent0&amp;"/* Illegal opcode 0x"&amp;F86&amp;": "&amp;B86&amp;" "&amp;VLOOKUP(G86,AccessModes!$E$2:$G$14,3,FALSE)&amp;" */"&amp;newline)</f>
        <v xml:space="preserve">        /* Illegal opcode 0x54: NOP aa,X */
</v>
      </c>
      <c r="S86" s="28" t="str">
        <f t="shared" si="7"/>
        <v xml:space="preserve">    {"NOP", true , AM_ZIX, 4, 0},</v>
      </c>
    </row>
    <row r="87" spans="1:19" ht="89.25" hidden="1" x14ac:dyDescent="0.25">
      <c r="A87" s="22">
        <v>85</v>
      </c>
      <c r="B87" s="22" t="s">
        <v>56</v>
      </c>
      <c r="C87" s="22">
        <v>0</v>
      </c>
      <c r="D87" s="22" t="s">
        <v>134</v>
      </c>
      <c r="E87" s="22" t="str">
        <f t="shared" si="4"/>
        <v>55</v>
      </c>
      <c r="F87" s="22" t="str">
        <f t="shared" si="6"/>
        <v>55</v>
      </c>
      <c r="G87" s="22" t="str">
        <f>_xlfn.IFNA(VLOOKUP(D87,AccessModes!$D$2:$E$14,2,FALSE),"AM_IMP")</f>
        <v>AM_ZIX</v>
      </c>
      <c r="H87" s="22">
        <v>4</v>
      </c>
      <c r="I87" s="22">
        <v>0</v>
      </c>
      <c r="J87" s="22" t="str">
        <f>$J$67</f>
        <v>value</v>
      </c>
      <c r="K87" s="22" t="str">
        <f>$K$67</f>
        <v>cpu.A</v>
      </c>
      <c r="L87" s="22" t="str">
        <f>$L$67</f>
        <v/>
      </c>
      <c r="M87" s="22" t="str">
        <f>IF(LEN(J87)&gt;0,indent&amp;J87&amp;" = "&amp;VLOOKUP($G87,AccessModes!$E$2:$I$14,4,FALSE),"")</f>
        <v xml:space="preserve">            value = memory_getZeroPageIndexedX();</v>
      </c>
      <c r="N87" s="26" t="str">
        <f>$N$67</f>
        <v xml:space="preserve">            cpu.A ^= value;</v>
      </c>
      <c r="O87" s="26" t="str">
        <f t="shared" si="5"/>
        <v xml:space="preserve">            cpu.PS_N = ((cpu.A &amp; 0x80) != 0);
            cpu.PS_Z = (cpu.A == 0);</v>
      </c>
      <c r="P87" s="22" t="str">
        <f>IF(LEN(L87)&gt;0,indent&amp;IF(L87="LAST",AccessModes!$I$16&amp;J87,VLOOKUP($G87,AccessModes!$E$2:$I$14,5,FALSE)&amp;L87)&amp;");","")</f>
        <v/>
      </c>
      <c r="Q87" s="22"/>
      <c r="R87" s="26" t="str">
        <f>IF(C87=0,indent0&amp;"case 0x"&amp;F87&amp;": /* "&amp;B87&amp;" "&amp;VLOOKUP(G87,AccessModes!$E$2:$G$14,3,FALSE)&amp;" */"&amp;newline&amp;indent&amp;"cpu.cycles = "&amp;H87&amp;";"&amp;newline&amp;IF(LEN(M87)&gt;0,M87&amp;CHAR(10),"")&amp;IF(LEN(N87)&gt;0,N87&amp;newline,"")&amp;IF(LEN(O87)&gt;0,O87&amp;newline,"")&amp;IF(LEN(P87)&gt;0,P87&amp;newline,"")&amp;IF(LEN(Q87)&gt;0,Q87&amp;newline,"")&amp;indent&amp;"break;",indent0&amp;"/* Illegal opcode 0x"&amp;F87&amp;": "&amp;B87&amp;" "&amp;VLOOKUP(G87,AccessModes!$E$2:$G$14,3,FALSE)&amp;" */"&amp;newline)</f>
        <v xml:space="preserve">        case 0x55: /* EOR aa,X */
            cpu.cycles = 4;
            value = memory_getZeroPageIndexedX();
            cpu.A ^= value;
            cpu.PS_N = ((cpu.A &amp; 0x80) != 0);
            cpu.PS_Z = (cpu.A == 0);
            break;</v>
      </c>
      <c r="S87" s="22" t="str">
        <f t="shared" si="7"/>
        <v xml:space="preserve">    {"EOR", false, AM_ZIX, 4, 0},</v>
      </c>
    </row>
    <row r="88" spans="1:19" ht="114.75" hidden="1" x14ac:dyDescent="0.25">
      <c r="A88" s="22">
        <v>86</v>
      </c>
      <c r="B88" s="22" t="s">
        <v>58</v>
      </c>
      <c r="C88" s="22">
        <v>0</v>
      </c>
      <c r="D88" s="22" t="s">
        <v>134</v>
      </c>
      <c r="E88" s="22" t="str">
        <f t="shared" si="4"/>
        <v>56</v>
      </c>
      <c r="F88" s="22" t="str">
        <f t="shared" si="6"/>
        <v>56</v>
      </c>
      <c r="G88" s="22" t="str">
        <f>_xlfn.IFNA(VLOOKUP(D88,AccessModes!$D$2:$E$14,2,FALSE),"AM_IMP")</f>
        <v>AM_ZIX</v>
      </c>
      <c r="H88" s="22">
        <v>6</v>
      </c>
      <c r="I88" s="22">
        <v>0</v>
      </c>
      <c r="J88" s="22" t="str">
        <f>$J$8</f>
        <v>value</v>
      </c>
      <c r="K88" s="22" t="str">
        <f>$K$8</f>
        <v>value</v>
      </c>
      <c r="L88" s="22" t="str">
        <f>$L$8</f>
        <v>LAST</v>
      </c>
      <c r="M88" s="22" t="str">
        <f>IF(LEN(J88)&gt;0,indent&amp;J88&amp;" = "&amp;VLOOKUP($G88,AccessModes!$E$2:$I$14,4,FALSE),"")</f>
        <v xml:space="preserve">            value = memory_getZeroPageIndexedX();</v>
      </c>
      <c r="N88" s="26" t="str">
        <f>$N$72</f>
        <v xml:space="preserve">            cpu.PS_C = ((value &amp; 0x01) != 0);
            value &gt;&gt;= 1;</v>
      </c>
      <c r="O88" s="26" t="str">
        <f t="shared" si="5"/>
        <v xml:space="preserve">            cpu.PS_N = ((value &amp; 0x80) != 0);
            cpu.PS_Z = (value == 0);</v>
      </c>
      <c r="P88" s="22" t="str">
        <f>IF(LEN(L88)&gt;0,indent&amp;IF(L88="LAST",AccessModes!$I$16&amp;J88,VLOOKUP($G88,AccessModes!$E$2:$I$14,5,FALSE)&amp;L88)&amp;");","")</f>
        <v xml:space="preserve">            memory_setLast(value);</v>
      </c>
      <c r="Q88" s="22"/>
      <c r="R88" s="26" t="str">
        <f>IF(C88=0,indent0&amp;"case 0x"&amp;F88&amp;": /* "&amp;B88&amp;" "&amp;VLOOKUP(G88,AccessModes!$E$2:$G$14,3,FALSE)&amp;" */"&amp;newline&amp;indent&amp;"cpu.cycles = "&amp;H88&amp;";"&amp;newline&amp;IF(LEN(M88)&gt;0,M88&amp;CHAR(10),"")&amp;IF(LEN(N88)&gt;0,N88&amp;newline,"")&amp;IF(LEN(O88)&gt;0,O88&amp;newline,"")&amp;IF(LEN(P88)&gt;0,P88&amp;newline,"")&amp;IF(LEN(Q88)&gt;0,Q88&amp;newline,"")&amp;indent&amp;"break;",indent0&amp;"/* Illegal opcode 0x"&amp;F88&amp;": "&amp;B88&amp;" "&amp;VLOOKUP(G88,AccessModes!$E$2:$G$14,3,FALSE)&amp;" */"&amp;newline)</f>
        <v xml:space="preserve">        case 0x56: /* LSR aa,X */
            cpu.cycles = 6;
            value = memory_getZeroPageIndexedX();
            cpu.PS_C = ((value &amp; 0x01) != 0);
            value &gt;&gt;= 1;
            cpu.PS_N = ((value &amp; 0x80) != 0);
            cpu.PS_Z = (value == 0);
            memory_setLast(value);
            break;</v>
      </c>
      <c r="S88" s="22" t="str">
        <f t="shared" si="7"/>
        <v xml:space="preserve">    {"LSR", false, AM_ZIX, 6, 0},</v>
      </c>
    </row>
    <row r="89" spans="1:19" ht="25.5" hidden="1" x14ac:dyDescent="0.25">
      <c r="A89" s="28">
        <v>87</v>
      </c>
      <c r="B89" s="28" t="s">
        <v>57</v>
      </c>
      <c r="C89" s="28">
        <v>-1</v>
      </c>
      <c r="D89" s="28" t="s">
        <v>134</v>
      </c>
      <c r="E89" s="28" t="str">
        <f t="shared" si="4"/>
        <v>57</v>
      </c>
      <c r="F89" s="28" t="str">
        <f t="shared" si="6"/>
        <v>57</v>
      </c>
      <c r="G89" s="28" t="str">
        <f>_xlfn.IFNA(VLOOKUP(D89,AccessModes!$D$2:$E$14,2,FALSE),"AM_IMP")</f>
        <v>AM_ZIX</v>
      </c>
      <c r="H89" s="28">
        <v>6</v>
      </c>
      <c r="I89" s="28">
        <v>0</v>
      </c>
      <c r="J89" s="28"/>
      <c r="K89" s="28"/>
      <c r="L89" s="28"/>
      <c r="M89" s="28" t="str">
        <f>IF(LEN(J89)&gt;0,indent&amp;J89&amp;" = "&amp;VLOOKUP($G89,AccessModes!$E$2:$I$14,4,FALSE),"")</f>
        <v/>
      </c>
      <c r="N89" s="29" t="str">
        <f>indent&amp;"/* TODO: implementation of the action */"</f>
        <v xml:space="preserve">            /* TODO: implementation of the action */</v>
      </c>
      <c r="O89" s="29" t="str">
        <f t="shared" si="5"/>
        <v/>
      </c>
      <c r="P89" s="28" t="str">
        <f>IF(LEN(L89)&gt;0,indent&amp;IF(L89="LAST",AccessModes!$I$16&amp;J89,VLOOKUP($G89,AccessModes!$E$2:$I$14,5,FALSE)&amp;L89)&amp;");","")</f>
        <v/>
      </c>
      <c r="Q89" s="28"/>
      <c r="R89" s="29" t="str">
        <f>IF(C89=0,indent0&amp;"case 0x"&amp;F89&amp;": /* "&amp;B89&amp;" "&amp;VLOOKUP(G89,AccessModes!$E$2:$G$14,3,FALSE)&amp;" */"&amp;newline&amp;indent&amp;"cpu.cycles = "&amp;H89&amp;";"&amp;newline&amp;IF(LEN(M89)&gt;0,M89&amp;CHAR(10),"")&amp;IF(LEN(N89)&gt;0,N89&amp;newline,"")&amp;IF(LEN(O89)&gt;0,O89&amp;newline,"")&amp;IF(LEN(P89)&gt;0,P89&amp;newline,"")&amp;IF(LEN(Q89)&gt;0,Q89&amp;newline,"")&amp;indent&amp;"break;",indent0&amp;"/* Illegal opcode 0x"&amp;F89&amp;": "&amp;B89&amp;" "&amp;VLOOKUP(G89,AccessModes!$E$2:$G$14,3,FALSE)&amp;" */"&amp;newline)</f>
        <v xml:space="preserve">        /* Illegal opcode 0x57: SRE aa,X */
</v>
      </c>
      <c r="S89" s="28" t="str">
        <f t="shared" si="7"/>
        <v xml:space="preserve">    {"SRE", true , AM_ZIX, 6, 0},</v>
      </c>
    </row>
    <row r="90" spans="1:19" ht="51" hidden="1" x14ac:dyDescent="0.25">
      <c r="A90" s="22">
        <v>88</v>
      </c>
      <c r="B90" s="22" t="s">
        <v>65</v>
      </c>
      <c r="C90" s="22">
        <v>0</v>
      </c>
      <c r="D90" s="22" t="s">
        <v>139</v>
      </c>
      <c r="E90" s="22" t="str">
        <f t="shared" si="4"/>
        <v>58</v>
      </c>
      <c r="F90" s="22" t="str">
        <f t="shared" si="6"/>
        <v>58</v>
      </c>
      <c r="G90" s="22" t="str">
        <f>_xlfn.IFNA(VLOOKUP(D90,AccessModes!$D$2:$E$14,2,FALSE),"AM_IMP")</f>
        <v>AM_IMP</v>
      </c>
      <c r="H90" s="22">
        <v>2</v>
      </c>
      <c r="I90" s="22">
        <v>0</v>
      </c>
      <c r="J90" s="24"/>
      <c r="K90" s="24"/>
      <c r="L90" s="24"/>
      <c r="M90" s="22" t="str">
        <f>IF(LEN(J90)&gt;0,indent&amp;J90&amp;" = "&amp;VLOOKUP($G90,AccessModes!$E$2:$I$14,4,FALSE),"")</f>
        <v/>
      </c>
      <c r="N90" s="25" t="str">
        <f>indent&amp;"cpu.PS_I = false;"</f>
        <v xml:space="preserve">            cpu.PS_I = false;</v>
      </c>
      <c r="O90" s="26" t="str">
        <f t="shared" si="5"/>
        <v/>
      </c>
      <c r="P90" s="22" t="str">
        <f>IF(LEN(L90)&gt;0,indent&amp;IF(L90="LAST",AccessModes!$I$16&amp;J90,VLOOKUP($G90,AccessModes!$E$2:$I$14,5,FALSE)&amp;L90)&amp;");","")</f>
        <v/>
      </c>
      <c r="Q90" s="22"/>
      <c r="R90" s="26" t="str">
        <f>IF(C90=0,indent0&amp;"case 0x"&amp;F90&amp;": /* "&amp;B90&amp;" "&amp;VLOOKUP(G90,AccessModes!$E$2:$G$14,3,FALSE)&amp;" */"&amp;newline&amp;indent&amp;"cpu.cycles = "&amp;H90&amp;";"&amp;newline&amp;IF(LEN(M90)&gt;0,M90&amp;CHAR(10),"")&amp;IF(LEN(N90)&gt;0,N90&amp;newline,"")&amp;IF(LEN(O90)&gt;0,O90&amp;newline,"")&amp;IF(LEN(P90)&gt;0,P90&amp;newline,"")&amp;IF(LEN(Q90)&gt;0,Q90&amp;newline,"")&amp;indent&amp;"break;",indent0&amp;"/* Illegal opcode 0x"&amp;F90&amp;": "&amp;B90&amp;" "&amp;VLOOKUP(G90,AccessModes!$E$2:$G$14,3,FALSE)&amp;" */"&amp;newline)</f>
        <v xml:space="preserve">        case 0x58: /* CLI  */
            cpu.cycles = 2;
            cpu.PS_I = false;
            break;</v>
      </c>
      <c r="S90" s="22" t="str">
        <f t="shared" si="7"/>
        <v xml:space="preserve">    {"CLI", false, AM_IMP, 2, 0},</v>
      </c>
    </row>
    <row r="91" spans="1:19" ht="89.25" hidden="1" x14ac:dyDescent="0.25">
      <c r="A91" s="22">
        <v>89</v>
      </c>
      <c r="B91" s="22" t="s">
        <v>56</v>
      </c>
      <c r="C91" s="22">
        <v>0</v>
      </c>
      <c r="D91" s="22" t="s">
        <v>135</v>
      </c>
      <c r="E91" s="22" t="str">
        <f t="shared" si="4"/>
        <v>59</v>
      </c>
      <c r="F91" s="22" t="str">
        <f t="shared" si="6"/>
        <v>59</v>
      </c>
      <c r="G91" s="22" t="str">
        <f>_xlfn.IFNA(VLOOKUP(D91,AccessModes!$D$2:$E$14,2,FALSE),"AM_IMP")</f>
        <v>AM_AIY</v>
      </c>
      <c r="H91" s="22">
        <v>4</v>
      </c>
      <c r="I91" s="22">
        <v>1</v>
      </c>
      <c r="J91" s="22" t="str">
        <f>$J$67</f>
        <v>value</v>
      </c>
      <c r="K91" s="22" t="str">
        <f>$K$67</f>
        <v>cpu.A</v>
      </c>
      <c r="L91" s="22" t="str">
        <f>$L$67</f>
        <v/>
      </c>
      <c r="M91" s="22" t="str">
        <f>IF(LEN(J91)&gt;0,indent&amp;J91&amp;" = "&amp;VLOOKUP($G91,AccessModes!$E$2:$I$14,4,FALSE),"")</f>
        <v xml:space="preserve">            value = memory_getAbsoluteIndexedY();</v>
      </c>
      <c r="N91" s="26" t="str">
        <f>$N$67</f>
        <v xml:space="preserve">            cpu.A ^= value;</v>
      </c>
      <c r="O91" s="26" t="str">
        <f t="shared" si="5"/>
        <v xml:space="preserve">            cpu.PS_N = ((cpu.A &amp; 0x80) != 0);
            cpu.PS_Z = (cpu.A == 0);</v>
      </c>
      <c r="P91" s="22" t="str">
        <f>IF(LEN(L91)&gt;0,indent&amp;IF(L91="LAST",AccessModes!$I$16&amp;J91,VLOOKUP($G91,AccessModes!$E$2:$I$14,5,FALSE)&amp;L91)&amp;");","")</f>
        <v/>
      </c>
      <c r="Q91" s="22"/>
      <c r="R91" s="26" t="str">
        <f>IF(C91=0,indent0&amp;"case 0x"&amp;F91&amp;": /* "&amp;B91&amp;" "&amp;VLOOKUP(G91,AccessModes!$E$2:$G$14,3,FALSE)&amp;" */"&amp;newline&amp;indent&amp;"cpu.cycles = "&amp;H91&amp;";"&amp;newline&amp;IF(LEN(M91)&gt;0,M91&amp;CHAR(10),"")&amp;IF(LEN(N91)&gt;0,N91&amp;newline,"")&amp;IF(LEN(O91)&gt;0,O91&amp;newline,"")&amp;IF(LEN(P91)&gt;0,P91&amp;newline,"")&amp;IF(LEN(Q91)&gt;0,Q91&amp;newline,"")&amp;indent&amp;"break;",indent0&amp;"/* Illegal opcode 0x"&amp;F91&amp;": "&amp;B91&amp;" "&amp;VLOOKUP(G91,AccessModes!$E$2:$G$14,3,FALSE)&amp;" */"&amp;newline)</f>
        <v xml:space="preserve">        case 0x59: /* EOR aaaa,Y */
            cpu.cycles = 4;
            value = memory_getAbsoluteIndexedY();
            cpu.A ^= value;
            cpu.PS_N = ((cpu.A &amp; 0x80) != 0);
            cpu.PS_Z = (cpu.A == 0);
            break;</v>
      </c>
      <c r="S91" s="22" t="str">
        <f t="shared" si="7"/>
        <v xml:space="preserve">    {"EOR", false, AM_AIY, 4, 1},</v>
      </c>
    </row>
    <row r="92" spans="1:19" ht="25.5" hidden="1" x14ac:dyDescent="0.25">
      <c r="A92" s="28">
        <v>90</v>
      </c>
      <c r="B92" s="28" t="s">
        <v>23</v>
      </c>
      <c r="C92" s="28">
        <v>-1</v>
      </c>
      <c r="D92" s="28" t="s">
        <v>139</v>
      </c>
      <c r="E92" s="28" t="str">
        <f t="shared" si="4"/>
        <v>5A</v>
      </c>
      <c r="F92" s="28" t="str">
        <f t="shared" si="6"/>
        <v>5A</v>
      </c>
      <c r="G92" s="28" t="str">
        <f>_xlfn.IFNA(VLOOKUP(D92,AccessModes!$D$2:$E$14,2,FALSE),"AM_IMP")</f>
        <v>AM_IMP</v>
      </c>
      <c r="H92" s="28">
        <v>2</v>
      </c>
      <c r="I92" s="28">
        <v>0</v>
      </c>
      <c r="J92" s="28"/>
      <c r="K92" s="28"/>
      <c r="L92" s="28"/>
      <c r="M92" s="28" t="str">
        <f>IF(LEN(J92)&gt;0,indent&amp;J92&amp;" = "&amp;VLOOKUP($G92,AccessModes!$E$2:$I$14,4,FALSE),"")</f>
        <v/>
      </c>
      <c r="N92" s="29" t="str">
        <f>indent&amp;"/* TODO: implementation of the action */"</f>
        <v xml:space="preserve">            /* TODO: implementation of the action */</v>
      </c>
      <c r="O92" s="29" t="str">
        <f t="shared" si="5"/>
        <v/>
      </c>
      <c r="P92" s="28" t="str">
        <f>IF(LEN(L92)&gt;0,indent&amp;IF(L92="LAST",AccessModes!$I$16&amp;J92,VLOOKUP($G92,AccessModes!$E$2:$I$14,5,FALSE)&amp;L92)&amp;");","")</f>
        <v/>
      </c>
      <c r="Q92" s="28"/>
      <c r="R92" s="29" t="str">
        <f>IF(C92=0,indent0&amp;"case 0x"&amp;F92&amp;": /* "&amp;B92&amp;" "&amp;VLOOKUP(G92,AccessModes!$E$2:$G$14,3,FALSE)&amp;" */"&amp;newline&amp;indent&amp;"cpu.cycles = "&amp;H92&amp;";"&amp;newline&amp;IF(LEN(M92)&gt;0,M92&amp;CHAR(10),"")&amp;IF(LEN(N92)&gt;0,N92&amp;newline,"")&amp;IF(LEN(O92)&gt;0,O92&amp;newline,"")&amp;IF(LEN(P92)&gt;0,P92&amp;newline,"")&amp;IF(LEN(Q92)&gt;0,Q92&amp;newline,"")&amp;indent&amp;"break;",indent0&amp;"/* Illegal opcode 0x"&amp;F92&amp;": "&amp;B92&amp;" "&amp;VLOOKUP(G92,AccessModes!$E$2:$G$14,3,FALSE)&amp;" */"&amp;newline)</f>
        <v xml:space="preserve">        /* Illegal opcode 0x5A: NOP  */
</v>
      </c>
      <c r="S92" s="28" t="str">
        <f t="shared" si="7"/>
        <v xml:space="preserve">    {"NOP", true , AM_IMP, 2, 0},</v>
      </c>
    </row>
    <row r="93" spans="1:19" ht="25.5" hidden="1" x14ac:dyDescent="0.25">
      <c r="A93" s="28">
        <v>91</v>
      </c>
      <c r="B93" s="28" t="s">
        <v>57</v>
      </c>
      <c r="C93" s="28">
        <v>-1</v>
      </c>
      <c r="D93" s="28" t="s">
        <v>135</v>
      </c>
      <c r="E93" s="28" t="str">
        <f t="shared" si="4"/>
        <v>5B</v>
      </c>
      <c r="F93" s="28" t="str">
        <f t="shared" si="6"/>
        <v>5B</v>
      </c>
      <c r="G93" s="28" t="str">
        <f>_xlfn.IFNA(VLOOKUP(D93,AccessModes!$D$2:$E$14,2,FALSE),"AM_IMP")</f>
        <v>AM_AIY</v>
      </c>
      <c r="H93" s="28">
        <v>7</v>
      </c>
      <c r="I93" s="28">
        <v>0</v>
      </c>
      <c r="J93" s="28"/>
      <c r="K93" s="28"/>
      <c r="L93" s="28"/>
      <c r="M93" s="28" t="str">
        <f>IF(LEN(J93)&gt;0,indent&amp;J93&amp;" = "&amp;VLOOKUP($G93,AccessModes!$E$2:$I$14,4,FALSE),"")</f>
        <v/>
      </c>
      <c r="N93" s="29" t="str">
        <f>indent&amp;"/* TODO: implementation of the action */"</f>
        <v xml:space="preserve">            /* TODO: implementation of the action */</v>
      </c>
      <c r="O93" s="29" t="str">
        <f t="shared" si="5"/>
        <v/>
      </c>
      <c r="P93" s="28" t="str">
        <f>IF(LEN(L93)&gt;0,indent&amp;IF(L93="LAST",AccessModes!$I$16&amp;J93,VLOOKUP($G93,AccessModes!$E$2:$I$14,5,FALSE)&amp;L93)&amp;");","")</f>
        <v/>
      </c>
      <c r="Q93" s="28"/>
      <c r="R93" s="29" t="str">
        <f>IF(C93=0,indent0&amp;"case 0x"&amp;F93&amp;": /* "&amp;B93&amp;" "&amp;VLOOKUP(G93,AccessModes!$E$2:$G$14,3,FALSE)&amp;" */"&amp;newline&amp;indent&amp;"cpu.cycles = "&amp;H93&amp;";"&amp;newline&amp;IF(LEN(M93)&gt;0,M93&amp;CHAR(10),"")&amp;IF(LEN(N93)&gt;0,N93&amp;newline,"")&amp;IF(LEN(O93)&gt;0,O93&amp;newline,"")&amp;IF(LEN(P93)&gt;0,P93&amp;newline,"")&amp;IF(LEN(Q93)&gt;0,Q93&amp;newline,"")&amp;indent&amp;"break;",indent0&amp;"/* Illegal opcode 0x"&amp;F93&amp;": "&amp;B93&amp;" "&amp;VLOOKUP(G93,AccessModes!$E$2:$G$14,3,FALSE)&amp;" */"&amp;newline)</f>
        <v xml:space="preserve">        /* Illegal opcode 0x5B: SRE aaaa,Y */
</v>
      </c>
      <c r="S93" s="28" t="str">
        <f t="shared" si="7"/>
        <v xml:space="preserve">    {"SRE", true , AM_AIY, 7, 0},</v>
      </c>
    </row>
    <row r="94" spans="1:19" ht="25.5" hidden="1" x14ac:dyDescent="0.25">
      <c r="A94" s="28">
        <v>92</v>
      </c>
      <c r="B94" s="28" t="s">
        <v>23</v>
      </c>
      <c r="C94" s="28">
        <v>-1</v>
      </c>
      <c r="D94" s="28" t="s">
        <v>136</v>
      </c>
      <c r="E94" s="28" t="str">
        <f t="shared" si="4"/>
        <v>5C</v>
      </c>
      <c r="F94" s="28" t="str">
        <f t="shared" si="6"/>
        <v>5C</v>
      </c>
      <c r="G94" s="28" t="str">
        <f>_xlfn.IFNA(VLOOKUP(D94,AccessModes!$D$2:$E$14,2,FALSE),"AM_IMP")</f>
        <v>AM_AIX</v>
      </c>
      <c r="H94" s="28">
        <v>4</v>
      </c>
      <c r="I94" s="28">
        <v>1</v>
      </c>
      <c r="J94" s="28"/>
      <c r="K94" s="28"/>
      <c r="L94" s="28"/>
      <c r="M94" s="28" t="str">
        <f>IF(LEN(J94)&gt;0,indent&amp;J94&amp;" = "&amp;VLOOKUP($G94,AccessModes!$E$2:$I$14,4,FALSE),"")</f>
        <v/>
      </c>
      <c r="N94" s="29" t="str">
        <f>indent&amp;"/* TODO: implementation of the action */"</f>
        <v xml:space="preserve">            /* TODO: implementation of the action */</v>
      </c>
      <c r="O94" s="29" t="str">
        <f t="shared" si="5"/>
        <v/>
      </c>
      <c r="P94" s="28" t="str">
        <f>IF(LEN(L94)&gt;0,indent&amp;IF(L94="LAST",AccessModes!$I$16&amp;J94,VLOOKUP($G94,AccessModes!$E$2:$I$14,5,FALSE)&amp;L94)&amp;");","")</f>
        <v/>
      </c>
      <c r="Q94" s="28"/>
      <c r="R94" s="29" t="str">
        <f>IF(C94=0,indent0&amp;"case 0x"&amp;F94&amp;": /* "&amp;B94&amp;" "&amp;VLOOKUP(G94,AccessModes!$E$2:$G$14,3,FALSE)&amp;" */"&amp;newline&amp;indent&amp;"cpu.cycles = "&amp;H94&amp;";"&amp;newline&amp;IF(LEN(M94)&gt;0,M94&amp;CHAR(10),"")&amp;IF(LEN(N94)&gt;0,N94&amp;newline,"")&amp;IF(LEN(O94)&gt;0,O94&amp;newline,"")&amp;IF(LEN(P94)&gt;0,P94&amp;newline,"")&amp;IF(LEN(Q94)&gt;0,Q94&amp;newline,"")&amp;indent&amp;"break;",indent0&amp;"/* Illegal opcode 0x"&amp;F94&amp;": "&amp;B94&amp;" "&amp;VLOOKUP(G94,AccessModes!$E$2:$G$14,3,FALSE)&amp;" */"&amp;newline)</f>
        <v xml:space="preserve">        /* Illegal opcode 0x5C: NOP aaaa,X */
</v>
      </c>
      <c r="S94" s="28" t="str">
        <f t="shared" si="7"/>
        <v xml:space="preserve">    {"NOP", true , AM_AIX, 4, 1},</v>
      </c>
    </row>
    <row r="95" spans="1:19" ht="89.25" hidden="1" x14ac:dyDescent="0.25">
      <c r="A95" s="22">
        <v>93</v>
      </c>
      <c r="B95" s="22" t="s">
        <v>56</v>
      </c>
      <c r="C95" s="22">
        <v>0</v>
      </c>
      <c r="D95" s="22" t="s">
        <v>136</v>
      </c>
      <c r="E95" s="22" t="str">
        <f t="shared" si="4"/>
        <v>5D</v>
      </c>
      <c r="F95" s="22" t="str">
        <f t="shared" si="6"/>
        <v>5D</v>
      </c>
      <c r="G95" s="22" t="str">
        <f>_xlfn.IFNA(VLOOKUP(D95,AccessModes!$D$2:$E$14,2,FALSE),"AM_IMP")</f>
        <v>AM_AIX</v>
      </c>
      <c r="H95" s="22">
        <v>4</v>
      </c>
      <c r="I95" s="22">
        <v>1</v>
      </c>
      <c r="J95" s="22" t="str">
        <f>$J$67</f>
        <v>value</v>
      </c>
      <c r="K95" s="22" t="str">
        <f>$K$67</f>
        <v>cpu.A</v>
      </c>
      <c r="L95" s="22" t="str">
        <f>$L$67</f>
        <v/>
      </c>
      <c r="M95" s="22" t="str">
        <f>IF(LEN(J95)&gt;0,indent&amp;J95&amp;" = "&amp;VLOOKUP($G95,AccessModes!$E$2:$I$14,4,FALSE),"")</f>
        <v xml:space="preserve">            value = memory_getAbsoluteIndexedX();</v>
      </c>
      <c r="N95" s="26" t="str">
        <f>$N$67</f>
        <v xml:space="preserve">            cpu.A ^= value;</v>
      </c>
      <c r="O95" s="26" t="str">
        <f t="shared" si="5"/>
        <v xml:space="preserve">            cpu.PS_N = ((cpu.A &amp; 0x80) != 0);
            cpu.PS_Z = (cpu.A == 0);</v>
      </c>
      <c r="P95" s="22" t="str">
        <f>IF(LEN(L95)&gt;0,indent&amp;IF(L95="LAST",AccessModes!$I$16&amp;J95,VLOOKUP($G95,AccessModes!$E$2:$I$14,5,FALSE)&amp;L95)&amp;");","")</f>
        <v/>
      </c>
      <c r="Q95" s="22"/>
      <c r="R95" s="26" t="str">
        <f>IF(C95=0,indent0&amp;"case 0x"&amp;F95&amp;": /* "&amp;B95&amp;" "&amp;VLOOKUP(G95,AccessModes!$E$2:$G$14,3,FALSE)&amp;" */"&amp;newline&amp;indent&amp;"cpu.cycles = "&amp;H95&amp;";"&amp;newline&amp;IF(LEN(M95)&gt;0,M95&amp;CHAR(10),"")&amp;IF(LEN(N95)&gt;0,N95&amp;newline,"")&amp;IF(LEN(O95)&gt;0,O95&amp;newline,"")&amp;IF(LEN(P95)&gt;0,P95&amp;newline,"")&amp;IF(LEN(Q95)&gt;0,Q95&amp;newline,"")&amp;indent&amp;"break;",indent0&amp;"/* Illegal opcode 0x"&amp;F95&amp;": "&amp;B95&amp;" "&amp;VLOOKUP(G95,AccessModes!$E$2:$G$14,3,FALSE)&amp;" */"&amp;newline)</f>
        <v xml:space="preserve">        case 0x5D: /* EOR aaaa,X */
            cpu.cycles = 4;
            value = memory_getAbsoluteIndexedX();
            cpu.A ^= value;
            cpu.PS_N = ((cpu.A &amp; 0x80) != 0);
            cpu.PS_Z = (cpu.A == 0);
            break;</v>
      </c>
      <c r="S95" s="22" t="str">
        <f t="shared" si="7"/>
        <v xml:space="preserve">    {"EOR", false, AM_AIX, 4, 1},</v>
      </c>
    </row>
    <row r="96" spans="1:19" ht="114.75" hidden="1" x14ac:dyDescent="0.25">
      <c r="A96" s="22">
        <v>94</v>
      </c>
      <c r="B96" s="22" t="s">
        <v>58</v>
      </c>
      <c r="C96" s="22">
        <v>0</v>
      </c>
      <c r="D96" s="22" t="s">
        <v>136</v>
      </c>
      <c r="E96" s="22" t="str">
        <f t="shared" si="4"/>
        <v>5E</v>
      </c>
      <c r="F96" s="22" t="str">
        <f t="shared" si="6"/>
        <v>5E</v>
      </c>
      <c r="G96" s="22" t="str">
        <f>_xlfn.IFNA(VLOOKUP(D96,AccessModes!$D$2:$E$14,2,FALSE),"AM_IMP")</f>
        <v>AM_AIX</v>
      </c>
      <c r="H96" s="22">
        <v>7</v>
      </c>
      <c r="I96" s="22">
        <v>0</v>
      </c>
      <c r="J96" s="22" t="str">
        <f>$J$8</f>
        <v>value</v>
      </c>
      <c r="K96" s="22" t="str">
        <f>$K$8</f>
        <v>value</v>
      </c>
      <c r="L96" s="22" t="str">
        <f>$L$8</f>
        <v>LAST</v>
      </c>
      <c r="M96" s="22" t="str">
        <f>IF(LEN(J96)&gt;0,indent&amp;J96&amp;" = "&amp;VLOOKUP($G96,AccessModes!$E$2:$I$14,4,FALSE),"")</f>
        <v xml:space="preserve">            value = memory_getAbsoluteIndexedX();</v>
      </c>
      <c r="N96" s="26" t="str">
        <f>$N$72</f>
        <v xml:space="preserve">            cpu.PS_C = ((value &amp; 0x01) != 0);
            value &gt;&gt;= 1;</v>
      </c>
      <c r="O96" s="26" t="str">
        <f t="shared" si="5"/>
        <v xml:space="preserve">            cpu.PS_N = ((value &amp; 0x80) != 0);
            cpu.PS_Z = (value == 0);</v>
      </c>
      <c r="P96" s="22" t="str">
        <f>IF(LEN(L96)&gt;0,indent&amp;IF(L96="LAST",AccessModes!$I$16&amp;J96,VLOOKUP($G96,AccessModes!$E$2:$I$14,5,FALSE)&amp;L96)&amp;");","")</f>
        <v xml:space="preserve">            memory_setLast(value);</v>
      </c>
      <c r="Q96" s="22"/>
      <c r="R96" s="26" t="str">
        <f>IF(C96=0,indent0&amp;"case 0x"&amp;F96&amp;": /* "&amp;B96&amp;" "&amp;VLOOKUP(G96,AccessModes!$E$2:$G$14,3,FALSE)&amp;" */"&amp;newline&amp;indent&amp;"cpu.cycles = "&amp;H96&amp;";"&amp;newline&amp;IF(LEN(M96)&gt;0,M96&amp;CHAR(10),"")&amp;IF(LEN(N96)&gt;0,N96&amp;newline,"")&amp;IF(LEN(O96)&gt;0,O96&amp;newline,"")&amp;IF(LEN(P96)&gt;0,P96&amp;newline,"")&amp;IF(LEN(Q96)&gt;0,Q96&amp;newline,"")&amp;indent&amp;"break;",indent0&amp;"/* Illegal opcode 0x"&amp;F96&amp;": "&amp;B96&amp;" "&amp;VLOOKUP(G96,AccessModes!$E$2:$G$14,3,FALSE)&amp;" */"&amp;newline)</f>
        <v xml:space="preserve">        case 0x5E: /* LSR aaaa,X */
            cpu.cycles = 7;
            value = memory_getAbsoluteIndexedX();
            cpu.PS_C = ((value &amp; 0x01) != 0);
            value &gt;&gt;= 1;
            cpu.PS_N = ((value &amp; 0x80) != 0);
            cpu.PS_Z = (value == 0);
            memory_setLast(value);
            break;</v>
      </c>
      <c r="S96" s="22" t="str">
        <f t="shared" si="7"/>
        <v xml:space="preserve">    {"LSR", false, AM_AIX, 7, 0},</v>
      </c>
    </row>
    <row r="97" spans="1:19" ht="25.5" hidden="1" x14ac:dyDescent="0.25">
      <c r="A97" s="28">
        <v>95</v>
      </c>
      <c r="B97" s="28" t="s">
        <v>57</v>
      </c>
      <c r="C97" s="28">
        <v>-1</v>
      </c>
      <c r="D97" s="28" t="s">
        <v>136</v>
      </c>
      <c r="E97" s="28" t="str">
        <f t="shared" si="4"/>
        <v>5F</v>
      </c>
      <c r="F97" s="28" t="str">
        <f t="shared" si="6"/>
        <v>5F</v>
      </c>
      <c r="G97" s="28" t="str">
        <f>_xlfn.IFNA(VLOOKUP(D97,AccessModes!$D$2:$E$14,2,FALSE),"AM_IMP")</f>
        <v>AM_AIX</v>
      </c>
      <c r="H97" s="28">
        <v>7</v>
      </c>
      <c r="I97" s="28">
        <v>0</v>
      </c>
      <c r="J97" s="28"/>
      <c r="K97" s="28"/>
      <c r="L97" s="28"/>
      <c r="M97" s="28" t="str">
        <f>IF(LEN(J97)&gt;0,indent&amp;J97&amp;" = "&amp;VLOOKUP($G97,AccessModes!$E$2:$I$14,4,FALSE),"")</f>
        <v/>
      </c>
      <c r="N97" s="29" t="str">
        <f>indent&amp;"/* TODO: implementation of the action */"</f>
        <v xml:space="preserve">            /* TODO: implementation of the action */</v>
      </c>
      <c r="O97" s="29" t="str">
        <f t="shared" si="5"/>
        <v/>
      </c>
      <c r="P97" s="28" t="str">
        <f>IF(LEN(L97)&gt;0,indent&amp;IF(L97="LAST",AccessModes!$I$16&amp;J97,VLOOKUP($G97,AccessModes!$E$2:$I$14,5,FALSE)&amp;L97)&amp;");","")</f>
        <v/>
      </c>
      <c r="Q97" s="28"/>
      <c r="R97" s="29" t="str">
        <f>IF(C97=0,indent0&amp;"case 0x"&amp;F97&amp;": /* "&amp;B97&amp;" "&amp;VLOOKUP(G97,AccessModes!$E$2:$G$14,3,FALSE)&amp;" */"&amp;newline&amp;indent&amp;"cpu.cycles = "&amp;H97&amp;";"&amp;newline&amp;IF(LEN(M97)&gt;0,M97&amp;CHAR(10),"")&amp;IF(LEN(N97)&gt;0,N97&amp;newline,"")&amp;IF(LEN(O97)&gt;0,O97&amp;newline,"")&amp;IF(LEN(P97)&gt;0,P97&amp;newline,"")&amp;IF(LEN(Q97)&gt;0,Q97&amp;newline,"")&amp;indent&amp;"break;",indent0&amp;"/* Illegal opcode 0x"&amp;F97&amp;": "&amp;B97&amp;" "&amp;VLOOKUP(G97,AccessModes!$E$2:$G$14,3,FALSE)&amp;" */"&amp;newline)</f>
        <v xml:space="preserve">        /* Illegal opcode 0x5F: SRE aaaa,X */
</v>
      </c>
      <c r="S97" s="28" t="str">
        <f t="shared" si="7"/>
        <v xml:space="preserve">    {"SRE", true , AM_AIX, 7, 0},</v>
      </c>
    </row>
    <row r="98" spans="1:19" ht="63.75" hidden="1" x14ac:dyDescent="0.25">
      <c r="A98" s="22">
        <v>96</v>
      </c>
      <c r="B98" s="22" t="s">
        <v>67</v>
      </c>
      <c r="C98" s="22">
        <v>0</v>
      </c>
      <c r="D98" s="22" t="s">
        <v>139</v>
      </c>
      <c r="E98" s="22" t="str">
        <f t="shared" si="4"/>
        <v>60</v>
      </c>
      <c r="F98" s="22" t="str">
        <f t="shared" si="6"/>
        <v>60</v>
      </c>
      <c r="G98" s="22" t="str">
        <f>_xlfn.IFNA(VLOOKUP(D98,AccessModes!$D$2:$E$14,2,FALSE),"AM_IMP")</f>
        <v>AM_IMP</v>
      </c>
      <c r="H98" s="22">
        <v>6</v>
      </c>
      <c r="I98" s="22">
        <v>0</v>
      </c>
      <c r="J98" s="24"/>
      <c r="K98" s="24"/>
      <c r="L98" s="24"/>
      <c r="M98" s="22" t="str">
        <f>IF(LEN(J98)&gt;0,indent&amp;J98&amp;" = "&amp;VLOOKUP($G98,AccessModes!$E$2:$I$14,4,FALSE),"")</f>
        <v/>
      </c>
      <c r="N98" s="25" t="str">
        <f>indent&amp;"cpu.PC = memory_stackPullAddress() + 1;"</f>
        <v xml:space="preserve">            cpu.PC = memory_stackPullAddress() + 1;</v>
      </c>
      <c r="O98" s="26" t="str">
        <f t="shared" si="5"/>
        <v/>
      </c>
      <c r="P98" s="22" t="str">
        <f>IF(LEN(L98)&gt;0,indent&amp;IF(L98="LAST",AccessModes!$I$16&amp;J98,VLOOKUP($G98,AccessModes!$E$2:$I$14,5,FALSE)&amp;L98)&amp;");","")</f>
        <v/>
      </c>
      <c r="Q98" s="22"/>
      <c r="R98" s="26" t="str">
        <f>IF(C98=0,indent0&amp;"case 0x"&amp;F98&amp;": /* "&amp;B98&amp;" "&amp;VLOOKUP(G98,AccessModes!$E$2:$G$14,3,FALSE)&amp;" */"&amp;newline&amp;indent&amp;"cpu.cycles = "&amp;H98&amp;";"&amp;newline&amp;IF(LEN(M98)&gt;0,M98&amp;CHAR(10),"")&amp;IF(LEN(N98)&gt;0,N98&amp;newline,"")&amp;IF(LEN(O98)&gt;0,O98&amp;newline,"")&amp;IF(LEN(P98)&gt;0,P98&amp;newline,"")&amp;IF(LEN(Q98)&gt;0,Q98&amp;newline,"")&amp;indent&amp;"break;",indent0&amp;"/* Illegal opcode 0x"&amp;F98&amp;": "&amp;B98&amp;" "&amp;VLOOKUP(G98,AccessModes!$E$2:$G$14,3,FALSE)&amp;" */"&amp;newline)</f>
        <v xml:space="preserve">        case 0x60: /* RTS  */
            cpu.cycles = 6;
            cpu.PC = memory_stackPullAddress() + 1;
            break;</v>
      </c>
      <c r="S98" s="22" t="str">
        <f t="shared" si="7"/>
        <v xml:space="preserve">    {"RTS", false, AM_IMP, 6, 0},</v>
      </c>
    </row>
    <row r="99" spans="1:19" ht="242.25" x14ac:dyDescent="0.25">
      <c r="A99" s="22">
        <v>97</v>
      </c>
      <c r="B99" s="22" t="s">
        <v>68</v>
      </c>
      <c r="C99" s="22">
        <v>0</v>
      </c>
      <c r="D99" s="22" t="s">
        <v>129</v>
      </c>
      <c r="E99" s="22" t="str">
        <f t="shared" si="4"/>
        <v>61</v>
      </c>
      <c r="F99" s="22" t="str">
        <f t="shared" si="6"/>
        <v>61</v>
      </c>
      <c r="G99" s="22" t="str">
        <f>_xlfn.IFNA(VLOOKUP(D99,AccessModes!$D$2:$E$14,2,FALSE),"AM_IMP")</f>
        <v>AM_IIX</v>
      </c>
      <c r="H99" s="22">
        <v>6</v>
      </c>
      <c r="I99" s="22">
        <v>0</v>
      </c>
      <c r="J99" s="24" t="s">
        <v>224</v>
      </c>
      <c r="K99" s="24" t="str">
        <f>""</f>
        <v/>
      </c>
      <c r="L99" s="24" t="str">
        <f>""</f>
        <v/>
      </c>
      <c r="M99" s="22" t="str">
        <f>IF(LEN(J99)&gt;0,indent&amp;J99&amp;" = "&amp;VLOOKUP($G99,AccessModes!$E$2:$I$14,4,FALSE),"")</f>
        <v xml:space="preserve">            value = memory_getIndexedIndirectX();</v>
      </c>
      <c r="N99" s="25" t="str">
        <f>indent&amp;"if(cpu.PS_D) {"&amp;newline&amp;
indent2&amp;"value_w = (cpu.A &amp; 0x0F) + (value &amp; 0x0F) + (cpu.PS_C ? 1 : 0);"&amp;newline&amp;
indent2&amp;"if(value_w &gt;= 0x0A)"&amp;newline&amp;
indent3&amp;"value_w = ((value_w + 0x06) &amp; 0x0F) + 0x10;"&amp;newline&amp;
indent2&amp;"value_w += (cpu.A &amp; 0xF0) + (value &amp; 0xF0);"&amp;newline&amp;newline&amp;
indent2&amp;"cpu.PS_N = ((value_w &amp; 0x80) != 0);"&amp;newline&amp;
indent2&amp;"cpu.PS_V = ((cpu.A ^ value_w) &amp; 0x80) &amp;&amp; !((cpu.A ^ value) &amp; 0x80);"&amp;newline&amp;
indent2&amp;"cpu.PS_Z = (value_w == 0);"&amp;newline&amp;newline&amp;
indent2&amp;"if(value_w &gt;= 0xA0)"&amp;newline&amp;
indent3&amp;"value_w += 0x60;"&amp;newline&amp;
indent2&amp;"cpu.A = (byte)(value_w &amp; 0xFF);"&amp;newline&amp;
indent2&amp;"cpu.PS_C = (value_w &gt;= 0x100);"&amp;newline&amp;
indent&amp;"} else {"&amp;newline&amp;
indent2&amp;"value_w = cpu.A + value + (cpu.PS_C ? 1 : 0);"&amp;newline&amp;
indent2&amp;"cpu.PS_N = ((value_w &amp; 0x80) != 0);"&amp;newline&amp;
indent2&amp;"cpu.PS_V = ((cpu.A ^ value_w) &amp; 0x80) &amp;&amp; !((cpu.A ^ value) &amp; 0x80);"&amp;newline&amp;
indent2&amp;"cpu.A = (byte)(value_w &amp; 0xFF);"&amp;newline&amp;
indent2&amp;"cpu.PS_Z = (cpu.A == 0);"&amp;newline&amp;
indent2&amp;"cpu.PS_C = (value_w &gt;= 0x100);"&amp;newline&amp;
indent&amp;"}"&amp;newline</f>
        <v xml:space="preserve">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</v>
      </c>
      <c r="O99" s="26" t="str">
        <f t="shared" si="5"/>
        <v/>
      </c>
      <c r="P99" s="22" t="str">
        <f>IF(LEN(L99)&gt;0,indent&amp;IF(L99="LAST",AccessModes!$I$16&amp;J99,VLOOKUP($G99,AccessModes!$E$2:$I$14,5,FALSE)&amp;L99)&amp;");","")</f>
        <v/>
      </c>
      <c r="Q99" s="22"/>
      <c r="R99" s="26" t="str">
        <f>IF(C99=0,indent0&amp;"case 0x"&amp;F99&amp;": /* "&amp;B99&amp;" "&amp;VLOOKUP(G99,AccessModes!$E$2:$G$14,3,FALSE)&amp;" */"&amp;newline&amp;indent&amp;"cpu.cycles = "&amp;H99&amp;";"&amp;newline&amp;IF(LEN(M99)&gt;0,M99&amp;CHAR(10),"")&amp;IF(LEN(N99)&gt;0,N99&amp;newline,"")&amp;IF(LEN(O99)&gt;0,O99&amp;newline,"")&amp;IF(LEN(P99)&gt;0,P99&amp;newline,"")&amp;IF(LEN(Q99)&gt;0,Q99&amp;newline,"")&amp;indent&amp;"break;",indent0&amp;"/* Illegal opcode 0x"&amp;F99&amp;": "&amp;B99&amp;" "&amp;VLOOKUP(G99,AccessModes!$E$2:$G$14,3,FALSE)&amp;" */"&amp;newline)</f>
        <v xml:space="preserve">        case 0x61: /* ADC (aa,X) */
            cpu.cycles = 6;
            value = memory_getIndexedIndirectX();
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            break;</v>
      </c>
      <c r="S99" s="22" t="str">
        <f t="shared" si="7"/>
        <v xml:space="preserve">    {"ADC", false, AM_IIX, 6, 0},</v>
      </c>
    </row>
    <row r="100" spans="1:19" ht="25.5" hidden="1" x14ac:dyDescent="0.25">
      <c r="A100" s="28">
        <v>98</v>
      </c>
      <c r="B100" s="28" t="s">
        <v>20</v>
      </c>
      <c r="C100" s="28">
        <v>-1</v>
      </c>
      <c r="D100" s="28"/>
      <c r="E100" s="28" t="str">
        <f t="shared" si="4"/>
        <v>62</v>
      </c>
      <c r="F100" s="28" t="str">
        <f t="shared" si="6"/>
        <v>62</v>
      </c>
      <c r="G100" s="28" t="str">
        <f>_xlfn.IFNA(VLOOKUP(D100,AccessModes!$D$2:$E$14,2,FALSE),"AM_IMP")</f>
        <v>AM_IMP</v>
      </c>
      <c r="H100" s="28">
        <v>0</v>
      </c>
      <c r="I100" s="28">
        <v>0</v>
      </c>
      <c r="J100" s="28"/>
      <c r="K100" s="28"/>
      <c r="L100" s="28"/>
      <c r="M100" s="28" t="str">
        <f>IF(LEN(J100)&gt;0,indent&amp;J100&amp;" = "&amp;VLOOKUP($G100,AccessModes!$E$2:$I$14,4,FALSE),"")</f>
        <v/>
      </c>
      <c r="N100" s="29" t="str">
        <f>indent&amp;"/* TODO: implementation of the action */"</f>
        <v xml:space="preserve">            /* TODO: implementation of the action */</v>
      </c>
      <c r="O100" s="29" t="str">
        <f t="shared" si="5"/>
        <v/>
      </c>
      <c r="P100" s="28" t="str">
        <f>IF(LEN(L100)&gt;0,indent&amp;IF(L100="LAST",AccessModes!$I$16&amp;J100,VLOOKUP($G100,AccessModes!$E$2:$I$14,5,FALSE)&amp;L100)&amp;");","")</f>
        <v/>
      </c>
      <c r="Q100" s="28"/>
      <c r="R100" s="29" t="str">
        <f>IF(C100=0,indent0&amp;"case 0x"&amp;F100&amp;": /* "&amp;B100&amp;" "&amp;VLOOKUP(G100,AccessModes!$E$2:$G$14,3,FALSE)&amp;" */"&amp;newline&amp;indent&amp;"cpu.cycles = "&amp;H100&amp;";"&amp;newline&amp;IF(LEN(M100)&gt;0,M100&amp;CHAR(10),"")&amp;IF(LEN(N100)&gt;0,N100&amp;newline,"")&amp;IF(LEN(O100)&gt;0,O100&amp;newline,"")&amp;IF(LEN(P100)&gt;0,P100&amp;newline,"")&amp;IF(LEN(Q100)&gt;0,Q100&amp;newline,"")&amp;indent&amp;"break;",indent0&amp;"/* Illegal opcode 0x"&amp;F100&amp;": "&amp;B100&amp;" "&amp;VLOOKUP(G100,AccessModes!$E$2:$G$14,3,FALSE)&amp;" */"&amp;newline)</f>
        <v xml:space="preserve">        /* Illegal opcode 0x62: KIL  */
</v>
      </c>
      <c r="S100" s="28" t="str">
        <f t="shared" si="7"/>
        <v xml:space="preserve">    {"KIL", true , AM_IMP, 0, 0},</v>
      </c>
    </row>
    <row r="101" spans="1:19" ht="25.5" hidden="1" x14ac:dyDescent="0.25">
      <c r="A101" s="28">
        <v>99</v>
      </c>
      <c r="B101" s="28" t="s">
        <v>69</v>
      </c>
      <c r="C101" s="28">
        <v>-1</v>
      </c>
      <c r="D101" s="28" t="s">
        <v>129</v>
      </c>
      <c r="E101" s="28" t="str">
        <f t="shared" si="4"/>
        <v>63</v>
      </c>
      <c r="F101" s="28" t="str">
        <f t="shared" si="6"/>
        <v>63</v>
      </c>
      <c r="G101" s="28" t="str">
        <f>_xlfn.IFNA(VLOOKUP(D101,AccessModes!$D$2:$E$14,2,FALSE),"AM_IMP")</f>
        <v>AM_IIX</v>
      </c>
      <c r="H101" s="28">
        <v>8</v>
      </c>
      <c r="I101" s="28">
        <v>0</v>
      </c>
      <c r="J101" s="28"/>
      <c r="K101" s="28"/>
      <c r="L101" s="28"/>
      <c r="M101" s="28" t="str">
        <f>IF(LEN(J101)&gt;0,indent&amp;J101&amp;" = "&amp;VLOOKUP($G101,AccessModes!$E$2:$I$14,4,FALSE),"")</f>
        <v/>
      </c>
      <c r="N101" s="29" t="str">
        <f>indent&amp;"/* TODO: implementation of the action */"</f>
        <v xml:space="preserve">            /* TODO: implementation of the action */</v>
      </c>
      <c r="O101" s="29" t="str">
        <f t="shared" si="5"/>
        <v/>
      </c>
      <c r="P101" s="28" t="str">
        <f>IF(LEN(L101)&gt;0,indent&amp;IF(L101="LAST",AccessModes!$I$16&amp;J101,VLOOKUP($G101,AccessModes!$E$2:$I$14,5,FALSE)&amp;L101)&amp;");","")</f>
        <v/>
      </c>
      <c r="Q101" s="28"/>
      <c r="R101" s="29" t="str">
        <f>IF(C101=0,indent0&amp;"case 0x"&amp;F101&amp;": /* "&amp;B101&amp;" "&amp;VLOOKUP(G101,AccessModes!$E$2:$G$14,3,FALSE)&amp;" */"&amp;newline&amp;indent&amp;"cpu.cycles = "&amp;H101&amp;";"&amp;newline&amp;IF(LEN(M101)&gt;0,M101&amp;CHAR(10),"")&amp;IF(LEN(N101)&gt;0,N101&amp;newline,"")&amp;IF(LEN(O101)&gt;0,O101&amp;newline,"")&amp;IF(LEN(P101)&gt;0,P101&amp;newline,"")&amp;IF(LEN(Q101)&gt;0,Q101&amp;newline,"")&amp;indent&amp;"break;",indent0&amp;"/* Illegal opcode 0x"&amp;F101&amp;": "&amp;B101&amp;" "&amp;VLOOKUP(G101,AccessModes!$E$2:$G$14,3,FALSE)&amp;" */"&amp;newline)</f>
        <v xml:space="preserve">        /* Illegal opcode 0x63: RRA (aa,X) */
</v>
      </c>
      <c r="S101" s="28" t="str">
        <f t="shared" si="7"/>
        <v xml:space="preserve">    {"RRA", true , AM_IIX, 8, 0},</v>
      </c>
    </row>
    <row r="102" spans="1:19" ht="25.5" hidden="1" x14ac:dyDescent="0.25">
      <c r="A102" s="28">
        <v>100</v>
      </c>
      <c r="B102" s="28" t="s">
        <v>23</v>
      </c>
      <c r="C102" s="28">
        <v>-1</v>
      </c>
      <c r="D102" s="28" t="s">
        <v>144</v>
      </c>
      <c r="E102" s="28" t="str">
        <f t="shared" si="4"/>
        <v>64</v>
      </c>
      <c r="F102" s="28" t="str">
        <f t="shared" si="6"/>
        <v>64</v>
      </c>
      <c r="G102" s="28" t="str">
        <f>_xlfn.IFNA(VLOOKUP(D102,AccessModes!$D$2:$E$14,2,FALSE),"AM_IMP")</f>
        <v>AM_ZPG</v>
      </c>
      <c r="H102" s="28">
        <v>3</v>
      </c>
      <c r="I102" s="28">
        <v>0</v>
      </c>
      <c r="J102" s="28"/>
      <c r="K102" s="28"/>
      <c r="L102" s="28"/>
      <c r="M102" s="28" t="str">
        <f>IF(LEN(J102)&gt;0,indent&amp;J102&amp;" = "&amp;VLOOKUP($G102,AccessModes!$E$2:$I$14,4,FALSE),"")</f>
        <v/>
      </c>
      <c r="N102" s="29" t="str">
        <f>indent&amp;"/* TODO: implementation of the action */"</f>
        <v xml:space="preserve">            /* TODO: implementation of the action */</v>
      </c>
      <c r="O102" s="29" t="str">
        <f t="shared" si="5"/>
        <v/>
      </c>
      <c r="P102" s="28" t="str">
        <f>IF(LEN(L102)&gt;0,indent&amp;IF(L102="LAST",AccessModes!$I$16&amp;J102,VLOOKUP($G102,AccessModes!$E$2:$I$14,5,FALSE)&amp;L102)&amp;");","")</f>
        <v/>
      </c>
      <c r="Q102" s="28"/>
      <c r="R102" s="29" t="str">
        <f>IF(C102=0,indent0&amp;"case 0x"&amp;F102&amp;": /* "&amp;B102&amp;" "&amp;VLOOKUP(G102,AccessModes!$E$2:$G$14,3,FALSE)&amp;" */"&amp;newline&amp;indent&amp;"cpu.cycles = "&amp;H102&amp;";"&amp;newline&amp;IF(LEN(M102)&gt;0,M102&amp;CHAR(10),"")&amp;IF(LEN(N102)&gt;0,N102&amp;newline,"")&amp;IF(LEN(O102)&gt;0,O102&amp;newline,"")&amp;IF(LEN(P102)&gt;0,P102&amp;newline,"")&amp;IF(LEN(Q102)&gt;0,Q102&amp;newline,"")&amp;indent&amp;"break;",indent0&amp;"/* Illegal opcode 0x"&amp;F102&amp;": "&amp;B102&amp;" "&amp;VLOOKUP(G102,AccessModes!$E$2:$G$14,3,FALSE)&amp;" */"&amp;newline)</f>
        <v xml:space="preserve">        /* Illegal opcode 0x64: NOP aa */
</v>
      </c>
      <c r="S102" s="28" t="str">
        <f t="shared" si="7"/>
        <v xml:space="preserve">    {"NOP", true , AM_ZPG, 3, 0},</v>
      </c>
    </row>
    <row r="103" spans="1:19" ht="242.25" x14ac:dyDescent="0.25">
      <c r="A103" s="22">
        <v>101</v>
      </c>
      <c r="B103" s="22" t="s">
        <v>68</v>
      </c>
      <c r="C103" s="22">
        <v>0</v>
      </c>
      <c r="D103" s="22" t="s">
        <v>144</v>
      </c>
      <c r="E103" s="22" t="str">
        <f t="shared" si="4"/>
        <v>65</v>
      </c>
      <c r="F103" s="22" t="str">
        <f t="shared" si="6"/>
        <v>65</v>
      </c>
      <c r="G103" s="22" t="str">
        <f>_xlfn.IFNA(VLOOKUP(D103,AccessModes!$D$2:$E$14,2,FALSE),"AM_IMP")</f>
        <v>AM_ZPG</v>
      </c>
      <c r="H103" s="22">
        <v>3</v>
      </c>
      <c r="I103" s="22">
        <v>0</v>
      </c>
      <c r="J103" s="22" t="str">
        <f>$J$99</f>
        <v>value</v>
      </c>
      <c r="K103" s="22" t="str">
        <f>$K$99</f>
        <v/>
      </c>
      <c r="L103" s="22" t="str">
        <f>$L$99</f>
        <v/>
      </c>
      <c r="M103" s="22" t="str">
        <f>IF(LEN(J103)&gt;0,indent&amp;J103&amp;" = "&amp;VLOOKUP($G103,AccessModes!$E$2:$I$14,4,FALSE),"")</f>
        <v xml:space="preserve">            value = memory_getZeroPage();</v>
      </c>
      <c r="N103" s="26" t="str">
        <f>$N$99</f>
        <v xml:space="preserve">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</v>
      </c>
      <c r="O103" s="26" t="str">
        <f t="shared" si="5"/>
        <v/>
      </c>
      <c r="P103" s="22" t="str">
        <f>IF(LEN(L103)&gt;0,indent&amp;IF(L103="LAST",AccessModes!$I$16&amp;J103,VLOOKUP($G103,AccessModes!$E$2:$I$14,5,FALSE)&amp;L103)&amp;");","")</f>
        <v/>
      </c>
      <c r="Q103" s="22"/>
      <c r="R103" s="26" t="str">
        <f>IF(C103=0,indent0&amp;"case 0x"&amp;F103&amp;": /* "&amp;B103&amp;" "&amp;VLOOKUP(G103,AccessModes!$E$2:$G$14,3,FALSE)&amp;" */"&amp;newline&amp;indent&amp;"cpu.cycles = "&amp;H103&amp;";"&amp;newline&amp;IF(LEN(M103)&gt;0,M103&amp;CHAR(10),"")&amp;IF(LEN(N103)&gt;0,N103&amp;newline,"")&amp;IF(LEN(O103)&gt;0,O103&amp;newline,"")&amp;IF(LEN(P103)&gt;0,P103&amp;newline,"")&amp;IF(LEN(Q103)&gt;0,Q103&amp;newline,"")&amp;indent&amp;"break;",indent0&amp;"/* Illegal opcode 0x"&amp;F103&amp;": "&amp;B103&amp;" "&amp;VLOOKUP(G103,AccessModes!$E$2:$G$14,3,FALSE)&amp;" */"&amp;newline)</f>
        <v xml:space="preserve">        case 0x65: /* ADC aa */
            cpu.cycles = 3;
            value = memory_getZeroPage();
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            break;</v>
      </c>
      <c r="S103" s="22" t="str">
        <f t="shared" si="7"/>
        <v xml:space="preserve">    {"ADC", false, AM_ZPG, 3, 0},</v>
      </c>
    </row>
    <row r="104" spans="1:19" ht="140.25" hidden="1" x14ac:dyDescent="0.25">
      <c r="A104" s="22">
        <v>102</v>
      </c>
      <c r="B104" s="22" t="s">
        <v>70</v>
      </c>
      <c r="C104" s="22">
        <v>0</v>
      </c>
      <c r="D104" s="22" t="s">
        <v>144</v>
      </c>
      <c r="E104" s="22" t="str">
        <f t="shared" si="4"/>
        <v>66</v>
      </c>
      <c r="F104" s="22" t="str">
        <f t="shared" si="6"/>
        <v>66</v>
      </c>
      <c r="G104" s="22" t="str">
        <f>_xlfn.IFNA(VLOOKUP(D104,AccessModes!$D$2:$E$14,2,FALSE),"AM_IMP")</f>
        <v>AM_ZPG</v>
      </c>
      <c r="H104" s="22">
        <v>5</v>
      </c>
      <c r="I104" s="22">
        <v>0</v>
      </c>
      <c r="J104" s="24" t="str">
        <f>K104</f>
        <v>value</v>
      </c>
      <c r="K104" s="24" t="s">
        <v>224</v>
      </c>
      <c r="L104" s="24" t="s">
        <v>227</v>
      </c>
      <c r="M104" s="22" t="str">
        <f>IF(LEN(J104)&gt;0,indent&amp;J104&amp;" = "&amp;VLOOKUP($G104,AccessModes!$E$2:$I$14,4,FALSE),"")</f>
        <v xml:space="preserve">            value = memory_getZeroPage();</v>
      </c>
      <c r="N104" s="25" t="str">
        <f>indent&amp;"tmp_PS_C = cpu.PS_C;"&amp; newline &amp; indent&amp;"cpu.PS_C = (("&amp; K104 &amp; " &amp; 0x01) != 0);"&amp; newline &amp; indent &amp; K104 &amp;" = (value &gt;&gt; 1) | (((byte)tmp_PS_C) &lt;&lt; 7);"</f>
        <v xml:space="preserve">            tmp_PS_C = cpu.PS_C;
            cpu.PS_C = ((value &amp; 0x01) != 0);
            value = (value &gt;&gt; 1) | (((byte)tmp_PS_C) &lt;&lt; 7);</v>
      </c>
      <c r="O104" s="26" t="str">
        <f t="shared" si="5"/>
        <v xml:space="preserve">            cpu.PS_N = ((value &amp; 0x80) != 0);
            cpu.PS_Z = (value == 0);</v>
      </c>
      <c r="P104" s="22" t="str">
        <f>IF(LEN(L104)&gt;0,indent&amp;IF(L104="LAST",AccessModes!$I$16&amp;J104,VLOOKUP($G104,AccessModes!$E$2:$I$14,5,FALSE)&amp;L104)&amp;");","")</f>
        <v xml:space="preserve">            memory_setLast(value);</v>
      </c>
      <c r="Q104" s="22"/>
      <c r="R104" s="26" t="str">
        <f>IF(C104=0,indent0&amp;"case 0x"&amp;F104&amp;": /* "&amp;B104&amp;" "&amp;VLOOKUP(G104,AccessModes!$E$2:$G$14,3,FALSE)&amp;" */"&amp;newline&amp;indent&amp;"cpu.cycles = "&amp;H104&amp;";"&amp;newline&amp;IF(LEN(M104)&gt;0,M104&amp;CHAR(10),"")&amp;IF(LEN(N104)&gt;0,N104&amp;newline,"")&amp;IF(LEN(O104)&gt;0,O104&amp;newline,"")&amp;IF(LEN(P104)&gt;0,P104&amp;newline,"")&amp;IF(LEN(Q104)&gt;0,Q104&amp;newline,"")&amp;indent&amp;"break;",indent0&amp;"/* Illegal opcode 0x"&amp;F104&amp;": "&amp;B104&amp;" "&amp;VLOOKUP(G104,AccessModes!$E$2:$G$14,3,FALSE)&amp;" */"&amp;newline)</f>
        <v xml:space="preserve">        case 0x66: /* ROR aa */
            cpu.cycles = 5;
            value = memory_getZeroPage();
            tmp_PS_C = cpu.PS_C;
            cpu.PS_C = ((value &amp; 0x01) != 0);
            value = (value &gt;&gt; 1) | (((byte)tmp_PS_C) &lt;&lt; 7);
            cpu.PS_N = ((value &amp; 0x80) != 0);
            cpu.PS_Z = (value == 0);
            memory_setLast(value);
            break;</v>
      </c>
      <c r="S104" s="22" t="str">
        <f t="shared" si="7"/>
        <v xml:space="preserve">    {"ROR", false, AM_ZPG, 5, 0},</v>
      </c>
    </row>
    <row r="105" spans="1:19" ht="25.5" hidden="1" x14ac:dyDescent="0.25">
      <c r="A105" s="28">
        <v>103</v>
      </c>
      <c r="B105" s="28" t="s">
        <v>69</v>
      </c>
      <c r="C105" s="28">
        <v>-1</v>
      </c>
      <c r="D105" s="28" t="s">
        <v>144</v>
      </c>
      <c r="E105" s="28" t="str">
        <f t="shared" si="4"/>
        <v>67</v>
      </c>
      <c r="F105" s="28" t="str">
        <f t="shared" si="6"/>
        <v>67</v>
      </c>
      <c r="G105" s="28" t="str">
        <f>_xlfn.IFNA(VLOOKUP(D105,AccessModes!$D$2:$E$14,2,FALSE),"AM_IMP")</f>
        <v>AM_ZPG</v>
      </c>
      <c r="H105" s="28">
        <v>5</v>
      </c>
      <c r="I105" s="28">
        <v>0</v>
      </c>
      <c r="J105" s="28"/>
      <c r="K105" s="28"/>
      <c r="L105" s="28"/>
      <c r="M105" s="28" t="str">
        <f>IF(LEN(J105)&gt;0,indent&amp;J105&amp;" = "&amp;VLOOKUP($G105,AccessModes!$E$2:$I$14,4,FALSE),"")</f>
        <v/>
      </c>
      <c r="N105" s="29" t="str">
        <f>indent&amp;"/* TODO: implementation of the action */"</f>
        <v xml:space="preserve">            /* TODO: implementation of the action */</v>
      </c>
      <c r="O105" s="29" t="str">
        <f t="shared" si="5"/>
        <v/>
      </c>
      <c r="P105" s="28" t="str">
        <f>IF(LEN(L105)&gt;0,indent&amp;IF(L105="LAST",AccessModes!$I$16&amp;J105,VLOOKUP($G105,AccessModes!$E$2:$I$14,5,FALSE)&amp;L105)&amp;");","")</f>
        <v/>
      </c>
      <c r="Q105" s="28"/>
      <c r="R105" s="29" t="str">
        <f>IF(C105=0,indent0&amp;"case 0x"&amp;F105&amp;": /* "&amp;B105&amp;" "&amp;VLOOKUP(G105,AccessModes!$E$2:$G$14,3,FALSE)&amp;" */"&amp;newline&amp;indent&amp;"cpu.cycles = "&amp;H105&amp;";"&amp;newline&amp;IF(LEN(M105)&gt;0,M105&amp;CHAR(10),"")&amp;IF(LEN(N105)&gt;0,N105&amp;newline,"")&amp;IF(LEN(O105)&gt;0,O105&amp;newline,"")&amp;IF(LEN(P105)&gt;0,P105&amp;newline,"")&amp;IF(LEN(Q105)&gt;0,Q105&amp;newline,"")&amp;indent&amp;"break;",indent0&amp;"/* Illegal opcode 0x"&amp;F105&amp;": "&amp;B105&amp;" "&amp;VLOOKUP(G105,AccessModes!$E$2:$G$14,3,FALSE)&amp;" */"&amp;newline)</f>
        <v xml:space="preserve">        /* Illegal opcode 0x67: RRA aa */
</v>
      </c>
      <c r="S105" s="28" t="str">
        <f t="shared" si="7"/>
        <v xml:space="preserve">    {"RRA", true , AM_ZPG, 5, 0},</v>
      </c>
    </row>
    <row r="106" spans="1:19" ht="76.5" hidden="1" x14ac:dyDescent="0.25">
      <c r="A106" s="22">
        <v>104</v>
      </c>
      <c r="B106" s="22" t="s">
        <v>71</v>
      </c>
      <c r="C106" s="22">
        <v>0</v>
      </c>
      <c r="D106" s="22" t="s">
        <v>139</v>
      </c>
      <c r="E106" s="22" t="str">
        <f t="shared" si="4"/>
        <v>68</v>
      </c>
      <c r="F106" s="22" t="str">
        <f t="shared" si="6"/>
        <v>68</v>
      </c>
      <c r="G106" s="22" t="str">
        <f>_xlfn.IFNA(VLOOKUP(D106,AccessModes!$D$2:$E$14,2,FALSE),"AM_IMP")</f>
        <v>AM_IMP</v>
      </c>
      <c r="H106" s="22">
        <v>4</v>
      </c>
      <c r="I106" s="22">
        <v>0</v>
      </c>
      <c r="J106" s="24"/>
      <c r="K106" s="24" t="s">
        <v>215</v>
      </c>
      <c r="L106" s="24"/>
      <c r="M106" s="22" t="str">
        <f>IF(LEN(J106)&gt;0,indent&amp;J106&amp;" = "&amp;VLOOKUP($G106,AccessModes!$E$2:$I$14,4,FALSE),"")</f>
        <v/>
      </c>
      <c r="N106" s="25" t="str">
        <f>indent&amp;"cpu.A = memory_stackPull();"</f>
        <v xml:space="preserve">            cpu.A = memory_stackPull();</v>
      </c>
      <c r="O106" s="26" t="str">
        <f t="shared" si="5"/>
        <v xml:space="preserve">            cpu.PS_N = ((cpu.A &amp; 0x80) != 0);
            cpu.PS_Z = (cpu.A == 0);</v>
      </c>
      <c r="P106" s="22" t="str">
        <f>IF(LEN(L106)&gt;0,indent&amp;IF(L106="LAST",AccessModes!$I$16&amp;J106,VLOOKUP($G106,AccessModes!$E$2:$I$14,5,FALSE)&amp;L106)&amp;");","")</f>
        <v/>
      </c>
      <c r="Q106" s="22"/>
      <c r="R106" s="26" t="str">
        <f>IF(C106=0,indent0&amp;"case 0x"&amp;F106&amp;": /* "&amp;B106&amp;" "&amp;VLOOKUP(G106,AccessModes!$E$2:$G$14,3,FALSE)&amp;" */"&amp;newline&amp;indent&amp;"cpu.cycles = "&amp;H106&amp;";"&amp;newline&amp;IF(LEN(M106)&gt;0,M106&amp;CHAR(10),"")&amp;IF(LEN(N106)&gt;0,N106&amp;newline,"")&amp;IF(LEN(O106)&gt;0,O106&amp;newline,"")&amp;IF(LEN(P106)&gt;0,P106&amp;newline,"")&amp;IF(LEN(Q106)&gt;0,Q106&amp;newline,"")&amp;indent&amp;"break;",indent0&amp;"/* Illegal opcode 0x"&amp;F106&amp;": "&amp;B106&amp;" "&amp;VLOOKUP(G106,AccessModes!$E$2:$G$14,3,FALSE)&amp;" */"&amp;newline)</f>
        <v xml:space="preserve">        case 0x68: /* PLA  */
            cpu.cycles = 4;
            cpu.A = memory_stackPull();
            cpu.PS_N = ((cpu.A &amp; 0x80) != 0);
            cpu.PS_Z = (cpu.A == 0);
            break;</v>
      </c>
      <c r="S106" s="22" t="str">
        <f t="shared" si="7"/>
        <v xml:space="preserve">    {"PLA", false, AM_IMP, 4, 0},</v>
      </c>
    </row>
    <row r="107" spans="1:19" ht="242.25" x14ac:dyDescent="0.25">
      <c r="A107" s="22">
        <v>105</v>
      </c>
      <c r="B107" s="22" t="s">
        <v>68</v>
      </c>
      <c r="C107" s="22">
        <v>0</v>
      </c>
      <c r="D107" s="22" t="s">
        <v>130</v>
      </c>
      <c r="E107" s="22" t="str">
        <f t="shared" si="4"/>
        <v>69</v>
      </c>
      <c r="F107" s="22" t="str">
        <f t="shared" si="6"/>
        <v>69</v>
      </c>
      <c r="G107" s="22" t="str">
        <f>_xlfn.IFNA(VLOOKUP(D107,AccessModes!$D$2:$E$14,2,FALSE),"AM_IMP")</f>
        <v>AM_IMM</v>
      </c>
      <c r="H107" s="22">
        <v>2</v>
      </c>
      <c r="I107" s="22">
        <v>0</v>
      </c>
      <c r="J107" s="22" t="str">
        <f>$J$99</f>
        <v>value</v>
      </c>
      <c r="K107" s="22" t="str">
        <f>$K$99</f>
        <v/>
      </c>
      <c r="L107" s="22" t="str">
        <f>$L$99</f>
        <v/>
      </c>
      <c r="M107" s="22" t="str">
        <f>IF(LEN(J107)&gt;0,indent&amp;J107&amp;" = "&amp;VLOOKUP($G107,AccessModes!$E$2:$I$14,4,FALSE),"")</f>
        <v xml:space="preserve">            value = memory_getImmediate();</v>
      </c>
      <c r="N107" s="26" t="str">
        <f>$N$99</f>
        <v xml:space="preserve">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</v>
      </c>
      <c r="O107" s="26" t="str">
        <f t="shared" si="5"/>
        <v/>
      </c>
      <c r="P107" s="22" t="str">
        <f>IF(LEN(L107)&gt;0,indent&amp;IF(L107="LAST",AccessModes!$I$16&amp;J107,VLOOKUP($G107,AccessModes!$E$2:$I$14,5,FALSE)&amp;L107)&amp;");","")</f>
        <v/>
      </c>
      <c r="Q107" s="22"/>
      <c r="R107" s="26" t="str">
        <f>IF(C107=0,indent0&amp;"case 0x"&amp;F107&amp;": /* "&amp;B107&amp;" "&amp;VLOOKUP(G107,AccessModes!$E$2:$G$14,3,FALSE)&amp;" */"&amp;newline&amp;indent&amp;"cpu.cycles = "&amp;H107&amp;";"&amp;newline&amp;IF(LEN(M107)&gt;0,M107&amp;CHAR(10),"")&amp;IF(LEN(N107)&gt;0,N107&amp;newline,"")&amp;IF(LEN(O107)&gt;0,O107&amp;newline,"")&amp;IF(LEN(P107)&gt;0,P107&amp;newline,"")&amp;IF(LEN(Q107)&gt;0,Q107&amp;newline,"")&amp;indent&amp;"break;",indent0&amp;"/* Illegal opcode 0x"&amp;F107&amp;": "&amp;B107&amp;" "&amp;VLOOKUP(G107,AccessModes!$E$2:$G$14,3,FALSE)&amp;" */"&amp;newline)</f>
        <v xml:space="preserve">        case 0x69: /* ADC #aa */
            cpu.cycles = 2;
            value = memory_getImmediate();
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            break;</v>
      </c>
      <c r="S107" s="22" t="str">
        <f t="shared" si="7"/>
        <v xml:space="preserve">    {"ADC", false, AM_IMM, 2, 0},</v>
      </c>
    </row>
    <row r="108" spans="1:19" ht="114.75" hidden="1" x14ac:dyDescent="0.25">
      <c r="A108" s="22">
        <v>106</v>
      </c>
      <c r="B108" s="22" t="s">
        <v>70</v>
      </c>
      <c r="C108" s="22">
        <v>0</v>
      </c>
      <c r="D108" s="22" t="s">
        <v>139</v>
      </c>
      <c r="E108" s="22" t="str">
        <f t="shared" si="4"/>
        <v>6A</v>
      </c>
      <c r="F108" s="22" t="str">
        <f t="shared" si="6"/>
        <v>6A</v>
      </c>
      <c r="G108" s="22" t="str">
        <f>_xlfn.IFNA(VLOOKUP(D108,AccessModes!$D$2:$E$14,2,FALSE),"AM_IMP")</f>
        <v>AM_IMP</v>
      </c>
      <c r="H108" s="22">
        <v>2</v>
      </c>
      <c r="I108" s="22">
        <v>0</v>
      </c>
      <c r="J108" s="24"/>
      <c r="K108" s="24" t="s">
        <v>215</v>
      </c>
      <c r="L108" s="24"/>
      <c r="M108" s="22" t="str">
        <f>IF(LEN(J108)&gt;0,indent&amp;J108&amp;" = "&amp;VLOOKUP($G108,AccessModes!$E$2:$I$14,4,FALSE),"")</f>
        <v/>
      </c>
      <c r="N108" s="25" t="str">
        <f>indent&amp;"tmp_PS_C = cpu.PS_C;"&amp; newline &amp; indent&amp;"cpu.PS_C = (("&amp; K108 &amp; " &amp; 0x01) != 0);"&amp; newline &amp; indent &amp; K108 &amp;" = (value &gt;&gt; 1) | (((byte)tmp_PS_C) &lt;&lt; 7);"</f>
        <v xml:space="preserve">            tmp_PS_C = cpu.PS_C;
            cpu.PS_C = ((cpu.A &amp; 0x01) != 0);
            cpu.A = (value &gt;&gt; 1) | (((byte)tmp_PS_C) &lt;&lt; 7);</v>
      </c>
      <c r="O108" s="26" t="str">
        <f t="shared" si="5"/>
        <v xml:space="preserve">            cpu.PS_N = ((cpu.A &amp; 0x80) != 0);
            cpu.PS_Z = (cpu.A == 0);</v>
      </c>
      <c r="P108" s="22" t="str">
        <f>IF(LEN(L108)&gt;0,indent&amp;IF(L108="LAST",AccessModes!$I$16&amp;J108,VLOOKUP($G108,AccessModes!$E$2:$I$14,5,FALSE)&amp;L108)&amp;");","")</f>
        <v/>
      </c>
      <c r="Q108" s="22"/>
      <c r="R108" s="26" t="str">
        <f>IF(C108=0,indent0&amp;"case 0x"&amp;F108&amp;": /* "&amp;B108&amp;" "&amp;VLOOKUP(G108,AccessModes!$E$2:$G$14,3,FALSE)&amp;" */"&amp;newline&amp;indent&amp;"cpu.cycles = "&amp;H108&amp;";"&amp;newline&amp;IF(LEN(M108)&gt;0,M108&amp;CHAR(10),"")&amp;IF(LEN(N108)&gt;0,N108&amp;newline,"")&amp;IF(LEN(O108)&gt;0,O108&amp;newline,"")&amp;IF(LEN(P108)&gt;0,P108&amp;newline,"")&amp;IF(LEN(Q108)&gt;0,Q108&amp;newline,"")&amp;indent&amp;"break;",indent0&amp;"/* Illegal opcode 0x"&amp;F108&amp;": "&amp;B108&amp;" "&amp;VLOOKUP(G108,AccessModes!$E$2:$G$14,3,FALSE)&amp;" */"&amp;newline)</f>
        <v xml:space="preserve">        case 0x6A: /* ROR  */
            cpu.cycles = 2;
            tmp_PS_C = cpu.PS_C;
            cpu.PS_C = ((cpu.A &amp; 0x01) != 0);
            cpu.A = (value &gt;&gt; 1) | (((byte)tmp_PS_C) &lt;&lt; 7);
            cpu.PS_N = ((cpu.A &amp; 0x80) != 0);
            cpu.PS_Z = (cpu.A == 0);
            break;</v>
      </c>
      <c r="S108" s="22" t="str">
        <f t="shared" si="7"/>
        <v xml:space="preserve">    {"ROR", false, AM_IMP, 2, 0},</v>
      </c>
    </row>
    <row r="109" spans="1:19" ht="25.5" hidden="1" x14ac:dyDescent="0.25">
      <c r="A109" s="28">
        <v>107</v>
      </c>
      <c r="B109" s="28" t="s">
        <v>72</v>
      </c>
      <c r="C109" s="28">
        <v>-1</v>
      </c>
      <c r="D109" s="28" t="s">
        <v>130</v>
      </c>
      <c r="E109" s="28" t="str">
        <f t="shared" si="4"/>
        <v>6B</v>
      </c>
      <c r="F109" s="28" t="str">
        <f t="shared" si="6"/>
        <v>6B</v>
      </c>
      <c r="G109" s="28" t="str">
        <f>_xlfn.IFNA(VLOOKUP(D109,AccessModes!$D$2:$E$14,2,FALSE),"AM_IMP")</f>
        <v>AM_IMM</v>
      </c>
      <c r="H109" s="28">
        <v>2</v>
      </c>
      <c r="I109" s="28">
        <v>0</v>
      </c>
      <c r="J109" s="28"/>
      <c r="K109" s="28"/>
      <c r="L109" s="28"/>
      <c r="M109" s="28" t="str">
        <f>IF(LEN(J109)&gt;0,indent&amp;J109&amp;" = "&amp;VLOOKUP($G109,AccessModes!$E$2:$I$14,4,FALSE),"")</f>
        <v/>
      </c>
      <c r="N109" s="29" t="str">
        <f>indent&amp;"/* TODO: implementation of the action */"</f>
        <v xml:space="preserve">            /* TODO: implementation of the action */</v>
      </c>
      <c r="O109" s="29" t="str">
        <f t="shared" si="5"/>
        <v/>
      </c>
      <c r="P109" s="28" t="str">
        <f>IF(LEN(L109)&gt;0,indent&amp;IF(L109="LAST",AccessModes!$I$16&amp;J109,VLOOKUP($G109,AccessModes!$E$2:$I$14,5,FALSE)&amp;L109)&amp;");","")</f>
        <v/>
      </c>
      <c r="Q109" s="28"/>
      <c r="R109" s="29" t="str">
        <f>IF(C109=0,indent0&amp;"case 0x"&amp;F109&amp;": /* "&amp;B109&amp;" "&amp;VLOOKUP(G109,AccessModes!$E$2:$G$14,3,FALSE)&amp;" */"&amp;newline&amp;indent&amp;"cpu.cycles = "&amp;H109&amp;";"&amp;newline&amp;IF(LEN(M109)&gt;0,M109&amp;CHAR(10),"")&amp;IF(LEN(N109)&gt;0,N109&amp;newline,"")&amp;IF(LEN(O109)&gt;0,O109&amp;newline,"")&amp;IF(LEN(P109)&gt;0,P109&amp;newline,"")&amp;IF(LEN(Q109)&gt;0,Q109&amp;newline,"")&amp;indent&amp;"break;",indent0&amp;"/* Illegal opcode 0x"&amp;F109&amp;": "&amp;B109&amp;" "&amp;VLOOKUP(G109,AccessModes!$E$2:$G$14,3,FALSE)&amp;" */"&amp;newline)</f>
        <v xml:space="preserve">        /* Illegal opcode 0x6B: ARR #aa */
</v>
      </c>
      <c r="S109" s="28" t="str">
        <f t="shared" si="7"/>
        <v xml:space="preserve">    {"ARR", true , AM_IMM, 2, 0},</v>
      </c>
    </row>
    <row r="110" spans="1:19" ht="63.75" hidden="1" x14ac:dyDescent="0.25">
      <c r="A110" s="22">
        <v>108</v>
      </c>
      <c r="B110" s="22" t="s">
        <v>61</v>
      </c>
      <c r="C110" s="22">
        <v>0</v>
      </c>
      <c r="D110" s="22" t="s">
        <v>137</v>
      </c>
      <c r="E110" s="22" t="str">
        <f t="shared" si="4"/>
        <v>6C</v>
      </c>
      <c r="F110" s="22" t="str">
        <f t="shared" si="6"/>
        <v>6C</v>
      </c>
      <c r="G110" s="22" t="str">
        <f>_xlfn.IFNA(VLOOKUP(D110,AccessModes!$D$2:$E$14,2,FALSE),"AM_IMP")</f>
        <v>AM_IND</v>
      </c>
      <c r="H110" s="22">
        <v>5</v>
      </c>
      <c r="I110" s="22">
        <v>0</v>
      </c>
      <c r="J110" s="22" t="str">
        <f>$J$78</f>
        <v>cpu.PC</v>
      </c>
      <c r="K110" s="22" t="str">
        <f>$K$78</f>
        <v/>
      </c>
      <c r="L110" s="22" t="str">
        <f>$L$78</f>
        <v/>
      </c>
      <c r="M110" s="22" t="str">
        <f>IF(LEN(J110)&gt;0,indent&amp;J110&amp;" = "&amp;VLOOKUP($G110,AccessModes!$E$2:$I$14,4,FALSE),"")</f>
        <v xml:space="preserve">            cpu.PC = memory_getIndirectAbsoluteAddress();</v>
      </c>
      <c r="N110" s="26" t="str">
        <f>N78</f>
        <v/>
      </c>
      <c r="O110" s="26" t="str">
        <f t="shared" si="5"/>
        <v/>
      </c>
      <c r="P110" s="22" t="str">
        <f>IF(LEN(L110)&gt;0,indent&amp;IF(L110="LAST",AccessModes!$I$16&amp;J110,VLOOKUP($G110,AccessModes!$E$2:$I$14,5,FALSE)&amp;L110)&amp;");","")</f>
        <v/>
      </c>
      <c r="Q110" s="22"/>
      <c r="R110" s="26" t="str">
        <f>IF(C110=0,indent0&amp;"case 0x"&amp;F110&amp;": /* "&amp;B110&amp;" "&amp;VLOOKUP(G110,AccessModes!$E$2:$G$14,3,FALSE)&amp;" */"&amp;newline&amp;indent&amp;"cpu.cycles = "&amp;H110&amp;";"&amp;newline&amp;IF(LEN(M110)&gt;0,M110&amp;CHAR(10),"")&amp;IF(LEN(N110)&gt;0,N110&amp;newline,"")&amp;IF(LEN(O110)&gt;0,O110&amp;newline,"")&amp;IF(LEN(P110)&gt;0,P110&amp;newline,"")&amp;IF(LEN(Q110)&gt;0,Q110&amp;newline,"")&amp;indent&amp;"break;",indent0&amp;"/* Illegal opcode 0x"&amp;F110&amp;": "&amp;B110&amp;" "&amp;VLOOKUP(G110,AccessModes!$E$2:$G$14,3,FALSE)&amp;" */"&amp;newline)</f>
        <v xml:space="preserve">        case 0x6C: /* JMP (aaaa) */
            cpu.cycles = 5;
            cpu.PC = memory_getIndirectAbsoluteAddress();
            break;</v>
      </c>
      <c r="S110" s="22" t="str">
        <f t="shared" si="7"/>
        <v xml:space="preserve">    {"JMP", false, AM_IND, 5, 0},</v>
      </c>
    </row>
    <row r="111" spans="1:19" ht="242.25" x14ac:dyDescent="0.25">
      <c r="A111" s="22">
        <v>109</v>
      </c>
      <c r="B111" s="22" t="s">
        <v>68</v>
      </c>
      <c r="C111" s="22">
        <v>0</v>
      </c>
      <c r="D111" s="22" t="s">
        <v>131</v>
      </c>
      <c r="E111" s="22" t="str">
        <f t="shared" si="4"/>
        <v>6D</v>
      </c>
      <c r="F111" s="22" t="str">
        <f t="shared" si="6"/>
        <v>6D</v>
      </c>
      <c r="G111" s="22" t="str">
        <f>_xlfn.IFNA(VLOOKUP(D111,AccessModes!$D$2:$E$14,2,FALSE),"AM_IMP")</f>
        <v>AM_ABS</v>
      </c>
      <c r="H111" s="22">
        <v>4</v>
      </c>
      <c r="I111" s="22">
        <v>0</v>
      </c>
      <c r="J111" s="22" t="str">
        <f>$J$99</f>
        <v>value</v>
      </c>
      <c r="K111" s="22" t="str">
        <f>$K$99</f>
        <v/>
      </c>
      <c r="L111" s="22" t="str">
        <f>$L$99</f>
        <v/>
      </c>
      <c r="M111" s="22" t="str">
        <f>IF(LEN(J111)&gt;0,indent&amp;J111&amp;" = "&amp;VLOOKUP($G111,AccessModes!$E$2:$I$14,4,FALSE),"")</f>
        <v xml:space="preserve">            value = memory_getAbsolute();</v>
      </c>
      <c r="N111" s="26" t="str">
        <f>$N$99</f>
        <v xml:space="preserve">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</v>
      </c>
      <c r="O111" s="26" t="str">
        <f t="shared" si="5"/>
        <v/>
      </c>
      <c r="P111" s="22" t="str">
        <f>IF(LEN(L111)&gt;0,indent&amp;IF(L111="LAST",AccessModes!$I$16&amp;J111,VLOOKUP($G111,AccessModes!$E$2:$I$14,5,FALSE)&amp;L111)&amp;");","")</f>
        <v/>
      </c>
      <c r="Q111" s="22"/>
      <c r="R111" s="26" t="str">
        <f>IF(C111=0,indent0&amp;"case 0x"&amp;F111&amp;": /* "&amp;B111&amp;" "&amp;VLOOKUP(G111,AccessModes!$E$2:$G$14,3,FALSE)&amp;" */"&amp;newline&amp;indent&amp;"cpu.cycles = "&amp;H111&amp;";"&amp;newline&amp;IF(LEN(M111)&gt;0,M111&amp;CHAR(10),"")&amp;IF(LEN(N111)&gt;0,N111&amp;newline,"")&amp;IF(LEN(O111)&gt;0,O111&amp;newline,"")&amp;IF(LEN(P111)&gt;0,P111&amp;newline,"")&amp;IF(LEN(Q111)&gt;0,Q111&amp;newline,"")&amp;indent&amp;"break;",indent0&amp;"/* Illegal opcode 0x"&amp;F111&amp;": "&amp;B111&amp;" "&amp;VLOOKUP(G111,AccessModes!$E$2:$G$14,3,FALSE)&amp;" */"&amp;newline)</f>
        <v xml:space="preserve">        case 0x6D: /* ADC aaaa */
            cpu.cycles = 4;
            value = memory_getAbsolute();
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            break;</v>
      </c>
      <c r="S111" s="22" t="str">
        <f t="shared" si="7"/>
        <v xml:space="preserve">    {"ADC", false, AM_ABS, 4, 0},</v>
      </c>
    </row>
    <row r="112" spans="1:19" ht="140.25" hidden="1" x14ac:dyDescent="0.25">
      <c r="A112" s="22">
        <v>110</v>
      </c>
      <c r="B112" s="22" t="s">
        <v>70</v>
      </c>
      <c r="C112" s="22">
        <v>0</v>
      </c>
      <c r="D112" s="22" t="s">
        <v>131</v>
      </c>
      <c r="E112" s="22" t="str">
        <f t="shared" si="4"/>
        <v>6E</v>
      </c>
      <c r="F112" s="22" t="str">
        <f t="shared" si="6"/>
        <v>6E</v>
      </c>
      <c r="G112" s="22" t="str">
        <f>_xlfn.IFNA(VLOOKUP(D112,AccessModes!$D$2:$E$14,2,FALSE),"AM_IMP")</f>
        <v>AM_ABS</v>
      </c>
      <c r="H112" s="22">
        <v>6</v>
      </c>
      <c r="I112" s="22">
        <v>0</v>
      </c>
      <c r="J112" s="22" t="str">
        <f>$J$104</f>
        <v>value</v>
      </c>
      <c r="K112" s="22" t="str">
        <f>$K$104</f>
        <v>value</v>
      </c>
      <c r="L112" s="22" t="str">
        <f>$L$104</f>
        <v>LAST</v>
      </c>
      <c r="M112" s="22" t="str">
        <f>IF(LEN(J112)&gt;0,indent&amp;J112&amp;" = "&amp;VLOOKUP($G112,AccessModes!$E$2:$I$14,4,FALSE),"")</f>
        <v xml:space="preserve">            value = memory_getAbsolute();</v>
      </c>
      <c r="N112" s="26" t="str">
        <f>$N$104</f>
        <v xml:space="preserve">            tmp_PS_C = cpu.PS_C;
            cpu.PS_C = ((value &amp; 0x01) != 0);
            value = (value &gt;&gt; 1) | (((byte)tmp_PS_C) &lt;&lt; 7);</v>
      </c>
      <c r="O112" s="26" t="str">
        <f t="shared" si="5"/>
        <v xml:space="preserve">            cpu.PS_N = ((value &amp; 0x80) != 0);
            cpu.PS_Z = (value == 0);</v>
      </c>
      <c r="P112" s="22" t="str">
        <f>IF(LEN(L112)&gt;0,indent&amp;IF(L112="LAST",AccessModes!$I$16&amp;J112,VLOOKUP($G112,AccessModes!$E$2:$I$14,5,FALSE)&amp;L112)&amp;");","")</f>
        <v xml:space="preserve">            memory_setLast(value);</v>
      </c>
      <c r="Q112" s="22"/>
      <c r="R112" s="26" t="str">
        <f>IF(C112=0,indent0&amp;"case 0x"&amp;F112&amp;": /* "&amp;B112&amp;" "&amp;VLOOKUP(G112,AccessModes!$E$2:$G$14,3,FALSE)&amp;" */"&amp;newline&amp;indent&amp;"cpu.cycles = "&amp;H112&amp;";"&amp;newline&amp;IF(LEN(M112)&gt;0,M112&amp;CHAR(10),"")&amp;IF(LEN(N112)&gt;0,N112&amp;newline,"")&amp;IF(LEN(O112)&gt;0,O112&amp;newline,"")&amp;IF(LEN(P112)&gt;0,P112&amp;newline,"")&amp;IF(LEN(Q112)&gt;0,Q112&amp;newline,"")&amp;indent&amp;"break;",indent0&amp;"/* Illegal opcode 0x"&amp;F112&amp;": "&amp;B112&amp;" "&amp;VLOOKUP(G112,AccessModes!$E$2:$G$14,3,FALSE)&amp;" */"&amp;newline)</f>
        <v xml:space="preserve">        case 0x6E: /* ROR aaaa */
            cpu.cycles = 6;
            value = memory_getAbsolute();
            tmp_PS_C = cpu.PS_C;
            cpu.PS_C = ((value &amp; 0x01) != 0);
            value = (value &gt;&gt; 1) | (((byte)tmp_PS_C) &lt;&lt; 7);
            cpu.PS_N = ((value &amp; 0x80) != 0);
            cpu.PS_Z = (value == 0);
            memory_setLast(value);
            break;</v>
      </c>
      <c r="S112" s="22" t="str">
        <f t="shared" si="7"/>
        <v xml:space="preserve">    {"ROR", false, AM_ABS, 6, 0},</v>
      </c>
    </row>
    <row r="113" spans="1:19" ht="25.5" hidden="1" x14ac:dyDescent="0.25">
      <c r="A113" s="28">
        <v>111</v>
      </c>
      <c r="B113" s="28" t="s">
        <v>69</v>
      </c>
      <c r="C113" s="28">
        <v>-1</v>
      </c>
      <c r="D113" s="28" t="s">
        <v>131</v>
      </c>
      <c r="E113" s="28" t="str">
        <f t="shared" si="4"/>
        <v>6F</v>
      </c>
      <c r="F113" s="28" t="str">
        <f t="shared" si="6"/>
        <v>6F</v>
      </c>
      <c r="G113" s="28" t="str">
        <f>_xlfn.IFNA(VLOOKUP(D113,AccessModes!$D$2:$E$14,2,FALSE),"AM_IMP")</f>
        <v>AM_ABS</v>
      </c>
      <c r="H113" s="28">
        <v>6</v>
      </c>
      <c r="I113" s="28">
        <v>0</v>
      </c>
      <c r="J113" s="28"/>
      <c r="K113" s="28"/>
      <c r="L113" s="28"/>
      <c r="M113" s="28" t="str">
        <f>IF(LEN(J113)&gt;0,indent&amp;J113&amp;" = "&amp;VLOOKUP($G113,AccessModes!$E$2:$I$14,4,FALSE),"")</f>
        <v/>
      </c>
      <c r="N113" s="29" t="str">
        <f>indent&amp;"/* TODO: implementation of the action */"</f>
        <v xml:space="preserve">            /* TODO: implementation of the action */</v>
      </c>
      <c r="O113" s="29" t="str">
        <f t="shared" si="5"/>
        <v/>
      </c>
      <c r="P113" s="28" t="str">
        <f>IF(LEN(L113)&gt;0,indent&amp;IF(L113="LAST",AccessModes!$I$16&amp;J113,VLOOKUP($G113,AccessModes!$E$2:$I$14,5,FALSE)&amp;L113)&amp;");","")</f>
        <v/>
      </c>
      <c r="Q113" s="28"/>
      <c r="R113" s="29" t="str">
        <f>IF(C113=0,indent0&amp;"case 0x"&amp;F113&amp;": /* "&amp;B113&amp;" "&amp;VLOOKUP(G113,AccessModes!$E$2:$G$14,3,FALSE)&amp;" */"&amp;newline&amp;indent&amp;"cpu.cycles = "&amp;H113&amp;";"&amp;newline&amp;IF(LEN(M113)&gt;0,M113&amp;CHAR(10),"")&amp;IF(LEN(N113)&gt;0,N113&amp;newline,"")&amp;IF(LEN(O113)&gt;0,O113&amp;newline,"")&amp;IF(LEN(P113)&gt;0,P113&amp;newline,"")&amp;IF(LEN(Q113)&gt;0,Q113&amp;newline,"")&amp;indent&amp;"break;",indent0&amp;"/* Illegal opcode 0x"&amp;F113&amp;": "&amp;B113&amp;" "&amp;VLOOKUP(G113,AccessModes!$E$2:$G$14,3,FALSE)&amp;" */"&amp;newline)</f>
        <v xml:space="preserve">        /* Illegal opcode 0x6F: RRA aaaa */
</v>
      </c>
      <c r="S113" s="28" t="str">
        <f t="shared" si="7"/>
        <v xml:space="preserve">    {"RRA", true , AM_ABS, 6, 0},</v>
      </c>
    </row>
    <row r="114" spans="1:19" ht="102" hidden="1" x14ac:dyDescent="0.25">
      <c r="A114" s="22">
        <v>112</v>
      </c>
      <c r="B114" s="22" t="s">
        <v>75</v>
      </c>
      <c r="C114" s="22">
        <v>0</v>
      </c>
      <c r="D114" s="22" t="s">
        <v>132</v>
      </c>
      <c r="E114" s="22" t="str">
        <f t="shared" si="4"/>
        <v>70</v>
      </c>
      <c r="F114" s="22" t="str">
        <f t="shared" si="6"/>
        <v>70</v>
      </c>
      <c r="G114" s="22" t="str">
        <f>_xlfn.IFNA(VLOOKUP(D114,AccessModes!$D$2:$E$14,2,FALSE),"AM_IMP")</f>
        <v>AM_REL</v>
      </c>
      <c r="H114" s="22">
        <v>2</v>
      </c>
      <c r="I114" s="22">
        <v>1</v>
      </c>
      <c r="J114" s="24" t="s">
        <v>240</v>
      </c>
      <c r="K114" s="24"/>
      <c r="L114" s="24"/>
      <c r="M114" s="22" t="str">
        <f>IF(LEN(J114)&gt;0,indent&amp;J114&amp;" = "&amp;VLOOKUP($G114,AccessModes!$E$2:$I$14,4,FALSE),"")</f>
        <v xml:space="preserve">            value_w = memory_getRelativeAddress();</v>
      </c>
      <c r="N114" s="25" t="str">
        <f>indent&amp;"if(cpu.PS_V) {"&amp;newline&amp;indent2&amp;"++cpu.cycles;"&amp;newline&amp;indent2&amp;"cpu.PC = "&amp;J114&amp;";"&amp;newline&amp;indent&amp;"}"</f>
        <v xml:space="preserve">            if(cpu.PS_V) {
                ++cpu.cycles;
                cpu.PC = value_w;
            }</v>
      </c>
      <c r="O114" s="26" t="str">
        <f t="shared" si="5"/>
        <v/>
      </c>
      <c r="P114" s="22" t="str">
        <f>IF(LEN(L114)&gt;0,indent&amp;IF(L114="LAST",AccessModes!$I$16&amp;J114,VLOOKUP($G114,AccessModes!$E$2:$I$14,5,FALSE)&amp;L114)&amp;");","")</f>
        <v/>
      </c>
      <c r="Q114" s="22"/>
      <c r="R114" s="26" t="str">
        <f>IF(C114=0,indent0&amp;"case 0x"&amp;F114&amp;": /* "&amp;B114&amp;" "&amp;VLOOKUP(G114,AccessModes!$E$2:$G$14,3,FALSE)&amp;" */"&amp;newline&amp;indent&amp;"cpu.cycles = "&amp;H114&amp;";"&amp;newline&amp;IF(LEN(M114)&gt;0,M114&amp;CHAR(10),"")&amp;IF(LEN(N114)&gt;0,N114&amp;newline,"")&amp;IF(LEN(O114)&gt;0,O114&amp;newline,"")&amp;IF(LEN(P114)&gt;0,P114&amp;newline,"")&amp;IF(LEN(Q114)&gt;0,Q114&amp;newline,"")&amp;indent&amp;"break;",indent0&amp;"/* Illegal opcode 0x"&amp;F114&amp;": "&amp;B114&amp;" "&amp;VLOOKUP(G114,AccessModes!$E$2:$G$14,3,FALSE)&amp;" */"&amp;newline)</f>
        <v xml:space="preserve">        case 0x70: /* BVS aaaa */
            cpu.cycles = 2;
            value_w = memory_getRelativeAddress();
            if(cpu.PS_V) {
                ++cpu.cycles;
                cpu.PC = value_w;
            }
            break;</v>
      </c>
      <c r="S114" s="22" t="str">
        <f t="shared" si="7"/>
        <v xml:space="preserve">    {"BVS", false, AM_REL, 2, 1},</v>
      </c>
    </row>
    <row r="115" spans="1:19" ht="242.25" x14ac:dyDescent="0.25">
      <c r="A115" s="22">
        <v>113</v>
      </c>
      <c r="B115" s="22" t="s">
        <v>68</v>
      </c>
      <c r="C115" s="22">
        <v>0</v>
      </c>
      <c r="D115" s="22" t="s">
        <v>133</v>
      </c>
      <c r="E115" s="22" t="str">
        <f t="shared" si="4"/>
        <v>71</v>
      </c>
      <c r="F115" s="22" t="str">
        <f t="shared" si="6"/>
        <v>71</v>
      </c>
      <c r="G115" s="22" t="str">
        <f>_xlfn.IFNA(VLOOKUP(D115,AccessModes!$D$2:$E$14,2,FALSE),"AM_IMP")</f>
        <v>AM_IIY</v>
      </c>
      <c r="H115" s="22">
        <v>5</v>
      </c>
      <c r="I115" s="22">
        <v>1</v>
      </c>
      <c r="J115" s="22" t="str">
        <f>$J$99</f>
        <v>value</v>
      </c>
      <c r="K115" s="22" t="str">
        <f>$K$99</f>
        <v/>
      </c>
      <c r="L115" s="22" t="str">
        <f>$L$99</f>
        <v/>
      </c>
      <c r="M115" s="22" t="str">
        <f>IF(LEN(J115)&gt;0,indent&amp;J115&amp;" = "&amp;VLOOKUP($G115,AccessModes!$E$2:$I$14,4,FALSE),"")</f>
        <v xml:space="preserve">            value = memory_getIndirectIndexedY();</v>
      </c>
      <c r="N115" s="26" t="str">
        <f>$N$99</f>
        <v xml:space="preserve">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</v>
      </c>
      <c r="O115" s="26" t="str">
        <f t="shared" si="5"/>
        <v/>
      </c>
      <c r="P115" s="22" t="str">
        <f>IF(LEN(L115)&gt;0,indent&amp;IF(L115="LAST",AccessModes!$I$16&amp;J115,VLOOKUP($G115,AccessModes!$E$2:$I$14,5,FALSE)&amp;L115)&amp;");","")</f>
        <v/>
      </c>
      <c r="Q115" s="22"/>
      <c r="R115" s="26" t="str">
        <f>IF(C115=0,indent0&amp;"case 0x"&amp;F115&amp;": /* "&amp;B115&amp;" "&amp;VLOOKUP(G115,AccessModes!$E$2:$G$14,3,FALSE)&amp;" */"&amp;newline&amp;indent&amp;"cpu.cycles = "&amp;H115&amp;";"&amp;newline&amp;IF(LEN(M115)&gt;0,M115&amp;CHAR(10),"")&amp;IF(LEN(N115)&gt;0,N115&amp;newline,"")&amp;IF(LEN(O115)&gt;0,O115&amp;newline,"")&amp;IF(LEN(P115)&gt;0,P115&amp;newline,"")&amp;IF(LEN(Q115)&gt;0,Q115&amp;newline,"")&amp;indent&amp;"break;",indent0&amp;"/* Illegal opcode 0x"&amp;F115&amp;": "&amp;B115&amp;" "&amp;VLOOKUP(G115,AccessModes!$E$2:$G$14,3,FALSE)&amp;" */"&amp;newline)</f>
        <v xml:space="preserve">        case 0x71: /* ADC (aa),Y */
            cpu.cycles = 5;
            value = memory_getIndirectIndexedY();
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            break;</v>
      </c>
      <c r="S115" s="22" t="str">
        <f t="shared" si="7"/>
        <v xml:space="preserve">    {"ADC", false, AM_IIY, 5, 1},</v>
      </c>
    </row>
    <row r="116" spans="1:19" ht="25.5" hidden="1" x14ac:dyDescent="0.25">
      <c r="A116" s="28">
        <v>114</v>
      </c>
      <c r="B116" s="28" t="s">
        <v>20</v>
      </c>
      <c r="C116" s="28">
        <v>-1</v>
      </c>
      <c r="D116" s="28"/>
      <c r="E116" s="28" t="str">
        <f t="shared" si="4"/>
        <v>72</v>
      </c>
      <c r="F116" s="28" t="str">
        <f t="shared" si="6"/>
        <v>72</v>
      </c>
      <c r="G116" s="28" t="str">
        <f>_xlfn.IFNA(VLOOKUP(D116,AccessModes!$D$2:$E$14,2,FALSE),"AM_IMP")</f>
        <v>AM_IMP</v>
      </c>
      <c r="H116" s="28">
        <v>0</v>
      </c>
      <c r="I116" s="28">
        <v>0</v>
      </c>
      <c r="J116" s="28"/>
      <c r="K116" s="28"/>
      <c r="L116" s="28"/>
      <c r="M116" s="28" t="str">
        <f>IF(LEN(J116)&gt;0,indent&amp;J116&amp;" = "&amp;VLOOKUP($G116,AccessModes!$E$2:$I$14,4,FALSE),"")</f>
        <v/>
      </c>
      <c r="N116" s="29" t="str">
        <f>indent&amp;"/* TODO: implementation of the action */"</f>
        <v xml:space="preserve">            /* TODO: implementation of the action */</v>
      </c>
      <c r="O116" s="29" t="str">
        <f t="shared" si="5"/>
        <v/>
      </c>
      <c r="P116" s="28" t="str">
        <f>IF(LEN(L116)&gt;0,indent&amp;IF(L116="LAST",AccessModes!$I$16&amp;J116,VLOOKUP($G116,AccessModes!$E$2:$I$14,5,FALSE)&amp;L116)&amp;");","")</f>
        <v/>
      </c>
      <c r="Q116" s="28"/>
      <c r="R116" s="29" t="str">
        <f>IF(C116=0,indent0&amp;"case 0x"&amp;F116&amp;": /* "&amp;B116&amp;" "&amp;VLOOKUP(G116,AccessModes!$E$2:$G$14,3,FALSE)&amp;" */"&amp;newline&amp;indent&amp;"cpu.cycles = "&amp;H116&amp;";"&amp;newline&amp;IF(LEN(M116)&gt;0,M116&amp;CHAR(10),"")&amp;IF(LEN(N116)&gt;0,N116&amp;newline,"")&amp;IF(LEN(O116)&gt;0,O116&amp;newline,"")&amp;IF(LEN(P116)&gt;0,P116&amp;newline,"")&amp;IF(LEN(Q116)&gt;0,Q116&amp;newline,"")&amp;indent&amp;"break;",indent0&amp;"/* Illegal opcode 0x"&amp;F116&amp;": "&amp;B116&amp;" "&amp;VLOOKUP(G116,AccessModes!$E$2:$G$14,3,FALSE)&amp;" */"&amp;newline)</f>
        <v xml:space="preserve">        /* Illegal opcode 0x72: KIL  */
</v>
      </c>
      <c r="S116" s="28" t="str">
        <f t="shared" si="7"/>
        <v xml:space="preserve">    {"KIL", true , AM_IMP, 0, 0},</v>
      </c>
    </row>
    <row r="117" spans="1:19" ht="25.5" hidden="1" x14ac:dyDescent="0.25">
      <c r="A117" s="28">
        <v>115</v>
      </c>
      <c r="B117" s="28" t="s">
        <v>69</v>
      </c>
      <c r="C117" s="28">
        <v>-1</v>
      </c>
      <c r="D117" s="28" t="s">
        <v>133</v>
      </c>
      <c r="E117" s="28" t="str">
        <f t="shared" si="4"/>
        <v>73</v>
      </c>
      <c r="F117" s="28" t="str">
        <f t="shared" si="6"/>
        <v>73</v>
      </c>
      <c r="G117" s="28" t="str">
        <f>_xlfn.IFNA(VLOOKUP(D117,AccessModes!$D$2:$E$14,2,FALSE),"AM_IMP")</f>
        <v>AM_IIY</v>
      </c>
      <c r="H117" s="28">
        <v>8</v>
      </c>
      <c r="I117" s="28">
        <v>0</v>
      </c>
      <c r="J117" s="28"/>
      <c r="K117" s="28"/>
      <c r="L117" s="28"/>
      <c r="M117" s="28" t="str">
        <f>IF(LEN(J117)&gt;0,indent&amp;J117&amp;" = "&amp;VLOOKUP($G117,AccessModes!$E$2:$I$14,4,FALSE),"")</f>
        <v/>
      </c>
      <c r="N117" s="29" t="str">
        <f>indent&amp;"/* TODO: implementation of the action */"</f>
        <v xml:space="preserve">            /* TODO: implementation of the action */</v>
      </c>
      <c r="O117" s="29" t="str">
        <f t="shared" si="5"/>
        <v/>
      </c>
      <c r="P117" s="28" t="str">
        <f>IF(LEN(L117)&gt;0,indent&amp;IF(L117="LAST",AccessModes!$I$16&amp;J117,VLOOKUP($G117,AccessModes!$E$2:$I$14,5,FALSE)&amp;L117)&amp;");","")</f>
        <v/>
      </c>
      <c r="Q117" s="28"/>
      <c r="R117" s="29" t="str">
        <f>IF(C117=0,indent0&amp;"case 0x"&amp;F117&amp;": /* "&amp;B117&amp;" "&amp;VLOOKUP(G117,AccessModes!$E$2:$G$14,3,FALSE)&amp;" */"&amp;newline&amp;indent&amp;"cpu.cycles = "&amp;H117&amp;";"&amp;newline&amp;IF(LEN(M117)&gt;0,M117&amp;CHAR(10),"")&amp;IF(LEN(N117)&gt;0,N117&amp;newline,"")&amp;IF(LEN(O117)&gt;0,O117&amp;newline,"")&amp;IF(LEN(P117)&gt;0,P117&amp;newline,"")&amp;IF(LEN(Q117)&gt;0,Q117&amp;newline,"")&amp;indent&amp;"break;",indent0&amp;"/* Illegal opcode 0x"&amp;F117&amp;": "&amp;B117&amp;" "&amp;VLOOKUP(G117,AccessModes!$E$2:$G$14,3,FALSE)&amp;" */"&amp;newline)</f>
        <v xml:space="preserve">        /* Illegal opcode 0x73: RRA (aa),Y */
</v>
      </c>
      <c r="S117" s="28" t="str">
        <f t="shared" si="7"/>
        <v xml:space="preserve">    {"RRA", true , AM_IIY, 8, 0},</v>
      </c>
    </row>
    <row r="118" spans="1:19" ht="25.5" hidden="1" x14ac:dyDescent="0.25">
      <c r="A118" s="28">
        <v>116</v>
      </c>
      <c r="B118" s="28" t="s">
        <v>23</v>
      </c>
      <c r="C118" s="28">
        <v>-1</v>
      </c>
      <c r="D118" s="28" t="s">
        <v>134</v>
      </c>
      <c r="E118" s="28" t="str">
        <f t="shared" si="4"/>
        <v>74</v>
      </c>
      <c r="F118" s="28" t="str">
        <f t="shared" si="6"/>
        <v>74</v>
      </c>
      <c r="G118" s="28" t="str">
        <f>_xlfn.IFNA(VLOOKUP(D118,AccessModes!$D$2:$E$14,2,FALSE),"AM_IMP")</f>
        <v>AM_ZIX</v>
      </c>
      <c r="H118" s="28">
        <v>4</v>
      </c>
      <c r="I118" s="28">
        <v>0</v>
      </c>
      <c r="J118" s="28"/>
      <c r="K118" s="28"/>
      <c r="L118" s="28"/>
      <c r="M118" s="28" t="str">
        <f>IF(LEN(J118)&gt;0,indent&amp;J118&amp;" = "&amp;VLOOKUP($G118,AccessModes!$E$2:$I$14,4,FALSE),"")</f>
        <v/>
      </c>
      <c r="N118" s="29" t="str">
        <f>indent&amp;"/* TODO: implementation of the action */"</f>
        <v xml:space="preserve">            /* TODO: implementation of the action */</v>
      </c>
      <c r="O118" s="29" t="str">
        <f t="shared" si="5"/>
        <v/>
      </c>
      <c r="P118" s="28" t="str">
        <f>IF(LEN(L118)&gt;0,indent&amp;IF(L118="LAST",AccessModes!$I$16&amp;J118,VLOOKUP($G118,AccessModes!$E$2:$I$14,5,FALSE)&amp;L118)&amp;");","")</f>
        <v/>
      </c>
      <c r="Q118" s="28"/>
      <c r="R118" s="29" t="str">
        <f>IF(C118=0,indent0&amp;"case 0x"&amp;F118&amp;": /* "&amp;B118&amp;" "&amp;VLOOKUP(G118,AccessModes!$E$2:$G$14,3,FALSE)&amp;" */"&amp;newline&amp;indent&amp;"cpu.cycles = "&amp;H118&amp;";"&amp;newline&amp;IF(LEN(M118)&gt;0,M118&amp;CHAR(10),"")&amp;IF(LEN(N118)&gt;0,N118&amp;newline,"")&amp;IF(LEN(O118)&gt;0,O118&amp;newline,"")&amp;IF(LEN(P118)&gt;0,P118&amp;newline,"")&amp;IF(LEN(Q118)&gt;0,Q118&amp;newline,"")&amp;indent&amp;"break;",indent0&amp;"/* Illegal opcode 0x"&amp;F118&amp;": "&amp;B118&amp;" "&amp;VLOOKUP(G118,AccessModes!$E$2:$G$14,3,FALSE)&amp;" */"&amp;newline)</f>
        <v xml:space="preserve">        /* Illegal opcode 0x74: NOP aa,X */
</v>
      </c>
      <c r="S118" s="28" t="str">
        <f t="shared" si="7"/>
        <v xml:space="preserve">    {"NOP", true , AM_ZIX, 4, 0},</v>
      </c>
    </row>
    <row r="119" spans="1:19" ht="242.25" x14ac:dyDescent="0.25">
      <c r="A119" s="22">
        <v>117</v>
      </c>
      <c r="B119" s="22" t="s">
        <v>68</v>
      </c>
      <c r="C119" s="22">
        <v>0</v>
      </c>
      <c r="D119" s="22" t="s">
        <v>134</v>
      </c>
      <c r="E119" s="22" t="str">
        <f t="shared" si="4"/>
        <v>75</v>
      </c>
      <c r="F119" s="22" t="str">
        <f t="shared" si="6"/>
        <v>75</v>
      </c>
      <c r="G119" s="22" t="str">
        <f>_xlfn.IFNA(VLOOKUP(D119,AccessModes!$D$2:$E$14,2,FALSE),"AM_IMP")</f>
        <v>AM_ZIX</v>
      </c>
      <c r="H119" s="22">
        <v>4</v>
      </c>
      <c r="I119" s="22">
        <v>0</v>
      </c>
      <c r="J119" s="22" t="str">
        <f>$J$99</f>
        <v>value</v>
      </c>
      <c r="K119" s="22" t="str">
        <f>$K$99</f>
        <v/>
      </c>
      <c r="L119" s="22" t="str">
        <f>$L$99</f>
        <v/>
      </c>
      <c r="M119" s="22" t="str">
        <f>IF(LEN(J119)&gt;0,indent&amp;J119&amp;" = "&amp;VLOOKUP($G119,AccessModes!$E$2:$I$14,4,FALSE),"")</f>
        <v xml:space="preserve">            value = memory_getZeroPageIndexedX();</v>
      </c>
      <c r="N119" s="26" t="str">
        <f>$N$99</f>
        <v xml:space="preserve">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</v>
      </c>
      <c r="O119" s="26" t="str">
        <f t="shared" si="5"/>
        <v/>
      </c>
      <c r="P119" s="22" t="str">
        <f>IF(LEN(L119)&gt;0,indent&amp;IF(L119="LAST",AccessModes!$I$16&amp;J119,VLOOKUP($G119,AccessModes!$E$2:$I$14,5,FALSE)&amp;L119)&amp;");","")</f>
        <v/>
      </c>
      <c r="Q119" s="22"/>
      <c r="R119" s="26" t="str">
        <f>IF(C119=0,indent0&amp;"case 0x"&amp;F119&amp;": /* "&amp;B119&amp;" "&amp;VLOOKUP(G119,AccessModes!$E$2:$G$14,3,FALSE)&amp;" */"&amp;newline&amp;indent&amp;"cpu.cycles = "&amp;H119&amp;";"&amp;newline&amp;IF(LEN(M119)&gt;0,M119&amp;CHAR(10),"")&amp;IF(LEN(N119)&gt;0,N119&amp;newline,"")&amp;IF(LEN(O119)&gt;0,O119&amp;newline,"")&amp;IF(LEN(P119)&gt;0,P119&amp;newline,"")&amp;IF(LEN(Q119)&gt;0,Q119&amp;newline,"")&amp;indent&amp;"break;",indent0&amp;"/* Illegal opcode 0x"&amp;F119&amp;": "&amp;B119&amp;" "&amp;VLOOKUP(G119,AccessModes!$E$2:$G$14,3,FALSE)&amp;" */"&amp;newline)</f>
        <v xml:space="preserve">        case 0x75: /* ADC aa,X */
            cpu.cycles = 4;
            value = memory_getZeroPageIndexedX();
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            break;</v>
      </c>
      <c r="S119" s="22" t="str">
        <f t="shared" si="7"/>
        <v xml:space="preserve">    {"ADC", false, AM_ZIX, 4, 0},</v>
      </c>
    </row>
    <row r="120" spans="1:19" ht="140.25" hidden="1" x14ac:dyDescent="0.25">
      <c r="A120" s="22">
        <v>118</v>
      </c>
      <c r="B120" s="22" t="s">
        <v>70</v>
      </c>
      <c r="C120" s="22">
        <v>0</v>
      </c>
      <c r="D120" s="22" t="s">
        <v>134</v>
      </c>
      <c r="E120" s="22" t="str">
        <f t="shared" si="4"/>
        <v>76</v>
      </c>
      <c r="F120" s="22" t="str">
        <f t="shared" si="6"/>
        <v>76</v>
      </c>
      <c r="G120" s="22" t="str">
        <f>_xlfn.IFNA(VLOOKUP(D120,AccessModes!$D$2:$E$14,2,FALSE),"AM_IMP")</f>
        <v>AM_ZIX</v>
      </c>
      <c r="H120" s="22">
        <v>6</v>
      </c>
      <c r="I120" s="22">
        <v>0</v>
      </c>
      <c r="J120" s="22" t="str">
        <f>$J$104</f>
        <v>value</v>
      </c>
      <c r="K120" s="22" t="str">
        <f>$K$104</f>
        <v>value</v>
      </c>
      <c r="L120" s="22" t="str">
        <f>$L$104</f>
        <v>LAST</v>
      </c>
      <c r="M120" s="22" t="str">
        <f>IF(LEN(J120)&gt;0,indent&amp;J120&amp;" = "&amp;VLOOKUP($G120,AccessModes!$E$2:$I$14,4,FALSE),"")</f>
        <v xml:space="preserve">            value = memory_getZeroPageIndexedX();</v>
      </c>
      <c r="N120" s="26" t="str">
        <f>$N$104</f>
        <v xml:space="preserve">            tmp_PS_C = cpu.PS_C;
            cpu.PS_C = ((value &amp; 0x01) != 0);
            value = (value &gt;&gt; 1) | (((byte)tmp_PS_C) &lt;&lt; 7);</v>
      </c>
      <c r="O120" s="26" t="str">
        <f t="shared" si="5"/>
        <v xml:space="preserve">            cpu.PS_N = ((value &amp; 0x80) != 0);
            cpu.PS_Z = (value == 0);</v>
      </c>
      <c r="P120" s="22" t="str">
        <f>IF(LEN(L120)&gt;0,indent&amp;IF(L120="LAST",AccessModes!$I$16&amp;J120,VLOOKUP($G120,AccessModes!$E$2:$I$14,5,FALSE)&amp;L120)&amp;");","")</f>
        <v xml:space="preserve">            memory_setLast(value);</v>
      </c>
      <c r="Q120" s="22"/>
      <c r="R120" s="26" t="str">
        <f>IF(C120=0,indent0&amp;"case 0x"&amp;F120&amp;": /* "&amp;B120&amp;" "&amp;VLOOKUP(G120,AccessModes!$E$2:$G$14,3,FALSE)&amp;" */"&amp;newline&amp;indent&amp;"cpu.cycles = "&amp;H120&amp;";"&amp;newline&amp;IF(LEN(M120)&gt;0,M120&amp;CHAR(10),"")&amp;IF(LEN(N120)&gt;0,N120&amp;newline,"")&amp;IF(LEN(O120)&gt;0,O120&amp;newline,"")&amp;IF(LEN(P120)&gt;0,P120&amp;newline,"")&amp;IF(LEN(Q120)&gt;0,Q120&amp;newline,"")&amp;indent&amp;"break;",indent0&amp;"/* Illegal opcode 0x"&amp;F120&amp;": "&amp;B120&amp;" "&amp;VLOOKUP(G120,AccessModes!$E$2:$G$14,3,FALSE)&amp;" */"&amp;newline)</f>
        <v xml:space="preserve">        case 0x76: /* ROR aa,X */
            cpu.cycles = 6;
            value = memory_getZeroPageIndexedX();
            tmp_PS_C = cpu.PS_C;
            cpu.PS_C = ((value &amp; 0x01) != 0);
            value = (value &gt;&gt; 1) | (((byte)tmp_PS_C) &lt;&lt; 7);
            cpu.PS_N = ((value &amp; 0x80) != 0);
            cpu.PS_Z = (value == 0);
            memory_setLast(value);
            break;</v>
      </c>
      <c r="S120" s="22" t="str">
        <f t="shared" si="7"/>
        <v xml:space="preserve">    {"ROR", false, AM_ZIX, 6, 0},</v>
      </c>
    </row>
    <row r="121" spans="1:19" ht="25.5" hidden="1" x14ac:dyDescent="0.25">
      <c r="A121" s="28">
        <v>119</v>
      </c>
      <c r="B121" s="28" t="s">
        <v>69</v>
      </c>
      <c r="C121" s="28">
        <v>-1</v>
      </c>
      <c r="D121" s="28" t="s">
        <v>134</v>
      </c>
      <c r="E121" s="28" t="str">
        <f t="shared" si="4"/>
        <v>77</v>
      </c>
      <c r="F121" s="28" t="str">
        <f t="shared" si="6"/>
        <v>77</v>
      </c>
      <c r="G121" s="28" t="str">
        <f>_xlfn.IFNA(VLOOKUP(D121,AccessModes!$D$2:$E$14,2,FALSE),"AM_IMP")</f>
        <v>AM_ZIX</v>
      </c>
      <c r="H121" s="28">
        <v>6</v>
      </c>
      <c r="I121" s="28">
        <v>0</v>
      </c>
      <c r="J121" s="28"/>
      <c r="K121" s="28"/>
      <c r="L121" s="28"/>
      <c r="M121" s="28" t="str">
        <f>IF(LEN(J121)&gt;0,indent&amp;J121&amp;" = "&amp;VLOOKUP($G121,AccessModes!$E$2:$I$14,4,FALSE),"")</f>
        <v/>
      </c>
      <c r="N121" s="29" t="str">
        <f>indent&amp;"/* TODO: implementation of the action */"</f>
        <v xml:space="preserve">            /* TODO: implementation of the action */</v>
      </c>
      <c r="O121" s="29" t="str">
        <f t="shared" si="5"/>
        <v/>
      </c>
      <c r="P121" s="28" t="str">
        <f>IF(LEN(L121)&gt;0,indent&amp;IF(L121="LAST",AccessModes!$I$16&amp;J121,VLOOKUP($G121,AccessModes!$E$2:$I$14,5,FALSE)&amp;L121)&amp;");","")</f>
        <v/>
      </c>
      <c r="Q121" s="28"/>
      <c r="R121" s="29" t="str">
        <f>IF(C121=0,indent0&amp;"case 0x"&amp;F121&amp;": /* "&amp;B121&amp;" "&amp;VLOOKUP(G121,AccessModes!$E$2:$G$14,3,FALSE)&amp;" */"&amp;newline&amp;indent&amp;"cpu.cycles = "&amp;H121&amp;";"&amp;newline&amp;IF(LEN(M121)&gt;0,M121&amp;CHAR(10),"")&amp;IF(LEN(N121)&gt;0,N121&amp;newline,"")&amp;IF(LEN(O121)&gt;0,O121&amp;newline,"")&amp;IF(LEN(P121)&gt;0,P121&amp;newline,"")&amp;IF(LEN(Q121)&gt;0,Q121&amp;newline,"")&amp;indent&amp;"break;",indent0&amp;"/* Illegal opcode 0x"&amp;F121&amp;": "&amp;B121&amp;" "&amp;VLOOKUP(G121,AccessModes!$E$2:$G$14,3,FALSE)&amp;" */"&amp;newline)</f>
        <v xml:space="preserve">        /* Illegal opcode 0x77: RRA aa,X */
</v>
      </c>
      <c r="S121" s="28" t="str">
        <f t="shared" si="7"/>
        <v xml:space="preserve">    {"RRA", true , AM_ZIX, 6, 0},</v>
      </c>
    </row>
    <row r="122" spans="1:19" ht="51" hidden="1" x14ac:dyDescent="0.25">
      <c r="A122" s="22">
        <v>120</v>
      </c>
      <c r="B122" s="22" t="s">
        <v>76</v>
      </c>
      <c r="C122" s="22">
        <v>0</v>
      </c>
      <c r="D122" s="22" t="s">
        <v>139</v>
      </c>
      <c r="E122" s="22" t="str">
        <f t="shared" si="4"/>
        <v>78</v>
      </c>
      <c r="F122" s="22" t="str">
        <f t="shared" si="6"/>
        <v>78</v>
      </c>
      <c r="G122" s="22" t="str">
        <f>_xlfn.IFNA(VLOOKUP(D122,AccessModes!$D$2:$E$14,2,FALSE),"AM_IMP")</f>
        <v>AM_IMP</v>
      </c>
      <c r="H122" s="22">
        <v>2</v>
      </c>
      <c r="I122" s="22">
        <v>0</v>
      </c>
      <c r="J122" s="24"/>
      <c r="K122" s="24"/>
      <c r="L122" s="24"/>
      <c r="M122" s="22" t="str">
        <f>IF(LEN(J122)&gt;0,indent&amp;J122&amp;" = "&amp;VLOOKUP($G122,AccessModes!$E$2:$I$14,4,FALSE),"")</f>
        <v/>
      </c>
      <c r="N122" s="25" t="str">
        <f>indent&amp;"cpu.PS_I = true;"</f>
        <v xml:space="preserve">            cpu.PS_I = true;</v>
      </c>
      <c r="O122" s="26" t="str">
        <f t="shared" si="5"/>
        <v/>
      </c>
      <c r="P122" s="22" t="str">
        <f>IF(LEN(L122)&gt;0,indent&amp;IF(L122="LAST",AccessModes!$I$16&amp;J122,VLOOKUP($G122,AccessModes!$E$2:$I$14,5,FALSE)&amp;L122)&amp;");","")</f>
        <v/>
      </c>
      <c r="Q122" s="22"/>
      <c r="R122" s="26" t="str">
        <f>IF(C122=0,indent0&amp;"case 0x"&amp;F122&amp;": /* "&amp;B122&amp;" "&amp;VLOOKUP(G122,AccessModes!$E$2:$G$14,3,FALSE)&amp;" */"&amp;newline&amp;indent&amp;"cpu.cycles = "&amp;H122&amp;";"&amp;newline&amp;IF(LEN(M122)&gt;0,M122&amp;CHAR(10),"")&amp;IF(LEN(N122)&gt;0,N122&amp;newline,"")&amp;IF(LEN(O122)&gt;0,O122&amp;newline,"")&amp;IF(LEN(P122)&gt;0,P122&amp;newline,"")&amp;IF(LEN(Q122)&gt;0,Q122&amp;newline,"")&amp;indent&amp;"break;",indent0&amp;"/* Illegal opcode 0x"&amp;F122&amp;": "&amp;B122&amp;" "&amp;VLOOKUP(G122,AccessModes!$E$2:$G$14,3,FALSE)&amp;" */"&amp;newline)</f>
        <v xml:space="preserve">        case 0x78: /* SEI  */
            cpu.cycles = 2;
            cpu.PS_I = true;
            break;</v>
      </c>
      <c r="S122" s="22" t="str">
        <f t="shared" si="7"/>
        <v xml:space="preserve">    {"SEI", false, AM_IMP, 2, 0},</v>
      </c>
    </row>
    <row r="123" spans="1:19" ht="242.25" x14ac:dyDescent="0.25">
      <c r="A123" s="22">
        <v>121</v>
      </c>
      <c r="B123" s="22" t="s">
        <v>68</v>
      </c>
      <c r="C123" s="22">
        <v>0</v>
      </c>
      <c r="D123" s="22" t="s">
        <v>135</v>
      </c>
      <c r="E123" s="22" t="str">
        <f t="shared" si="4"/>
        <v>79</v>
      </c>
      <c r="F123" s="22" t="str">
        <f t="shared" si="6"/>
        <v>79</v>
      </c>
      <c r="G123" s="22" t="str">
        <f>_xlfn.IFNA(VLOOKUP(D123,AccessModes!$D$2:$E$14,2,FALSE),"AM_IMP")</f>
        <v>AM_AIY</v>
      </c>
      <c r="H123" s="22">
        <v>4</v>
      </c>
      <c r="I123" s="22">
        <v>1</v>
      </c>
      <c r="J123" s="22" t="str">
        <f>$J$99</f>
        <v>value</v>
      </c>
      <c r="K123" s="22" t="str">
        <f>$K$99</f>
        <v/>
      </c>
      <c r="L123" s="22" t="str">
        <f>$L$99</f>
        <v/>
      </c>
      <c r="M123" s="22" t="str">
        <f>IF(LEN(J123)&gt;0,indent&amp;J123&amp;" = "&amp;VLOOKUP($G123,AccessModes!$E$2:$I$14,4,FALSE),"")</f>
        <v xml:space="preserve">            value = memory_getAbsoluteIndexedY();</v>
      </c>
      <c r="N123" s="26" t="str">
        <f>$N$99</f>
        <v xml:space="preserve">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</v>
      </c>
      <c r="O123" s="26" t="str">
        <f t="shared" si="5"/>
        <v/>
      </c>
      <c r="P123" s="22" t="str">
        <f>IF(LEN(L123)&gt;0,indent&amp;IF(L123="LAST",AccessModes!$I$16&amp;J123,VLOOKUP($G123,AccessModes!$E$2:$I$14,5,FALSE)&amp;L123)&amp;");","")</f>
        <v/>
      </c>
      <c r="Q123" s="22"/>
      <c r="R123" s="26" t="str">
        <f>IF(C123=0,indent0&amp;"case 0x"&amp;F123&amp;": /* "&amp;B123&amp;" "&amp;VLOOKUP(G123,AccessModes!$E$2:$G$14,3,FALSE)&amp;" */"&amp;newline&amp;indent&amp;"cpu.cycles = "&amp;H123&amp;";"&amp;newline&amp;IF(LEN(M123)&gt;0,M123&amp;CHAR(10),"")&amp;IF(LEN(N123)&gt;0,N123&amp;newline,"")&amp;IF(LEN(O123)&gt;0,O123&amp;newline,"")&amp;IF(LEN(P123)&gt;0,P123&amp;newline,"")&amp;IF(LEN(Q123)&gt;0,Q123&amp;newline,"")&amp;indent&amp;"break;",indent0&amp;"/* Illegal opcode 0x"&amp;F123&amp;": "&amp;B123&amp;" "&amp;VLOOKUP(G123,AccessModes!$E$2:$G$14,3,FALSE)&amp;" */"&amp;newline)</f>
        <v xml:space="preserve">        case 0x79: /* ADC aaaa,Y */
            cpu.cycles = 4;
            value = memory_getAbsoluteIndexedY();
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            break;</v>
      </c>
      <c r="S123" s="22" t="str">
        <f t="shared" si="7"/>
        <v xml:space="preserve">    {"ADC", false, AM_AIY, 4, 1},</v>
      </c>
    </row>
    <row r="124" spans="1:19" ht="25.5" hidden="1" x14ac:dyDescent="0.25">
      <c r="A124" s="28">
        <v>122</v>
      </c>
      <c r="B124" s="28" t="s">
        <v>23</v>
      </c>
      <c r="C124" s="28">
        <v>-1</v>
      </c>
      <c r="D124" s="28" t="s">
        <v>139</v>
      </c>
      <c r="E124" s="28" t="str">
        <f t="shared" si="4"/>
        <v>7A</v>
      </c>
      <c r="F124" s="28" t="str">
        <f t="shared" si="6"/>
        <v>7A</v>
      </c>
      <c r="G124" s="28" t="str">
        <f>_xlfn.IFNA(VLOOKUP(D124,AccessModes!$D$2:$E$14,2,FALSE),"AM_IMP")</f>
        <v>AM_IMP</v>
      </c>
      <c r="H124" s="28">
        <v>2</v>
      </c>
      <c r="I124" s="28">
        <v>0</v>
      </c>
      <c r="J124" s="28"/>
      <c r="K124" s="28"/>
      <c r="L124" s="28"/>
      <c r="M124" s="28" t="str">
        <f>IF(LEN(J124)&gt;0,indent&amp;J124&amp;" = "&amp;VLOOKUP($G124,AccessModes!$E$2:$I$14,4,FALSE),"")</f>
        <v/>
      </c>
      <c r="N124" s="29" t="str">
        <f>indent&amp;"/* TODO: implementation of the action */"</f>
        <v xml:space="preserve">            /* TODO: implementation of the action */</v>
      </c>
      <c r="O124" s="29" t="str">
        <f t="shared" si="5"/>
        <v/>
      </c>
      <c r="P124" s="28" t="str">
        <f>IF(LEN(L124)&gt;0,indent&amp;IF(L124="LAST",AccessModes!$I$16&amp;J124,VLOOKUP($G124,AccessModes!$E$2:$I$14,5,FALSE)&amp;L124)&amp;");","")</f>
        <v/>
      </c>
      <c r="Q124" s="28"/>
      <c r="R124" s="29" t="str">
        <f>IF(C124=0,indent0&amp;"case 0x"&amp;F124&amp;": /* "&amp;B124&amp;" "&amp;VLOOKUP(G124,AccessModes!$E$2:$G$14,3,FALSE)&amp;" */"&amp;newline&amp;indent&amp;"cpu.cycles = "&amp;H124&amp;";"&amp;newline&amp;IF(LEN(M124)&gt;0,M124&amp;CHAR(10),"")&amp;IF(LEN(N124)&gt;0,N124&amp;newline,"")&amp;IF(LEN(O124)&gt;0,O124&amp;newline,"")&amp;IF(LEN(P124)&gt;0,P124&amp;newline,"")&amp;IF(LEN(Q124)&gt;0,Q124&amp;newline,"")&amp;indent&amp;"break;",indent0&amp;"/* Illegal opcode 0x"&amp;F124&amp;": "&amp;B124&amp;" "&amp;VLOOKUP(G124,AccessModes!$E$2:$G$14,3,FALSE)&amp;" */"&amp;newline)</f>
        <v xml:space="preserve">        /* Illegal opcode 0x7A: NOP  */
</v>
      </c>
      <c r="S124" s="28" t="str">
        <f t="shared" si="7"/>
        <v xml:space="preserve">    {"NOP", true , AM_IMP, 2, 0},</v>
      </c>
    </row>
    <row r="125" spans="1:19" ht="25.5" hidden="1" x14ac:dyDescent="0.25">
      <c r="A125" s="28">
        <v>123</v>
      </c>
      <c r="B125" s="28" t="s">
        <v>69</v>
      </c>
      <c r="C125" s="28">
        <v>-1</v>
      </c>
      <c r="D125" s="28" t="s">
        <v>135</v>
      </c>
      <c r="E125" s="28" t="str">
        <f t="shared" si="4"/>
        <v>7B</v>
      </c>
      <c r="F125" s="28" t="str">
        <f t="shared" si="6"/>
        <v>7B</v>
      </c>
      <c r="G125" s="28" t="str">
        <f>_xlfn.IFNA(VLOOKUP(D125,AccessModes!$D$2:$E$14,2,FALSE),"AM_IMP")</f>
        <v>AM_AIY</v>
      </c>
      <c r="H125" s="28">
        <v>7</v>
      </c>
      <c r="I125" s="28">
        <v>0</v>
      </c>
      <c r="J125" s="28"/>
      <c r="K125" s="28"/>
      <c r="L125" s="28"/>
      <c r="M125" s="28" t="str">
        <f>IF(LEN(J125)&gt;0,indent&amp;J125&amp;" = "&amp;VLOOKUP($G125,AccessModes!$E$2:$I$14,4,FALSE),"")</f>
        <v/>
      </c>
      <c r="N125" s="29" t="str">
        <f>indent&amp;"/* TODO: implementation of the action */"</f>
        <v xml:space="preserve">            /* TODO: implementation of the action */</v>
      </c>
      <c r="O125" s="29" t="str">
        <f t="shared" si="5"/>
        <v/>
      </c>
      <c r="P125" s="28" t="str">
        <f>IF(LEN(L125)&gt;0,indent&amp;IF(L125="LAST",AccessModes!$I$16&amp;J125,VLOOKUP($G125,AccessModes!$E$2:$I$14,5,FALSE)&amp;L125)&amp;");","")</f>
        <v/>
      </c>
      <c r="Q125" s="28"/>
      <c r="R125" s="29" t="str">
        <f>IF(C125=0,indent0&amp;"case 0x"&amp;F125&amp;": /* "&amp;B125&amp;" "&amp;VLOOKUP(G125,AccessModes!$E$2:$G$14,3,FALSE)&amp;" */"&amp;newline&amp;indent&amp;"cpu.cycles = "&amp;H125&amp;";"&amp;newline&amp;IF(LEN(M125)&gt;0,M125&amp;CHAR(10),"")&amp;IF(LEN(N125)&gt;0,N125&amp;newline,"")&amp;IF(LEN(O125)&gt;0,O125&amp;newline,"")&amp;IF(LEN(P125)&gt;0,P125&amp;newline,"")&amp;IF(LEN(Q125)&gt;0,Q125&amp;newline,"")&amp;indent&amp;"break;",indent0&amp;"/* Illegal opcode 0x"&amp;F125&amp;": "&amp;B125&amp;" "&amp;VLOOKUP(G125,AccessModes!$E$2:$G$14,3,FALSE)&amp;" */"&amp;newline)</f>
        <v xml:space="preserve">        /* Illegal opcode 0x7B: RRA aaaa,Y */
</v>
      </c>
      <c r="S125" s="28" t="str">
        <f t="shared" si="7"/>
        <v xml:space="preserve">    {"RRA", true , AM_AIY, 7, 0},</v>
      </c>
    </row>
    <row r="126" spans="1:19" ht="25.5" hidden="1" x14ac:dyDescent="0.25">
      <c r="A126" s="28">
        <v>124</v>
      </c>
      <c r="B126" s="28" t="s">
        <v>23</v>
      </c>
      <c r="C126" s="28">
        <v>-1</v>
      </c>
      <c r="D126" s="28" t="s">
        <v>136</v>
      </c>
      <c r="E126" s="28" t="str">
        <f t="shared" si="4"/>
        <v>7C</v>
      </c>
      <c r="F126" s="28" t="str">
        <f t="shared" si="6"/>
        <v>7C</v>
      </c>
      <c r="G126" s="28" t="str">
        <f>_xlfn.IFNA(VLOOKUP(D126,AccessModes!$D$2:$E$14,2,FALSE),"AM_IMP")</f>
        <v>AM_AIX</v>
      </c>
      <c r="H126" s="28">
        <v>4</v>
      </c>
      <c r="I126" s="28">
        <v>1</v>
      </c>
      <c r="J126" s="28"/>
      <c r="K126" s="28"/>
      <c r="L126" s="28"/>
      <c r="M126" s="28" t="str">
        <f>IF(LEN(J126)&gt;0,indent&amp;J126&amp;" = "&amp;VLOOKUP($G126,AccessModes!$E$2:$I$14,4,FALSE),"")</f>
        <v/>
      </c>
      <c r="N126" s="29" t="str">
        <f>indent&amp;"/* TODO: implementation of the action */"</f>
        <v xml:space="preserve">            /* TODO: implementation of the action */</v>
      </c>
      <c r="O126" s="29" t="str">
        <f t="shared" si="5"/>
        <v/>
      </c>
      <c r="P126" s="28" t="str">
        <f>IF(LEN(L126)&gt;0,indent&amp;IF(L126="LAST",AccessModes!$I$16&amp;J126,VLOOKUP($G126,AccessModes!$E$2:$I$14,5,FALSE)&amp;L126)&amp;");","")</f>
        <v/>
      </c>
      <c r="Q126" s="28"/>
      <c r="R126" s="29" t="str">
        <f>IF(C126=0,indent0&amp;"case 0x"&amp;F126&amp;": /* "&amp;B126&amp;" "&amp;VLOOKUP(G126,AccessModes!$E$2:$G$14,3,FALSE)&amp;" */"&amp;newline&amp;indent&amp;"cpu.cycles = "&amp;H126&amp;";"&amp;newline&amp;IF(LEN(M126)&gt;0,M126&amp;CHAR(10),"")&amp;IF(LEN(N126)&gt;0,N126&amp;newline,"")&amp;IF(LEN(O126)&gt;0,O126&amp;newline,"")&amp;IF(LEN(P126)&gt;0,P126&amp;newline,"")&amp;IF(LEN(Q126)&gt;0,Q126&amp;newline,"")&amp;indent&amp;"break;",indent0&amp;"/* Illegal opcode 0x"&amp;F126&amp;": "&amp;B126&amp;" "&amp;VLOOKUP(G126,AccessModes!$E$2:$G$14,3,FALSE)&amp;" */"&amp;newline)</f>
        <v xml:space="preserve">        /* Illegal opcode 0x7C: NOP aaaa,X */
</v>
      </c>
      <c r="S126" s="28" t="str">
        <f t="shared" si="7"/>
        <v xml:space="preserve">    {"NOP", true , AM_AIX, 4, 1},</v>
      </c>
    </row>
    <row r="127" spans="1:19" ht="242.25" x14ac:dyDescent="0.25">
      <c r="A127" s="22">
        <v>125</v>
      </c>
      <c r="B127" s="22" t="s">
        <v>68</v>
      </c>
      <c r="C127" s="22">
        <v>0</v>
      </c>
      <c r="D127" s="22" t="s">
        <v>136</v>
      </c>
      <c r="E127" s="22" t="str">
        <f t="shared" si="4"/>
        <v>7D</v>
      </c>
      <c r="F127" s="22" t="str">
        <f t="shared" si="6"/>
        <v>7D</v>
      </c>
      <c r="G127" s="22" t="str">
        <f>_xlfn.IFNA(VLOOKUP(D127,AccessModes!$D$2:$E$14,2,FALSE),"AM_IMP")</f>
        <v>AM_AIX</v>
      </c>
      <c r="H127" s="22">
        <v>4</v>
      </c>
      <c r="I127" s="22">
        <v>1</v>
      </c>
      <c r="J127" s="22" t="str">
        <f>$J$99</f>
        <v>value</v>
      </c>
      <c r="K127" s="22" t="str">
        <f>$K$99</f>
        <v/>
      </c>
      <c r="L127" s="22" t="str">
        <f>$L$99</f>
        <v/>
      </c>
      <c r="M127" s="22" t="str">
        <f>IF(LEN(J127)&gt;0,indent&amp;J127&amp;" = "&amp;VLOOKUP($G127,AccessModes!$E$2:$I$14,4,FALSE),"")</f>
        <v xml:space="preserve">            value = memory_getAbsoluteIndexedX();</v>
      </c>
      <c r="N127" s="26" t="str">
        <f>$N$99</f>
        <v xml:space="preserve">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</v>
      </c>
      <c r="O127" s="26" t="str">
        <f t="shared" si="5"/>
        <v/>
      </c>
      <c r="P127" s="22" t="str">
        <f>IF(LEN(L127)&gt;0,indent&amp;IF(L127="LAST",AccessModes!$I$16&amp;J127,VLOOKUP($G127,AccessModes!$E$2:$I$14,5,FALSE)&amp;L127)&amp;");","")</f>
        <v/>
      </c>
      <c r="Q127" s="22"/>
      <c r="R127" s="26" t="str">
        <f>IF(C127=0,indent0&amp;"case 0x"&amp;F127&amp;": /* "&amp;B127&amp;" "&amp;VLOOKUP(G127,AccessModes!$E$2:$G$14,3,FALSE)&amp;" */"&amp;newline&amp;indent&amp;"cpu.cycles = "&amp;H127&amp;";"&amp;newline&amp;IF(LEN(M127)&gt;0,M127&amp;CHAR(10),"")&amp;IF(LEN(N127)&gt;0,N127&amp;newline,"")&amp;IF(LEN(O127)&gt;0,O127&amp;newline,"")&amp;IF(LEN(P127)&gt;0,P127&amp;newline,"")&amp;IF(LEN(Q127)&gt;0,Q127&amp;newline,"")&amp;indent&amp;"break;",indent0&amp;"/* Illegal opcode 0x"&amp;F127&amp;": "&amp;B127&amp;" "&amp;VLOOKUP(G127,AccessModes!$E$2:$G$14,3,FALSE)&amp;" */"&amp;newline)</f>
        <v xml:space="preserve">        case 0x7D: /* ADC aaaa,X */
            cpu.cycles = 4;
            value = memory_getAbsoluteIndexedX();
            if(cpu.PS_D) {
                value_w = (cpu.A &amp; 0x0F) + (value &amp; 0x0F) + (cpu.PS_C ? 1 : 0);
                if(value_w &gt;= 0x0A)
                    value_w = ((value_w + 0x06) &amp; 0x0F) + 0x10;
                value_w += (cpu.A &amp; 0xF0) + (value &amp; 0xF0);
                cpu.PS_N = ((value_w &amp; 0x80) != 0);
                cpu.PS_V = ((cpu.A ^ value_w) &amp; 0x80) &amp;&amp; !((cpu.A ^ value) &amp; 0x80);
                cpu.PS_Z = (value_w == 0);
                if(value_w &gt;= 0xA0)
                    value_w += 0x60;
                cpu.A = (byte)(value_w &amp; 0xFF);
                cpu.PS_C = (value_w &gt;= 0x100);
            } else {
                value_w = cpu.A + value + (cpu.PS_C ? 1 : 0);
                cpu.PS_N = ((value_w &amp; 0x80) != 0);
                cpu.PS_V = ((cpu.A ^ value_w) &amp; 0x80) &amp;&amp; !((cpu.A ^ value) &amp; 0x80);
                cpu.A = (byte)(value_w &amp; 0xFF);
                cpu.PS_Z = (cpu.A == 0);
                cpu.PS_C = (value_w &gt;= 0x100);
            }
            break;</v>
      </c>
      <c r="S127" s="22" t="str">
        <f t="shared" si="7"/>
        <v xml:space="preserve">    {"ADC", false, AM_AIX, 4, 1},</v>
      </c>
    </row>
    <row r="128" spans="1:19" ht="140.25" hidden="1" x14ac:dyDescent="0.25">
      <c r="A128" s="22">
        <v>126</v>
      </c>
      <c r="B128" s="22" t="s">
        <v>70</v>
      </c>
      <c r="C128" s="22">
        <v>0</v>
      </c>
      <c r="D128" s="22" t="s">
        <v>136</v>
      </c>
      <c r="E128" s="22" t="str">
        <f t="shared" si="4"/>
        <v>7E</v>
      </c>
      <c r="F128" s="22" t="str">
        <f t="shared" si="6"/>
        <v>7E</v>
      </c>
      <c r="G128" s="22" t="str">
        <f>_xlfn.IFNA(VLOOKUP(D128,AccessModes!$D$2:$E$14,2,FALSE),"AM_IMP")</f>
        <v>AM_AIX</v>
      </c>
      <c r="H128" s="22">
        <v>7</v>
      </c>
      <c r="I128" s="22">
        <v>0</v>
      </c>
      <c r="J128" s="22" t="str">
        <f>$J$104</f>
        <v>value</v>
      </c>
      <c r="K128" s="22" t="str">
        <f>$K$104</f>
        <v>value</v>
      </c>
      <c r="L128" s="22" t="str">
        <f>$L$104</f>
        <v>LAST</v>
      </c>
      <c r="M128" s="22" t="str">
        <f>IF(LEN(J128)&gt;0,indent&amp;J128&amp;" = "&amp;VLOOKUP($G128,AccessModes!$E$2:$I$14,4,FALSE),"")</f>
        <v xml:space="preserve">            value = memory_getAbsoluteIndexedX();</v>
      </c>
      <c r="N128" s="26" t="str">
        <f>$N$104</f>
        <v xml:space="preserve">            tmp_PS_C = cpu.PS_C;
            cpu.PS_C = ((value &amp; 0x01) != 0);
            value = (value &gt;&gt; 1) | (((byte)tmp_PS_C) &lt;&lt; 7);</v>
      </c>
      <c r="O128" s="26" t="str">
        <f t="shared" si="5"/>
        <v xml:space="preserve">            cpu.PS_N = ((value &amp; 0x80) != 0);
            cpu.PS_Z = (value == 0);</v>
      </c>
      <c r="P128" s="22" t="str">
        <f>IF(LEN(L128)&gt;0,indent&amp;IF(L128="LAST",AccessModes!$I$16&amp;J128,VLOOKUP($G128,AccessModes!$E$2:$I$14,5,FALSE)&amp;L128)&amp;");","")</f>
        <v xml:space="preserve">            memory_setLast(value);</v>
      </c>
      <c r="Q128" s="22"/>
      <c r="R128" s="26" t="str">
        <f>IF(C128=0,indent0&amp;"case 0x"&amp;F128&amp;": /* "&amp;B128&amp;" "&amp;VLOOKUP(G128,AccessModes!$E$2:$G$14,3,FALSE)&amp;" */"&amp;newline&amp;indent&amp;"cpu.cycles = "&amp;H128&amp;";"&amp;newline&amp;IF(LEN(M128)&gt;0,M128&amp;CHAR(10),"")&amp;IF(LEN(N128)&gt;0,N128&amp;newline,"")&amp;IF(LEN(O128)&gt;0,O128&amp;newline,"")&amp;IF(LEN(P128)&gt;0,P128&amp;newline,"")&amp;IF(LEN(Q128)&gt;0,Q128&amp;newline,"")&amp;indent&amp;"break;",indent0&amp;"/* Illegal opcode 0x"&amp;F128&amp;": "&amp;B128&amp;" "&amp;VLOOKUP(G128,AccessModes!$E$2:$G$14,3,FALSE)&amp;" */"&amp;newline)</f>
        <v xml:space="preserve">        case 0x7E: /* ROR aaaa,X */
            cpu.cycles = 7;
            value = memory_getAbsoluteIndexedX();
            tmp_PS_C = cpu.PS_C;
            cpu.PS_C = ((value &amp; 0x01) != 0);
            value = (value &gt;&gt; 1) | (((byte)tmp_PS_C) &lt;&lt; 7);
            cpu.PS_N = ((value &amp; 0x80) != 0);
            cpu.PS_Z = (value == 0);
            memory_setLast(value);
            break;</v>
      </c>
      <c r="S128" s="22" t="str">
        <f t="shared" si="7"/>
        <v xml:space="preserve">    {"ROR", false, AM_AIX, 7, 0},</v>
      </c>
    </row>
    <row r="129" spans="1:19" ht="25.5" hidden="1" x14ac:dyDescent="0.25">
      <c r="A129" s="28">
        <v>127</v>
      </c>
      <c r="B129" s="28" t="s">
        <v>69</v>
      </c>
      <c r="C129" s="28">
        <v>-1</v>
      </c>
      <c r="D129" s="28" t="s">
        <v>136</v>
      </c>
      <c r="E129" s="28" t="str">
        <f t="shared" si="4"/>
        <v>7F</v>
      </c>
      <c r="F129" s="28" t="str">
        <f t="shared" si="6"/>
        <v>7F</v>
      </c>
      <c r="G129" s="28" t="str">
        <f>_xlfn.IFNA(VLOOKUP(D129,AccessModes!$D$2:$E$14,2,FALSE),"AM_IMP")</f>
        <v>AM_AIX</v>
      </c>
      <c r="H129" s="28">
        <v>7</v>
      </c>
      <c r="I129" s="28">
        <v>0</v>
      </c>
      <c r="J129" s="28"/>
      <c r="K129" s="28"/>
      <c r="L129" s="28"/>
      <c r="M129" s="28" t="str">
        <f>IF(LEN(J129)&gt;0,indent&amp;J129&amp;" = "&amp;VLOOKUP($G129,AccessModes!$E$2:$I$14,4,FALSE),"")</f>
        <v/>
      </c>
      <c r="N129" s="29" t="str">
        <f>indent&amp;"/* TODO: implementation of the action */"</f>
        <v xml:space="preserve">            /* TODO: implementation of the action */</v>
      </c>
      <c r="O129" s="29" t="str">
        <f t="shared" si="5"/>
        <v/>
      </c>
      <c r="P129" s="28" t="str">
        <f>IF(LEN(L129)&gt;0,indent&amp;IF(L129="LAST",AccessModes!$I$16&amp;J129,VLOOKUP($G129,AccessModes!$E$2:$I$14,5,FALSE)&amp;L129)&amp;");","")</f>
        <v/>
      </c>
      <c r="Q129" s="28"/>
      <c r="R129" s="29" t="str">
        <f>IF(C129=0,indent0&amp;"case 0x"&amp;F129&amp;": /* "&amp;B129&amp;" "&amp;VLOOKUP(G129,AccessModes!$E$2:$G$14,3,FALSE)&amp;" */"&amp;newline&amp;indent&amp;"cpu.cycles = "&amp;H129&amp;";"&amp;newline&amp;IF(LEN(M129)&gt;0,M129&amp;CHAR(10),"")&amp;IF(LEN(N129)&gt;0,N129&amp;newline,"")&amp;IF(LEN(O129)&gt;0,O129&amp;newline,"")&amp;IF(LEN(P129)&gt;0,P129&amp;newline,"")&amp;IF(LEN(Q129)&gt;0,Q129&amp;newline,"")&amp;indent&amp;"break;",indent0&amp;"/* Illegal opcode 0x"&amp;F129&amp;": "&amp;B129&amp;" "&amp;VLOOKUP(G129,AccessModes!$E$2:$G$14,3,FALSE)&amp;" */"&amp;newline)</f>
        <v xml:space="preserve">        /* Illegal opcode 0x7F: RRA aaaa,X */
</v>
      </c>
      <c r="S129" s="28" t="str">
        <f t="shared" si="7"/>
        <v xml:space="preserve">    {"RRA", true , AM_AIX, 7, 0},</v>
      </c>
    </row>
    <row r="130" spans="1:19" ht="25.5" hidden="1" x14ac:dyDescent="0.25">
      <c r="A130" s="28">
        <v>128</v>
      </c>
      <c r="B130" s="28" t="s">
        <v>23</v>
      </c>
      <c r="C130" s="28">
        <v>-1</v>
      </c>
      <c r="D130" s="28" t="s">
        <v>130</v>
      </c>
      <c r="E130" s="28" t="str">
        <f t="shared" ref="E130:E193" si="8">DEC2HEX(A130)</f>
        <v>80</v>
      </c>
      <c r="F130" s="28" t="str">
        <f t="shared" si="6"/>
        <v>80</v>
      </c>
      <c r="G130" s="28" t="str">
        <f>_xlfn.IFNA(VLOOKUP(D130,AccessModes!$D$2:$E$14,2,FALSE),"AM_IMP")</f>
        <v>AM_IMM</v>
      </c>
      <c r="H130" s="28">
        <v>2</v>
      </c>
      <c r="I130" s="28">
        <v>0</v>
      </c>
      <c r="J130" s="28"/>
      <c r="K130" s="28"/>
      <c r="L130" s="28"/>
      <c r="M130" s="28" t="str">
        <f>IF(LEN(J130)&gt;0,indent&amp;J130&amp;" = "&amp;VLOOKUP($G130,AccessModes!$E$2:$I$14,4,FALSE),"")</f>
        <v/>
      </c>
      <c r="N130" s="29" t="str">
        <f>indent&amp;"/* TODO: implementation of the action */"</f>
        <v xml:space="preserve">            /* TODO: implementation of the action */</v>
      </c>
      <c r="O130" s="29" t="str">
        <f t="shared" ref="O130:O193" si="9">IF(LEN(K130)&gt;0,indent&amp;"cpu.PS_N = (("&amp;K130&amp;" &amp; 0x80) != 0);"&amp;newline&amp;indent&amp;"cpu.PS_Z = ("&amp;K130&amp;" == 0);","")</f>
        <v/>
      </c>
      <c r="P130" s="28" t="str">
        <f>IF(LEN(L130)&gt;0,indent&amp;IF(L130="LAST",AccessModes!$I$16&amp;J130,VLOOKUP($G130,AccessModes!$E$2:$I$14,5,FALSE)&amp;L130)&amp;");","")</f>
        <v/>
      </c>
      <c r="Q130" s="28"/>
      <c r="R130" s="29" t="str">
        <f>IF(C130=0,indent0&amp;"case 0x"&amp;F130&amp;": /* "&amp;B130&amp;" "&amp;VLOOKUP(G130,AccessModes!$E$2:$G$14,3,FALSE)&amp;" */"&amp;newline&amp;indent&amp;"cpu.cycles = "&amp;H130&amp;";"&amp;newline&amp;IF(LEN(M130)&gt;0,M130&amp;CHAR(10),"")&amp;IF(LEN(N130)&gt;0,N130&amp;newline,"")&amp;IF(LEN(O130)&gt;0,O130&amp;newline,"")&amp;IF(LEN(P130)&gt;0,P130&amp;newline,"")&amp;IF(LEN(Q130)&gt;0,Q130&amp;newline,"")&amp;indent&amp;"break;",indent0&amp;"/* Illegal opcode 0x"&amp;F130&amp;": "&amp;B130&amp;" "&amp;VLOOKUP(G130,AccessModes!$E$2:$G$14,3,FALSE)&amp;" */"&amp;newline)</f>
        <v xml:space="preserve">        /* Illegal opcode 0x80: NOP #aa */
</v>
      </c>
      <c r="S130" s="28" t="str">
        <f t="shared" si="7"/>
        <v xml:space="preserve">    {"NOP", true , AM_IMM, 2, 0},</v>
      </c>
    </row>
    <row r="131" spans="1:19" ht="51" hidden="1" x14ac:dyDescent="0.25">
      <c r="A131" s="22">
        <v>129</v>
      </c>
      <c r="B131" s="22" t="s">
        <v>78</v>
      </c>
      <c r="C131" s="22">
        <v>0</v>
      </c>
      <c r="D131" s="22" t="s">
        <v>129</v>
      </c>
      <c r="E131" s="22" t="str">
        <f t="shared" si="8"/>
        <v>81</v>
      </c>
      <c r="F131" s="22" t="str">
        <f t="shared" ref="F131:F194" si="10">RIGHT("0"&amp;E131,2)</f>
        <v>81</v>
      </c>
      <c r="G131" s="22" t="str">
        <f>_xlfn.IFNA(VLOOKUP(D131,AccessModes!$D$2:$E$14,2,FALSE),"AM_IMP")</f>
        <v>AM_IIX</v>
      </c>
      <c r="H131" s="22">
        <v>6</v>
      </c>
      <c r="I131" s="22">
        <v>0</v>
      </c>
      <c r="J131" s="24" t="str">
        <f>""</f>
        <v/>
      </c>
      <c r="K131" s="24" t="str">
        <f>""</f>
        <v/>
      </c>
      <c r="L131" s="24" t="s">
        <v>215</v>
      </c>
      <c r="M131" s="22" t="str">
        <f>IF(LEN(J131)&gt;0,indent&amp;J131&amp;" = "&amp;VLOOKUP($G131,AccessModes!$E$2:$I$14,4,FALSE),"")</f>
        <v/>
      </c>
      <c r="N131" s="25" t="str">
        <f>""</f>
        <v/>
      </c>
      <c r="O131" s="26" t="str">
        <f t="shared" si="9"/>
        <v/>
      </c>
      <c r="P131" s="22" t="str">
        <f>IF(LEN(L131)&gt;0,indent&amp;IF(L131="LAST",AccessModes!$I$16&amp;J131,VLOOKUP($G131,AccessModes!$E$2:$I$14,5,FALSE)&amp;L131)&amp;");","")</f>
        <v xml:space="preserve">            memory_setIndexedIndirectX(cpu.A);</v>
      </c>
      <c r="Q131" s="22"/>
      <c r="R131" s="26" t="str">
        <f>IF(C131=0,indent0&amp;"case 0x"&amp;F131&amp;": /* "&amp;B131&amp;" "&amp;VLOOKUP(G131,AccessModes!$E$2:$G$14,3,FALSE)&amp;" */"&amp;newline&amp;indent&amp;"cpu.cycles = "&amp;H131&amp;";"&amp;newline&amp;IF(LEN(M131)&gt;0,M131&amp;CHAR(10),"")&amp;IF(LEN(N131)&gt;0,N131&amp;newline,"")&amp;IF(LEN(O131)&gt;0,O131&amp;newline,"")&amp;IF(LEN(P131)&gt;0,P131&amp;newline,"")&amp;IF(LEN(Q131)&gt;0,Q131&amp;newline,"")&amp;indent&amp;"break;",indent0&amp;"/* Illegal opcode 0x"&amp;F131&amp;": "&amp;B131&amp;" "&amp;VLOOKUP(G131,AccessModes!$E$2:$G$14,3,FALSE)&amp;" */"&amp;newline)</f>
        <v xml:space="preserve">        case 0x81: /* STA (aa,X) */
            cpu.cycles = 6;
            memory_setIndexedIndirectX(cpu.A);
            break;</v>
      </c>
      <c r="S131" s="22" t="str">
        <f t="shared" ref="S131:S194" si="11">"    {"&amp;CHAR(34)&amp;B131&amp;CHAR(34)&amp;", "&amp;IF(C131,"true ","false")&amp;", "&amp;G131&amp;", "&amp;H131&amp;", "&amp;I131&amp;"},"</f>
        <v xml:space="preserve">    {"STA", false, AM_IIX, 6, 0},</v>
      </c>
    </row>
    <row r="132" spans="1:19" ht="25.5" hidden="1" x14ac:dyDescent="0.25">
      <c r="A132" s="28">
        <v>130</v>
      </c>
      <c r="B132" s="28" t="s">
        <v>23</v>
      </c>
      <c r="C132" s="28">
        <v>-1</v>
      </c>
      <c r="D132" s="28" t="s">
        <v>130</v>
      </c>
      <c r="E132" s="28" t="str">
        <f t="shared" si="8"/>
        <v>82</v>
      </c>
      <c r="F132" s="28" t="str">
        <f t="shared" si="10"/>
        <v>82</v>
      </c>
      <c r="G132" s="28" t="str">
        <f>_xlfn.IFNA(VLOOKUP(D132,AccessModes!$D$2:$E$14,2,FALSE),"AM_IMP")</f>
        <v>AM_IMM</v>
      </c>
      <c r="H132" s="28">
        <v>2</v>
      </c>
      <c r="I132" s="28">
        <v>0</v>
      </c>
      <c r="J132" s="28"/>
      <c r="K132" s="28"/>
      <c r="L132" s="28"/>
      <c r="M132" s="28" t="str">
        <f>IF(LEN(J132)&gt;0,indent&amp;J132&amp;" = "&amp;VLOOKUP($G132,AccessModes!$E$2:$I$14,4,FALSE),"")</f>
        <v/>
      </c>
      <c r="N132" s="29" t="str">
        <f>indent&amp;"/* TODO: implementation of the action */"</f>
        <v xml:space="preserve">            /* TODO: implementation of the action */</v>
      </c>
      <c r="O132" s="29" t="str">
        <f t="shared" si="9"/>
        <v/>
      </c>
      <c r="P132" s="28" t="str">
        <f>IF(LEN(L132)&gt;0,indent&amp;IF(L132="LAST",AccessModes!$I$16&amp;J132,VLOOKUP($G132,AccessModes!$E$2:$I$14,5,FALSE)&amp;L132)&amp;");","")</f>
        <v/>
      </c>
      <c r="Q132" s="28"/>
      <c r="R132" s="29" t="str">
        <f>IF(C132=0,indent0&amp;"case 0x"&amp;F132&amp;": /* "&amp;B132&amp;" "&amp;VLOOKUP(G132,AccessModes!$E$2:$G$14,3,FALSE)&amp;" */"&amp;newline&amp;indent&amp;"cpu.cycles = "&amp;H132&amp;";"&amp;newline&amp;IF(LEN(M132)&gt;0,M132&amp;CHAR(10),"")&amp;IF(LEN(N132)&gt;0,N132&amp;newline,"")&amp;IF(LEN(O132)&gt;0,O132&amp;newline,"")&amp;IF(LEN(P132)&gt;0,P132&amp;newline,"")&amp;IF(LEN(Q132)&gt;0,Q132&amp;newline,"")&amp;indent&amp;"break;",indent0&amp;"/* Illegal opcode 0x"&amp;F132&amp;": "&amp;B132&amp;" "&amp;VLOOKUP(G132,AccessModes!$E$2:$G$14,3,FALSE)&amp;" */"&amp;newline)</f>
        <v xml:space="preserve">        /* Illegal opcode 0x82: NOP #aa */
</v>
      </c>
      <c r="S132" s="28" t="str">
        <f t="shared" si="11"/>
        <v xml:space="preserve">    {"NOP", true , AM_IMM, 2, 0},</v>
      </c>
    </row>
    <row r="133" spans="1:19" ht="25.5" hidden="1" x14ac:dyDescent="0.25">
      <c r="A133" s="28">
        <v>131</v>
      </c>
      <c r="B133" s="28" t="s">
        <v>79</v>
      </c>
      <c r="C133" s="28">
        <v>-1</v>
      </c>
      <c r="D133" s="28" t="s">
        <v>129</v>
      </c>
      <c r="E133" s="28" t="str">
        <f t="shared" si="8"/>
        <v>83</v>
      </c>
      <c r="F133" s="28" t="str">
        <f t="shared" si="10"/>
        <v>83</v>
      </c>
      <c r="G133" s="28" t="str">
        <f>_xlfn.IFNA(VLOOKUP(D133,AccessModes!$D$2:$E$14,2,FALSE),"AM_IMP")</f>
        <v>AM_IIX</v>
      </c>
      <c r="H133" s="28">
        <v>6</v>
      </c>
      <c r="I133" s="28">
        <v>0</v>
      </c>
      <c r="J133" s="28"/>
      <c r="K133" s="28"/>
      <c r="L133" s="28"/>
      <c r="M133" s="28" t="str">
        <f>IF(LEN(J133)&gt;0,indent&amp;J133&amp;" = "&amp;VLOOKUP($G133,AccessModes!$E$2:$I$14,4,FALSE),"")</f>
        <v/>
      </c>
      <c r="N133" s="29" t="str">
        <f>indent&amp;"/* TODO: implementation of the action */"</f>
        <v xml:space="preserve">            /* TODO: implementation of the action */</v>
      </c>
      <c r="O133" s="29" t="str">
        <f t="shared" si="9"/>
        <v/>
      </c>
      <c r="P133" s="28" t="str">
        <f>IF(LEN(L133)&gt;0,indent&amp;IF(L133="LAST",AccessModes!$I$16&amp;J133,VLOOKUP($G133,AccessModes!$E$2:$I$14,5,FALSE)&amp;L133)&amp;");","")</f>
        <v/>
      </c>
      <c r="Q133" s="28"/>
      <c r="R133" s="29" t="str">
        <f>IF(C133=0,indent0&amp;"case 0x"&amp;F133&amp;": /* "&amp;B133&amp;" "&amp;VLOOKUP(G133,AccessModes!$E$2:$G$14,3,FALSE)&amp;" */"&amp;newline&amp;indent&amp;"cpu.cycles = "&amp;H133&amp;";"&amp;newline&amp;IF(LEN(M133)&gt;0,M133&amp;CHAR(10),"")&amp;IF(LEN(N133)&gt;0,N133&amp;newline,"")&amp;IF(LEN(O133)&gt;0,O133&amp;newline,"")&amp;IF(LEN(P133)&gt;0,P133&amp;newline,"")&amp;IF(LEN(Q133)&gt;0,Q133&amp;newline,"")&amp;indent&amp;"break;",indent0&amp;"/* Illegal opcode 0x"&amp;F133&amp;": "&amp;B133&amp;" "&amp;VLOOKUP(G133,AccessModes!$E$2:$G$14,3,FALSE)&amp;" */"&amp;newline)</f>
        <v xml:space="preserve">        /* Illegal opcode 0x83: SAX (aa,X) */
</v>
      </c>
      <c r="S133" s="28" t="str">
        <f t="shared" si="11"/>
        <v xml:space="preserve">    {"SAX", true , AM_IIX, 6, 0},</v>
      </c>
    </row>
    <row r="134" spans="1:19" ht="51" hidden="1" x14ac:dyDescent="0.25">
      <c r="A134" s="22">
        <v>132</v>
      </c>
      <c r="B134" s="22" t="s">
        <v>80</v>
      </c>
      <c r="C134" s="22">
        <v>0</v>
      </c>
      <c r="D134" s="22" t="s">
        <v>144</v>
      </c>
      <c r="E134" s="22" t="str">
        <f t="shared" si="8"/>
        <v>84</v>
      </c>
      <c r="F134" s="22" t="str">
        <f t="shared" si="10"/>
        <v>84</v>
      </c>
      <c r="G134" s="22" t="str">
        <f>_xlfn.IFNA(VLOOKUP(D134,AccessModes!$D$2:$E$14,2,FALSE),"AM_IMP")</f>
        <v>AM_ZPG</v>
      </c>
      <c r="H134" s="22">
        <v>3</v>
      </c>
      <c r="I134" s="22">
        <v>0</v>
      </c>
      <c r="J134" s="24" t="str">
        <f>""</f>
        <v/>
      </c>
      <c r="K134" s="24" t="str">
        <f>""</f>
        <v/>
      </c>
      <c r="L134" s="24" t="s">
        <v>225</v>
      </c>
      <c r="M134" s="22" t="str">
        <f>IF(LEN(J134)&gt;0,indent&amp;J134&amp;" = "&amp;VLOOKUP($G134,AccessModes!$E$2:$I$14,4,FALSE),"")</f>
        <v/>
      </c>
      <c r="N134" s="25" t="str">
        <f>""</f>
        <v/>
      </c>
      <c r="O134" s="26" t="str">
        <f t="shared" si="9"/>
        <v/>
      </c>
      <c r="P134" s="22" t="str">
        <f>IF(LEN(L134)&gt;0,indent&amp;IF(L134="LAST",AccessModes!$I$16&amp;J134,VLOOKUP($G134,AccessModes!$E$2:$I$14,5,FALSE)&amp;L134)&amp;");","")</f>
        <v xml:space="preserve">            memory_setZeroPage(cpu.Y);</v>
      </c>
      <c r="Q134" s="22"/>
      <c r="R134" s="26" t="str">
        <f>IF(C134=0,indent0&amp;"case 0x"&amp;F134&amp;": /* "&amp;B134&amp;" "&amp;VLOOKUP(G134,AccessModes!$E$2:$G$14,3,FALSE)&amp;" */"&amp;newline&amp;indent&amp;"cpu.cycles = "&amp;H134&amp;";"&amp;newline&amp;IF(LEN(M134)&gt;0,M134&amp;CHAR(10),"")&amp;IF(LEN(N134)&gt;0,N134&amp;newline,"")&amp;IF(LEN(O134)&gt;0,O134&amp;newline,"")&amp;IF(LEN(P134)&gt;0,P134&amp;newline,"")&amp;IF(LEN(Q134)&gt;0,Q134&amp;newline,"")&amp;indent&amp;"break;",indent0&amp;"/* Illegal opcode 0x"&amp;F134&amp;": "&amp;B134&amp;" "&amp;VLOOKUP(G134,AccessModes!$E$2:$G$14,3,FALSE)&amp;" */"&amp;newline)</f>
        <v xml:space="preserve">        case 0x84: /* STY aa */
            cpu.cycles = 3;
            memory_setZeroPage(cpu.Y);
            break;</v>
      </c>
      <c r="S134" s="22" t="str">
        <f t="shared" si="11"/>
        <v xml:space="preserve">    {"STY", false, AM_ZPG, 3, 0},</v>
      </c>
    </row>
    <row r="135" spans="1:19" ht="51" hidden="1" x14ac:dyDescent="0.25">
      <c r="A135" s="22">
        <v>133</v>
      </c>
      <c r="B135" s="22" t="s">
        <v>78</v>
      </c>
      <c r="C135" s="22">
        <v>0</v>
      </c>
      <c r="D135" s="22" t="s">
        <v>144</v>
      </c>
      <c r="E135" s="22" t="str">
        <f t="shared" si="8"/>
        <v>85</v>
      </c>
      <c r="F135" s="22" t="str">
        <f t="shared" si="10"/>
        <v>85</v>
      </c>
      <c r="G135" s="22" t="str">
        <f>_xlfn.IFNA(VLOOKUP(D135,AccessModes!$D$2:$E$14,2,FALSE),"AM_IMP")</f>
        <v>AM_ZPG</v>
      </c>
      <c r="H135" s="22">
        <v>3</v>
      </c>
      <c r="I135" s="22">
        <v>0</v>
      </c>
      <c r="J135" s="22" t="str">
        <f>$J$131</f>
        <v/>
      </c>
      <c r="K135" s="22" t="str">
        <f>$K$131</f>
        <v/>
      </c>
      <c r="L135" s="22" t="str">
        <f>$L$131</f>
        <v>cpu.A</v>
      </c>
      <c r="M135" s="22" t="str">
        <f>IF(LEN(J135)&gt;0,indent&amp;J135&amp;" = "&amp;VLOOKUP($G135,AccessModes!$E$2:$I$14,4,FALSE),"")</f>
        <v/>
      </c>
      <c r="N135" s="26" t="str">
        <f>$N$131</f>
        <v/>
      </c>
      <c r="O135" s="26" t="str">
        <f t="shared" si="9"/>
        <v/>
      </c>
      <c r="P135" s="22" t="str">
        <f>IF(LEN(L135)&gt;0,indent&amp;IF(L135="LAST",AccessModes!$I$16&amp;J135,VLOOKUP($G135,AccessModes!$E$2:$I$14,5,FALSE)&amp;L135)&amp;");","")</f>
        <v xml:space="preserve">            memory_setZeroPage(cpu.A);</v>
      </c>
      <c r="Q135" s="22"/>
      <c r="R135" s="26" t="str">
        <f>IF(C135=0,indent0&amp;"case 0x"&amp;F135&amp;": /* "&amp;B135&amp;" "&amp;VLOOKUP(G135,AccessModes!$E$2:$G$14,3,FALSE)&amp;" */"&amp;newline&amp;indent&amp;"cpu.cycles = "&amp;H135&amp;";"&amp;newline&amp;IF(LEN(M135)&gt;0,M135&amp;CHAR(10),"")&amp;IF(LEN(N135)&gt;0,N135&amp;newline,"")&amp;IF(LEN(O135)&gt;0,O135&amp;newline,"")&amp;IF(LEN(P135)&gt;0,P135&amp;newline,"")&amp;IF(LEN(Q135)&gt;0,Q135&amp;newline,"")&amp;indent&amp;"break;",indent0&amp;"/* Illegal opcode 0x"&amp;F135&amp;": "&amp;B135&amp;" "&amp;VLOOKUP(G135,AccessModes!$E$2:$G$14,3,FALSE)&amp;" */"&amp;newline)</f>
        <v xml:space="preserve">        case 0x85: /* STA aa */
            cpu.cycles = 3;
            memory_setZeroPage(cpu.A);
            break;</v>
      </c>
      <c r="S135" s="22" t="str">
        <f t="shared" si="11"/>
        <v xml:space="preserve">    {"STA", false, AM_ZPG, 3, 0},</v>
      </c>
    </row>
    <row r="136" spans="1:19" ht="51" hidden="1" x14ac:dyDescent="0.25">
      <c r="A136" s="22">
        <v>134</v>
      </c>
      <c r="B136" s="22" t="s">
        <v>81</v>
      </c>
      <c r="C136" s="22">
        <v>0</v>
      </c>
      <c r="D136" s="22" t="s">
        <v>144</v>
      </c>
      <c r="E136" s="22" t="str">
        <f t="shared" si="8"/>
        <v>86</v>
      </c>
      <c r="F136" s="22" t="str">
        <f t="shared" si="10"/>
        <v>86</v>
      </c>
      <c r="G136" s="22" t="str">
        <f>_xlfn.IFNA(VLOOKUP(D136,AccessModes!$D$2:$E$14,2,FALSE),"AM_IMP")</f>
        <v>AM_ZPG</v>
      </c>
      <c r="H136" s="22">
        <v>3</v>
      </c>
      <c r="I136" s="22">
        <v>0</v>
      </c>
      <c r="J136" s="24" t="str">
        <f>""</f>
        <v/>
      </c>
      <c r="K136" s="24" t="str">
        <f>""</f>
        <v/>
      </c>
      <c r="L136" s="24" t="s">
        <v>226</v>
      </c>
      <c r="M136" s="22" t="str">
        <f>IF(LEN(J136)&gt;0,indent&amp;J136&amp;" = "&amp;VLOOKUP($G136,AccessModes!$E$2:$I$14,4,FALSE),"")</f>
        <v/>
      </c>
      <c r="N136" s="25" t="str">
        <f>""</f>
        <v/>
      </c>
      <c r="O136" s="26" t="str">
        <f t="shared" si="9"/>
        <v/>
      </c>
      <c r="P136" s="22" t="str">
        <f>IF(LEN(L136)&gt;0,indent&amp;IF(L136="LAST",AccessModes!$I$16&amp;J136,VLOOKUP($G136,AccessModes!$E$2:$I$14,5,FALSE)&amp;L136)&amp;");","")</f>
        <v xml:space="preserve">            memory_setZeroPage(cpu.X);</v>
      </c>
      <c r="Q136" s="22"/>
      <c r="R136" s="26" t="str">
        <f>IF(C136=0,indent0&amp;"case 0x"&amp;F136&amp;": /* "&amp;B136&amp;" "&amp;VLOOKUP(G136,AccessModes!$E$2:$G$14,3,FALSE)&amp;" */"&amp;newline&amp;indent&amp;"cpu.cycles = "&amp;H136&amp;";"&amp;newline&amp;IF(LEN(M136)&gt;0,M136&amp;CHAR(10),"")&amp;IF(LEN(N136)&gt;0,N136&amp;newline,"")&amp;IF(LEN(O136)&gt;0,O136&amp;newline,"")&amp;IF(LEN(P136)&gt;0,P136&amp;newline,"")&amp;IF(LEN(Q136)&gt;0,Q136&amp;newline,"")&amp;indent&amp;"break;",indent0&amp;"/* Illegal opcode 0x"&amp;F136&amp;": "&amp;B136&amp;" "&amp;VLOOKUP(G136,AccessModes!$E$2:$G$14,3,FALSE)&amp;" */"&amp;newline)</f>
        <v xml:space="preserve">        case 0x86: /* STX aa */
            cpu.cycles = 3;
            memory_setZeroPage(cpu.X);
            break;</v>
      </c>
      <c r="S136" s="22" t="str">
        <f t="shared" si="11"/>
        <v xml:space="preserve">    {"STX", false, AM_ZPG, 3, 0},</v>
      </c>
    </row>
    <row r="137" spans="1:19" ht="25.5" hidden="1" x14ac:dyDescent="0.25">
      <c r="A137" s="28">
        <v>135</v>
      </c>
      <c r="B137" s="28" t="s">
        <v>79</v>
      </c>
      <c r="C137" s="28">
        <v>-1</v>
      </c>
      <c r="D137" s="28" t="s">
        <v>144</v>
      </c>
      <c r="E137" s="28" t="str">
        <f t="shared" si="8"/>
        <v>87</v>
      </c>
      <c r="F137" s="28" t="str">
        <f t="shared" si="10"/>
        <v>87</v>
      </c>
      <c r="G137" s="28" t="str">
        <f>_xlfn.IFNA(VLOOKUP(D137,AccessModes!$D$2:$E$14,2,FALSE),"AM_IMP")</f>
        <v>AM_ZPG</v>
      </c>
      <c r="H137" s="28">
        <v>3</v>
      </c>
      <c r="I137" s="28">
        <v>0</v>
      </c>
      <c r="J137" s="28"/>
      <c r="K137" s="28"/>
      <c r="L137" s="28"/>
      <c r="M137" s="28" t="str">
        <f>IF(LEN(J137)&gt;0,indent&amp;J137&amp;" = "&amp;VLOOKUP($G137,AccessModes!$E$2:$I$14,4,FALSE),"")</f>
        <v/>
      </c>
      <c r="N137" s="29" t="str">
        <f>indent&amp;"/* TODO: implementation of the action */"</f>
        <v xml:space="preserve">            /* TODO: implementation of the action */</v>
      </c>
      <c r="O137" s="29" t="str">
        <f t="shared" si="9"/>
        <v/>
      </c>
      <c r="P137" s="28" t="str">
        <f>IF(LEN(L137)&gt;0,indent&amp;IF(L137="LAST",AccessModes!$I$16&amp;J137,VLOOKUP($G137,AccessModes!$E$2:$I$14,5,FALSE)&amp;L137)&amp;");","")</f>
        <v/>
      </c>
      <c r="Q137" s="28"/>
      <c r="R137" s="29" t="str">
        <f>IF(C137=0,indent0&amp;"case 0x"&amp;F137&amp;": /* "&amp;B137&amp;" "&amp;VLOOKUP(G137,AccessModes!$E$2:$G$14,3,FALSE)&amp;" */"&amp;newline&amp;indent&amp;"cpu.cycles = "&amp;H137&amp;";"&amp;newline&amp;IF(LEN(M137)&gt;0,M137&amp;CHAR(10),"")&amp;IF(LEN(N137)&gt;0,N137&amp;newline,"")&amp;IF(LEN(O137)&gt;0,O137&amp;newline,"")&amp;IF(LEN(P137)&gt;0,P137&amp;newline,"")&amp;IF(LEN(Q137)&gt;0,Q137&amp;newline,"")&amp;indent&amp;"break;",indent0&amp;"/* Illegal opcode 0x"&amp;F137&amp;": "&amp;B137&amp;" "&amp;VLOOKUP(G137,AccessModes!$E$2:$G$14,3,FALSE)&amp;" */"&amp;newline)</f>
        <v xml:space="preserve">        /* Illegal opcode 0x87: SAX aa */
</v>
      </c>
      <c r="S137" s="28" t="str">
        <f t="shared" si="11"/>
        <v xml:space="preserve">    {"SAX", true , AM_ZPG, 3, 0},</v>
      </c>
    </row>
    <row r="138" spans="1:19" ht="76.5" hidden="1" x14ac:dyDescent="0.25">
      <c r="A138" s="22">
        <v>136</v>
      </c>
      <c r="B138" s="22" t="s">
        <v>82</v>
      </c>
      <c r="C138" s="22">
        <v>0</v>
      </c>
      <c r="D138" s="22" t="s">
        <v>139</v>
      </c>
      <c r="E138" s="22" t="str">
        <f t="shared" si="8"/>
        <v>88</v>
      </c>
      <c r="F138" s="22" t="str">
        <f t="shared" si="10"/>
        <v>88</v>
      </c>
      <c r="G138" s="22" t="str">
        <f>_xlfn.IFNA(VLOOKUP(D138,AccessModes!$D$2:$E$14,2,FALSE),"AM_IMP")</f>
        <v>AM_IMP</v>
      </c>
      <c r="H138" s="22">
        <v>2</v>
      </c>
      <c r="I138" s="22">
        <v>0</v>
      </c>
      <c r="J138" s="24" t="str">
        <f>""</f>
        <v/>
      </c>
      <c r="K138" s="24" t="s">
        <v>225</v>
      </c>
      <c r="L138" s="24" t="str">
        <f>""</f>
        <v/>
      </c>
      <c r="M138" s="22" t="str">
        <f>IF(LEN(J138)&gt;0,indent&amp;J138&amp;" = "&amp;VLOOKUP($G138,AccessModes!$E$2:$I$14,4,FALSE),"")</f>
        <v/>
      </c>
      <c r="N138" s="25" t="str">
        <f>indent&amp;"--"&amp;K138&amp;";"</f>
        <v xml:space="preserve">            --cpu.Y;</v>
      </c>
      <c r="O138" s="26" t="str">
        <f t="shared" si="9"/>
        <v xml:space="preserve">            cpu.PS_N = ((cpu.Y &amp; 0x80) != 0);
            cpu.PS_Z = (cpu.Y == 0);</v>
      </c>
      <c r="P138" s="22" t="str">
        <f>IF(LEN(L138)&gt;0,indent&amp;IF(L138="LAST",AccessModes!$I$16&amp;J138,VLOOKUP($G138,AccessModes!$E$2:$I$14,5,FALSE)&amp;L138)&amp;");","")</f>
        <v/>
      </c>
      <c r="Q138" s="22"/>
      <c r="R138" s="26" t="str">
        <f>IF(C138=0,indent0&amp;"case 0x"&amp;F138&amp;": /* "&amp;B138&amp;" "&amp;VLOOKUP(G138,AccessModes!$E$2:$G$14,3,FALSE)&amp;" */"&amp;newline&amp;indent&amp;"cpu.cycles = "&amp;H138&amp;";"&amp;newline&amp;IF(LEN(M138)&gt;0,M138&amp;CHAR(10),"")&amp;IF(LEN(N138)&gt;0,N138&amp;newline,"")&amp;IF(LEN(O138)&gt;0,O138&amp;newline,"")&amp;IF(LEN(P138)&gt;0,P138&amp;newline,"")&amp;IF(LEN(Q138)&gt;0,Q138&amp;newline,"")&amp;indent&amp;"break;",indent0&amp;"/* Illegal opcode 0x"&amp;F138&amp;": "&amp;B138&amp;" "&amp;VLOOKUP(G138,AccessModes!$E$2:$G$14,3,FALSE)&amp;" */"&amp;newline)</f>
        <v xml:space="preserve">        case 0x88: /* DEY  */
            cpu.cycles = 2;
            --cpu.Y;
            cpu.PS_N = ((cpu.Y &amp; 0x80) != 0);
            cpu.PS_Z = (cpu.Y == 0);
            break;</v>
      </c>
      <c r="S138" s="22" t="str">
        <f t="shared" si="11"/>
        <v xml:space="preserve">    {"DEY", false, AM_IMP, 2, 0},</v>
      </c>
    </row>
    <row r="139" spans="1:19" ht="25.5" hidden="1" x14ac:dyDescent="0.25">
      <c r="A139" s="28">
        <v>137</v>
      </c>
      <c r="B139" s="28" t="s">
        <v>23</v>
      </c>
      <c r="C139" s="28">
        <v>-1</v>
      </c>
      <c r="D139" s="28" t="s">
        <v>130</v>
      </c>
      <c r="E139" s="28" t="str">
        <f t="shared" si="8"/>
        <v>89</v>
      </c>
      <c r="F139" s="28" t="str">
        <f t="shared" si="10"/>
        <v>89</v>
      </c>
      <c r="G139" s="28" t="str">
        <f>_xlfn.IFNA(VLOOKUP(D139,AccessModes!$D$2:$E$14,2,FALSE),"AM_IMP")</f>
        <v>AM_IMM</v>
      </c>
      <c r="H139" s="28">
        <v>2</v>
      </c>
      <c r="I139" s="28">
        <v>0</v>
      </c>
      <c r="J139" s="28"/>
      <c r="K139" s="28"/>
      <c r="L139" s="28"/>
      <c r="M139" s="28" t="str">
        <f>IF(LEN(J139)&gt;0,indent&amp;J139&amp;" = "&amp;VLOOKUP($G139,AccessModes!$E$2:$I$14,4,FALSE),"")</f>
        <v/>
      </c>
      <c r="N139" s="29" t="str">
        <f>indent&amp;"/* TODO: implementation of the action */"</f>
        <v xml:space="preserve">            /* TODO: implementation of the action */</v>
      </c>
      <c r="O139" s="29" t="str">
        <f t="shared" si="9"/>
        <v/>
      </c>
      <c r="P139" s="28" t="str">
        <f>IF(LEN(L139)&gt;0,indent&amp;IF(L139="LAST",AccessModes!$I$16&amp;J139,VLOOKUP($G139,AccessModes!$E$2:$I$14,5,FALSE)&amp;L139)&amp;");","")</f>
        <v/>
      </c>
      <c r="Q139" s="28"/>
      <c r="R139" s="29" t="str">
        <f>IF(C139=0,indent0&amp;"case 0x"&amp;F139&amp;": /* "&amp;B139&amp;" "&amp;VLOOKUP(G139,AccessModes!$E$2:$G$14,3,FALSE)&amp;" */"&amp;newline&amp;indent&amp;"cpu.cycles = "&amp;H139&amp;";"&amp;newline&amp;IF(LEN(M139)&gt;0,M139&amp;CHAR(10),"")&amp;IF(LEN(N139)&gt;0,N139&amp;newline,"")&amp;IF(LEN(O139)&gt;0,O139&amp;newline,"")&amp;IF(LEN(P139)&gt;0,P139&amp;newline,"")&amp;IF(LEN(Q139)&gt;0,Q139&amp;newline,"")&amp;indent&amp;"break;",indent0&amp;"/* Illegal opcode 0x"&amp;F139&amp;": "&amp;B139&amp;" "&amp;VLOOKUP(G139,AccessModes!$E$2:$G$14,3,FALSE)&amp;" */"&amp;newline)</f>
        <v xml:space="preserve">        /* Illegal opcode 0x89: NOP #aa */
</v>
      </c>
      <c r="S139" s="28" t="str">
        <f t="shared" si="11"/>
        <v xml:space="preserve">    {"NOP", true , AM_IMM, 2, 0},</v>
      </c>
    </row>
    <row r="140" spans="1:19" ht="76.5" hidden="1" x14ac:dyDescent="0.25">
      <c r="A140" s="22">
        <v>138</v>
      </c>
      <c r="B140" s="22" t="s">
        <v>83</v>
      </c>
      <c r="C140" s="22">
        <v>0</v>
      </c>
      <c r="D140" s="22" t="s">
        <v>139</v>
      </c>
      <c r="E140" s="22" t="str">
        <f t="shared" si="8"/>
        <v>8A</v>
      </c>
      <c r="F140" s="22" t="str">
        <f t="shared" si="10"/>
        <v>8A</v>
      </c>
      <c r="G140" s="22" t="str">
        <f>_xlfn.IFNA(VLOOKUP(D140,AccessModes!$D$2:$E$14,2,FALSE),"AM_IMP")</f>
        <v>AM_IMP</v>
      </c>
      <c r="H140" s="22">
        <v>2</v>
      </c>
      <c r="I140" s="22">
        <v>0</v>
      </c>
      <c r="J140" s="24"/>
      <c r="K140" s="24" t="s">
        <v>215</v>
      </c>
      <c r="L140" s="24"/>
      <c r="M140" s="22" t="str">
        <f>IF(LEN(J140)&gt;0,indent&amp;J140&amp;" = "&amp;VLOOKUP($G140,AccessModes!$E$2:$I$14,4,FALSE),"")</f>
        <v/>
      </c>
      <c r="N140" s="25" t="str">
        <f>indent&amp;"cpu.A = cpu.X;"</f>
        <v xml:space="preserve">            cpu.A = cpu.X;</v>
      </c>
      <c r="O140" s="26" t="str">
        <f t="shared" si="9"/>
        <v xml:space="preserve">            cpu.PS_N = ((cpu.A &amp; 0x80) != 0);
            cpu.PS_Z = (cpu.A == 0);</v>
      </c>
      <c r="P140" s="22" t="str">
        <f>IF(LEN(L140)&gt;0,indent&amp;IF(L140="LAST",AccessModes!$I$16&amp;J140,VLOOKUP($G140,AccessModes!$E$2:$I$14,5,FALSE)&amp;L140)&amp;");","")</f>
        <v/>
      </c>
      <c r="Q140" s="22"/>
      <c r="R140" s="26" t="str">
        <f>IF(C140=0,indent0&amp;"case 0x"&amp;F140&amp;": /* "&amp;B140&amp;" "&amp;VLOOKUP(G140,AccessModes!$E$2:$G$14,3,FALSE)&amp;" */"&amp;newline&amp;indent&amp;"cpu.cycles = "&amp;H140&amp;";"&amp;newline&amp;IF(LEN(M140)&gt;0,M140&amp;CHAR(10),"")&amp;IF(LEN(N140)&gt;0,N140&amp;newline,"")&amp;IF(LEN(O140)&gt;0,O140&amp;newline,"")&amp;IF(LEN(P140)&gt;0,P140&amp;newline,"")&amp;IF(LEN(Q140)&gt;0,Q140&amp;newline,"")&amp;indent&amp;"break;",indent0&amp;"/* Illegal opcode 0x"&amp;F140&amp;": "&amp;B140&amp;" "&amp;VLOOKUP(G140,AccessModes!$E$2:$G$14,3,FALSE)&amp;" */"&amp;newline)</f>
        <v xml:space="preserve">        case 0x8A: /* TXA  */
            cpu.cycles = 2;
            cpu.A = cpu.X;
            cpu.PS_N = ((cpu.A &amp; 0x80) != 0);
            cpu.PS_Z = (cpu.A == 0);
            break;</v>
      </c>
      <c r="S140" s="22" t="str">
        <f t="shared" si="11"/>
        <v xml:space="preserve">    {"TXA", false, AM_IMP, 2, 0},</v>
      </c>
    </row>
    <row r="141" spans="1:19" ht="25.5" hidden="1" x14ac:dyDescent="0.25">
      <c r="A141" s="30">
        <v>139</v>
      </c>
      <c r="B141" s="30" t="s">
        <v>84</v>
      </c>
      <c r="C141" s="28">
        <v>-1</v>
      </c>
      <c r="D141" s="30" t="s">
        <v>130</v>
      </c>
      <c r="E141" s="30" t="str">
        <f t="shared" si="8"/>
        <v>8B</v>
      </c>
      <c r="F141" s="30" t="str">
        <f t="shared" si="10"/>
        <v>8B</v>
      </c>
      <c r="G141" s="30" t="str">
        <f>_xlfn.IFNA(VLOOKUP(D141,AccessModes!$D$2:$E$14,2,FALSE),"AM_IMP")</f>
        <v>AM_IMM</v>
      </c>
      <c r="H141" s="30">
        <v>2</v>
      </c>
      <c r="I141" s="30">
        <v>0</v>
      </c>
      <c r="J141" s="28"/>
      <c r="K141" s="28"/>
      <c r="L141" s="28"/>
      <c r="M141" s="30" t="str">
        <f>IF(LEN(J141)&gt;0,indent&amp;J141&amp;" = "&amp;VLOOKUP($G141,AccessModes!$E$2:$I$14,4,FALSE),"")</f>
        <v/>
      </c>
      <c r="N141" s="31" t="str">
        <f>indent&amp;"/* TODO: implementation of the action */"</f>
        <v xml:space="preserve">            /* TODO: implementation of the action */</v>
      </c>
      <c r="O141" s="31" t="str">
        <f t="shared" si="9"/>
        <v/>
      </c>
      <c r="P141" s="30" t="str">
        <f>IF(LEN(L141)&gt;0,indent&amp;IF(L141="LAST",AccessModes!$I$16&amp;J141,VLOOKUP($G141,AccessModes!$E$2:$I$14,5,FALSE)&amp;L141)&amp;");","")</f>
        <v/>
      </c>
      <c r="Q141" s="30"/>
      <c r="R141" s="31" t="str">
        <f>IF(C141=0,indent0&amp;"case 0x"&amp;F141&amp;": /* "&amp;B141&amp;" "&amp;VLOOKUP(G141,AccessModes!$E$2:$G$14,3,FALSE)&amp;" */"&amp;newline&amp;indent&amp;"cpu.cycles = "&amp;H141&amp;";"&amp;newline&amp;IF(LEN(M141)&gt;0,M141&amp;CHAR(10),"")&amp;IF(LEN(N141)&gt;0,N141&amp;newline,"")&amp;IF(LEN(O141)&gt;0,O141&amp;newline,"")&amp;IF(LEN(P141)&gt;0,P141&amp;newline,"")&amp;IF(LEN(Q141)&gt;0,Q141&amp;newline,"")&amp;indent&amp;"break;",indent0&amp;"/* Illegal opcode 0x"&amp;F141&amp;": "&amp;B141&amp;" "&amp;VLOOKUP(G141,AccessModes!$E$2:$G$14,3,FALSE)&amp;" */"&amp;newline)</f>
        <v xml:space="preserve">        /* Illegal opcode 0x8B: XAA #aa */
</v>
      </c>
      <c r="S141" s="30" t="str">
        <f t="shared" si="11"/>
        <v xml:space="preserve">    {"XAA", true , AM_IMM, 2, 0},</v>
      </c>
    </row>
    <row r="142" spans="1:19" ht="51" hidden="1" x14ac:dyDescent="0.25">
      <c r="A142" s="22">
        <v>140</v>
      </c>
      <c r="B142" s="22" t="s">
        <v>80</v>
      </c>
      <c r="C142" s="22">
        <v>0</v>
      </c>
      <c r="D142" s="22" t="s">
        <v>131</v>
      </c>
      <c r="E142" s="22" t="str">
        <f t="shared" si="8"/>
        <v>8C</v>
      </c>
      <c r="F142" s="22" t="str">
        <f t="shared" si="10"/>
        <v>8C</v>
      </c>
      <c r="G142" s="22" t="str">
        <f>_xlfn.IFNA(VLOOKUP(D142,AccessModes!$D$2:$E$14,2,FALSE),"AM_IMP")</f>
        <v>AM_ABS</v>
      </c>
      <c r="H142" s="22">
        <v>4</v>
      </c>
      <c r="I142" s="22">
        <v>0</v>
      </c>
      <c r="J142" s="22" t="str">
        <f>$J$134</f>
        <v/>
      </c>
      <c r="K142" s="22" t="str">
        <f>$K$134</f>
        <v/>
      </c>
      <c r="L142" s="22" t="str">
        <f>$L$134</f>
        <v>cpu.Y</v>
      </c>
      <c r="M142" s="22" t="str">
        <f>IF(LEN(J142)&gt;0,indent&amp;J142&amp;" = "&amp;VLOOKUP($G142,AccessModes!$E$2:$I$14,4,FALSE),"")</f>
        <v/>
      </c>
      <c r="N142" s="26" t="str">
        <f>$N$134</f>
        <v/>
      </c>
      <c r="O142" s="26" t="str">
        <f t="shared" si="9"/>
        <v/>
      </c>
      <c r="P142" s="22" t="str">
        <f>IF(LEN(L142)&gt;0,indent&amp;IF(L142="LAST",AccessModes!$I$16&amp;J142,VLOOKUP($G142,AccessModes!$E$2:$I$14,5,FALSE)&amp;L142)&amp;");","")</f>
        <v xml:space="preserve">            memory_setAbsolute(cpu.Y);</v>
      </c>
      <c r="Q142" s="22"/>
      <c r="R142" s="26" t="str">
        <f>IF(C142=0,indent0&amp;"case 0x"&amp;F142&amp;": /* "&amp;B142&amp;" "&amp;VLOOKUP(G142,AccessModes!$E$2:$G$14,3,FALSE)&amp;" */"&amp;newline&amp;indent&amp;"cpu.cycles = "&amp;H142&amp;";"&amp;newline&amp;IF(LEN(M142)&gt;0,M142&amp;CHAR(10),"")&amp;IF(LEN(N142)&gt;0,N142&amp;newline,"")&amp;IF(LEN(O142)&gt;0,O142&amp;newline,"")&amp;IF(LEN(P142)&gt;0,P142&amp;newline,"")&amp;IF(LEN(Q142)&gt;0,Q142&amp;newline,"")&amp;indent&amp;"break;",indent0&amp;"/* Illegal opcode 0x"&amp;F142&amp;": "&amp;B142&amp;" "&amp;VLOOKUP(G142,AccessModes!$E$2:$G$14,3,FALSE)&amp;" */"&amp;newline)</f>
        <v xml:space="preserve">        case 0x8C: /* STY aaaa */
            cpu.cycles = 4;
            memory_setAbsolute(cpu.Y);
            break;</v>
      </c>
      <c r="S142" s="22" t="str">
        <f t="shared" si="11"/>
        <v xml:space="preserve">    {"STY", false, AM_ABS, 4, 0},</v>
      </c>
    </row>
    <row r="143" spans="1:19" ht="51" hidden="1" x14ac:dyDescent="0.25">
      <c r="A143" s="22">
        <v>141</v>
      </c>
      <c r="B143" s="22" t="s">
        <v>78</v>
      </c>
      <c r="C143" s="22">
        <v>0</v>
      </c>
      <c r="D143" s="22" t="s">
        <v>131</v>
      </c>
      <c r="E143" s="22" t="str">
        <f t="shared" si="8"/>
        <v>8D</v>
      </c>
      <c r="F143" s="22" t="str">
        <f t="shared" si="10"/>
        <v>8D</v>
      </c>
      <c r="G143" s="22" t="str">
        <f>_xlfn.IFNA(VLOOKUP(D143,AccessModes!$D$2:$E$14,2,FALSE),"AM_IMP")</f>
        <v>AM_ABS</v>
      </c>
      <c r="H143" s="22">
        <v>4</v>
      </c>
      <c r="I143" s="22">
        <v>0</v>
      </c>
      <c r="J143" s="22" t="str">
        <f>$J$131</f>
        <v/>
      </c>
      <c r="K143" s="22" t="str">
        <f>$K$131</f>
        <v/>
      </c>
      <c r="L143" s="22" t="str">
        <f>$L$131</f>
        <v>cpu.A</v>
      </c>
      <c r="M143" s="22" t="str">
        <f>IF(LEN(J143)&gt;0,indent&amp;J143&amp;" = "&amp;VLOOKUP($G143,AccessModes!$E$2:$I$14,4,FALSE),"")</f>
        <v/>
      </c>
      <c r="N143" s="26" t="str">
        <f>$N$131</f>
        <v/>
      </c>
      <c r="O143" s="26" t="str">
        <f t="shared" si="9"/>
        <v/>
      </c>
      <c r="P143" s="22" t="str">
        <f>IF(LEN(L143)&gt;0,indent&amp;IF(L143="LAST",AccessModes!$I$16&amp;J143,VLOOKUP($G143,AccessModes!$E$2:$I$14,5,FALSE)&amp;L143)&amp;");","")</f>
        <v xml:space="preserve">            memory_setAbsolute(cpu.A);</v>
      </c>
      <c r="Q143" s="22"/>
      <c r="R143" s="26" t="str">
        <f>IF(C143=0,indent0&amp;"case 0x"&amp;F143&amp;": /* "&amp;B143&amp;" "&amp;VLOOKUP(G143,AccessModes!$E$2:$G$14,3,FALSE)&amp;" */"&amp;newline&amp;indent&amp;"cpu.cycles = "&amp;H143&amp;";"&amp;newline&amp;IF(LEN(M143)&gt;0,M143&amp;CHAR(10),"")&amp;IF(LEN(N143)&gt;0,N143&amp;newline,"")&amp;IF(LEN(O143)&gt;0,O143&amp;newline,"")&amp;IF(LEN(P143)&gt;0,P143&amp;newline,"")&amp;IF(LEN(Q143)&gt;0,Q143&amp;newline,"")&amp;indent&amp;"break;",indent0&amp;"/* Illegal opcode 0x"&amp;F143&amp;": "&amp;B143&amp;" "&amp;VLOOKUP(G143,AccessModes!$E$2:$G$14,3,FALSE)&amp;" */"&amp;newline)</f>
        <v xml:space="preserve">        case 0x8D: /* STA aaaa */
            cpu.cycles = 4;
            memory_setAbsolute(cpu.A);
            break;</v>
      </c>
      <c r="S143" s="22" t="str">
        <f t="shared" si="11"/>
        <v xml:space="preserve">    {"STA", false, AM_ABS, 4, 0},</v>
      </c>
    </row>
    <row r="144" spans="1:19" ht="51" hidden="1" x14ac:dyDescent="0.25">
      <c r="A144" s="22">
        <v>142</v>
      </c>
      <c r="B144" s="22" t="s">
        <v>81</v>
      </c>
      <c r="C144" s="22">
        <v>0</v>
      </c>
      <c r="D144" s="22" t="s">
        <v>131</v>
      </c>
      <c r="E144" s="22" t="str">
        <f t="shared" si="8"/>
        <v>8E</v>
      </c>
      <c r="F144" s="22" t="str">
        <f t="shared" si="10"/>
        <v>8E</v>
      </c>
      <c r="G144" s="22" t="str">
        <f>_xlfn.IFNA(VLOOKUP(D144,AccessModes!$D$2:$E$14,2,FALSE),"AM_IMP")</f>
        <v>AM_ABS</v>
      </c>
      <c r="H144" s="22">
        <v>4</v>
      </c>
      <c r="I144" s="22">
        <v>0</v>
      </c>
      <c r="J144" s="22" t="str">
        <f>$J$136</f>
        <v/>
      </c>
      <c r="K144" s="22" t="str">
        <f>$K$136</f>
        <v/>
      </c>
      <c r="L144" s="22" t="str">
        <f>$L$136</f>
        <v>cpu.X</v>
      </c>
      <c r="M144" s="22" t="str">
        <f>IF(LEN(J144)&gt;0,indent&amp;J144&amp;" = "&amp;VLOOKUP($G144,AccessModes!$E$2:$I$14,4,FALSE),"")</f>
        <v/>
      </c>
      <c r="N144" s="26" t="str">
        <f>$N$136</f>
        <v/>
      </c>
      <c r="O144" s="26" t="str">
        <f t="shared" si="9"/>
        <v/>
      </c>
      <c r="P144" s="22" t="str">
        <f>IF(LEN(L144)&gt;0,indent&amp;IF(L144="LAST",AccessModes!$I$16&amp;J144,VLOOKUP($G144,AccessModes!$E$2:$I$14,5,FALSE)&amp;L144)&amp;");","")</f>
        <v xml:space="preserve">            memory_setAbsolute(cpu.X);</v>
      </c>
      <c r="Q144" s="22"/>
      <c r="R144" s="26" t="str">
        <f>IF(C144=0,indent0&amp;"case 0x"&amp;F144&amp;": /* "&amp;B144&amp;" "&amp;VLOOKUP(G144,AccessModes!$E$2:$G$14,3,FALSE)&amp;" */"&amp;newline&amp;indent&amp;"cpu.cycles = "&amp;H144&amp;";"&amp;newline&amp;IF(LEN(M144)&gt;0,M144&amp;CHAR(10),"")&amp;IF(LEN(N144)&gt;0,N144&amp;newline,"")&amp;IF(LEN(O144)&gt;0,O144&amp;newline,"")&amp;IF(LEN(P144)&gt;0,P144&amp;newline,"")&amp;IF(LEN(Q144)&gt;0,Q144&amp;newline,"")&amp;indent&amp;"break;",indent0&amp;"/* Illegal opcode 0x"&amp;F144&amp;": "&amp;B144&amp;" "&amp;VLOOKUP(G144,AccessModes!$E$2:$G$14,3,FALSE)&amp;" */"&amp;newline)</f>
        <v xml:space="preserve">        case 0x8E: /* STX aaaa */
            cpu.cycles = 4;
            memory_setAbsolute(cpu.X);
            break;</v>
      </c>
      <c r="S144" s="22" t="str">
        <f t="shared" si="11"/>
        <v xml:space="preserve">    {"STX", false, AM_ABS, 4, 0},</v>
      </c>
    </row>
    <row r="145" spans="1:19" ht="25.5" hidden="1" x14ac:dyDescent="0.25">
      <c r="A145" s="28">
        <v>143</v>
      </c>
      <c r="B145" s="28" t="s">
        <v>79</v>
      </c>
      <c r="C145" s="28">
        <v>-1</v>
      </c>
      <c r="D145" s="28" t="s">
        <v>131</v>
      </c>
      <c r="E145" s="28" t="str">
        <f t="shared" si="8"/>
        <v>8F</v>
      </c>
      <c r="F145" s="28" t="str">
        <f t="shared" si="10"/>
        <v>8F</v>
      </c>
      <c r="G145" s="28" t="str">
        <f>_xlfn.IFNA(VLOOKUP(D145,AccessModes!$D$2:$E$14,2,FALSE),"AM_IMP")</f>
        <v>AM_ABS</v>
      </c>
      <c r="H145" s="28">
        <v>4</v>
      </c>
      <c r="I145" s="28">
        <v>0</v>
      </c>
      <c r="J145" s="28"/>
      <c r="K145" s="28"/>
      <c r="L145" s="28"/>
      <c r="M145" s="28" t="str">
        <f>IF(LEN(J145)&gt;0,indent&amp;J145&amp;" = "&amp;VLOOKUP($G145,AccessModes!$E$2:$I$14,4,FALSE),"")</f>
        <v/>
      </c>
      <c r="N145" s="29" t="str">
        <f>indent&amp;"/* TODO: implementation of the action */"</f>
        <v xml:space="preserve">            /* TODO: implementation of the action */</v>
      </c>
      <c r="O145" s="29" t="str">
        <f t="shared" si="9"/>
        <v/>
      </c>
      <c r="P145" s="28" t="str">
        <f>IF(LEN(L145)&gt;0,indent&amp;IF(L145="LAST",AccessModes!$I$16&amp;J145,VLOOKUP($G145,AccessModes!$E$2:$I$14,5,FALSE)&amp;L145)&amp;");","")</f>
        <v/>
      </c>
      <c r="Q145" s="28"/>
      <c r="R145" s="29" t="str">
        <f>IF(C145=0,indent0&amp;"case 0x"&amp;F145&amp;": /* "&amp;B145&amp;" "&amp;VLOOKUP(G145,AccessModes!$E$2:$G$14,3,FALSE)&amp;" */"&amp;newline&amp;indent&amp;"cpu.cycles = "&amp;H145&amp;";"&amp;newline&amp;IF(LEN(M145)&gt;0,M145&amp;CHAR(10),"")&amp;IF(LEN(N145)&gt;0,N145&amp;newline,"")&amp;IF(LEN(O145)&gt;0,O145&amp;newline,"")&amp;IF(LEN(P145)&gt;0,P145&amp;newline,"")&amp;IF(LEN(Q145)&gt;0,Q145&amp;newline,"")&amp;indent&amp;"break;",indent0&amp;"/* Illegal opcode 0x"&amp;F145&amp;": "&amp;B145&amp;" "&amp;VLOOKUP(G145,AccessModes!$E$2:$G$14,3,FALSE)&amp;" */"&amp;newline)</f>
        <v xml:space="preserve">        /* Illegal opcode 0x8F: SAX aaaa */
</v>
      </c>
      <c r="S145" s="28" t="str">
        <f t="shared" si="11"/>
        <v xml:space="preserve">    {"SAX", true , AM_ABS, 4, 0},</v>
      </c>
    </row>
    <row r="146" spans="1:19" ht="102" hidden="1" x14ac:dyDescent="0.25">
      <c r="A146" s="22">
        <v>144</v>
      </c>
      <c r="B146" s="22" t="s">
        <v>86</v>
      </c>
      <c r="C146" s="22">
        <v>0</v>
      </c>
      <c r="D146" s="22" t="s">
        <v>132</v>
      </c>
      <c r="E146" s="22" t="str">
        <f t="shared" si="8"/>
        <v>90</v>
      </c>
      <c r="F146" s="22" t="str">
        <f t="shared" si="10"/>
        <v>90</v>
      </c>
      <c r="G146" s="22" t="str">
        <f>_xlfn.IFNA(VLOOKUP(D146,AccessModes!$D$2:$E$14,2,FALSE),"AM_IMP")</f>
        <v>AM_REL</v>
      </c>
      <c r="H146" s="22">
        <v>2</v>
      </c>
      <c r="I146" s="22">
        <v>1</v>
      </c>
      <c r="J146" s="24" t="s">
        <v>240</v>
      </c>
      <c r="K146" s="24"/>
      <c r="L146" s="24"/>
      <c r="M146" s="22" t="str">
        <f>IF(LEN(J146)&gt;0,indent&amp;J146&amp;" = "&amp;VLOOKUP($G146,AccessModes!$E$2:$I$14,4,FALSE),"")</f>
        <v xml:space="preserve">            value_w = memory_getRelativeAddress();</v>
      </c>
      <c r="N146" s="25" t="str">
        <f>indent&amp;"if(!cpu.PS_C) {"&amp;newline&amp;indent2&amp;"++cpu.cycles;"&amp;newline&amp;indent2&amp;"cpu.PC = "&amp;J146&amp;";"&amp;newline&amp;indent&amp;"}"</f>
        <v xml:space="preserve">            if(!cpu.PS_C) {
                ++cpu.cycles;
                cpu.PC = value_w;
            }</v>
      </c>
      <c r="O146" s="26" t="str">
        <f t="shared" si="9"/>
        <v/>
      </c>
      <c r="P146" s="22" t="str">
        <f>IF(LEN(L146)&gt;0,indent&amp;IF(L146="LAST",AccessModes!$I$16&amp;J146,VLOOKUP($G146,AccessModes!$E$2:$I$14,5,FALSE)&amp;L146)&amp;");","")</f>
        <v/>
      </c>
      <c r="Q146" s="22"/>
      <c r="R146" s="26" t="str">
        <f>IF(C146=0,indent0&amp;"case 0x"&amp;F146&amp;": /* "&amp;B146&amp;" "&amp;VLOOKUP(G146,AccessModes!$E$2:$G$14,3,FALSE)&amp;" */"&amp;newline&amp;indent&amp;"cpu.cycles = "&amp;H146&amp;";"&amp;newline&amp;IF(LEN(M146)&gt;0,M146&amp;CHAR(10),"")&amp;IF(LEN(N146)&gt;0,N146&amp;newline,"")&amp;IF(LEN(O146)&gt;0,O146&amp;newline,"")&amp;IF(LEN(P146)&gt;0,P146&amp;newline,"")&amp;IF(LEN(Q146)&gt;0,Q146&amp;newline,"")&amp;indent&amp;"break;",indent0&amp;"/* Illegal opcode 0x"&amp;F146&amp;": "&amp;B146&amp;" "&amp;VLOOKUP(G146,AccessModes!$E$2:$G$14,3,FALSE)&amp;" */"&amp;newline)</f>
        <v xml:space="preserve">        case 0x90: /* BCC aaaa */
            cpu.cycles = 2;
            value_w = memory_getRelativeAddress();
            if(!cpu.PS_C) {
                ++cpu.cycles;
                cpu.PC = value_w;
            }
            break;</v>
      </c>
      <c r="S146" s="22" t="str">
        <f t="shared" si="11"/>
        <v xml:space="preserve">    {"BCC", false, AM_REL, 2, 1},</v>
      </c>
    </row>
    <row r="147" spans="1:19" ht="51" hidden="1" x14ac:dyDescent="0.25">
      <c r="A147" s="22">
        <v>145</v>
      </c>
      <c r="B147" s="22" t="s">
        <v>78</v>
      </c>
      <c r="C147" s="22">
        <v>0</v>
      </c>
      <c r="D147" s="22" t="s">
        <v>133</v>
      </c>
      <c r="E147" s="22" t="str">
        <f t="shared" si="8"/>
        <v>91</v>
      </c>
      <c r="F147" s="22" t="str">
        <f t="shared" si="10"/>
        <v>91</v>
      </c>
      <c r="G147" s="22" t="str">
        <f>_xlfn.IFNA(VLOOKUP(D147,AccessModes!$D$2:$E$14,2,FALSE),"AM_IMP")</f>
        <v>AM_IIY</v>
      </c>
      <c r="H147" s="22">
        <v>6</v>
      </c>
      <c r="I147" s="22">
        <v>0</v>
      </c>
      <c r="J147" s="22" t="str">
        <f>$J$131</f>
        <v/>
      </c>
      <c r="K147" s="22" t="str">
        <f>$K$131</f>
        <v/>
      </c>
      <c r="L147" s="22" t="str">
        <f>$L$131</f>
        <v>cpu.A</v>
      </c>
      <c r="M147" s="22" t="str">
        <f>IF(LEN(J147)&gt;0,indent&amp;J147&amp;" = "&amp;VLOOKUP($G147,AccessModes!$E$2:$I$14,4,FALSE),"")</f>
        <v/>
      </c>
      <c r="N147" s="26" t="str">
        <f>$N$131</f>
        <v/>
      </c>
      <c r="O147" s="26" t="str">
        <f t="shared" si="9"/>
        <v/>
      </c>
      <c r="P147" s="22" t="str">
        <f>IF(LEN(L147)&gt;0,indent&amp;IF(L147="LAST",AccessModes!$I$16&amp;J147,VLOOKUP($G147,AccessModes!$E$2:$I$14,5,FALSE)&amp;L147)&amp;");","")</f>
        <v xml:space="preserve">            memory_setIndirectIndexedY(cpu.A);</v>
      </c>
      <c r="Q147" s="22"/>
      <c r="R147" s="26" t="str">
        <f>IF(C147=0,indent0&amp;"case 0x"&amp;F147&amp;": /* "&amp;B147&amp;" "&amp;VLOOKUP(G147,AccessModes!$E$2:$G$14,3,FALSE)&amp;" */"&amp;newline&amp;indent&amp;"cpu.cycles = "&amp;H147&amp;";"&amp;newline&amp;IF(LEN(M147)&gt;0,M147&amp;CHAR(10),"")&amp;IF(LEN(N147)&gt;0,N147&amp;newline,"")&amp;IF(LEN(O147)&gt;0,O147&amp;newline,"")&amp;IF(LEN(P147)&gt;0,P147&amp;newline,"")&amp;IF(LEN(Q147)&gt;0,Q147&amp;newline,"")&amp;indent&amp;"break;",indent0&amp;"/* Illegal opcode 0x"&amp;F147&amp;": "&amp;B147&amp;" "&amp;VLOOKUP(G147,AccessModes!$E$2:$G$14,3,FALSE)&amp;" */"&amp;newline)</f>
        <v xml:space="preserve">        case 0x91: /* STA (aa),Y */
            cpu.cycles = 6;
            memory_setIndirectIndexedY(cpu.A);
            break;</v>
      </c>
      <c r="S147" s="22" t="str">
        <f t="shared" si="11"/>
        <v xml:space="preserve">    {"STA", false, AM_IIY, 6, 0},</v>
      </c>
    </row>
    <row r="148" spans="1:19" ht="25.5" hidden="1" x14ac:dyDescent="0.25">
      <c r="A148" s="28">
        <v>146</v>
      </c>
      <c r="B148" s="28" t="s">
        <v>20</v>
      </c>
      <c r="C148" s="28">
        <v>-1</v>
      </c>
      <c r="D148" s="28"/>
      <c r="E148" s="28" t="str">
        <f t="shared" si="8"/>
        <v>92</v>
      </c>
      <c r="F148" s="28" t="str">
        <f t="shared" si="10"/>
        <v>92</v>
      </c>
      <c r="G148" s="28" t="str">
        <f>_xlfn.IFNA(VLOOKUP(D148,AccessModes!$D$2:$E$14,2,FALSE),"AM_IMP")</f>
        <v>AM_IMP</v>
      </c>
      <c r="H148" s="28">
        <v>0</v>
      </c>
      <c r="I148" s="28">
        <v>0</v>
      </c>
      <c r="J148" s="28"/>
      <c r="K148" s="28"/>
      <c r="L148" s="28"/>
      <c r="M148" s="28" t="str">
        <f>IF(LEN(J148)&gt;0,indent&amp;J148&amp;" = "&amp;VLOOKUP($G148,AccessModes!$E$2:$I$14,4,FALSE),"")</f>
        <v/>
      </c>
      <c r="N148" s="29" t="str">
        <f>indent&amp;"/* TODO: implementation of the action */"</f>
        <v xml:space="preserve">            /* TODO: implementation of the action */</v>
      </c>
      <c r="O148" s="29" t="str">
        <f t="shared" si="9"/>
        <v/>
      </c>
      <c r="P148" s="28" t="str">
        <f>IF(LEN(L148)&gt;0,indent&amp;IF(L148="LAST",AccessModes!$I$16&amp;J148,VLOOKUP($G148,AccessModes!$E$2:$I$14,5,FALSE)&amp;L148)&amp;");","")</f>
        <v/>
      </c>
      <c r="Q148" s="28"/>
      <c r="R148" s="29" t="str">
        <f>IF(C148=0,indent0&amp;"case 0x"&amp;F148&amp;": /* "&amp;B148&amp;" "&amp;VLOOKUP(G148,AccessModes!$E$2:$G$14,3,FALSE)&amp;" */"&amp;newline&amp;indent&amp;"cpu.cycles = "&amp;H148&amp;";"&amp;newline&amp;IF(LEN(M148)&gt;0,M148&amp;CHAR(10),"")&amp;IF(LEN(N148)&gt;0,N148&amp;newline,"")&amp;IF(LEN(O148)&gt;0,O148&amp;newline,"")&amp;IF(LEN(P148)&gt;0,P148&amp;newline,"")&amp;IF(LEN(Q148)&gt;0,Q148&amp;newline,"")&amp;indent&amp;"break;",indent0&amp;"/* Illegal opcode 0x"&amp;F148&amp;": "&amp;B148&amp;" "&amp;VLOOKUP(G148,AccessModes!$E$2:$G$14,3,FALSE)&amp;" */"&amp;newline)</f>
        <v xml:space="preserve">        /* Illegal opcode 0x92: KIL  */
</v>
      </c>
      <c r="S148" s="28" t="str">
        <f t="shared" si="11"/>
        <v xml:space="preserve">    {"KIL", true , AM_IMP, 0, 0},</v>
      </c>
    </row>
    <row r="149" spans="1:19" ht="25.5" hidden="1" x14ac:dyDescent="0.25">
      <c r="A149" s="32">
        <v>147</v>
      </c>
      <c r="B149" s="32" t="s">
        <v>88</v>
      </c>
      <c r="C149" s="28">
        <v>-1</v>
      </c>
      <c r="D149" s="32" t="s">
        <v>133</v>
      </c>
      <c r="E149" s="32" t="str">
        <f t="shared" si="8"/>
        <v>93</v>
      </c>
      <c r="F149" s="32" t="str">
        <f t="shared" si="10"/>
        <v>93</v>
      </c>
      <c r="G149" s="32" t="str">
        <f>_xlfn.IFNA(VLOOKUP(D149,AccessModes!$D$2:$E$14,2,FALSE),"AM_IMP")</f>
        <v>AM_IIY</v>
      </c>
      <c r="H149" s="32">
        <v>6</v>
      </c>
      <c r="I149" s="32">
        <v>0</v>
      </c>
      <c r="J149" s="28"/>
      <c r="K149" s="28"/>
      <c r="L149" s="28"/>
      <c r="M149" s="32" t="str">
        <f>IF(LEN(J149)&gt;0,indent&amp;J149&amp;" = "&amp;VLOOKUP($G149,AccessModes!$E$2:$I$14,4,FALSE),"")</f>
        <v/>
      </c>
      <c r="N149" s="33" t="str">
        <f>indent&amp;"/* TODO: implementation of the action */"</f>
        <v xml:space="preserve">            /* TODO: implementation of the action */</v>
      </c>
      <c r="O149" s="33" t="str">
        <f t="shared" si="9"/>
        <v/>
      </c>
      <c r="P149" s="32" t="str">
        <f>IF(LEN(L149)&gt;0,indent&amp;IF(L149="LAST",AccessModes!$I$16&amp;J149,VLOOKUP($G149,AccessModes!$E$2:$I$14,5,FALSE)&amp;L149)&amp;");","")</f>
        <v/>
      </c>
      <c r="Q149" s="32"/>
      <c r="R149" s="33" t="str">
        <f>IF(C149=0,indent0&amp;"case 0x"&amp;F149&amp;": /* "&amp;B149&amp;" "&amp;VLOOKUP(G149,AccessModes!$E$2:$G$14,3,FALSE)&amp;" */"&amp;newline&amp;indent&amp;"cpu.cycles = "&amp;H149&amp;";"&amp;newline&amp;IF(LEN(M149)&gt;0,M149&amp;CHAR(10),"")&amp;IF(LEN(N149)&gt;0,N149&amp;newline,"")&amp;IF(LEN(O149)&gt;0,O149&amp;newline,"")&amp;IF(LEN(P149)&gt;0,P149&amp;newline,"")&amp;IF(LEN(Q149)&gt;0,Q149&amp;newline,"")&amp;indent&amp;"break;",indent0&amp;"/* Illegal opcode 0x"&amp;F149&amp;": "&amp;B149&amp;" "&amp;VLOOKUP(G149,AccessModes!$E$2:$G$14,3,FALSE)&amp;" */"&amp;newline)</f>
        <v xml:space="preserve">        /* Illegal opcode 0x93: AHX (aa),Y */
</v>
      </c>
      <c r="S149" s="32" t="str">
        <f t="shared" si="11"/>
        <v xml:space="preserve">    {"AHX", true , AM_IIY, 6, 0},</v>
      </c>
    </row>
    <row r="150" spans="1:19" ht="51" hidden="1" x14ac:dyDescent="0.25">
      <c r="A150" s="22">
        <v>148</v>
      </c>
      <c r="B150" s="22" t="s">
        <v>80</v>
      </c>
      <c r="C150" s="22">
        <v>0</v>
      </c>
      <c r="D150" s="22" t="s">
        <v>134</v>
      </c>
      <c r="E150" s="22" t="str">
        <f t="shared" si="8"/>
        <v>94</v>
      </c>
      <c r="F150" s="22" t="str">
        <f t="shared" si="10"/>
        <v>94</v>
      </c>
      <c r="G150" s="22" t="str">
        <f>_xlfn.IFNA(VLOOKUP(D150,AccessModes!$D$2:$E$14,2,FALSE),"AM_IMP")</f>
        <v>AM_ZIX</v>
      </c>
      <c r="H150" s="22">
        <v>4</v>
      </c>
      <c r="I150" s="22">
        <v>0</v>
      </c>
      <c r="J150" s="22" t="str">
        <f>$J$134</f>
        <v/>
      </c>
      <c r="K150" s="22" t="str">
        <f>$K$134</f>
        <v/>
      </c>
      <c r="L150" s="22" t="str">
        <f>$L$134</f>
        <v>cpu.Y</v>
      </c>
      <c r="M150" s="22" t="str">
        <f>IF(LEN(J150)&gt;0,indent&amp;J150&amp;" = "&amp;VLOOKUP($G150,AccessModes!$E$2:$I$14,4,FALSE),"")</f>
        <v/>
      </c>
      <c r="N150" s="26" t="str">
        <f>$N$134</f>
        <v/>
      </c>
      <c r="O150" s="26" t="str">
        <f t="shared" si="9"/>
        <v/>
      </c>
      <c r="P150" s="22" t="str">
        <f>IF(LEN(L150)&gt;0,indent&amp;IF(L150="LAST",AccessModes!$I$16&amp;J150,VLOOKUP($G150,AccessModes!$E$2:$I$14,5,FALSE)&amp;L150)&amp;");","")</f>
        <v xml:space="preserve">            memory_setZeroPageIndexedX(cpu.Y);</v>
      </c>
      <c r="Q150" s="22"/>
      <c r="R150" s="26" t="str">
        <f>IF(C150=0,indent0&amp;"case 0x"&amp;F150&amp;": /* "&amp;B150&amp;" "&amp;VLOOKUP(G150,AccessModes!$E$2:$G$14,3,FALSE)&amp;" */"&amp;newline&amp;indent&amp;"cpu.cycles = "&amp;H150&amp;";"&amp;newline&amp;IF(LEN(M150)&gt;0,M150&amp;CHAR(10),"")&amp;IF(LEN(N150)&gt;0,N150&amp;newline,"")&amp;IF(LEN(O150)&gt;0,O150&amp;newline,"")&amp;IF(LEN(P150)&gt;0,P150&amp;newline,"")&amp;IF(LEN(Q150)&gt;0,Q150&amp;newline,"")&amp;indent&amp;"break;",indent0&amp;"/* Illegal opcode 0x"&amp;F150&amp;": "&amp;B150&amp;" "&amp;VLOOKUP(G150,AccessModes!$E$2:$G$14,3,FALSE)&amp;" */"&amp;newline)</f>
        <v xml:space="preserve">        case 0x94: /* STY aa,X */
            cpu.cycles = 4;
            memory_setZeroPageIndexedX(cpu.Y);
            break;</v>
      </c>
      <c r="S150" s="22" t="str">
        <f t="shared" si="11"/>
        <v xml:space="preserve">    {"STY", false, AM_ZIX, 4, 0},</v>
      </c>
    </row>
    <row r="151" spans="1:19" ht="51" hidden="1" x14ac:dyDescent="0.25">
      <c r="A151" s="22">
        <v>149</v>
      </c>
      <c r="B151" s="22" t="s">
        <v>78</v>
      </c>
      <c r="C151" s="22">
        <v>0</v>
      </c>
      <c r="D151" s="22" t="s">
        <v>134</v>
      </c>
      <c r="E151" s="22" t="str">
        <f t="shared" si="8"/>
        <v>95</v>
      </c>
      <c r="F151" s="22" t="str">
        <f t="shared" si="10"/>
        <v>95</v>
      </c>
      <c r="G151" s="22" t="str">
        <f>_xlfn.IFNA(VLOOKUP(D151,AccessModes!$D$2:$E$14,2,FALSE),"AM_IMP")</f>
        <v>AM_ZIX</v>
      </c>
      <c r="H151" s="22">
        <v>4</v>
      </c>
      <c r="I151" s="22">
        <v>0</v>
      </c>
      <c r="J151" s="22" t="str">
        <f>$J$131</f>
        <v/>
      </c>
      <c r="K151" s="22" t="str">
        <f>$K$131</f>
        <v/>
      </c>
      <c r="L151" s="22" t="str">
        <f>$L$131</f>
        <v>cpu.A</v>
      </c>
      <c r="M151" s="22" t="str">
        <f>IF(LEN(J151)&gt;0,indent&amp;J151&amp;" = "&amp;VLOOKUP($G151,AccessModes!$E$2:$I$14,4,FALSE),"")</f>
        <v/>
      </c>
      <c r="N151" s="26" t="str">
        <f>$N$131</f>
        <v/>
      </c>
      <c r="O151" s="26" t="str">
        <f t="shared" si="9"/>
        <v/>
      </c>
      <c r="P151" s="22" t="str">
        <f>IF(LEN(L151)&gt;0,indent&amp;IF(L151="LAST",AccessModes!$I$16&amp;J151,VLOOKUP($G151,AccessModes!$E$2:$I$14,5,FALSE)&amp;L151)&amp;");","")</f>
        <v xml:space="preserve">            memory_setZeroPageIndexedX(cpu.A);</v>
      </c>
      <c r="Q151" s="22"/>
      <c r="R151" s="26" t="str">
        <f>IF(C151=0,indent0&amp;"case 0x"&amp;F151&amp;": /* "&amp;B151&amp;" "&amp;VLOOKUP(G151,AccessModes!$E$2:$G$14,3,FALSE)&amp;" */"&amp;newline&amp;indent&amp;"cpu.cycles = "&amp;H151&amp;";"&amp;newline&amp;IF(LEN(M151)&gt;0,M151&amp;CHAR(10),"")&amp;IF(LEN(N151)&gt;0,N151&amp;newline,"")&amp;IF(LEN(O151)&gt;0,O151&amp;newline,"")&amp;IF(LEN(P151)&gt;0,P151&amp;newline,"")&amp;IF(LEN(Q151)&gt;0,Q151&amp;newline,"")&amp;indent&amp;"break;",indent0&amp;"/* Illegal opcode 0x"&amp;F151&amp;": "&amp;B151&amp;" "&amp;VLOOKUP(G151,AccessModes!$E$2:$G$14,3,FALSE)&amp;" */"&amp;newline)</f>
        <v xml:space="preserve">        case 0x95: /* STA aa,X */
            cpu.cycles = 4;
            memory_setZeroPageIndexedX(cpu.A);
            break;</v>
      </c>
      <c r="S151" s="22" t="str">
        <f t="shared" si="11"/>
        <v xml:space="preserve">    {"STA", false, AM_ZIX, 4, 0},</v>
      </c>
    </row>
    <row r="152" spans="1:19" ht="51" hidden="1" x14ac:dyDescent="0.25">
      <c r="A152" s="22">
        <v>150</v>
      </c>
      <c r="B152" s="22" t="s">
        <v>81</v>
      </c>
      <c r="C152" s="22">
        <v>0</v>
      </c>
      <c r="D152" s="22" t="s">
        <v>138</v>
      </c>
      <c r="E152" s="22" t="str">
        <f t="shared" si="8"/>
        <v>96</v>
      </c>
      <c r="F152" s="22" t="str">
        <f t="shared" si="10"/>
        <v>96</v>
      </c>
      <c r="G152" s="22" t="str">
        <f>_xlfn.IFNA(VLOOKUP(D152,AccessModes!$D$2:$E$14,2,FALSE),"AM_IMP")</f>
        <v>AM_ZIY</v>
      </c>
      <c r="H152" s="22">
        <v>4</v>
      </c>
      <c r="I152" s="22">
        <v>0</v>
      </c>
      <c r="J152" s="22" t="str">
        <f>$J$136</f>
        <v/>
      </c>
      <c r="K152" s="22" t="str">
        <f>$K$136</f>
        <v/>
      </c>
      <c r="L152" s="22" t="str">
        <f>$L$136</f>
        <v>cpu.X</v>
      </c>
      <c r="M152" s="22" t="str">
        <f>IF(LEN(J152)&gt;0,indent&amp;J152&amp;" = "&amp;VLOOKUP($G152,AccessModes!$E$2:$I$14,4,FALSE),"")</f>
        <v/>
      </c>
      <c r="N152" s="26" t="str">
        <f>$N$136</f>
        <v/>
      </c>
      <c r="O152" s="26" t="str">
        <f t="shared" si="9"/>
        <v/>
      </c>
      <c r="P152" s="22" t="str">
        <f>IF(LEN(L152)&gt;0,indent&amp;IF(L152="LAST",AccessModes!$I$16&amp;J152,VLOOKUP($G152,AccessModes!$E$2:$I$14,5,FALSE)&amp;L152)&amp;");","")</f>
        <v xml:space="preserve">            memory_setZeroPageIndexedY(cpu.X);</v>
      </c>
      <c r="Q152" s="22"/>
      <c r="R152" s="26" t="str">
        <f>IF(C152=0,indent0&amp;"case 0x"&amp;F152&amp;": /* "&amp;B152&amp;" "&amp;VLOOKUP(G152,AccessModes!$E$2:$G$14,3,FALSE)&amp;" */"&amp;newline&amp;indent&amp;"cpu.cycles = "&amp;H152&amp;";"&amp;newline&amp;IF(LEN(M152)&gt;0,M152&amp;CHAR(10),"")&amp;IF(LEN(N152)&gt;0,N152&amp;newline,"")&amp;IF(LEN(O152)&gt;0,O152&amp;newline,"")&amp;IF(LEN(P152)&gt;0,P152&amp;newline,"")&amp;IF(LEN(Q152)&gt;0,Q152&amp;newline,"")&amp;indent&amp;"break;",indent0&amp;"/* Illegal opcode 0x"&amp;F152&amp;": "&amp;B152&amp;" "&amp;VLOOKUP(G152,AccessModes!$E$2:$G$14,3,FALSE)&amp;" */"&amp;newline)</f>
        <v xml:space="preserve">        case 0x96: /* STX aa,Y */
            cpu.cycles = 4;
            memory_setZeroPageIndexedY(cpu.X);
            break;</v>
      </c>
      <c r="S152" s="22" t="str">
        <f t="shared" si="11"/>
        <v xml:space="preserve">    {"STX", false, AM_ZIY, 4, 0},</v>
      </c>
    </row>
    <row r="153" spans="1:19" ht="25.5" hidden="1" x14ac:dyDescent="0.25">
      <c r="A153" s="28">
        <v>151</v>
      </c>
      <c r="B153" s="28" t="s">
        <v>79</v>
      </c>
      <c r="C153" s="28">
        <v>-1</v>
      </c>
      <c r="D153" s="28" t="s">
        <v>138</v>
      </c>
      <c r="E153" s="28" t="str">
        <f t="shared" si="8"/>
        <v>97</v>
      </c>
      <c r="F153" s="28" t="str">
        <f t="shared" si="10"/>
        <v>97</v>
      </c>
      <c r="G153" s="28" t="str">
        <f>_xlfn.IFNA(VLOOKUP(D153,AccessModes!$D$2:$E$14,2,FALSE),"AM_IMP")</f>
        <v>AM_ZIY</v>
      </c>
      <c r="H153" s="28">
        <v>4</v>
      </c>
      <c r="I153" s="28">
        <v>0</v>
      </c>
      <c r="J153" s="28"/>
      <c r="K153" s="28"/>
      <c r="L153" s="28"/>
      <c r="M153" s="28" t="str">
        <f>IF(LEN(J153)&gt;0,indent&amp;J153&amp;" = "&amp;VLOOKUP($G153,AccessModes!$E$2:$I$14,4,FALSE),"")</f>
        <v/>
      </c>
      <c r="N153" s="29" t="str">
        <f>indent&amp;"/* TODO: implementation of the action */"</f>
        <v xml:space="preserve">            /* TODO: implementation of the action */</v>
      </c>
      <c r="O153" s="29" t="str">
        <f t="shared" si="9"/>
        <v/>
      </c>
      <c r="P153" s="28" t="str">
        <f>IF(LEN(L153)&gt;0,indent&amp;IF(L153="LAST",AccessModes!$I$16&amp;J153,VLOOKUP($G153,AccessModes!$E$2:$I$14,5,FALSE)&amp;L153)&amp;");","")</f>
        <v/>
      </c>
      <c r="Q153" s="28"/>
      <c r="R153" s="29" t="str">
        <f>IF(C153=0,indent0&amp;"case 0x"&amp;F153&amp;": /* "&amp;B153&amp;" "&amp;VLOOKUP(G153,AccessModes!$E$2:$G$14,3,FALSE)&amp;" */"&amp;newline&amp;indent&amp;"cpu.cycles = "&amp;H153&amp;";"&amp;newline&amp;IF(LEN(M153)&gt;0,M153&amp;CHAR(10),"")&amp;IF(LEN(N153)&gt;0,N153&amp;newline,"")&amp;IF(LEN(O153)&gt;0,O153&amp;newline,"")&amp;IF(LEN(P153)&gt;0,P153&amp;newline,"")&amp;IF(LEN(Q153)&gt;0,Q153&amp;newline,"")&amp;indent&amp;"break;",indent0&amp;"/* Illegal opcode 0x"&amp;F153&amp;": "&amp;B153&amp;" "&amp;VLOOKUP(G153,AccessModes!$E$2:$G$14,3,FALSE)&amp;" */"&amp;newline)</f>
        <v xml:space="preserve">        /* Illegal opcode 0x97: SAX aa,Y */
</v>
      </c>
      <c r="S153" s="28" t="str">
        <f t="shared" si="11"/>
        <v xml:space="preserve">    {"SAX", true , AM_ZIY, 4, 0},</v>
      </c>
    </row>
    <row r="154" spans="1:19" ht="76.5" hidden="1" x14ac:dyDescent="0.25">
      <c r="A154" s="22">
        <v>152</v>
      </c>
      <c r="B154" s="22" t="s">
        <v>90</v>
      </c>
      <c r="C154" s="22">
        <v>0</v>
      </c>
      <c r="D154" s="22" t="s">
        <v>139</v>
      </c>
      <c r="E154" s="22" t="str">
        <f t="shared" si="8"/>
        <v>98</v>
      </c>
      <c r="F154" s="22" t="str">
        <f t="shared" si="10"/>
        <v>98</v>
      </c>
      <c r="G154" s="22" t="str">
        <f>_xlfn.IFNA(VLOOKUP(D154,AccessModes!$D$2:$E$14,2,FALSE),"AM_IMP")</f>
        <v>AM_IMP</v>
      </c>
      <c r="H154" s="22">
        <v>2</v>
      </c>
      <c r="I154" s="22">
        <v>0</v>
      </c>
      <c r="J154" s="24"/>
      <c r="K154" s="24" t="s">
        <v>215</v>
      </c>
      <c r="L154" s="24"/>
      <c r="M154" s="22" t="str">
        <f>IF(LEN(J154)&gt;0,indent&amp;J154&amp;" = "&amp;VLOOKUP($G154,AccessModes!$E$2:$I$14,4,FALSE),"")</f>
        <v/>
      </c>
      <c r="N154" s="25" t="str">
        <f>indent&amp;"cpu.A = cpu.Y;"</f>
        <v xml:space="preserve">            cpu.A = cpu.Y;</v>
      </c>
      <c r="O154" s="26" t="str">
        <f t="shared" si="9"/>
        <v xml:space="preserve">            cpu.PS_N = ((cpu.A &amp; 0x80) != 0);
            cpu.PS_Z = (cpu.A == 0);</v>
      </c>
      <c r="P154" s="22" t="str">
        <f>IF(LEN(L154)&gt;0,indent&amp;IF(L154="LAST",AccessModes!$I$16&amp;J154,VLOOKUP($G154,AccessModes!$E$2:$I$14,5,FALSE)&amp;L154)&amp;");","")</f>
        <v/>
      </c>
      <c r="Q154" s="22"/>
      <c r="R154" s="26" t="str">
        <f>IF(C154=0,indent0&amp;"case 0x"&amp;F154&amp;": /* "&amp;B154&amp;" "&amp;VLOOKUP(G154,AccessModes!$E$2:$G$14,3,FALSE)&amp;" */"&amp;newline&amp;indent&amp;"cpu.cycles = "&amp;H154&amp;";"&amp;newline&amp;IF(LEN(M154)&gt;0,M154&amp;CHAR(10),"")&amp;IF(LEN(N154)&gt;0,N154&amp;newline,"")&amp;IF(LEN(O154)&gt;0,O154&amp;newline,"")&amp;IF(LEN(P154)&gt;0,P154&amp;newline,"")&amp;IF(LEN(Q154)&gt;0,Q154&amp;newline,"")&amp;indent&amp;"break;",indent0&amp;"/* Illegal opcode 0x"&amp;F154&amp;": "&amp;B154&amp;" "&amp;VLOOKUP(G154,AccessModes!$E$2:$G$14,3,FALSE)&amp;" */"&amp;newline)</f>
        <v xml:space="preserve">        case 0x98: /* TYA  */
            cpu.cycles = 2;
            cpu.A = cpu.Y;
            cpu.PS_N = ((cpu.A &amp; 0x80) != 0);
            cpu.PS_Z = (cpu.A == 0);
            break;</v>
      </c>
      <c r="S154" s="22" t="str">
        <f t="shared" si="11"/>
        <v xml:space="preserve">    {"TYA", false, AM_IMP, 2, 0},</v>
      </c>
    </row>
    <row r="155" spans="1:19" ht="51" hidden="1" x14ac:dyDescent="0.25">
      <c r="A155" s="22">
        <v>153</v>
      </c>
      <c r="B155" s="22" t="s">
        <v>78</v>
      </c>
      <c r="C155" s="22">
        <v>0</v>
      </c>
      <c r="D155" s="22" t="s">
        <v>135</v>
      </c>
      <c r="E155" s="22" t="str">
        <f t="shared" si="8"/>
        <v>99</v>
      </c>
      <c r="F155" s="22" t="str">
        <f t="shared" si="10"/>
        <v>99</v>
      </c>
      <c r="G155" s="22" t="str">
        <f>_xlfn.IFNA(VLOOKUP(D155,AccessModes!$D$2:$E$14,2,FALSE),"AM_IMP")</f>
        <v>AM_AIY</v>
      </c>
      <c r="H155" s="22">
        <v>5</v>
      </c>
      <c r="I155" s="22">
        <v>0</v>
      </c>
      <c r="J155" s="22" t="str">
        <f>$J$131</f>
        <v/>
      </c>
      <c r="K155" s="22" t="str">
        <f>$K$131</f>
        <v/>
      </c>
      <c r="L155" s="22" t="str">
        <f>$L$131</f>
        <v>cpu.A</v>
      </c>
      <c r="M155" s="22" t="str">
        <f>IF(LEN(J155)&gt;0,indent&amp;J155&amp;" = "&amp;VLOOKUP($G155,AccessModes!$E$2:$I$14,4,FALSE),"")</f>
        <v/>
      </c>
      <c r="N155" s="26" t="str">
        <f>$N$131</f>
        <v/>
      </c>
      <c r="O155" s="26" t="str">
        <f t="shared" si="9"/>
        <v/>
      </c>
      <c r="P155" s="22" t="str">
        <f>IF(LEN(L155)&gt;0,indent&amp;IF(L155="LAST",AccessModes!$I$16&amp;J155,VLOOKUP($G155,AccessModes!$E$2:$I$14,5,FALSE)&amp;L155)&amp;");","")</f>
        <v xml:space="preserve">            memory_setAbsoluteIndexedY(cpu.A);</v>
      </c>
      <c r="Q155" s="22"/>
      <c r="R155" s="26" t="str">
        <f>IF(C155=0,indent0&amp;"case 0x"&amp;F155&amp;": /* "&amp;B155&amp;" "&amp;VLOOKUP(G155,AccessModes!$E$2:$G$14,3,FALSE)&amp;" */"&amp;newline&amp;indent&amp;"cpu.cycles = "&amp;H155&amp;";"&amp;newline&amp;IF(LEN(M155)&gt;0,M155&amp;CHAR(10),"")&amp;IF(LEN(N155)&gt;0,N155&amp;newline,"")&amp;IF(LEN(O155)&gt;0,O155&amp;newline,"")&amp;IF(LEN(P155)&gt;0,P155&amp;newline,"")&amp;IF(LEN(Q155)&gt;0,Q155&amp;newline,"")&amp;indent&amp;"break;",indent0&amp;"/* Illegal opcode 0x"&amp;F155&amp;": "&amp;B155&amp;" "&amp;VLOOKUP(G155,AccessModes!$E$2:$G$14,3,FALSE)&amp;" */"&amp;newline)</f>
        <v xml:space="preserve">        case 0x99: /* STA aaaa,Y */
            cpu.cycles = 5;
            memory_setAbsoluteIndexedY(cpu.A);
            break;</v>
      </c>
      <c r="S155" s="22" t="str">
        <f t="shared" si="11"/>
        <v xml:space="preserve">    {"STA", false, AM_AIY, 5, 0},</v>
      </c>
    </row>
    <row r="156" spans="1:19" ht="51" hidden="1" x14ac:dyDescent="0.25">
      <c r="A156" s="22">
        <v>154</v>
      </c>
      <c r="B156" s="22" t="s">
        <v>92</v>
      </c>
      <c r="C156" s="22">
        <v>0</v>
      </c>
      <c r="D156" s="22" t="s">
        <v>139</v>
      </c>
      <c r="E156" s="22" t="str">
        <f t="shared" si="8"/>
        <v>9A</v>
      </c>
      <c r="F156" s="22" t="str">
        <f t="shared" si="10"/>
        <v>9A</v>
      </c>
      <c r="G156" s="22" t="str">
        <f>_xlfn.IFNA(VLOOKUP(D156,AccessModes!$D$2:$E$14,2,FALSE),"AM_IMP")</f>
        <v>AM_IMP</v>
      </c>
      <c r="H156" s="22">
        <v>2</v>
      </c>
      <c r="I156" s="22">
        <v>0</v>
      </c>
      <c r="J156" s="24"/>
      <c r="K156" s="24"/>
      <c r="L156" s="24"/>
      <c r="M156" s="22" t="str">
        <f>IF(LEN(J156)&gt;0,indent&amp;J156&amp;" = "&amp;VLOOKUP($G156,AccessModes!$E$2:$I$14,4,FALSE),"")</f>
        <v/>
      </c>
      <c r="N156" s="25" t="str">
        <f>indent&amp;"cpu.SP = cpu.X;"</f>
        <v xml:space="preserve">            cpu.SP = cpu.X;</v>
      </c>
      <c r="O156" s="26" t="str">
        <f t="shared" si="9"/>
        <v/>
      </c>
      <c r="P156" s="22" t="str">
        <f>IF(LEN(L156)&gt;0,indent&amp;IF(L156="LAST",AccessModes!$I$16&amp;J156,VLOOKUP($G156,AccessModes!$E$2:$I$14,5,FALSE)&amp;L156)&amp;");","")</f>
        <v/>
      </c>
      <c r="Q156" s="22"/>
      <c r="R156" s="26" t="str">
        <f>IF(C156=0,indent0&amp;"case 0x"&amp;F156&amp;": /* "&amp;B156&amp;" "&amp;VLOOKUP(G156,AccessModes!$E$2:$G$14,3,FALSE)&amp;" */"&amp;newline&amp;indent&amp;"cpu.cycles = "&amp;H156&amp;";"&amp;newline&amp;IF(LEN(M156)&gt;0,M156&amp;CHAR(10),"")&amp;IF(LEN(N156)&gt;0,N156&amp;newline,"")&amp;IF(LEN(O156)&gt;0,O156&amp;newline,"")&amp;IF(LEN(P156)&gt;0,P156&amp;newline,"")&amp;IF(LEN(Q156)&gt;0,Q156&amp;newline,"")&amp;indent&amp;"break;",indent0&amp;"/* Illegal opcode 0x"&amp;F156&amp;": "&amp;B156&amp;" "&amp;VLOOKUP(G156,AccessModes!$E$2:$G$14,3,FALSE)&amp;" */"&amp;newline)</f>
        <v xml:space="preserve">        case 0x9A: /* TXS  */
            cpu.cycles = 2;
            cpu.SP = cpu.X;
            break;</v>
      </c>
      <c r="S156" s="22" t="str">
        <f t="shared" si="11"/>
        <v xml:space="preserve">    {"TXS", false, AM_IMP, 2, 0},</v>
      </c>
    </row>
    <row r="157" spans="1:19" ht="25.5" hidden="1" x14ac:dyDescent="0.25">
      <c r="A157" s="32">
        <v>155</v>
      </c>
      <c r="B157" s="32" t="s">
        <v>93</v>
      </c>
      <c r="C157" s="28">
        <v>-1</v>
      </c>
      <c r="D157" s="32" t="s">
        <v>135</v>
      </c>
      <c r="E157" s="32" t="str">
        <f t="shared" si="8"/>
        <v>9B</v>
      </c>
      <c r="F157" s="32" t="str">
        <f t="shared" si="10"/>
        <v>9B</v>
      </c>
      <c r="G157" s="32" t="str">
        <f>_xlfn.IFNA(VLOOKUP(D157,AccessModes!$D$2:$E$14,2,FALSE),"AM_IMP")</f>
        <v>AM_AIY</v>
      </c>
      <c r="H157" s="32">
        <v>5</v>
      </c>
      <c r="I157" s="32">
        <v>0</v>
      </c>
      <c r="J157" s="28"/>
      <c r="K157" s="28"/>
      <c r="L157" s="28"/>
      <c r="M157" s="32" t="str">
        <f>IF(LEN(J157)&gt;0,indent&amp;J157&amp;" = "&amp;VLOOKUP($G157,AccessModes!$E$2:$I$14,4,FALSE),"")</f>
        <v/>
      </c>
      <c r="N157" s="33" t="str">
        <f>indent&amp;"/* TODO: implementation of the action */"</f>
        <v xml:space="preserve">            /* TODO: implementation of the action */</v>
      </c>
      <c r="O157" s="33" t="str">
        <f t="shared" si="9"/>
        <v/>
      </c>
      <c r="P157" s="32" t="str">
        <f>IF(LEN(L157)&gt;0,indent&amp;IF(L157="LAST",AccessModes!$I$16&amp;J157,VLOOKUP($G157,AccessModes!$E$2:$I$14,5,FALSE)&amp;L157)&amp;");","")</f>
        <v/>
      </c>
      <c r="Q157" s="32"/>
      <c r="R157" s="33" t="str">
        <f>IF(C157=0,indent0&amp;"case 0x"&amp;F157&amp;": /* "&amp;B157&amp;" "&amp;VLOOKUP(G157,AccessModes!$E$2:$G$14,3,FALSE)&amp;" */"&amp;newline&amp;indent&amp;"cpu.cycles = "&amp;H157&amp;";"&amp;newline&amp;IF(LEN(M157)&gt;0,M157&amp;CHAR(10),"")&amp;IF(LEN(N157)&gt;0,N157&amp;newline,"")&amp;IF(LEN(O157)&gt;0,O157&amp;newline,"")&amp;IF(LEN(P157)&gt;0,P157&amp;newline,"")&amp;IF(LEN(Q157)&gt;0,Q157&amp;newline,"")&amp;indent&amp;"break;",indent0&amp;"/* Illegal opcode 0x"&amp;F157&amp;": "&amp;B157&amp;" "&amp;VLOOKUP(G157,AccessModes!$E$2:$G$14,3,FALSE)&amp;" */"&amp;newline)</f>
        <v xml:space="preserve">        /* Illegal opcode 0x9B: TAS aaaa,Y */
</v>
      </c>
      <c r="S157" s="32" t="str">
        <f t="shared" si="11"/>
        <v xml:space="preserve">    {"TAS", true , AM_AIY, 5, 0},</v>
      </c>
    </row>
    <row r="158" spans="1:19" ht="25.5" hidden="1" x14ac:dyDescent="0.25">
      <c r="A158" s="32">
        <v>156</v>
      </c>
      <c r="B158" s="32" t="s">
        <v>94</v>
      </c>
      <c r="C158" s="28">
        <v>-1</v>
      </c>
      <c r="D158" s="32" t="s">
        <v>136</v>
      </c>
      <c r="E158" s="32" t="str">
        <f t="shared" si="8"/>
        <v>9C</v>
      </c>
      <c r="F158" s="32" t="str">
        <f t="shared" si="10"/>
        <v>9C</v>
      </c>
      <c r="G158" s="32" t="str">
        <f>_xlfn.IFNA(VLOOKUP(D158,AccessModes!$D$2:$E$14,2,FALSE),"AM_IMP")</f>
        <v>AM_AIX</v>
      </c>
      <c r="H158" s="32">
        <v>5</v>
      </c>
      <c r="I158" s="32">
        <v>0</v>
      </c>
      <c r="J158" s="28"/>
      <c r="K158" s="28"/>
      <c r="L158" s="28"/>
      <c r="M158" s="32" t="str">
        <f>IF(LEN(J158)&gt;0,indent&amp;J158&amp;" = "&amp;VLOOKUP($G158,AccessModes!$E$2:$I$14,4,FALSE),"")</f>
        <v/>
      </c>
      <c r="N158" s="33" t="str">
        <f>indent&amp;"/* TODO: implementation of the action */"</f>
        <v xml:space="preserve">            /* TODO: implementation of the action */</v>
      </c>
      <c r="O158" s="33" t="str">
        <f t="shared" si="9"/>
        <v/>
      </c>
      <c r="P158" s="32" t="str">
        <f>IF(LEN(L158)&gt;0,indent&amp;IF(L158="LAST",AccessModes!$I$16&amp;J158,VLOOKUP($G158,AccessModes!$E$2:$I$14,5,FALSE)&amp;L158)&amp;");","")</f>
        <v/>
      </c>
      <c r="Q158" s="32"/>
      <c r="R158" s="33" t="str">
        <f>IF(C158=0,indent0&amp;"case 0x"&amp;F158&amp;": /* "&amp;B158&amp;" "&amp;VLOOKUP(G158,AccessModes!$E$2:$G$14,3,FALSE)&amp;" */"&amp;newline&amp;indent&amp;"cpu.cycles = "&amp;H158&amp;";"&amp;newline&amp;IF(LEN(M158)&gt;0,M158&amp;CHAR(10),"")&amp;IF(LEN(N158)&gt;0,N158&amp;newline,"")&amp;IF(LEN(O158)&gt;0,O158&amp;newline,"")&amp;IF(LEN(P158)&gt;0,P158&amp;newline,"")&amp;IF(LEN(Q158)&gt;0,Q158&amp;newline,"")&amp;indent&amp;"break;",indent0&amp;"/* Illegal opcode 0x"&amp;F158&amp;": "&amp;B158&amp;" "&amp;VLOOKUP(G158,AccessModes!$E$2:$G$14,3,FALSE)&amp;" */"&amp;newline)</f>
        <v xml:space="preserve">        /* Illegal opcode 0x9C: SHY aaaa,X */
</v>
      </c>
      <c r="S158" s="32" t="str">
        <f t="shared" si="11"/>
        <v xml:space="preserve">    {"SHY", true , AM_AIX, 5, 0},</v>
      </c>
    </row>
    <row r="159" spans="1:19" ht="51" hidden="1" x14ac:dyDescent="0.25">
      <c r="A159" s="22">
        <v>157</v>
      </c>
      <c r="B159" s="22" t="s">
        <v>78</v>
      </c>
      <c r="C159" s="22">
        <v>0</v>
      </c>
      <c r="D159" s="22" t="s">
        <v>136</v>
      </c>
      <c r="E159" s="22" t="str">
        <f t="shared" si="8"/>
        <v>9D</v>
      </c>
      <c r="F159" s="22" t="str">
        <f t="shared" si="10"/>
        <v>9D</v>
      </c>
      <c r="G159" s="22" t="str">
        <f>_xlfn.IFNA(VLOOKUP(D159,AccessModes!$D$2:$E$14,2,FALSE),"AM_IMP")</f>
        <v>AM_AIX</v>
      </c>
      <c r="H159" s="22">
        <v>5</v>
      </c>
      <c r="I159" s="22">
        <v>0</v>
      </c>
      <c r="J159" s="22" t="str">
        <f>$J$131</f>
        <v/>
      </c>
      <c r="K159" s="22" t="str">
        <f>$K$131</f>
        <v/>
      </c>
      <c r="L159" s="22" t="str">
        <f>$L$131</f>
        <v>cpu.A</v>
      </c>
      <c r="M159" s="22" t="str">
        <f>IF(LEN(J159)&gt;0,indent&amp;J159&amp;" = "&amp;VLOOKUP($G159,AccessModes!$E$2:$I$14,4,FALSE),"")</f>
        <v/>
      </c>
      <c r="N159" s="26" t="str">
        <f>$N$131</f>
        <v/>
      </c>
      <c r="O159" s="26" t="str">
        <f t="shared" si="9"/>
        <v/>
      </c>
      <c r="P159" s="22" t="str">
        <f>IF(LEN(L159)&gt;0,indent&amp;IF(L159="LAST",AccessModes!$I$16&amp;J159,VLOOKUP($G159,AccessModes!$E$2:$I$14,5,FALSE)&amp;L159)&amp;");","")</f>
        <v xml:space="preserve">            memory_setAbsoluteIndexedX(cpu.A);</v>
      </c>
      <c r="Q159" s="22"/>
      <c r="R159" s="26" t="str">
        <f>IF(C159=0,indent0&amp;"case 0x"&amp;F159&amp;": /* "&amp;B159&amp;" "&amp;VLOOKUP(G159,AccessModes!$E$2:$G$14,3,FALSE)&amp;" */"&amp;newline&amp;indent&amp;"cpu.cycles = "&amp;H159&amp;";"&amp;newline&amp;IF(LEN(M159)&gt;0,M159&amp;CHAR(10),"")&amp;IF(LEN(N159)&gt;0,N159&amp;newline,"")&amp;IF(LEN(O159)&gt;0,O159&amp;newline,"")&amp;IF(LEN(P159)&gt;0,P159&amp;newline,"")&amp;IF(LEN(Q159)&gt;0,Q159&amp;newline,"")&amp;indent&amp;"break;",indent0&amp;"/* Illegal opcode 0x"&amp;F159&amp;": "&amp;B159&amp;" "&amp;VLOOKUP(G159,AccessModes!$E$2:$G$14,3,FALSE)&amp;" */"&amp;newline)</f>
        <v xml:space="preserve">        case 0x9D: /* STA aaaa,X */
            cpu.cycles = 5;
            memory_setAbsoluteIndexedX(cpu.A);
            break;</v>
      </c>
      <c r="S159" s="22" t="str">
        <f t="shared" si="11"/>
        <v xml:space="preserve">    {"STA", false, AM_AIX, 5, 0},</v>
      </c>
    </row>
    <row r="160" spans="1:19" ht="25.5" hidden="1" x14ac:dyDescent="0.25">
      <c r="A160" s="32">
        <v>158</v>
      </c>
      <c r="B160" s="32" t="s">
        <v>96</v>
      </c>
      <c r="C160" s="28">
        <v>-1</v>
      </c>
      <c r="D160" s="32" t="s">
        <v>135</v>
      </c>
      <c r="E160" s="32" t="str">
        <f t="shared" si="8"/>
        <v>9E</v>
      </c>
      <c r="F160" s="32" t="str">
        <f t="shared" si="10"/>
        <v>9E</v>
      </c>
      <c r="G160" s="32" t="str">
        <f>_xlfn.IFNA(VLOOKUP(D160,AccessModes!$D$2:$E$14,2,FALSE),"AM_IMP")</f>
        <v>AM_AIY</v>
      </c>
      <c r="H160" s="32">
        <v>5</v>
      </c>
      <c r="I160" s="32">
        <v>0</v>
      </c>
      <c r="J160" s="28"/>
      <c r="K160" s="28"/>
      <c r="L160" s="28"/>
      <c r="M160" s="32" t="str">
        <f>IF(LEN(J160)&gt;0,indent&amp;J160&amp;" = "&amp;VLOOKUP($G160,AccessModes!$E$2:$I$14,4,FALSE),"")</f>
        <v/>
      </c>
      <c r="N160" s="33" t="str">
        <f>indent&amp;"/* TODO: implementation of the action */"</f>
        <v xml:space="preserve">            /* TODO: implementation of the action */</v>
      </c>
      <c r="O160" s="33" t="str">
        <f t="shared" si="9"/>
        <v/>
      </c>
      <c r="P160" s="32" t="str">
        <f>IF(LEN(L160)&gt;0,indent&amp;IF(L160="LAST",AccessModes!$I$16&amp;J160,VLOOKUP($G160,AccessModes!$E$2:$I$14,5,FALSE)&amp;L160)&amp;");","")</f>
        <v/>
      </c>
      <c r="Q160" s="32"/>
      <c r="R160" s="33" t="str">
        <f>IF(C160=0,indent0&amp;"case 0x"&amp;F160&amp;": /* "&amp;B160&amp;" "&amp;VLOOKUP(G160,AccessModes!$E$2:$G$14,3,FALSE)&amp;" */"&amp;newline&amp;indent&amp;"cpu.cycles = "&amp;H160&amp;";"&amp;newline&amp;IF(LEN(M160)&gt;0,M160&amp;CHAR(10),"")&amp;IF(LEN(N160)&gt;0,N160&amp;newline,"")&amp;IF(LEN(O160)&gt;0,O160&amp;newline,"")&amp;IF(LEN(P160)&gt;0,P160&amp;newline,"")&amp;IF(LEN(Q160)&gt;0,Q160&amp;newline,"")&amp;indent&amp;"break;",indent0&amp;"/* Illegal opcode 0x"&amp;F160&amp;": "&amp;B160&amp;" "&amp;VLOOKUP(G160,AccessModes!$E$2:$G$14,3,FALSE)&amp;" */"&amp;newline)</f>
        <v xml:space="preserve">        /* Illegal opcode 0x9E: SHX aaaa,Y */
</v>
      </c>
      <c r="S160" s="32" t="str">
        <f t="shared" si="11"/>
        <v xml:space="preserve">    {"SHX", true , AM_AIY, 5, 0},</v>
      </c>
    </row>
    <row r="161" spans="1:19" ht="25.5" hidden="1" x14ac:dyDescent="0.25">
      <c r="A161" s="32">
        <v>159</v>
      </c>
      <c r="B161" s="32" t="s">
        <v>88</v>
      </c>
      <c r="C161" s="28">
        <v>-1</v>
      </c>
      <c r="D161" s="32" t="s">
        <v>135</v>
      </c>
      <c r="E161" s="32" t="str">
        <f t="shared" si="8"/>
        <v>9F</v>
      </c>
      <c r="F161" s="32" t="str">
        <f t="shared" si="10"/>
        <v>9F</v>
      </c>
      <c r="G161" s="32" t="str">
        <f>_xlfn.IFNA(VLOOKUP(D161,AccessModes!$D$2:$E$14,2,FALSE),"AM_IMP")</f>
        <v>AM_AIY</v>
      </c>
      <c r="H161" s="32">
        <v>5</v>
      </c>
      <c r="I161" s="32">
        <v>0</v>
      </c>
      <c r="J161" s="28"/>
      <c r="K161" s="28"/>
      <c r="L161" s="28"/>
      <c r="M161" s="32" t="str">
        <f>IF(LEN(J161)&gt;0,indent&amp;J161&amp;" = "&amp;VLOOKUP($G161,AccessModes!$E$2:$I$14,4,FALSE),"")</f>
        <v/>
      </c>
      <c r="N161" s="33" t="str">
        <f>indent&amp;"/* TODO: implementation of the action */"</f>
        <v xml:space="preserve">            /* TODO: implementation of the action */</v>
      </c>
      <c r="O161" s="33" t="str">
        <f t="shared" si="9"/>
        <v/>
      </c>
      <c r="P161" s="32" t="str">
        <f>IF(LEN(L161)&gt;0,indent&amp;IF(L161="LAST",AccessModes!$I$16&amp;J161,VLOOKUP($G161,AccessModes!$E$2:$I$14,5,FALSE)&amp;L161)&amp;");","")</f>
        <v/>
      </c>
      <c r="Q161" s="32"/>
      <c r="R161" s="33" t="str">
        <f>IF(C161=0,indent0&amp;"case 0x"&amp;F161&amp;": /* "&amp;B161&amp;" "&amp;VLOOKUP(G161,AccessModes!$E$2:$G$14,3,FALSE)&amp;" */"&amp;newline&amp;indent&amp;"cpu.cycles = "&amp;H161&amp;";"&amp;newline&amp;IF(LEN(M161)&gt;0,M161&amp;CHAR(10),"")&amp;IF(LEN(N161)&gt;0,N161&amp;newline,"")&amp;IF(LEN(O161)&gt;0,O161&amp;newline,"")&amp;IF(LEN(P161)&gt;0,P161&amp;newline,"")&amp;IF(LEN(Q161)&gt;0,Q161&amp;newline,"")&amp;indent&amp;"break;",indent0&amp;"/* Illegal opcode 0x"&amp;F161&amp;": "&amp;B161&amp;" "&amp;VLOOKUP(G161,AccessModes!$E$2:$G$14,3,FALSE)&amp;" */"&amp;newline)</f>
        <v xml:space="preserve">        /* Illegal opcode 0x9F: AHX aaaa,Y */
</v>
      </c>
      <c r="S161" s="32" t="str">
        <f t="shared" si="11"/>
        <v xml:space="preserve">    {"AHX", true , AM_AIY, 5, 0},</v>
      </c>
    </row>
    <row r="162" spans="1:19" ht="76.5" hidden="1" x14ac:dyDescent="0.25">
      <c r="A162" s="22">
        <v>160</v>
      </c>
      <c r="B162" s="22" t="s">
        <v>98</v>
      </c>
      <c r="C162" s="22">
        <v>0</v>
      </c>
      <c r="D162" s="22" t="s">
        <v>130</v>
      </c>
      <c r="E162" s="22" t="str">
        <f t="shared" si="8"/>
        <v>A0</v>
      </c>
      <c r="F162" s="22" t="str">
        <f t="shared" si="10"/>
        <v>A0</v>
      </c>
      <c r="G162" s="22" t="str">
        <f>_xlfn.IFNA(VLOOKUP(D162,AccessModes!$D$2:$E$14,2,FALSE),"AM_IMP")</f>
        <v>AM_IMM</v>
      </c>
      <c r="H162" s="22">
        <v>2</v>
      </c>
      <c r="I162" s="22">
        <v>0</v>
      </c>
      <c r="J162" s="24" t="str">
        <f>K162</f>
        <v>cpu.Y</v>
      </c>
      <c r="K162" s="24" t="s">
        <v>225</v>
      </c>
      <c r="L162" s="24" t="str">
        <f>""</f>
        <v/>
      </c>
      <c r="M162" s="22" t="str">
        <f>IF(LEN(J162)&gt;0,indent&amp;J162&amp;" = "&amp;VLOOKUP($G162,AccessModes!$E$2:$I$14,4,FALSE),"")</f>
        <v xml:space="preserve">            cpu.Y = memory_getImmediate();</v>
      </c>
      <c r="N162" s="25" t="str">
        <f>""</f>
        <v/>
      </c>
      <c r="O162" s="26" t="str">
        <f t="shared" si="9"/>
        <v xml:space="preserve">            cpu.PS_N = ((cpu.Y &amp; 0x80) != 0);
            cpu.PS_Z = (cpu.Y == 0);</v>
      </c>
      <c r="P162" s="22" t="str">
        <f>IF(LEN(L162)&gt;0,indent&amp;IF(L162="LAST",AccessModes!$I$16&amp;J162,VLOOKUP($G162,AccessModes!$E$2:$I$14,5,FALSE)&amp;L162)&amp;");","")</f>
        <v/>
      </c>
      <c r="Q162" s="22"/>
      <c r="R162" s="26" t="str">
        <f>IF(C162=0,indent0&amp;"case 0x"&amp;F162&amp;": /* "&amp;B162&amp;" "&amp;VLOOKUP(G162,AccessModes!$E$2:$G$14,3,FALSE)&amp;" */"&amp;newline&amp;indent&amp;"cpu.cycles = "&amp;H162&amp;";"&amp;newline&amp;IF(LEN(M162)&gt;0,M162&amp;CHAR(10),"")&amp;IF(LEN(N162)&gt;0,N162&amp;newline,"")&amp;IF(LEN(O162)&gt;0,O162&amp;newline,"")&amp;IF(LEN(P162)&gt;0,P162&amp;newline,"")&amp;IF(LEN(Q162)&gt;0,Q162&amp;newline,"")&amp;indent&amp;"break;",indent0&amp;"/* Illegal opcode 0x"&amp;F162&amp;": "&amp;B162&amp;" "&amp;VLOOKUP(G162,AccessModes!$E$2:$G$14,3,FALSE)&amp;" */"&amp;newline)</f>
        <v xml:space="preserve">        case 0xA0: /* LDY #aa */
            cpu.cycles = 2;
            cpu.Y = memory_getImmediate();
            cpu.PS_N = ((cpu.Y &amp; 0x80) != 0);
            cpu.PS_Z = (cpu.Y == 0);
            break;</v>
      </c>
      <c r="S162" s="22" t="str">
        <f t="shared" si="11"/>
        <v xml:space="preserve">    {"LDY", false, AM_IMM, 2, 0},</v>
      </c>
    </row>
    <row r="163" spans="1:19" ht="76.5" hidden="1" x14ac:dyDescent="0.25">
      <c r="A163" s="22">
        <v>161</v>
      </c>
      <c r="B163" s="22" t="s">
        <v>99</v>
      </c>
      <c r="C163" s="22">
        <v>0</v>
      </c>
      <c r="D163" s="22" t="s">
        <v>129</v>
      </c>
      <c r="E163" s="22" t="str">
        <f t="shared" si="8"/>
        <v>A1</v>
      </c>
      <c r="F163" s="22" t="str">
        <f t="shared" si="10"/>
        <v>A1</v>
      </c>
      <c r="G163" s="22" t="str">
        <f>_xlfn.IFNA(VLOOKUP(D163,AccessModes!$D$2:$E$14,2,FALSE),"AM_IMP")</f>
        <v>AM_IIX</v>
      </c>
      <c r="H163" s="22">
        <v>6</v>
      </c>
      <c r="I163" s="22">
        <v>0</v>
      </c>
      <c r="J163" s="24" t="str">
        <f>K163</f>
        <v>cpu.A</v>
      </c>
      <c r="K163" s="24" t="s">
        <v>215</v>
      </c>
      <c r="L163" s="24" t="str">
        <f>""</f>
        <v/>
      </c>
      <c r="M163" s="22" t="str">
        <f>IF(LEN(J163)&gt;0,indent&amp;J163&amp;" = "&amp;VLOOKUP($G163,AccessModes!$E$2:$I$14,4,FALSE),"")</f>
        <v xml:space="preserve">            cpu.A = memory_getIndexedIndirectX();</v>
      </c>
      <c r="N163" s="25" t="str">
        <f>""</f>
        <v/>
      </c>
      <c r="O163" s="26" t="str">
        <f t="shared" si="9"/>
        <v xml:space="preserve">            cpu.PS_N = ((cpu.A &amp; 0x80) != 0);
            cpu.PS_Z = (cpu.A == 0);</v>
      </c>
      <c r="P163" s="22" t="str">
        <f>IF(LEN(L163)&gt;0,indent&amp;IF(L163="LAST",AccessModes!$I$16&amp;J163,VLOOKUP($G163,AccessModes!$E$2:$I$14,5,FALSE)&amp;L163)&amp;");","")</f>
        <v/>
      </c>
      <c r="Q163" s="22"/>
      <c r="R163" s="26" t="str">
        <f>IF(C163=0,indent0&amp;"case 0x"&amp;F163&amp;": /* "&amp;B163&amp;" "&amp;VLOOKUP(G163,AccessModes!$E$2:$G$14,3,FALSE)&amp;" */"&amp;newline&amp;indent&amp;"cpu.cycles = "&amp;H163&amp;";"&amp;newline&amp;IF(LEN(M163)&gt;0,M163&amp;CHAR(10),"")&amp;IF(LEN(N163)&gt;0,N163&amp;newline,"")&amp;IF(LEN(O163)&gt;0,O163&amp;newline,"")&amp;IF(LEN(P163)&gt;0,P163&amp;newline,"")&amp;IF(LEN(Q163)&gt;0,Q163&amp;newline,"")&amp;indent&amp;"break;",indent0&amp;"/* Illegal opcode 0x"&amp;F163&amp;": "&amp;B163&amp;" "&amp;VLOOKUP(G163,AccessModes!$E$2:$G$14,3,FALSE)&amp;" */"&amp;newline)</f>
        <v xml:space="preserve">        case 0xA1: /* LDA (aa,X) */
            cpu.cycles = 6;
            cpu.A = memory_getIndexedIndirectX();
            cpu.PS_N = ((cpu.A &amp; 0x80) != 0);
            cpu.PS_Z = (cpu.A == 0);
            break;</v>
      </c>
      <c r="S163" s="22" t="str">
        <f t="shared" si="11"/>
        <v xml:space="preserve">    {"LDA", false, AM_IIX, 6, 0},</v>
      </c>
    </row>
    <row r="164" spans="1:19" ht="76.5" hidden="1" x14ac:dyDescent="0.25">
      <c r="A164" s="22">
        <v>162</v>
      </c>
      <c r="B164" s="22" t="s">
        <v>100</v>
      </c>
      <c r="C164" s="22">
        <v>0</v>
      </c>
      <c r="D164" s="22" t="s">
        <v>130</v>
      </c>
      <c r="E164" s="22" t="str">
        <f t="shared" si="8"/>
        <v>A2</v>
      </c>
      <c r="F164" s="22" t="str">
        <f t="shared" si="10"/>
        <v>A2</v>
      </c>
      <c r="G164" s="22" t="str">
        <f>_xlfn.IFNA(VLOOKUP(D164,AccessModes!$D$2:$E$14,2,FALSE),"AM_IMP")</f>
        <v>AM_IMM</v>
      </c>
      <c r="H164" s="22">
        <v>2</v>
      </c>
      <c r="I164" s="22">
        <v>0</v>
      </c>
      <c r="J164" s="24" t="str">
        <f>K164</f>
        <v>cpu.X</v>
      </c>
      <c r="K164" s="24" t="s">
        <v>226</v>
      </c>
      <c r="L164" s="24" t="str">
        <f>""</f>
        <v/>
      </c>
      <c r="M164" s="22" t="str">
        <f>IF(LEN(J164)&gt;0,indent&amp;J164&amp;" = "&amp;VLOOKUP($G164,AccessModes!$E$2:$I$14,4,FALSE),"")</f>
        <v xml:space="preserve">            cpu.X = memory_getImmediate();</v>
      </c>
      <c r="N164" s="25" t="str">
        <f>""</f>
        <v/>
      </c>
      <c r="O164" s="26" t="str">
        <f t="shared" si="9"/>
        <v xml:space="preserve">            cpu.PS_N = ((cpu.X &amp; 0x80) != 0);
            cpu.PS_Z = (cpu.X == 0);</v>
      </c>
      <c r="P164" s="22" t="str">
        <f>IF(LEN(L164)&gt;0,indent&amp;IF(L164="LAST",AccessModes!$I$16&amp;J164,VLOOKUP($G164,AccessModes!$E$2:$I$14,5,FALSE)&amp;L164)&amp;");","")</f>
        <v/>
      </c>
      <c r="Q164" s="22"/>
      <c r="R164" s="26" t="str">
        <f>IF(C164=0,indent0&amp;"case 0x"&amp;F164&amp;": /* "&amp;B164&amp;" "&amp;VLOOKUP(G164,AccessModes!$E$2:$G$14,3,FALSE)&amp;" */"&amp;newline&amp;indent&amp;"cpu.cycles = "&amp;H164&amp;";"&amp;newline&amp;IF(LEN(M164)&gt;0,M164&amp;CHAR(10),"")&amp;IF(LEN(N164)&gt;0,N164&amp;newline,"")&amp;IF(LEN(O164)&gt;0,O164&amp;newline,"")&amp;IF(LEN(P164)&gt;0,P164&amp;newline,"")&amp;IF(LEN(Q164)&gt;0,Q164&amp;newline,"")&amp;indent&amp;"break;",indent0&amp;"/* Illegal opcode 0x"&amp;F164&amp;": "&amp;B164&amp;" "&amp;VLOOKUP(G164,AccessModes!$E$2:$G$14,3,FALSE)&amp;" */"&amp;newline)</f>
        <v xml:space="preserve">        case 0xA2: /* LDX #aa */
            cpu.cycles = 2;
            cpu.X = memory_getImmediate();
            cpu.PS_N = ((cpu.X &amp; 0x80) != 0);
            cpu.PS_Z = (cpu.X == 0);
            break;</v>
      </c>
      <c r="S164" s="22" t="str">
        <f t="shared" si="11"/>
        <v xml:space="preserve">    {"LDX", false, AM_IMM, 2, 0},</v>
      </c>
    </row>
    <row r="165" spans="1:19" ht="25.5" hidden="1" x14ac:dyDescent="0.25">
      <c r="A165" s="28">
        <v>163</v>
      </c>
      <c r="B165" s="28" t="s">
        <v>101</v>
      </c>
      <c r="C165" s="28">
        <v>-1</v>
      </c>
      <c r="D165" s="28" t="s">
        <v>129</v>
      </c>
      <c r="E165" s="28" t="str">
        <f t="shared" si="8"/>
        <v>A3</v>
      </c>
      <c r="F165" s="28" t="str">
        <f t="shared" si="10"/>
        <v>A3</v>
      </c>
      <c r="G165" s="28" t="str">
        <f>_xlfn.IFNA(VLOOKUP(D165,AccessModes!$D$2:$E$14,2,FALSE),"AM_IMP")</f>
        <v>AM_IIX</v>
      </c>
      <c r="H165" s="28">
        <v>6</v>
      </c>
      <c r="I165" s="28">
        <v>0</v>
      </c>
      <c r="J165" s="28"/>
      <c r="K165" s="28"/>
      <c r="L165" s="28"/>
      <c r="M165" s="28" t="str">
        <f>IF(LEN(J165)&gt;0,indent&amp;J165&amp;" = "&amp;VLOOKUP($G165,AccessModes!$E$2:$I$14,4,FALSE),"")</f>
        <v/>
      </c>
      <c r="N165" s="29" t="str">
        <f>indent&amp;"/* TODO: implementation of the action */"</f>
        <v xml:space="preserve">            /* TODO: implementation of the action */</v>
      </c>
      <c r="O165" s="29" t="str">
        <f t="shared" si="9"/>
        <v/>
      </c>
      <c r="P165" s="28" t="str">
        <f>IF(LEN(L165)&gt;0,indent&amp;IF(L165="LAST",AccessModes!$I$16&amp;J165,VLOOKUP($G165,AccessModes!$E$2:$I$14,5,FALSE)&amp;L165)&amp;");","")</f>
        <v/>
      </c>
      <c r="Q165" s="28"/>
      <c r="R165" s="29" t="str">
        <f>IF(C165=0,indent0&amp;"case 0x"&amp;F165&amp;": /* "&amp;B165&amp;" "&amp;VLOOKUP(G165,AccessModes!$E$2:$G$14,3,FALSE)&amp;" */"&amp;newline&amp;indent&amp;"cpu.cycles = "&amp;H165&amp;";"&amp;newline&amp;IF(LEN(M165)&gt;0,M165&amp;CHAR(10),"")&amp;IF(LEN(N165)&gt;0,N165&amp;newline,"")&amp;IF(LEN(O165)&gt;0,O165&amp;newline,"")&amp;IF(LEN(P165)&gt;0,P165&amp;newline,"")&amp;IF(LEN(Q165)&gt;0,Q165&amp;newline,"")&amp;indent&amp;"break;",indent0&amp;"/* Illegal opcode 0x"&amp;F165&amp;": "&amp;B165&amp;" "&amp;VLOOKUP(G165,AccessModes!$E$2:$G$14,3,FALSE)&amp;" */"&amp;newline)</f>
        <v xml:space="preserve">        /* Illegal opcode 0xA3: LAX (aa,X) */
</v>
      </c>
      <c r="S165" s="28" t="str">
        <f t="shared" si="11"/>
        <v xml:space="preserve">    {"LAX", true , AM_IIX, 6, 0},</v>
      </c>
    </row>
    <row r="166" spans="1:19" ht="76.5" hidden="1" x14ac:dyDescent="0.25">
      <c r="A166" s="22">
        <v>164</v>
      </c>
      <c r="B166" s="22" t="s">
        <v>98</v>
      </c>
      <c r="C166" s="22">
        <v>0</v>
      </c>
      <c r="D166" s="22" t="s">
        <v>144</v>
      </c>
      <c r="E166" s="22" t="str">
        <f t="shared" si="8"/>
        <v>A4</v>
      </c>
      <c r="F166" s="22" t="str">
        <f t="shared" si="10"/>
        <v>A4</v>
      </c>
      <c r="G166" s="22" t="str">
        <f>_xlfn.IFNA(VLOOKUP(D166,AccessModes!$D$2:$E$14,2,FALSE),"AM_IMP")</f>
        <v>AM_ZPG</v>
      </c>
      <c r="H166" s="22">
        <v>3</v>
      </c>
      <c r="I166" s="22">
        <v>0</v>
      </c>
      <c r="J166" s="22" t="str">
        <f>$J$162</f>
        <v>cpu.Y</v>
      </c>
      <c r="K166" s="22" t="str">
        <f>$K$162</f>
        <v>cpu.Y</v>
      </c>
      <c r="L166" s="22" t="str">
        <f>$L$162</f>
        <v/>
      </c>
      <c r="M166" s="22" t="str">
        <f>IF(LEN(J166)&gt;0,indent&amp;J166&amp;" = "&amp;VLOOKUP($G166,AccessModes!$E$2:$I$14,4,FALSE),"")</f>
        <v xml:space="preserve">            cpu.Y = memory_getZeroPage();</v>
      </c>
      <c r="N166" s="26" t="str">
        <f>$N$162</f>
        <v/>
      </c>
      <c r="O166" s="26" t="str">
        <f t="shared" si="9"/>
        <v xml:space="preserve">            cpu.PS_N = ((cpu.Y &amp; 0x80) != 0);
            cpu.PS_Z = (cpu.Y == 0);</v>
      </c>
      <c r="P166" s="22" t="str">
        <f>IF(LEN(L166)&gt;0,indent&amp;IF(L166="LAST",AccessModes!$I$16&amp;J166,VLOOKUP($G166,AccessModes!$E$2:$I$14,5,FALSE)&amp;L166)&amp;");","")</f>
        <v/>
      </c>
      <c r="Q166" s="22"/>
      <c r="R166" s="26" t="str">
        <f>IF(C166=0,indent0&amp;"case 0x"&amp;F166&amp;": /* "&amp;B166&amp;" "&amp;VLOOKUP(G166,AccessModes!$E$2:$G$14,3,FALSE)&amp;" */"&amp;newline&amp;indent&amp;"cpu.cycles = "&amp;H166&amp;";"&amp;newline&amp;IF(LEN(M166)&gt;0,M166&amp;CHAR(10),"")&amp;IF(LEN(N166)&gt;0,N166&amp;newline,"")&amp;IF(LEN(O166)&gt;0,O166&amp;newline,"")&amp;IF(LEN(P166)&gt;0,P166&amp;newline,"")&amp;IF(LEN(Q166)&gt;0,Q166&amp;newline,"")&amp;indent&amp;"break;",indent0&amp;"/* Illegal opcode 0x"&amp;F166&amp;": "&amp;B166&amp;" "&amp;VLOOKUP(G166,AccessModes!$E$2:$G$14,3,FALSE)&amp;" */"&amp;newline)</f>
        <v xml:space="preserve">        case 0xA4: /* LDY aa */
            cpu.cycles = 3;
            cpu.Y = memory_getZeroPage();
            cpu.PS_N = ((cpu.Y &amp; 0x80) != 0);
            cpu.PS_Z = (cpu.Y == 0);
            break;</v>
      </c>
      <c r="S166" s="22" t="str">
        <f t="shared" si="11"/>
        <v xml:space="preserve">    {"LDY", false, AM_ZPG, 3, 0},</v>
      </c>
    </row>
    <row r="167" spans="1:19" ht="76.5" hidden="1" x14ac:dyDescent="0.25">
      <c r="A167" s="22">
        <v>165</v>
      </c>
      <c r="B167" s="22" t="s">
        <v>99</v>
      </c>
      <c r="C167" s="22">
        <v>0</v>
      </c>
      <c r="D167" s="22" t="s">
        <v>144</v>
      </c>
      <c r="E167" s="22" t="str">
        <f t="shared" si="8"/>
        <v>A5</v>
      </c>
      <c r="F167" s="22" t="str">
        <f t="shared" si="10"/>
        <v>A5</v>
      </c>
      <c r="G167" s="22" t="str">
        <f>_xlfn.IFNA(VLOOKUP(D167,AccessModes!$D$2:$E$14,2,FALSE),"AM_IMP")</f>
        <v>AM_ZPG</v>
      </c>
      <c r="H167" s="22">
        <v>3</v>
      </c>
      <c r="I167" s="22">
        <v>0</v>
      </c>
      <c r="J167" s="22" t="str">
        <f>$J$163</f>
        <v>cpu.A</v>
      </c>
      <c r="K167" s="22" t="str">
        <f>$K$163</f>
        <v>cpu.A</v>
      </c>
      <c r="L167" s="22" t="str">
        <f>$L$163</f>
        <v/>
      </c>
      <c r="M167" s="22" t="str">
        <f>IF(LEN(J167)&gt;0,indent&amp;J167&amp;" = "&amp;VLOOKUP($G167,AccessModes!$E$2:$I$14,4,FALSE),"")</f>
        <v xml:space="preserve">            cpu.A = memory_getZeroPage();</v>
      </c>
      <c r="N167" s="26" t="str">
        <f>$N$163</f>
        <v/>
      </c>
      <c r="O167" s="26" t="str">
        <f t="shared" si="9"/>
        <v xml:space="preserve">            cpu.PS_N = ((cpu.A &amp; 0x80) != 0);
            cpu.PS_Z = (cpu.A == 0);</v>
      </c>
      <c r="P167" s="22" t="str">
        <f>IF(LEN(L167)&gt;0,indent&amp;IF(L167="LAST",AccessModes!$I$16&amp;J167,VLOOKUP($G167,AccessModes!$E$2:$I$14,5,FALSE)&amp;L167)&amp;");","")</f>
        <v/>
      </c>
      <c r="Q167" s="22"/>
      <c r="R167" s="26" t="str">
        <f>IF(C167=0,indent0&amp;"case 0x"&amp;F167&amp;": /* "&amp;B167&amp;" "&amp;VLOOKUP(G167,AccessModes!$E$2:$G$14,3,FALSE)&amp;" */"&amp;newline&amp;indent&amp;"cpu.cycles = "&amp;H167&amp;";"&amp;newline&amp;IF(LEN(M167)&gt;0,M167&amp;CHAR(10),"")&amp;IF(LEN(N167)&gt;0,N167&amp;newline,"")&amp;IF(LEN(O167)&gt;0,O167&amp;newline,"")&amp;IF(LEN(P167)&gt;0,P167&amp;newline,"")&amp;IF(LEN(Q167)&gt;0,Q167&amp;newline,"")&amp;indent&amp;"break;",indent0&amp;"/* Illegal opcode 0x"&amp;F167&amp;": "&amp;B167&amp;" "&amp;VLOOKUP(G167,AccessModes!$E$2:$G$14,3,FALSE)&amp;" */"&amp;newline)</f>
        <v xml:space="preserve">        case 0xA5: /* LDA aa */
            cpu.cycles = 3;
            cpu.A = memory_getZeroPage();
            cpu.PS_N = ((cpu.A &amp; 0x80) != 0);
            cpu.PS_Z = (cpu.A == 0);
            break;</v>
      </c>
      <c r="S167" s="22" t="str">
        <f t="shared" si="11"/>
        <v xml:space="preserve">    {"LDA", false, AM_ZPG, 3, 0},</v>
      </c>
    </row>
    <row r="168" spans="1:19" ht="76.5" hidden="1" x14ac:dyDescent="0.25">
      <c r="A168" s="22">
        <v>166</v>
      </c>
      <c r="B168" s="22" t="s">
        <v>100</v>
      </c>
      <c r="C168" s="22">
        <v>0</v>
      </c>
      <c r="D168" s="22" t="s">
        <v>144</v>
      </c>
      <c r="E168" s="22" t="str">
        <f t="shared" si="8"/>
        <v>A6</v>
      </c>
      <c r="F168" s="22" t="str">
        <f t="shared" si="10"/>
        <v>A6</v>
      </c>
      <c r="G168" s="22" t="str">
        <f>_xlfn.IFNA(VLOOKUP(D168,AccessModes!$D$2:$E$14,2,FALSE),"AM_IMP")</f>
        <v>AM_ZPG</v>
      </c>
      <c r="H168" s="22">
        <v>3</v>
      </c>
      <c r="I168" s="22">
        <v>0</v>
      </c>
      <c r="J168" s="22" t="str">
        <f>$J$164</f>
        <v>cpu.X</v>
      </c>
      <c r="K168" s="22" t="str">
        <f>$K$164</f>
        <v>cpu.X</v>
      </c>
      <c r="L168" s="22" t="str">
        <f>$L$164</f>
        <v/>
      </c>
      <c r="M168" s="22" t="str">
        <f>IF(LEN(J168)&gt;0,indent&amp;J168&amp;" = "&amp;VLOOKUP($G168,AccessModes!$E$2:$I$14,4,FALSE),"")</f>
        <v xml:space="preserve">            cpu.X = memory_getZeroPage();</v>
      </c>
      <c r="N168" s="26" t="str">
        <f>$N$164</f>
        <v/>
      </c>
      <c r="O168" s="26" t="str">
        <f t="shared" si="9"/>
        <v xml:space="preserve">            cpu.PS_N = ((cpu.X &amp; 0x80) != 0);
            cpu.PS_Z = (cpu.X == 0);</v>
      </c>
      <c r="P168" s="22" t="str">
        <f>IF(LEN(L168)&gt;0,indent&amp;IF(L168="LAST",AccessModes!$I$16&amp;J168,VLOOKUP($G168,AccessModes!$E$2:$I$14,5,FALSE)&amp;L168)&amp;");","")</f>
        <v/>
      </c>
      <c r="Q168" s="22"/>
      <c r="R168" s="26" t="str">
        <f>IF(C168=0,indent0&amp;"case 0x"&amp;F168&amp;": /* "&amp;B168&amp;" "&amp;VLOOKUP(G168,AccessModes!$E$2:$G$14,3,FALSE)&amp;" */"&amp;newline&amp;indent&amp;"cpu.cycles = "&amp;H168&amp;";"&amp;newline&amp;IF(LEN(M168)&gt;0,M168&amp;CHAR(10),"")&amp;IF(LEN(N168)&gt;0,N168&amp;newline,"")&amp;IF(LEN(O168)&gt;0,O168&amp;newline,"")&amp;IF(LEN(P168)&gt;0,P168&amp;newline,"")&amp;IF(LEN(Q168)&gt;0,Q168&amp;newline,"")&amp;indent&amp;"break;",indent0&amp;"/* Illegal opcode 0x"&amp;F168&amp;": "&amp;B168&amp;" "&amp;VLOOKUP(G168,AccessModes!$E$2:$G$14,3,FALSE)&amp;" */"&amp;newline)</f>
        <v xml:space="preserve">        case 0xA6: /* LDX aa */
            cpu.cycles = 3;
            cpu.X = memory_getZeroPage();
            cpu.PS_N = ((cpu.X &amp; 0x80) != 0);
            cpu.PS_Z = (cpu.X == 0);
            break;</v>
      </c>
      <c r="S168" s="22" t="str">
        <f t="shared" si="11"/>
        <v xml:space="preserve">    {"LDX", false, AM_ZPG, 3, 0},</v>
      </c>
    </row>
    <row r="169" spans="1:19" ht="25.5" hidden="1" x14ac:dyDescent="0.25">
      <c r="A169" s="28">
        <v>167</v>
      </c>
      <c r="B169" s="28" t="s">
        <v>101</v>
      </c>
      <c r="C169" s="28">
        <v>-1</v>
      </c>
      <c r="D169" s="28" t="s">
        <v>144</v>
      </c>
      <c r="E169" s="28" t="str">
        <f t="shared" si="8"/>
        <v>A7</v>
      </c>
      <c r="F169" s="28" t="str">
        <f t="shared" si="10"/>
        <v>A7</v>
      </c>
      <c r="G169" s="28" t="str">
        <f>_xlfn.IFNA(VLOOKUP(D169,AccessModes!$D$2:$E$14,2,FALSE),"AM_IMP")</f>
        <v>AM_ZPG</v>
      </c>
      <c r="H169" s="28">
        <v>3</v>
      </c>
      <c r="I169" s="28">
        <v>0</v>
      </c>
      <c r="J169" s="28"/>
      <c r="K169" s="28"/>
      <c r="L169" s="28"/>
      <c r="M169" s="28" t="str">
        <f>IF(LEN(J169)&gt;0,indent&amp;J169&amp;" = "&amp;VLOOKUP($G169,AccessModes!$E$2:$I$14,4,FALSE),"")</f>
        <v/>
      </c>
      <c r="N169" s="29" t="str">
        <f>indent&amp;"/* TODO: implementation of the action */"</f>
        <v xml:space="preserve">            /* TODO: implementation of the action */</v>
      </c>
      <c r="O169" s="29" t="str">
        <f t="shared" si="9"/>
        <v/>
      </c>
      <c r="P169" s="28" t="str">
        <f>IF(LEN(L169)&gt;0,indent&amp;IF(L169="LAST",AccessModes!$I$16&amp;J169,VLOOKUP($G169,AccessModes!$E$2:$I$14,5,FALSE)&amp;L169)&amp;");","")</f>
        <v/>
      </c>
      <c r="Q169" s="28"/>
      <c r="R169" s="29" t="str">
        <f>IF(C169=0,indent0&amp;"case 0x"&amp;F169&amp;": /* "&amp;B169&amp;" "&amp;VLOOKUP(G169,AccessModes!$E$2:$G$14,3,FALSE)&amp;" */"&amp;newline&amp;indent&amp;"cpu.cycles = "&amp;H169&amp;";"&amp;newline&amp;IF(LEN(M169)&gt;0,M169&amp;CHAR(10),"")&amp;IF(LEN(N169)&gt;0,N169&amp;newline,"")&amp;IF(LEN(O169)&gt;0,O169&amp;newline,"")&amp;IF(LEN(P169)&gt;0,P169&amp;newline,"")&amp;IF(LEN(Q169)&gt;0,Q169&amp;newline,"")&amp;indent&amp;"break;",indent0&amp;"/* Illegal opcode 0x"&amp;F169&amp;": "&amp;B169&amp;" "&amp;VLOOKUP(G169,AccessModes!$E$2:$G$14,3,FALSE)&amp;" */"&amp;newline)</f>
        <v xml:space="preserve">        /* Illegal opcode 0xA7: LAX aa */
</v>
      </c>
      <c r="S169" s="28" t="str">
        <f t="shared" si="11"/>
        <v xml:space="preserve">    {"LAX", true , AM_ZPG, 3, 0},</v>
      </c>
    </row>
    <row r="170" spans="1:19" ht="76.5" hidden="1" x14ac:dyDescent="0.25">
      <c r="A170" s="22">
        <v>168</v>
      </c>
      <c r="B170" s="22" t="s">
        <v>102</v>
      </c>
      <c r="C170" s="22">
        <v>0</v>
      </c>
      <c r="D170" s="22" t="s">
        <v>139</v>
      </c>
      <c r="E170" s="22" t="str">
        <f t="shared" si="8"/>
        <v>A8</v>
      </c>
      <c r="F170" s="22" t="str">
        <f t="shared" si="10"/>
        <v>A8</v>
      </c>
      <c r="G170" s="22" t="str">
        <f>_xlfn.IFNA(VLOOKUP(D170,AccessModes!$D$2:$E$14,2,FALSE),"AM_IMP")</f>
        <v>AM_IMP</v>
      </c>
      <c r="H170" s="22">
        <v>2</v>
      </c>
      <c r="I170" s="22">
        <v>0</v>
      </c>
      <c r="J170" s="24"/>
      <c r="K170" s="24" t="s">
        <v>225</v>
      </c>
      <c r="L170" s="24"/>
      <c r="M170" s="22" t="str">
        <f>IF(LEN(J170)&gt;0,indent&amp;J170&amp;" = "&amp;VLOOKUP($G170,AccessModes!$E$2:$I$14,4,FALSE),"")</f>
        <v/>
      </c>
      <c r="N170" s="25" t="str">
        <f>indent&amp;"cpu.Y = cpu.A;"</f>
        <v xml:space="preserve">            cpu.Y = cpu.A;</v>
      </c>
      <c r="O170" s="26" t="str">
        <f t="shared" si="9"/>
        <v xml:space="preserve">            cpu.PS_N = ((cpu.Y &amp; 0x80) != 0);
            cpu.PS_Z = (cpu.Y == 0);</v>
      </c>
      <c r="P170" s="22" t="str">
        <f>IF(LEN(L170)&gt;0,indent&amp;IF(L170="LAST",AccessModes!$I$16&amp;J170,VLOOKUP($G170,AccessModes!$E$2:$I$14,5,FALSE)&amp;L170)&amp;");","")</f>
        <v/>
      </c>
      <c r="Q170" s="22"/>
      <c r="R170" s="26" t="str">
        <f>IF(C170=0,indent0&amp;"case 0x"&amp;F170&amp;": /* "&amp;B170&amp;" "&amp;VLOOKUP(G170,AccessModes!$E$2:$G$14,3,FALSE)&amp;" */"&amp;newline&amp;indent&amp;"cpu.cycles = "&amp;H170&amp;";"&amp;newline&amp;IF(LEN(M170)&gt;0,M170&amp;CHAR(10),"")&amp;IF(LEN(N170)&gt;0,N170&amp;newline,"")&amp;IF(LEN(O170)&gt;0,O170&amp;newline,"")&amp;IF(LEN(P170)&gt;0,P170&amp;newline,"")&amp;IF(LEN(Q170)&gt;0,Q170&amp;newline,"")&amp;indent&amp;"break;",indent0&amp;"/* Illegal opcode 0x"&amp;F170&amp;": "&amp;B170&amp;" "&amp;VLOOKUP(G170,AccessModes!$E$2:$G$14,3,FALSE)&amp;" */"&amp;newline)</f>
        <v xml:space="preserve">        case 0xA8: /* TAY  */
            cpu.cycles = 2;
            cpu.Y = cpu.A;
            cpu.PS_N = ((cpu.Y &amp; 0x80) != 0);
            cpu.PS_Z = (cpu.Y == 0);
            break;</v>
      </c>
      <c r="S170" s="22" t="str">
        <f t="shared" si="11"/>
        <v xml:space="preserve">    {"TAY", false, AM_IMP, 2, 0},</v>
      </c>
    </row>
    <row r="171" spans="1:19" ht="76.5" hidden="1" x14ac:dyDescent="0.25">
      <c r="A171" s="22">
        <v>169</v>
      </c>
      <c r="B171" s="22" t="s">
        <v>99</v>
      </c>
      <c r="C171" s="22">
        <v>0</v>
      </c>
      <c r="D171" s="22" t="s">
        <v>130</v>
      </c>
      <c r="E171" s="22" t="str">
        <f t="shared" si="8"/>
        <v>A9</v>
      </c>
      <c r="F171" s="22" t="str">
        <f t="shared" si="10"/>
        <v>A9</v>
      </c>
      <c r="G171" s="22" t="str">
        <f>_xlfn.IFNA(VLOOKUP(D171,AccessModes!$D$2:$E$14,2,FALSE),"AM_IMP")</f>
        <v>AM_IMM</v>
      </c>
      <c r="H171" s="22">
        <v>2</v>
      </c>
      <c r="I171" s="22">
        <v>0</v>
      </c>
      <c r="J171" s="22" t="str">
        <f>$J$163</f>
        <v>cpu.A</v>
      </c>
      <c r="K171" s="22" t="str">
        <f>$K$163</f>
        <v>cpu.A</v>
      </c>
      <c r="L171" s="22" t="str">
        <f>$L$163</f>
        <v/>
      </c>
      <c r="M171" s="22" t="str">
        <f>IF(LEN(J171)&gt;0,indent&amp;J171&amp;" = "&amp;VLOOKUP($G171,AccessModes!$E$2:$I$14,4,FALSE),"")</f>
        <v xml:space="preserve">            cpu.A = memory_getImmediate();</v>
      </c>
      <c r="N171" s="26" t="str">
        <f>$N$163</f>
        <v/>
      </c>
      <c r="O171" s="26" t="str">
        <f t="shared" si="9"/>
        <v xml:space="preserve">            cpu.PS_N = ((cpu.A &amp; 0x80) != 0);
            cpu.PS_Z = (cpu.A == 0);</v>
      </c>
      <c r="P171" s="22" t="str">
        <f>IF(LEN(L171)&gt;0,indent&amp;IF(L171="LAST",AccessModes!$I$16&amp;J171,VLOOKUP($G171,AccessModes!$E$2:$I$14,5,FALSE)&amp;L171)&amp;");","")</f>
        <v/>
      </c>
      <c r="Q171" s="22"/>
      <c r="R171" s="26" t="str">
        <f>IF(C171=0,indent0&amp;"case 0x"&amp;F171&amp;": /* "&amp;B171&amp;" "&amp;VLOOKUP(G171,AccessModes!$E$2:$G$14,3,FALSE)&amp;" */"&amp;newline&amp;indent&amp;"cpu.cycles = "&amp;H171&amp;";"&amp;newline&amp;IF(LEN(M171)&gt;0,M171&amp;CHAR(10),"")&amp;IF(LEN(N171)&gt;0,N171&amp;newline,"")&amp;IF(LEN(O171)&gt;0,O171&amp;newline,"")&amp;IF(LEN(P171)&gt;0,P171&amp;newline,"")&amp;IF(LEN(Q171)&gt;0,Q171&amp;newline,"")&amp;indent&amp;"break;",indent0&amp;"/* Illegal opcode 0x"&amp;F171&amp;": "&amp;B171&amp;" "&amp;VLOOKUP(G171,AccessModes!$E$2:$G$14,3,FALSE)&amp;" */"&amp;newline)</f>
        <v xml:space="preserve">        case 0xA9: /* LDA #aa */
            cpu.cycles = 2;
            cpu.A = memory_getImmediate();
            cpu.PS_N = ((cpu.A &amp; 0x80) != 0);
            cpu.PS_Z = (cpu.A == 0);
            break;</v>
      </c>
      <c r="S171" s="22" t="str">
        <f t="shared" si="11"/>
        <v xml:space="preserve">    {"LDA", false, AM_IMM, 2, 0},</v>
      </c>
    </row>
    <row r="172" spans="1:19" ht="76.5" hidden="1" x14ac:dyDescent="0.25">
      <c r="A172" s="22">
        <v>170</v>
      </c>
      <c r="B172" s="22" t="s">
        <v>103</v>
      </c>
      <c r="C172" s="22">
        <v>0</v>
      </c>
      <c r="D172" s="22" t="s">
        <v>139</v>
      </c>
      <c r="E172" s="22" t="str">
        <f t="shared" si="8"/>
        <v>AA</v>
      </c>
      <c r="F172" s="22" t="str">
        <f t="shared" si="10"/>
        <v>AA</v>
      </c>
      <c r="G172" s="22" t="str">
        <f>_xlfn.IFNA(VLOOKUP(D172,AccessModes!$D$2:$E$14,2,FALSE),"AM_IMP")</f>
        <v>AM_IMP</v>
      </c>
      <c r="H172" s="22">
        <v>2</v>
      </c>
      <c r="I172" s="22">
        <v>0</v>
      </c>
      <c r="J172" s="24"/>
      <c r="K172" s="24" t="s">
        <v>226</v>
      </c>
      <c r="L172" s="24"/>
      <c r="M172" s="22" t="str">
        <f>IF(LEN(J172)&gt;0,indent&amp;J172&amp;" = "&amp;VLOOKUP($G172,AccessModes!$E$2:$I$14,4,FALSE),"")</f>
        <v/>
      </c>
      <c r="N172" s="25" t="str">
        <f>indent&amp;"cpu.X = cpu.A;"</f>
        <v xml:space="preserve">            cpu.X = cpu.A;</v>
      </c>
      <c r="O172" s="26" t="str">
        <f t="shared" si="9"/>
        <v xml:space="preserve">            cpu.PS_N = ((cpu.X &amp; 0x80) != 0);
            cpu.PS_Z = (cpu.X == 0);</v>
      </c>
      <c r="P172" s="22" t="str">
        <f>IF(LEN(L172)&gt;0,indent&amp;IF(L172="LAST",AccessModes!$I$16&amp;J172,VLOOKUP($G172,AccessModes!$E$2:$I$14,5,FALSE)&amp;L172)&amp;");","")</f>
        <v/>
      </c>
      <c r="Q172" s="22"/>
      <c r="R172" s="26" t="str">
        <f>IF(C172=0,indent0&amp;"case 0x"&amp;F172&amp;": /* "&amp;B172&amp;" "&amp;VLOOKUP(G172,AccessModes!$E$2:$G$14,3,FALSE)&amp;" */"&amp;newline&amp;indent&amp;"cpu.cycles = "&amp;H172&amp;";"&amp;newline&amp;IF(LEN(M172)&gt;0,M172&amp;CHAR(10),"")&amp;IF(LEN(N172)&gt;0,N172&amp;newline,"")&amp;IF(LEN(O172)&gt;0,O172&amp;newline,"")&amp;IF(LEN(P172)&gt;0,P172&amp;newline,"")&amp;IF(LEN(Q172)&gt;0,Q172&amp;newline,"")&amp;indent&amp;"break;",indent0&amp;"/* Illegal opcode 0x"&amp;F172&amp;": "&amp;B172&amp;" "&amp;VLOOKUP(G172,AccessModes!$E$2:$G$14,3,FALSE)&amp;" */"&amp;newline)</f>
        <v xml:space="preserve">        case 0xAA: /* TAX  */
            cpu.cycles = 2;
            cpu.X = cpu.A;
            cpu.PS_N = ((cpu.X &amp; 0x80) != 0);
            cpu.PS_Z = (cpu.X == 0);
            break;</v>
      </c>
      <c r="S172" s="22" t="str">
        <f t="shared" si="11"/>
        <v xml:space="preserve">    {"TAX", false, AM_IMP, 2, 0},</v>
      </c>
    </row>
    <row r="173" spans="1:19" ht="25.5" hidden="1" x14ac:dyDescent="0.25">
      <c r="A173" s="30">
        <v>171</v>
      </c>
      <c r="B173" s="30" t="s">
        <v>101</v>
      </c>
      <c r="C173" s="28">
        <v>-1</v>
      </c>
      <c r="D173" s="30" t="s">
        <v>130</v>
      </c>
      <c r="E173" s="30" t="str">
        <f t="shared" si="8"/>
        <v>AB</v>
      </c>
      <c r="F173" s="30" t="str">
        <f t="shared" si="10"/>
        <v>AB</v>
      </c>
      <c r="G173" s="30" t="str">
        <f>_xlfn.IFNA(VLOOKUP(D173,AccessModes!$D$2:$E$14,2,FALSE),"AM_IMP")</f>
        <v>AM_IMM</v>
      </c>
      <c r="H173" s="30">
        <v>2</v>
      </c>
      <c r="I173" s="30">
        <v>0</v>
      </c>
      <c r="J173" s="28"/>
      <c r="K173" s="28"/>
      <c r="L173" s="28"/>
      <c r="M173" s="30" t="str">
        <f>IF(LEN(J173)&gt;0,indent&amp;J173&amp;" = "&amp;VLOOKUP($G173,AccessModes!$E$2:$I$14,4,FALSE),"")</f>
        <v/>
      </c>
      <c r="N173" s="31" t="str">
        <f>indent&amp;"/* TODO: implementation of the action */"</f>
        <v xml:space="preserve">            /* TODO: implementation of the action */</v>
      </c>
      <c r="O173" s="31" t="str">
        <f t="shared" si="9"/>
        <v/>
      </c>
      <c r="P173" s="30" t="str">
        <f>IF(LEN(L173)&gt;0,indent&amp;IF(L173="LAST",AccessModes!$I$16&amp;J173,VLOOKUP($G173,AccessModes!$E$2:$I$14,5,FALSE)&amp;L173)&amp;");","")</f>
        <v/>
      </c>
      <c r="Q173" s="30"/>
      <c r="R173" s="31" t="str">
        <f>IF(C173=0,indent0&amp;"case 0x"&amp;F173&amp;": /* "&amp;B173&amp;" "&amp;VLOOKUP(G173,AccessModes!$E$2:$G$14,3,FALSE)&amp;" */"&amp;newline&amp;indent&amp;"cpu.cycles = "&amp;H173&amp;";"&amp;newline&amp;IF(LEN(M173)&gt;0,M173&amp;CHAR(10),"")&amp;IF(LEN(N173)&gt;0,N173&amp;newline,"")&amp;IF(LEN(O173)&gt;0,O173&amp;newline,"")&amp;IF(LEN(P173)&gt;0,P173&amp;newline,"")&amp;IF(LEN(Q173)&gt;0,Q173&amp;newline,"")&amp;indent&amp;"break;",indent0&amp;"/* Illegal opcode 0x"&amp;F173&amp;": "&amp;B173&amp;" "&amp;VLOOKUP(G173,AccessModes!$E$2:$G$14,3,FALSE)&amp;" */"&amp;newline)</f>
        <v xml:space="preserve">        /* Illegal opcode 0xAB: LAX #aa */
</v>
      </c>
      <c r="S173" s="30" t="str">
        <f t="shared" si="11"/>
        <v xml:space="preserve">    {"LAX", true , AM_IMM, 2, 0},</v>
      </c>
    </row>
    <row r="174" spans="1:19" ht="76.5" hidden="1" x14ac:dyDescent="0.25">
      <c r="A174" s="22">
        <v>172</v>
      </c>
      <c r="B174" s="22" t="s">
        <v>98</v>
      </c>
      <c r="C174" s="22">
        <v>0</v>
      </c>
      <c r="D174" s="22" t="s">
        <v>131</v>
      </c>
      <c r="E174" s="22" t="str">
        <f t="shared" si="8"/>
        <v>AC</v>
      </c>
      <c r="F174" s="22" t="str">
        <f t="shared" si="10"/>
        <v>AC</v>
      </c>
      <c r="G174" s="22" t="str">
        <f>_xlfn.IFNA(VLOOKUP(D174,AccessModes!$D$2:$E$14,2,FALSE),"AM_IMP")</f>
        <v>AM_ABS</v>
      </c>
      <c r="H174" s="22">
        <v>4</v>
      </c>
      <c r="I174" s="22">
        <v>0</v>
      </c>
      <c r="J174" s="22" t="str">
        <f>$J$162</f>
        <v>cpu.Y</v>
      </c>
      <c r="K174" s="22" t="str">
        <f>$K$162</f>
        <v>cpu.Y</v>
      </c>
      <c r="L174" s="22" t="str">
        <f t="shared" ref="L174:L190" si="12">$L$162</f>
        <v/>
      </c>
      <c r="M174" s="22" t="str">
        <f>IF(LEN(J174)&gt;0,indent&amp;J174&amp;" = "&amp;VLOOKUP($G174,AccessModes!$E$2:$I$14,4,FALSE),"")</f>
        <v xml:space="preserve">            cpu.Y = memory_getAbsolute();</v>
      </c>
      <c r="N174" s="26" t="str">
        <f>$N$162</f>
        <v/>
      </c>
      <c r="O174" s="26" t="str">
        <f t="shared" si="9"/>
        <v xml:space="preserve">            cpu.PS_N = ((cpu.Y &amp; 0x80) != 0);
            cpu.PS_Z = (cpu.Y == 0);</v>
      </c>
      <c r="P174" s="22" t="str">
        <f>IF(LEN(L174)&gt;0,indent&amp;IF(L174="LAST",AccessModes!$I$16&amp;J174,VLOOKUP($G174,AccessModes!$E$2:$I$14,5,FALSE)&amp;L174)&amp;");","")</f>
        <v/>
      </c>
      <c r="Q174" s="22"/>
      <c r="R174" s="26" t="str">
        <f>IF(C174=0,indent0&amp;"case 0x"&amp;F174&amp;": /* "&amp;B174&amp;" "&amp;VLOOKUP(G174,AccessModes!$E$2:$G$14,3,FALSE)&amp;" */"&amp;newline&amp;indent&amp;"cpu.cycles = "&amp;H174&amp;";"&amp;newline&amp;IF(LEN(M174)&gt;0,M174&amp;CHAR(10),"")&amp;IF(LEN(N174)&gt;0,N174&amp;newline,"")&amp;IF(LEN(O174)&gt;0,O174&amp;newline,"")&amp;IF(LEN(P174)&gt;0,P174&amp;newline,"")&amp;IF(LEN(Q174)&gt;0,Q174&amp;newline,"")&amp;indent&amp;"break;",indent0&amp;"/* Illegal opcode 0x"&amp;F174&amp;": "&amp;B174&amp;" "&amp;VLOOKUP(G174,AccessModes!$E$2:$G$14,3,FALSE)&amp;" */"&amp;newline)</f>
        <v xml:space="preserve">        case 0xAC: /* LDY aaaa */
            cpu.cycles = 4;
            cpu.Y = memory_getAbsolute();
            cpu.PS_N = ((cpu.Y &amp; 0x80) != 0);
            cpu.PS_Z = (cpu.Y == 0);
            break;</v>
      </c>
      <c r="S174" s="22" t="str">
        <f t="shared" si="11"/>
        <v xml:space="preserve">    {"LDY", false, AM_ABS, 4, 0},</v>
      </c>
    </row>
    <row r="175" spans="1:19" ht="76.5" hidden="1" x14ac:dyDescent="0.25">
      <c r="A175" s="22">
        <v>173</v>
      </c>
      <c r="B175" s="22" t="s">
        <v>99</v>
      </c>
      <c r="C175" s="22">
        <v>0</v>
      </c>
      <c r="D175" s="22" t="s">
        <v>131</v>
      </c>
      <c r="E175" s="22" t="str">
        <f t="shared" si="8"/>
        <v>AD</v>
      </c>
      <c r="F175" s="22" t="str">
        <f t="shared" si="10"/>
        <v>AD</v>
      </c>
      <c r="G175" s="22" t="str">
        <f>_xlfn.IFNA(VLOOKUP(D175,AccessModes!$D$2:$E$14,2,FALSE),"AM_IMP")</f>
        <v>AM_ABS</v>
      </c>
      <c r="H175" s="22">
        <v>4</v>
      </c>
      <c r="I175" s="22">
        <v>0</v>
      </c>
      <c r="J175" s="22" t="str">
        <f>$J$163</f>
        <v>cpu.A</v>
      </c>
      <c r="K175" s="22" t="str">
        <f>$K$163</f>
        <v>cpu.A</v>
      </c>
      <c r="L175" s="22" t="str">
        <f>$L$163</f>
        <v/>
      </c>
      <c r="M175" s="22" t="str">
        <f>IF(LEN(J175)&gt;0,indent&amp;J175&amp;" = "&amp;VLOOKUP($G175,AccessModes!$E$2:$I$14,4,FALSE),"")</f>
        <v xml:space="preserve">            cpu.A = memory_getAbsolute();</v>
      </c>
      <c r="N175" s="26" t="str">
        <f>$N$163</f>
        <v/>
      </c>
      <c r="O175" s="26" t="str">
        <f t="shared" si="9"/>
        <v xml:space="preserve">            cpu.PS_N = ((cpu.A &amp; 0x80) != 0);
            cpu.PS_Z = (cpu.A == 0);</v>
      </c>
      <c r="P175" s="22" t="str">
        <f>IF(LEN(L175)&gt;0,indent&amp;IF(L175="LAST",AccessModes!$I$16&amp;J175,VLOOKUP($G175,AccessModes!$E$2:$I$14,5,FALSE)&amp;L175)&amp;");","")</f>
        <v/>
      </c>
      <c r="Q175" s="22"/>
      <c r="R175" s="26" t="str">
        <f>IF(C175=0,indent0&amp;"case 0x"&amp;F175&amp;": /* "&amp;B175&amp;" "&amp;VLOOKUP(G175,AccessModes!$E$2:$G$14,3,FALSE)&amp;" */"&amp;newline&amp;indent&amp;"cpu.cycles = "&amp;H175&amp;";"&amp;newline&amp;IF(LEN(M175)&gt;0,M175&amp;CHAR(10),"")&amp;IF(LEN(N175)&gt;0,N175&amp;newline,"")&amp;IF(LEN(O175)&gt;0,O175&amp;newline,"")&amp;IF(LEN(P175)&gt;0,P175&amp;newline,"")&amp;IF(LEN(Q175)&gt;0,Q175&amp;newline,"")&amp;indent&amp;"break;",indent0&amp;"/* Illegal opcode 0x"&amp;F175&amp;": "&amp;B175&amp;" "&amp;VLOOKUP(G175,AccessModes!$E$2:$G$14,3,FALSE)&amp;" */"&amp;newline)</f>
        <v xml:space="preserve">        case 0xAD: /* LDA aaaa */
            cpu.cycles = 4;
            cpu.A = memory_getAbsolute();
            cpu.PS_N = ((cpu.A &amp; 0x80) != 0);
            cpu.PS_Z = (cpu.A == 0);
            break;</v>
      </c>
      <c r="S175" s="22" t="str">
        <f t="shared" si="11"/>
        <v xml:space="preserve">    {"LDA", false, AM_ABS, 4, 0},</v>
      </c>
    </row>
    <row r="176" spans="1:19" ht="76.5" hidden="1" x14ac:dyDescent="0.25">
      <c r="A176" s="22">
        <v>174</v>
      </c>
      <c r="B176" s="22" t="s">
        <v>100</v>
      </c>
      <c r="C176" s="22">
        <v>0</v>
      </c>
      <c r="D176" s="22" t="s">
        <v>131</v>
      </c>
      <c r="E176" s="22" t="str">
        <f t="shared" si="8"/>
        <v>AE</v>
      </c>
      <c r="F176" s="22" t="str">
        <f t="shared" si="10"/>
        <v>AE</v>
      </c>
      <c r="G176" s="22" t="str">
        <f>_xlfn.IFNA(VLOOKUP(D176,AccessModes!$D$2:$E$14,2,FALSE),"AM_IMP")</f>
        <v>AM_ABS</v>
      </c>
      <c r="H176" s="22">
        <v>4</v>
      </c>
      <c r="I176" s="22">
        <v>0</v>
      </c>
      <c r="J176" s="22" t="str">
        <f>$J$164</f>
        <v>cpu.X</v>
      </c>
      <c r="K176" s="22" t="str">
        <f>$K$164</f>
        <v>cpu.X</v>
      </c>
      <c r="L176" s="22" t="str">
        <f>$L$164</f>
        <v/>
      </c>
      <c r="M176" s="22" t="str">
        <f>IF(LEN(J176)&gt;0,indent&amp;J176&amp;" = "&amp;VLOOKUP($G176,AccessModes!$E$2:$I$14,4,FALSE),"")</f>
        <v xml:space="preserve">            cpu.X = memory_getAbsolute();</v>
      </c>
      <c r="N176" s="26" t="str">
        <f>$N$164</f>
        <v/>
      </c>
      <c r="O176" s="26" t="str">
        <f t="shared" si="9"/>
        <v xml:space="preserve">            cpu.PS_N = ((cpu.X &amp; 0x80) != 0);
            cpu.PS_Z = (cpu.X == 0);</v>
      </c>
      <c r="P176" s="22" t="str">
        <f>IF(LEN(L176)&gt;0,indent&amp;IF(L176="LAST",AccessModes!$I$16&amp;J176,VLOOKUP($G176,AccessModes!$E$2:$I$14,5,FALSE)&amp;L176)&amp;");","")</f>
        <v/>
      </c>
      <c r="Q176" s="22"/>
      <c r="R176" s="26" t="str">
        <f>IF(C176=0,indent0&amp;"case 0x"&amp;F176&amp;": /* "&amp;B176&amp;" "&amp;VLOOKUP(G176,AccessModes!$E$2:$G$14,3,FALSE)&amp;" */"&amp;newline&amp;indent&amp;"cpu.cycles = "&amp;H176&amp;";"&amp;newline&amp;IF(LEN(M176)&gt;0,M176&amp;CHAR(10),"")&amp;IF(LEN(N176)&gt;0,N176&amp;newline,"")&amp;IF(LEN(O176)&gt;0,O176&amp;newline,"")&amp;IF(LEN(P176)&gt;0,P176&amp;newline,"")&amp;IF(LEN(Q176)&gt;0,Q176&amp;newline,"")&amp;indent&amp;"break;",indent0&amp;"/* Illegal opcode 0x"&amp;F176&amp;": "&amp;B176&amp;" "&amp;VLOOKUP(G176,AccessModes!$E$2:$G$14,3,FALSE)&amp;" */"&amp;newline)</f>
        <v xml:space="preserve">        case 0xAE: /* LDX aaaa */
            cpu.cycles = 4;
            cpu.X = memory_getAbsolute();
            cpu.PS_N = ((cpu.X &amp; 0x80) != 0);
            cpu.PS_Z = (cpu.X == 0);
            break;</v>
      </c>
      <c r="S176" s="22" t="str">
        <f t="shared" si="11"/>
        <v xml:space="preserve">    {"LDX", false, AM_ABS, 4, 0},</v>
      </c>
    </row>
    <row r="177" spans="1:19" ht="25.5" hidden="1" x14ac:dyDescent="0.25">
      <c r="A177" s="28">
        <v>175</v>
      </c>
      <c r="B177" s="28" t="s">
        <v>101</v>
      </c>
      <c r="C177" s="28">
        <v>-1</v>
      </c>
      <c r="D177" s="28" t="s">
        <v>131</v>
      </c>
      <c r="E177" s="28" t="str">
        <f t="shared" si="8"/>
        <v>AF</v>
      </c>
      <c r="F177" s="28" t="str">
        <f t="shared" si="10"/>
        <v>AF</v>
      </c>
      <c r="G177" s="28" t="str">
        <f>_xlfn.IFNA(VLOOKUP(D177,AccessModes!$D$2:$E$14,2,FALSE),"AM_IMP")</f>
        <v>AM_ABS</v>
      </c>
      <c r="H177" s="28">
        <v>4</v>
      </c>
      <c r="I177" s="28">
        <v>0</v>
      </c>
      <c r="J177" s="28"/>
      <c r="K177" s="28"/>
      <c r="L177" s="28" t="str">
        <f t="shared" si="12"/>
        <v/>
      </c>
      <c r="M177" s="28" t="str">
        <f>IF(LEN(J177)&gt;0,indent&amp;J177&amp;" = "&amp;VLOOKUP($G177,AccessModes!$E$2:$I$14,4,FALSE),"")</f>
        <v/>
      </c>
      <c r="N177" s="29" t="str">
        <f>indent&amp;"/* TODO: implementation of the action */"</f>
        <v xml:space="preserve">            /* TODO: implementation of the action */</v>
      </c>
      <c r="O177" s="29" t="str">
        <f t="shared" si="9"/>
        <v/>
      </c>
      <c r="P177" s="28" t="str">
        <f>IF(LEN(L177)&gt;0,indent&amp;IF(L177="LAST",AccessModes!$I$16&amp;J177,VLOOKUP($G177,AccessModes!$E$2:$I$14,5,FALSE)&amp;L177)&amp;");","")</f>
        <v/>
      </c>
      <c r="Q177" s="28"/>
      <c r="R177" s="29" t="str">
        <f>IF(C177=0,indent0&amp;"case 0x"&amp;F177&amp;": /* "&amp;B177&amp;" "&amp;VLOOKUP(G177,AccessModes!$E$2:$G$14,3,FALSE)&amp;" */"&amp;newline&amp;indent&amp;"cpu.cycles = "&amp;H177&amp;";"&amp;newline&amp;IF(LEN(M177)&gt;0,M177&amp;CHAR(10),"")&amp;IF(LEN(N177)&gt;0,N177&amp;newline,"")&amp;IF(LEN(O177)&gt;0,O177&amp;newline,"")&amp;IF(LEN(P177)&gt;0,P177&amp;newline,"")&amp;IF(LEN(Q177)&gt;0,Q177&amp;newline,"")&amp;indent&amp;"break;",indent0&amp;"/* Illegal opcode 0x"&amp;F177&amp;": "&amp;B177&amp;" "&amp;VLOOKUP(G177,AccessModes!$E$2:$G$14,3,FALSE)&amp;" */"&amp;newline)</f>
        <v xml:space="preserve">        /* Illegal opcode 0xAF: LAX aaaa */
</v>
      </c>
      <c r="S177" s="28" t="str">
        <f t="shared" si="11"/>
        <v xml:space="preserve">    {"LAX", true , AM_ABS, 4, 0},</v>
      </c>
    </row>
    <row r="178" spans="1:19" ht="102" hidden="1" x14ac:dyDescent="0.25">
      <c r="A178" s="22">
        <v>176</v>
      </c>
      <c r="B178" s="22" t="s">
        <v>105</v>
      </c>
      <c r="C178" s="22">
        <v>0</v>
      </c>
      <c r="D178" s="22" t="s">
        <v>132</v>
      </c>
      <c r="E178" s="22" t="str">
        <f t="shared" si="8"/>
        <v>B0</v>
      </c>
      <c r="F178" s="22" t="str">
        <f t="shared" si="10"/>
        <v>B0</v>
      </c>
      <c r="G178" s="22" t="str">
        <f>_xlfn.IFNA(VLOOKUP(D178,AccessModes!$D$2:$E$14,2,FALSE),"AM_IMP")</f>
        <v>AM_REL</v>
      </c>
      <c r="H178" s="22">
        <v>2</v>
      </c>
      <c r="I178" s="22">
        <v>1</v>
      </c>
      <c r="J178" s="24" t="s">
        <v>240</v>
      </c>
      <c r="K178" s="24"/>
      <c r="L178" s="24" t="str">
        <f t="shared" si="12"/>
        <v/>
      </c>
      <c r="M178" s="22" t="str">
        <f>IF(LEN(J178)&gt;0,indent&amp;J178&amp;" = "&amp;VLOOKUP($G178,AccessModes!$E$2:$I$14,4,FALSE),"")</f>
        <v xml:space="preserve">            value_w = memory_getRelativeAddress();</v>
      </c>
      <c r="N178" s="25" t="str">
        <f>indent&amp;"if(cpu.PS_C) {"&amp;newline&amp;indent2&amp;"++cpu.cycles;"&amp;newline&amp;indent2&amp;"cpu.PC = "&amp;J178&amp;";"&amp;newline&amp;indent&amp;"}"</f>
        <v xml:space="preserve">            if(cpu.PS_C) {
                ++cpu.cycles;
                cpu.PC = value_w;
            }</v>
      </c>
      <c r="O178" s="26" t="str">
        <f t="shared" si="9"/>
        <v/>
      </c>
      <c r="P178" s="22" t="str">
        <f>IF(LEN(L178)&gt;0,indent&amp;IF(L178="LAST",AccessModes!$I$16&amp;J178,VLOOKUP($G178,AccessModes!$E$2:$I$14,5,FALSE)&amp;L178)&amp;");","")</f>
        <v/>
      </c>
      <c r="Q178" s="22"/>
      <c r="R178" s="26" t="str">
        <f>IF(C178=0,indent0&amp;"case 0x"&amp;F178&amp;": /* "&amp;B178&amp;" "&amp;VLOOKUP(G178,AccessModes!$E$2:$G$14,3,FALSE)&amp;" */"&amp;newline&amp;indent&amp;"cpu.cycles = "&amp;H178&amp;";"&amp;newline&amp;IF(LEN(M178)&gt;0,M178&amp;CHAR(10),"")&amp;IF(LEN(N178)&gt;0,N178&amp;newline,"")&amp;IF(LEN(O178)&gt;0,O178&amp;newline,"")&amp;IF(LEN(P178)&gt;0,P178&amp;newline,"")&amp;IF(LEN(Q178)&gt;0,Q178&amp;newline,"")&amp;indent&amp;"break;",indent0&amp;"/* Illegal opcode 0x"&amp;F178&amp;": "&amp;B178&amp;" "&amp;VLOOKUP(G178,AccessModes!$E$2:$G$14,3,FALSE)&amp;" */"&amp;newline)</f>
        <v xml:space="preserve">        case 0xB0: /* BCS aaaa */
            cpu.cycles = 2;
            value_w = memory_getRelativeAddress();
            if(cpu.PS_C) {
                ++cpu.cycles;
                cpu.PC = value_w;
            }
            break;</v>
      </c>
      <c r="S178" s="22" t="str">
        <f t="shared" si="11"/>
        <v xml:space="preserve">    {"BCS", false, AM_REL, 2, 1},</v>
      </c>
    </row>
    <row r="179" spans="1:19" ht="76.5" hidden="1" x14ac:dyDescent="0.25">
      <c r="A179" s="22">
        <v>177</v>
      </c>
      <c r="B179" s="22" t="s">
        <v>99</v>
      </c>
      <c r="C179" s="22">
        <v>0</v>
      </c>
      <c r="D179" s="22" t="s">
        <v>133</v>
      </c>
      <c r="E179" s="22" t="str">
        <f t="shared" si="8"/>
        <v>B1</v>
      </c>
      <c r="F179" s="22" t="str">
        <f t="shared" si="10"/>
        <v>B1</v>
      </c>
      <c r="G179" s="22" t="str">
        <f>_xlfn.IFNA(VLOOKUP(D179,AccessModes!$D$2:$E$14,2,FALSE),"AM_IMP")</f>
        <v>AM_IIY</v>
      </c>
      <c r="H179" s="22">
        <v>5</v>
      </c>
      <c r="I179" s="22">
        <v>1</v>
      </c>
      <c r="J179" s="22" t="str">
        <f>$J$163</f>
        <v>cpu.A</v>
      </c>
      <c r="K179" s="22" t="str">
        <f>$K$163</f>
        <v>cpu.A</v>
      </c>
      <c r="L179" s="22" t="str">
        <f>$L$163</f>
        <v/>
      </c>
      <c r="M179" s="22" t="str">
        <f>IF(LEN(J179)&gt;0,indent&amp;J179&amp;" = "&amp;VLOOKUP($G179,AccessModes!$E$2:$I$14,4,FALSE),"")</f>
        <v xml:space="preserve">            cpu.A = memory_getIndirectIndexedY();</v>
      </c>
      <c r="N179" s="26" t="str">
        <f>$N$163</f>
        <v/>
      </c>
      <c r="O179" s="26" t="str">
        <f t="shared" si="9"/>
        <v xml:space="preserve">            cpu.PS_N = ((cpu.A &amp; 0x80) != 0);
            cpu.PS_Z = (cpu.A == 0);</v>
      </c>
      <c r="P179" s="22" t="str">
        <f>IF(LEN(L179)&gt;0,indent&amp;IF(L179="LAST",AccessModes!$I$16&amp;J179,VLOOKUP($G179,AccessModes!$E$2:$I$14,5,FALSE)&amp;L179)&amp;");","")</f>
        <v/>
      </c>
      <c r="Q179" s="22"/>
      <c r="R179" s="26" t="str">
        <f>IF(C179=0,indent0&amp;"case 0x"&amp;F179&amp;": /* "&amp;B179&amp;" "&amp;VLOOKUP(G179,AccessModes!$E$2:$G$14,3,FALSE)&amp;" */"&amp;newline&amp;indent&amp;"cpu.cycles = "&amp;H179&amp;";"&amp;newline&amp;IF(LEN(M179)&gt;0,M179&amp;CHAR(10),"")&amp;IF(LEN(N179)&gt;0,N179&amp;newline,"")&amp;IF(LEN(O179)&gt;0,O179&amp;newline,"")&amp;IF(LEN(P179)&gt;0,P179&amp;newline,"")&amp;IF(LEN(Q179)&gt;0,Q179&amp;newline,"")&amp;indent&amp;"break;",indent0&amp;"/* Illegal opcode 0x"&amp;F179&amp;": "&amp;B179&amp;" "&amp;VLOOKUP(G179,AccessModes!$E$2:$G$14,3,FALSE)&amp;" */"&amp;newline)</f>
        <v xml:space="preserve">        case 0xB1: /* LDA (aa),Y */
            cpu.cycles = 5;
            cpu.A = memory_getIndirectIndexedY();
            cpu.PS_N = ((cpu.A &amp; 0x80) != 0);
            cpu.PS_Z = (cpu.A == 0);
            break;</v>
      </c>
      <c r="S179" s="22" t="str">
        <f t="shared" si="11"/>
        <v xml:space="preserve">    {"LDA", false, AM_IIY, 5, 1},</v>
      </c>
    </row>
    <row r="180" spans="1:19" ht="25.5" hidden="1" x14ac:dyDescent="0.25">
      <c r="A180" s="28">
        <v>178</v>
      </c>
      <c r="B180" s="28" t="s">
        <v>20</v>
      </c>
      <c r="C180" s="28">
        <v>-1</v>
      </c>
      <c r="D180" s="28"/>
      <c r="E180" s="28" t="str">
        <f t="shared" si="8"/>
        <v>B2</v>
      </c>
      <c r="F180" s="28" t="str">
        <f t="shared" si="10"/>
        <v>B2</v>
      </c>
      <c r="G180" s="28" t="str">
        <f>_xlfn.IFNA(VLOOKUP(D180,AccessModes!$D$2:$E$14,2,FALSE),"AM_IMP")</f>
        <v>AM_IMP</v>
      </c>
      <c r="H180" s="28">
        <v>0</v>
      </c>
      <c r="I180" s="28">
        <v>0</v>
      </c>
      <c r="J180" s="28"/>
      <c r="K180" s="28"/>
      <c r="L180" s="28" t="str">
        <f t="shared" si="12"/>
        <v/>
      </c>
      <c r="M180" s="28" t="str">
        <f>IF(LEN(J180)&gt;0,indent&amp;J180&amp;" = "&amp;VLOOKUP($G180,AccessModes!$E$2:$I$14,4,FALSE),"")</f>
        <v/>
      </c>
      <c r="N180" s="29" t="str">
        <f>indent&amp;"/* TODO: implementation of the action */"</f>
        <v xml:space="preserve">            /* TODO: implementation of the action */</v>
      </c>
      <c r="O180" s="29" t="str">
        <f t="shared" si="9"/>
        <v/>
      </c>
      <c r="P180" s="28" t="str">
        <f>IF(LEN(L180)&gt;0,indent&amp;IF(L180="LAST",AccessModes!$I$16&amp;J180,VLOOKUP($G180,AccessModes!$E$2:$I$14,5,FALSE)&amp;L180)&amp;");","")</f>
        <v/>
      </c>
      <c r="Q180" s="28"/>
      <c r="R180" s="29" t="str">
        <f>IF(C180=0,indent0&amp;"case 0x"&amp;F180&amp;": /* "&amp;B180&amp;" "&amp;VLOOKUP(G180,AccessModes!$E$2:$G$14,3,FALSE)&amp;" */"&amp;newline&amp;indent&amp;"cpu.cycles = "&amp;H180&amp;";"&amp;newline&amp;IF(LEN(M180)&gt;0,M180&amp;CHAR(10),"")&amp;IF(LEN(N180)&gt;0,N180&amp;newline,"")&amp;IF(LEN(O180)&gt;0,O180&amp;newline,"")&amp;IF(LEN(P180)&gt;0,P180&amp;newline,"")&amp;IF(LEN(Q180)&gt;0,Q180&amp;newline,"")&amp;indent&amp;"break;",indent0&amp;"/* Illegal opcode 0x"&amp;F180&amp;": "&amp;B180&amp;" "&amp;VLOOKUP(G180,AccessModes!$E$2:$G$14,3,FALSE)&amp;" */"&amp;newline)</f>
        <v xml:space="preserve">        /* Illegal opcode 0xB2: KIL  */
</v>
      </c>
      <c r="S180" s="28" t="str">
        <f t="shared" si="11"/>
        <v xml:space="preserve">    {"KIL", true , AM_IMP, 0, 0},</v>
      </c>
    </row>
    <row r="181" spans="1:19" ht="25.5" hidden="1" x14ac:dyDescent="0.25">
      <c r="A181" s="28">
        <v>179</v>
      </c>
      <c r="B181" s="28" t="s">
        <v>101</v>
      </c>
      <c r="C181" s="28">
        <v>-1</v>
      </c>
      <c r="D181" s="28" t="s">
        <v>133</v>
      </c>
      <c r="E181" s="28" t="str">
        <f t="shared" si="8"/>
        <v>B3</v>
      </c>
      <c r="F181" s="28" t="str">
        <f t="shared" si="10"/>
        <v>B3</v>
      </c>
      <c r="G181" s="28" t="str">
        <f>_xlfn.IFNA(VLOOKUP(D181,AccessModes!$D$2:$E$14,2,FALSE),"AM_IMP")</f>
        <v>AM_IIY</v>
      </c>
      <c r="H181" s="28">
        <v>5</v>
      </c>
      <c r="I181" s="28">
        <v>1</v>
      </c>
      <c r="J181" s="28"/>
      <c r="K181" s="28"/>
      <c r="L181" s="28" t="str">
        <f t="shared" si="12"/>
        <v/>
      </c>
      <c r="M181" s="28" t="str">
        <f>IF(LEN(J181)&gt;0,indent&amp;J181&amp;" = "&amp;VLOOKUP($G181,AccessModes!$E$2:$I$14,4,FALSE),"")</f>
        <v/>
      </c>
      <c r="N181" s="29" t="str">
        <f>indent&amp;"/* TODO: implementation of the action */"</f>
        <v xml:space="preserve">            /* TODO: implementation of the action */</v>
      </c>
      <c r="O181" s="29" t="str">
        <f t="shared" si="9"/>
        <v/>
      </c>
      <c r="P181" s="28" t="str">
        <f>IF(LEN(L181)&gt;0,indent&amp;IF(L181="LAST",AccessModes!$I$16&amp;J181,VLOOKUP($G181,AccessModes!$E$2:$I$14,5,FALSE)&amp;L181)&amp;");","")</f>
        <v/>
      </c>
      <c r="Q181" s="28"/>
      <c r="R181" s="29" t="str">
        <f>IF(C181=0,indent0&amp;"case 0x"&amp;F181&amp;": /* "&amp;B181&amp;" "&amp;VLOOKUP(G181,AccessModes!$E$2:$G$14,3,FALSE)&amp;" */"&amp;newline&amp;indent&amp;"cpu.cycles = "&amp;H181&amp;";"&amp;newline&amp;IF(LEN(M181)&gt;0,M181&amp;CHAR(10),"")&amp;IF(LEN(N181)&gt;0,N181&amp;newline,"")&amp;IF(LEN(O181)&gt;0,O181&amp;newline,"")&amp;IF(LEN(P181)&gt;0,P181&amp;newline,"")&amp;IF(LEN(Q181)&gt;0,Q181&amp;newline,"")&amp;indent&amp;"break;",indent0&amp;"/* Illegal opcode 0x"&amp;F181&amp;": "&amp;B181&amp;" "&amp;VLOOKUP(G181,AccessModes!$E$2:$G$14,3,FALSE)&amp;" */"&amp;newline)</f>
        <v xml:space="preserve">        /* Illegal opcode 0xB3: LAX (aa),Y */
</v>
      </c>
      <c r="S181" s="28" t="str">
        <f t="shared" si="11"/>
        <v xml:space="preserve">    {"LAX", true , AM_IIY, 5, 1},</v>
      </c>
    </row>
    <row r="182" spans="1:19" ht="76.5" hidden="1" x14ac:dyDescent="0.25">
      <c r="A182" s="22">
        <v>180</v>
      </c>
      <c r="B182" s="22" t="s">
        <v>98</v>
      </c>
      <c r="C182" s="22">
        <v>0</v>
      </c>
      <c r="D182" s="22" t="s">
        <v>134</v>
      </c>
      <c r="E182" s="22" t="str">
        <f t="shared" si="8"/>
        <v>B4</v>
      </c>
      <c r="F182" s="22" t="str">
        <f t="shared" si="10"/>
        <v>B4</v>
      </c>
      <c r="G182" s="22" t="str">
        <f>_xlfn.IFNA(VLOOKUP(D182,AccessModes!$D$2:$E$14,2,FALSE),"AM_IMP")</f>
        <v>AM_ZIX</v>
      </c>
      <c r="H182" s="22">
        <v>4</v>
      </c>
      <c r="I182" s="22">
        <v>0</v>
      </c>
      <c r="J182" s="22" t="str">
        <f>$J$162</f>
        <v>cpu.Y</v>
      </c>
      <c r="K182" s="22" t="str">
        <f>$K$162</f>
        <v>cpu.Y</v>
      </c>
      <c r="L182" s="22" t="str">
        <f t="shared" si="12"/>
        <v/>
      </c>
      <c r="M182" s="22" t="str">
        <f>IF(LEN(J182)&gt;0,indent&amp;J182&amp;" = "&amp;VLOOKUP($G182,AccessModes!$E$2:$I$14,4,FALSE),"")</f>
        <v xml:space="preserve">            cpu.Y = memory_getZeroPageIndexedX();</v>
      </c>
      <c r="N182" s="26" t="str">
        <f>$N$162</f>
        <v/>
      </c>
      <c r="O182" s="26" t="str">
        <f t="shared" si="9"/>
        <v xml:space="preserve">            cpu.PS_N = ((cpu.Y &amp; 0x80) != 0);
            cpu.PS_Z = (cpu.Y == 0);</v>
      </c>
      <c r="P182" s="22" t="str">
        <f>IF(LEN(L182)&gt;0,indent&amp;IF(L182="LAST",AccessModes!$I$16&amp;J182,VLOOKUP($G182,AccessModes!$E$2:$I$14,5,FALSE)&amp;L182)&amp;");","")</f>
        <v/>
      </c>
      <c r="Q182" s="22"/>
      <c r="R182" s="26" t="str">
        <f>IF(C182=0,indent0&amp;"case 0x"&amp;F182&amp;": /* "&amp;B182&amp;" "&amp;VLOOKUP(G182,AccessModes!$E$2:$G$14,3,FALSE)&amp;" */"&amp;newline&amp;indent&amp;"cpu.cycles = "&amp;H182&amp;";"&amp;newline&amp;IF(LEN(M182)&gt;0,M182&amp;CHAR(10),"")&amp;IF(LEN(N182)&gt;0,N182&amp;newline,"")&amp;IF(LEN(O182)&gt;0,O182&amp;newline,"")&amp;IF(LEN(P182)&gt;0,P182&amp;newline,"")&amp;IF(LEN(Q182)&gt;0,Q182&amp;newline,"")&amp;indent&amp;"break;",indent0&amp;"/* Illegal opcode 0x"&amp;F182&amp;": "&amp;B182&amp;" "&amp;VLOOKUP(G182,AccessModes!$E$2:$G$14,3,FALSE)&amp;" */"&amp;newline)</f>
        <v xml:space="preserve">        case 0xB4: /* LDY aa,X */
            cpu.cycles = 4;
            cpu.Y = memory_getZeroPageIndexedX();
            cpu.PS_N = ((cpu.Y &amp; 0x80) != 0);
            cpu.PS_Z = (cpu.Y == 0);
            break;</v>
      </c>
      <c r="S182" s="22" t="str">
        <f t="shared" si="11"/>
        <v xml:space="preserve">    {"LDY", false, AM_ZIX, 4, 0},</v>
      </c>
    </row>
    <row r="183" spans="1:19" ht="76.5" hidden="1" x14ac:dyDescent="0.25">
      <c r="A183" s="22">
        <v>181</v>
      </c>
      <c r="B183" s="22" t="s">
        <v>99</v>
      </c>
      <c r="C183" s="22">
        <v>0</v>
      </c>
      <c r="D183" s="22" t="s">
        <v>134</v>
      </c>
      <c r="E183" s="22" t="str">
        <f t="shared" si="8"/>
        <v>B5</v>
      </c>
      <c r="F183" s="22" t="str">
        <f t="shared" si="10"/>
        <v>B5</v>
      </c>
      <c r="G183" s="22" t="str">
        <f>_xlfn.IFNA(VLOOKUP(D183,AccessModes!$D$2:$E$14,2,FALSE),"AM_IMP")</f>
        <v>AM_ZIX</v>
      </c>
      <c r="H183" s="22">
        <v>4</v>
      </c>
      <c r="I183" s="22">
        <v>0</v>
      </c>
      <c r="J183" s="22" t="str">
        <f>$J$163</f>
        <v>cpu.A</v>
      </c>
      <c r="K183" s="22" t="str">
        <f>$K$163</f>
        <v>cpu.A</v>
      </c>
      <c r="L183" s="22" t="str">
        <f>$L$163</f>
        <v/>
      </c>
      <c r="M183" s="22" t="str">
        <f>IF(LEN(J183)&gt;0,indent&amp;J183&amp;" = "&amp;VLOOKUP($G183,AccessModes!$E$2:$I$14,4,FALSE),"")</f>
        <v xml:space="preserve">            cpu.A = memory_getZeroPageIndexedX();</v>
      </c>
      <c r="N183" s="26" t="str">
        <f>$N$163</f>
        <v/>
      </c>
      <c r="O183" s="26" t="str">
        <f t="shared" si="9"/>
        <v xml:space="preserve">            cpu.PS_N = ((cpu.A &amp; 0x80) != 0);
            cpu.PS_Z = (cpu.A == 0);</v>
      </c>
      <c r="P183" s="22" t="str">
        <f>IF(LEN(L183)&gt;0,indent&amp;IF(L183="LAST",AccessModes!$I$16&amp;J183,VLOOKUP($G183,AccessModes!$E$2:$I$14,5,FALSE)&amp;L183)&amp;");","")</f>
        <v/>
      </c>
      <c r="Q183" s="22"/>
      <c r="R183" s="26" t="str">
        <f>IF(C183=0,indent0&amp;"case 0x"&amp;F183&amp;": /* "&amp;B183&amp;" "&amp;VLOOKUP(G183,AccessModes!$E$2:$G$14,3,FALSE)&amp;" */"&amp;newline&amp;indent&amp;"cpu.cycles = "&amp;H183&amp;";"&amp;newline&amp;IF(LEN(M183)&gt;0,M183&amp;CHAR(10),"")&amp;IF(LEN(N183)&gt;0,N183&amp;newline,"")&amp;IF(LEN(O183)&gt;0,O183&amp;newline,"")&amp;IF(LEN(P183)&gt;0,P183&amp;newline,"")&amp;IF(LEN(Q183)&gt;0,Q183&amp;newline,"")&amp;indent&amp;"break;",indent0&amp;"/* Illegal opcode 0x"&amp;F183&amp;": "&amp;B183&amp;" "&amp;VLOOKUP(G183,AccessModes!$E$2:$G$14,3,FALSE)&amp;" */"&amp;newline)</f>
        <v xml:space="preserve">        case 0xB5: /* LDA aa,X */
            cpu.cycles = 4;
            cpu.A = memory_getZeroPageIndexedX();
            cpu.PS_N = ((cpu.A &amp; 0x80) != 0);
            cpu.PS_Z = (cpu.A == 0);
            break;</v>
      </c>
      <c r="S183" s="22" t="str">
        <f t="shared" si="11"/>
        <v xml:space="preserve">    {"LDA", false, AM_ZIX, 4, 0},</v>
      </c>
    </row>
    <row r="184" spans="1:19" ht="76.5" hidden="1" x14ac:dyDescent="0.25">
      <c r="A184" s="22">
        <v>182</v>
      </c>
      <c r="B184" s="22" t="s">
        <v>100</v>
      </c>
      <c r="C184" s="22">
        <v>0</v>
      </c>
      <c r="D184" s="22" t="s">
        <v>138</v>
      </c>
      <c r="E184" s="22" t="str">
        <f t="shared" si="8"/>
        <v>B6</v>
      </c>
      <c r="F184" s="22" t="str">
        <f t="shared" si="10"/>
        <v>B6</v>
      </c>
      <c r="G184" s="22" t="str">
        <f>_xlfn.IFNA(VLOOKUP(D184,AccessModes!$D$2:$E$14,2,FALSE),"AM_IMP")</f>
        <v>AM_ZIY</v>
      </c>
      <c r="H184" s="22">
        <v>4</v>
      </c>
      <c r="I184" s="22">
        <v>0</v>
      </c>
      <c r="J184" s="22" t="str">
        <f>$J$164</f>
        <v>cpu.X</v>
      </c>
      <c r="K184" s="22" t="str">
        <f>$K$164</f>
        <v>cpu.X</v>
      </c>
      <c r="L184" s="22" t="str">
        <f>$L$164</f>
        <v/>
      </c>
      <c r="M184" s="22" t="str">
        <f>IF(LEN(J184)&gt;0,indent&amp;J184&amp;" = "&amp;VLOOKUP($G184,AccessModes!$E$2:$I$14,4,FALSE),"")</f>
        <v xml:space="preserve">            cpu.X = memory_getZeroPageIndexedY();</v>
      </c>
      <c r="N184" s="26" t="str">
        <f>$N$164</f>
        <v/>
      </c>
      <c r="O184" s="26" t="str">
        <f t="shared" si="9"/>
        <v xml:space="preserve">            cpu.PS_N = ((cpu.X &amp; 0x80) != 0);
            cpu.PS_Z = (cpu.X == 0);</v>
      </c>
      <c r="P184" s="22" t="str">
        <f>IF(LEN(L184)&gt;0,indent&amp;IF(L184="LAST",AccessModes!$I$16&amp;J184,VLOOKUP($G184,AccessModes!$E$2:$I$14,5,FALSE)&amp;L184)&amp;");","")</f>
        <v/>
      </c>
      <c r="Q184" s="22"/>
      <c r="R184" s="26" t="str">
        <f>IF(C184=0,indent0&amp;"case 0x"&amp;F184&amp;": /* "&amp;B184&amp;" "&amp;VLOOKUP(G184,AccessModes!$E$2:$G$14,3,FALSE)&amp;" */"&amp;newline&amp;indent&amp;"cpu.cycles = "&amp;H184&amp;";"&amp;newline&amp;IF(LEN(M184)&gt;0,M184&amp;CHAR(10),"")&amp;IF(LEN(N184)&gt;0,N184&amp;newline,"")&amp;IF(LEN(O184)&gt;0,O184&amp;newline,"")&amp;IF(LEN(P184)&gt;0,P184&amp;newline,"")&amp;IF(LEN(Q184)&gt;0,Q184&amp;newline,"")&amp;indent&amp;"break;",indent0&amp;"/* Illegal opcode 0x"&amp;F184&amp;": "&amp;B184&amp;" "&amp;VLOOKUP(G184,AccessModes!$E$2:$G$14,3,FALSE)&amp;" */"&amp;newline)</f>
        <v xml:space="preserve">        case 0xB6: /* LDX aa,Y */
            cpu.cycles = 4;
            cpu.X = memory_getZeroPageIndexedY();
            cpu.PS_N = ((cpu.X &amp; 0x80) != 0);
            cpu.PS_Z = (cpu.X == 0);
            break;</v>
      </c>
      <c r="S184" s="22" t="str">
        <f t="shared" si="11"/>
        <v xml:space="preserve">    {"LDX", false, AM_ZIY, 4, 0},</v>
      </c>
    </row>
    <row r="185" spans="1:19" ht="25.5" hidden="1" x14ac:dyDescent="0.25">
      <c r="A185" s="28">
        <v>183</v>
      </c>
      <c r="B185" s="28" t="s">
        <v>101</v>
      </c>
      <c r="C185" s="28">
        <v>-1</v>
      </c>
      <c r="D185" s="28" t="s">
        <v>138</v>
      </c>
      <c r="E185" s="28" t="str">
        <f t="shared" si="8"/>
        <v>B7</v>
      </c>
      <c r="F185" s="28" t="str">
        <f t="shared" si="10"/>
        <v>B7</v>
      </c>
      <c r="G185" s="28" t="str">
        <f>_xlfn.IFNA(VLOOKUP(D185,AccessModes!$D$2:$E$14,2,FALSE),"AM_IMP")</f>
        <v>AM_ZIY</v>
      </c>
      <c r="H185" s="28">
        <v>4</v>
      </c>
      <c r="I185" s="28">
        <v>0</v>
      </c>
      <c r="J185" s="28"/>
      <c r="K185" s="28"/>
      <c r="L185" s="28" t="str">
        <f t="shared" si="12"/>
        <v/>
      </c>
      <c r="M185" s="28" t="str">
        <f>IF(LEN(J185)&gt;0,indent&amp;J185&amp;" = "&amp;VLOOKUP($G185,AccessModes!$E$2:$I$14,4,FALSE),"")</f>
        <v/>
      </c>
      <c r="N185" s="29" t="str">
        <f>indent&amp;"/* TODO: implementation of the action */"</f>
        <v xml:space="preserve">            /* TODO: implementation of the action */</v>
      </c>
      <c r="O185" s="29" t="str">
        <f t="shared" si="9"/>
        <v/>
      </c>
      <c r="P185" s="28" t="str">
        <f>IF(LEN(L185)&gt;0,indent&amp;IF(L185="LAST",AccessModes!$I$16&amp;J185,VLOOKUP($G185,AccessModes!$E$2:$I$14,5,FALSE)&amp;L185)&amp;");","")</f>
        <v/>
      </c>
      <c r="Q185" s="28"/>
      <c r="R185" s="29" t="str">
        <f>IF(C185=0,indent0&amp;"case 0x"&amp;F185&amp;": /* "&amp;B185&amp;" "&amp;VLOOKUP(G185,AccessModes!$E$2:$G$14,3,FALSE)&amp;" */"&amp;newline&amp;indent&amp;"cpu.cycles = "&amp;H185&amp;";"&amp;newline&amp;IF(LEN(M185)&gt;0,M185&amp;CHAR(10),"")&amp;IF(LEN(N185)&gt;0,N185&amp;newline,"")&amp;IF(LEN(O185)&gt;0,O185&amp;newline,"")&amp;IF(LEN(P185)&gt;0,P185&amp;newline,"")&amp;IF(LEN(Q185)&gt;0,Q185&amp;newline,"")&amp;indent&amp;"break;",indent0&amp;"/* Illegal opcode 0x"&amp;F185&amp;": "&amp;B185&amp;" "&amp;VLOOKUP(G185,AccessModes!$E$2:$G$14,3,FALSE)&amp;" */"&amp;newline)</f>
        <v xml:space="preserve">        /* Illegal opcode 0xB7: LAX aa,Y */
</v>
      </c>
      <c r="S185" s="28" t="str">
        <f t="shared" si="11"/>
        <v xml:space="preserve">    {"LAX", true , AM_ZIY, 4, 0},</v>
      </c>
    </row>
    <row r="186" spans="1:19" ht="51" hidden="1" x14ac:dyDescent="0.25">
      <c r="A186" s="22">
        <v>184</v>
      </c>
      <c r="B186" s="22" t="s">
        <v>106</v>
      </c>
      <c r="C186" s="22">
        <v>0</v>
      </c>
      <c r="D186" s="22" t="s">
        <v>139</v>
      </c>
      <c r="E186" s="22" t="str">
        <f t="shared" si="8"/>
        <v>B8</v>
      </c>
      <c r="F186" s="22" t="str">
        <f t="shared" si="10"/>
        <v>B8</v>
      </c>
      <c r="G186" s="22" t="str">
        <f>_xlfn.IFNA(VLOOKUP(D186,AccessModes!$D$2:$E$14,2,FALSE),"AM_IMP")</f>
        <v>AM_IMP</v>
      </c>
      <c r="H186" s="22">
        <v>2</v>
      </c>
      <c r="I186" s="22">
        <v>0</v>
      </c>
      <c r="J186" s="24"/>
      <c r="K186" s="24"/>
      <c r="L186" s="24" t="str">
        <f t="shared" si="12"/>
        <v/>
      </c>
      <c r="M186" s="22" t="str">
        <f>IF(LEN(J186)&gt;0,indent&amp;J186&amp;" = "&amp;VLOOKUP($G186,AccessModes!$E$2:$I$14,4,FALSE),"")</f>
        <v/>
      </c>
      <c r="N186" s="25" t="str">
        <f>indent&amp;"cpu.PS_V = false;"</f>
        <v xml:space="preserve">            cpu.PS_V = false;</v>
      </c>
      <c r="O186" s="26" t="str">
        <f t="shared" si="9"/>
        <v/>
      </c>
      <c r="P186" s="22" t="str">
        <f>IF(LEN(L186)&gt;0,indent&amp;IF(L186="LAST",AccessModes!$I$16&amp;J186,VLOOKUP($G186,AccessModes!$E$2:$I$14,5,FALSE)&amp;L186)&amp;");","")</f>
        <v/>
      </c>
      <c r="Q186" s="22"/>
      <c r="R186" s="26" t="str">
        <f>IF(C186=0,indent0&amp;"case 0x"&amp;F186&amp;": /* "&amp;B186&amp;" "&amp;VLOOKUP(G186,AccessModes!$E$2:$G$14,3,FALSE)&amp;" */"&amp;newline&amp;indent&amp;"cpu.cycles = "&amp;H186&amp;";"&amp;newline&amp;IF(LEN(M186)&gt;0,M186&amp;CHAR(10),"")&amp;IF(LEN(N186)&gt;0,N186&amp;newline,"")&amp;IF(LEN(O186)&gt;0,O186&amp;newline,"")&amp;IF(LEN(P186)&gt;0,P186&amp;newline,"")&amp;IF(LEN(Q186)&gt;0,Q186&amp;newline,"")&amp;indent&amp;"break;",indent0&amp;"/* Illegal opcode 0x"&amp;F186&amp;": "&amp;B186&amp;" "&amp;VLOOKUP(G186,AccessModes!$E$2:$G$14,3,FALSE)&amp;" */"&amp;newline)</f>
        <v xml:space="preserve">        case 0xB8: /* CLV  */
            cpu.cycles = 2;
            cpu.PS_V = false;
            break;</v>
      </c>
      <c r="S186" s="22" t="str">
        <f t="shared" si="11"/>
        <v xml:space="preserve">    {"CLV", false, AM_IMP, 2, 0},</v>
      </c>
    </row>
    <row r="187" spans="1:19" ht="76.5" hidden="1" x14ac:dyDescent="0.25">
      <c r="A187" s="22">
        <v>185</v>
      </c>
      <c r="B187" s="22" t="s">
        <v>99</v>
      </c>
      <c r="C187" s="22">
        <v>0</v>
      </c>
      <c r="D187" s="22" t="s">
        <v>135</v>
      </c>
      <c r="E187" s="22" t="str">
        <f t="shared" si="8"/>
        <v>B9</v>
      </c>
      <c r="F187" s="22" t="str">
        <f t="shared" si="10"/>
        <v>B9</v>
      </c>
      <c r="G187" s="22" t="str">
        <f>_xlfn.IFNA(VLOOKUP(D187,AccessModes!$D$2:$E$14,2,FALSE),"AM_IMP")</f>
        <v>AM_AIY</v>
      </c>
      <c r="H187" s="22">
        <v>4</v>
      </c>
      <c r="I187" s="22">
        <v>1</v>
      </c>
      <c r="J187" s="22" t="str">
        <f>$J$163</f>
        <v>cpu.A</v>
      </c>
      <c r="K187" s="22" t="str">
        <f>$K$163</f>
        <v>cpu.A</v>
      </c>
      <c r="L187" s="22" t="str">
        <f>$L$163</f>
        <v/>
      </c>
      <c r="M187" s="22" t="str">
        <f>IF(LEN(J187)&gt;0,indent&amp;J187&amp;" = "&amp;VLOOKUP($G187,AccessModes!$E$2:$I$14,4,FALSE),"")</f>
        <v xml:space="preserve">            cpu.A = memory_getAbsoluteIndexedY();</v>
      </c>
      <c r="N187" s="26" t="str">
        <f>$N$163</f>
        <v/>
      </c>
      <c r="O187" s="26" t="str">
        <f t="shared" si="9"/>
        <v xml:space="preserve">            cpu.PS_N = ((cpu.A &amp; 0x80) != 0);
            cpu.PS_Z = (cpu.A == 0);</v>
      </c>
      <c r="P187" s="22" t="str">
        <f>IF(LEN(L187)&gt;0,indent&amp;IF(L187="LAST",AccessModes!$I$16&amp;J187,VLOOKUP($G187,AccessModes!$E$2:$I$14,5,FALSE)&amp;L187)&amp;");","")</f>
        <v/>
      </c>
      <c r="Q187" s="22"/>
      <c r="R187" s="26" t="str">
        <f>IF(C187=0,indent0&amp;"case 0x"&amp;F187&amp;": /* "&amp;B187&amp;" "&amp;VLOOKUP(G187,AccessModes!$E$2:$G$14,3,FALSE)&amp;" */"&amp;newline&amp;indent&amp;"cpu.cycles = "&amp;H187&amp;";"&amp;newline&amp;IF(LEN(M187)&gt;0,M187&amp;CHAR(10),"")&amp;IF(LEN(N187)&gt;0,N187&amp;newline,"")&amp;IF(LEN(O187)&gt;0,O187&amp;newline,"")&amp;IF(LEN(P187)&gt;0,P187&amp;newline,"")&amp;IF(LEN(Q187)&gt;0,Q187&amp;newline,"")&amp;indent&amp;"break;",indent0&amp;"/* Illegal opcode 0x"&amp;F187&amp;": "&amp;B187&amp;" "&amp;VLOOKUP(G187,AccessModes!$E$2:$G$14,3,FALSE)&amp;" */"&amp;newline)</f>
        <v xml:space="preserve">        case 0xB9: /* LDA aaaa,Y */
            cpu.cycles = 4;
            cpu.A = memory_getAbsoluteIndexedY();
            cpu.PS_N = ((cpu.A &amp; 0x80) != 0);
            cpu.PS_Z = (cpu.A == 0);
            break;</v>
      </c>
      <c r="S187" s="22" t="str">
        <f t="shared" si="11"/>
        <v xml:space="preserve">    {"LDA", false, AM_AIY, 4, 1},</v>
      </c>
    </row>
    <row r="188" spans="1:19" ht="76.5" hidden="1" x14ac:dyDescent="0.25">
      <c r="A188" s="22">
        <v>186</v>
      </c>
      <c r="B188" s="22" t="s">
        <v>107</v>
      </c>
      <c r="C188" s="22">
        <v>0</v>
      </c>
      <c r="D188" s="22" t="s">
        <v>139</v>
      </c>
      <c r="E188" s="22" t="str">
        <f t="shared" si="8"/>
        <v>BA</v>
      </c>
      <c r="F188" s="22" t="str">
        <f t="shared" si="10"/>
        <v>BA</v>
      </c>
      <c r="G188" s="22" t="str">
        <f>_xlfn.IFNA(VLOOKUP(D188,AccessModes!$D$2:$E$14,2,FALSE),"AM_IMP")</f>
        <v>AM_IMP</v>
      </c>
      <c r="H188" s="22">
        <v>2</v>
      </c>
      <c r="I188" s="22">
        <v>0</v>
      </c>
      <c r="J188" s="24"/>
      <c r="K188" s="24" t="s">
        <v>226</v>
      </c>
      <c r="L188" s="24" t="str">
        <f t="shared" si="12"/>
        <v/>
      </c>
      <c r="M188" s="22" t="str">
        <f>IF(LEN(J188)&gt;0,indent&amp;J188&amp;" = "&amp;VLOOKUP($G188,AccessModes!$E$2:$I$14,4,FALSE),"")</f>
        <v/>
      </c>
      <c r="N188" s="25" t="str">
        <f>indent&amp;"cpu.X = cpu.SP;"</f>
        <v xml:space="preserve">            cpu.X = cpu.SP;</v>
      </c>
      <c r="O188" s="26" t="str">
        <f t="shared" si="9"/>
        <v xml:space="preserve">            cpu.PS_N = ((cpu.X &amp; 0x80) != 0);
            cpu.PS_Z = (cpu.X == 0);</v>
      </c>
      <c r="P188" s="22" t="str">
        <f>IF(LEN(L188)&gt;0,indent&amp;IF(L188="LAST",AccessModes!$I$16&amp;J188,VLOOKUP($G188,AccessModes!$E$2:$I$14,5,FALSE)&amp;L188)&amp;");","")</f>
        <v/>
      </c>
      <c r="Q188" s="22"/>
      <c r="R188" s="26" t="str">
        <f>IF(C188=0,indent0&amp;"case 0x"&amp;F188&amp;": /* "&amp;B188&amp;" "&amp;VLOOKUP(G188,AccessModes!$E$2:$G$14,3,FALSE)&amp;" */"&amp;newline&amp;indent&amp;"cpu.cycles = "&amp;H188&amp;";"&amp;newline&amp;IF(LEN(M188)&gt;0,M188&amp;CHAR(10),"")&amp;IF(LEN(N188)&gt;0,N188&amp;newline,"")&amp;IF(LEN(O188)&gt;0,O188&amp;newline,"")&amp;IF(LEN(P188)&gt;0,P188&amp;newline,"")&amp;IF(LEN(Q188)&gt;0,Q188&amp;newline,"")&amp;indent&amp;"break;",indent0&amp;"/* Illegal opcode 0x"&amp;F188&amp;": "&amp;B188&amp;" "&amp;VLOOKUP(G188,AccessModes!$E$2:$G$14,3,FALSE)&amp;" */"&amp;newline)</f>
        <v xml:space="preserve">        case 0xBA: /* TSX  */
            cpu.cycles = 2;
            cpu.X = cpu.SP;
            cpu.PS_N = ((cpu.X &amp; 0x80) != 0);
            cpu.PS_Z = (cpu.X == 0);
            break;</v>
      </c>
      <c r="S188" s="22" t="str">
        <f t="shared" si="11"/>
        <v xml:space="preserve">    {"TSX", false, AM_IMP, 2, 0},</v>
      </c>
    </row>
    <row r="189" spans="1:19" ht="25.5" hidden="1" x14ac:dyDescent="0.25">
      <c r="A189" s="28">
        <v>187</v>
      </c>
      <c r="B189" s="28" t="s">
        <v>108</v>
      </c>
      <c r="C189" s="28">
        <v>-1</v>
      </c>
      <c r="D189" s="28" t="s">
        <v>135</v>
      </c>
      <c r="E189" s="28" t="str">
        <f t="shared" si="8"/>
        <v>BB</v>
      </c>
      <c r="F189" s="28" t="str">
        <f t="shared" si="10"/>
        <v>BB</v>
      </c>
      <c r="G189" s="28" t="str">
        <f>_xlfn.IFNA(VLOOKUP(D189,AccessModes!$D$2:$E$14,2,FALSE),"AM_IMP")</f>
        <v>AM_AIY</v>
      </c>
      <c r="H189" s="28">
        <v>4</v>
      </c>
      <c r="I189" s="28">
        <v>1</v>
      </c>
      <c r="J189" s="28"/>
      <c r="K189" s="28"/>
      <c r="L189" s="28" t="str">
        <f t="shared" si="12"/>
        <v/>
      </c>
      <c r="M189" s="28" t="str">
        <f>IF(LEN(J189)&gt;0,indent&amp;J189&amp;" = "&amp;VLOOKUP($G189,AccessModes!$E$2:$I$14,4,FALSE),"")</f>
        <v/>
      </c>
      <c r="N189" s="29" t="str">
        <f>indent&amp;"/* TODO: implementation of the action */"</f>
        <v xml:space="preserve">            /* TODO: implementation of the action */</v>
      </c>
      <c r="O189" s="29" t="str">
        <f t="shared" si="9"/>
        <v/>
      </c>
      <c r="P189" s="28" t="str">
        <f>IF(LEN(L189)&gt;0,indent&amp;IF(L189="LAST",AccessModes!$I$16&amp;J189,VLOOKUP($G189,AccessModes!$E$2:$I$14,5,FALSE)&amp;L189)&amp;");","")</f>
        <v/>
      </c>
      <c r="Q189" s="28"/>
      <c r="R189" s="29" t="str">
        <f>IF(C189=0,indent0&amp;"case 0x"&amp;F189&amp;": /* "&amp;B189&amp;" "&amp;VLOOKUP(G189,AccessModes!$E$2:$G$14,3,FALSE)&amp;" */"&amp;newline&amp;indent&amp;"cpu.cycles = "&amp;H189&amp;";"&amp;newline&amp;IF(LEN(M189)&gt;0,M189&amp;CHAR(10),"")&amp;IF(LEN(N189)&gt;0,N189&amp;newline,"")&amp;IF(LEN(O189)&gt;0,O189&amp;newline,"")&amp;IF(LEN(P189)&gt;0,P189&amp;newline,"")&amp;IF(LEN(Q189)&gt;0,Q189&amp;newline,"")&amp;indent&amp;"break;",indent0&amp;"/* Illegal opcode 0x"&amp;F189&amp;": "&amp;B189&amp;" "&amp;VLOOKUP(G189,AccessModes!$E$2:$G$14,3,FALSE)&amp;" */"&amp;newline)</f>
        <v xml:space="preserve">        /* Illegal opcode 0xBB: LAS aaaa,Y */
</v>
      </c>
      <c r="S189" s="28" t="str">
        <f t="shared" si="11"/>
        <v xml:space="preserve">    {"LAS", true , AM_AIY, 4, 1},</v>
      </c>
    </row>
    <row r="190" spans="1:19" ht="76.5" hidden="1" x14ac:dyDescent="0.25">
      <c r="A190" s="22">
        <v>188</v>
      </c>
      <c r="B190" s="22" t="s">
        <v>98</v>
      </c>
      <c r="C190" s="22">
        <v>0</v>
      </c>
      <c r="D190" s="22" t="s">
        <v>136</v>
      </c>
      <c r="E190" s="22" t="str">
        <f t="shared" si="8"/>
        <v>BC</v>
      </c>
      <c r="F190" s="22" t="str">
        <f t="shared" si="10"/>
        <v>BC</v>
      </c>
      <c r="G190" s="22" t="str">
        <f>_xlfn.IFNA(VLOOKUP(D190,AccessModes!$D$2:$E$14,2,FALSE),"AM_IMP")</f>
        <v>AM_AIX</v>
      </c>
      <c r="H190" s="22">
        <v>4</v>
      </c>
      <c r="I190" s="22">
        <v>1</v>
      </c>
      <c r="J190" s="22" t="str">
        <f>$J$162</f>
        <v>cpu.Y</v>
      </c>
      <c r="K190" s="22" t="str">
        <f>$K$162</f>
        <v>cpu.Y</v>
      </c>
      <c r="L190" s="22" t="str">
        <f t="shared" si="12"/>
        <v/>
      </c>
      <c r="M190" s="22" t="str">
        <f>IF(LEN(J190)&gt;0,indent&amp;J190&amp;" = "&amp;VLOOKUP($G190,AccessModes!$E$2:$I$14,4,FALSE),"")</f>
        <v xml:space="preserve">            cpu.Y = memory_getAbsoluteIndexedX();</v>
      </c>
      <c r="N190" s="26" t="str">
        <f>$N$162</f>
        <v/>
      </c>
      <c r="O190" s="26" t="str">
        <f t="shared" si="9"/>
        <v xml:space="preserve">            cpu.PS_N = ((cpu.Y &amp; 0x80) != 0);
            cpu.PS_Z = (cpu.Y == 0);</v>
      </c>
      <c r="P190" s="22" t="str">
        <f>IF(LEN(L190)&gt;0,indent&amp;IF(L190="LAST",AccessModes!$I$16&amp;J190,VLOOKUP($G190,AccessModes!$E$2:$I$14,5,FALSE)&amp;L190)&amp;");","")</f>
        <v/>
      </c>
      <c r="Q190" s="22"/>
      <c r="R190" s="26" t="str">
        <f>IF(C190=0,indent0&amp;"case 0x"&amp;F190&amp;": /* "&amp;B190&amp;" "&amp;VLOOKUP(G190,AccessModes!$E$2:$G$14,3,FALSE)&amp;" */"&amp;newline&amp;indent&amp;"cpu.cycles = "&amp;H190&amp;";"&amp;newline&amp;IF(LEN(M190)&gt;0,M190&amp;CHAR(10),"")&amp;IF(LEN(N190)&gt;0,N190&amp;newline,"")&amp;IF(LEN(O190)&gt;0,O190&amp;newline,"")&amp;IF(LEN(P190)&gt;0,P190&amp;newline,"")&amp;IF(LEN(Q190)&gt;0,Q190&amp;newline,"")&amp;indent&amp;"break;",indent0&amp;"/* Illegal opcode 0x"&amp;F190&amp;": "&amp;B190&amp;" "&amp;VLOOKUP(G190,AccessModes!$E$2:$G$14,3,FALSE)&amp;" */"&amp;newline)</f>
        <v xml:space="preserve">        case 0xBC: /* LDY aaaa,X */
            cpu.cycles = 4;
            cpu.Y = memory_getAbsoluteIndexedX();
            cpu.PS_N = ((cpu.Y &amp; 0x80) != 0);
            cpu.PS_Z = (cpu.Y == 0);
            break;</v>
      </c>
      <c r="S190" s="22" t="str">
        <f t="shared" si="11"/>
        <v xml:space="preserve">    {"LDY", false, AM_AIX, 4, 1},</v>
      </c>
    </row>
    <row r="191" spans="1:19" ht="76.5" hidden="1" x14ac:dyDescent="0.25">
      <c r="A191" s="22">
        <v>189</v>
      </c>
      <c r="B191" s="22" t="s">
        <v>99</v>
      </c>
      <c r="C191" s="22">
        <v>0</v>
      </c>
      <c r="D191" s="22" t="s">
        <v>136</v>
      </c>
      <c r="E191" s="22" t="str">
        <f t="shared" si="8"/>
        <v>BD</v>
      </c>
      <c r="F191" s="22" t="str">
        <f t="shared" si="10"/>
        <v>BD</v>
      </c>
      <c r="G191" s="22" t="str">
        <f>_xlfn.IFNA(VLOOKUP(D191,AccessModes!$D$2:$E$14,2,FALSE),"AM_IMP")</f>
        <v>AM_AIX</v>
      </c>
      <c r="H191" s="22">
        <v>4</v>
      </c>
      <c r="I191" s="22">
        <v>1</v>
      </c>
      <c r="J191" s="22" t="str">
        <f>$J$163</f>
        <v>cpu.A</v>
      </c>
      <c r="K191" s="22" t="str">
        <f>$K$163</f>
        <v>cpu.A</v>
      </c>
      <c r="L191" s="22" t="str">
        <f>$L$163</f>
        <v/>
      </c>
      <c r="M191" s="22" t="str">
        <f>IF(LEN(J191)&gt;0,indent&amp;J191&amp;" = "&amp;VLOOKUP($G191,AccessModes!$E$2:$I$14,4,FALSE),"")</f>
        <v xml:space="preserve">            cpu.A = memory_getAbsoluteIndexedX();</v>
      </c>
      <c r="N191" s="26" t="str">
        <f>$N$163</f>
        <v/>
      </c>
      <c r="O191" s="26" t="str">
        <f t="shared" si="9"/>
        <v xml:space="preserve">            cpu.PS_N = ((cpu.A &amp; 0x80) != 0);
            cpu.PS_Z = (cpu.A == 0);</v>
      </c>
      <c r="P191" s="22" t="str">
        <f>IF(LEN(L191)&gt;0,indent&amp;IF(L191="LAST",AccessModes!$I$16&amp;J191,VLOOKUP($G191,AccessModes!$E$2:$I$14,5,FALSE)&amp;L191)&amp;");","")</f>
        <v/>
      </c>
      <c r="Q191" s="22"/>
      <c r="R191" s="26" t="str">
        <f>IF(C191=0,indent0&amp;"case 0x"&amp;F191&amp;": /* "&amp;B191&amp;" "&amp;VLOOKUP(G191,AccessModes!$E$2:$G$14,3,FALSE)&amp;" */"&amp;newline&amp;indent&amp;"cpu.cycles = "&amp;H191&amp;";"&amp;newline&amp;IF(LEN(M191)&gt;0,M191&amp;CHAR(10),"")&amp;IF(LEN(N191)&gt;0,N191&amp;newline,"")&amp;IF(LEN(O191)&gt;0,O191&amp;newline,"")&amp;IF(LEN(P191)&gt;0,P191&amp;newline,"")&amp;IF(LEN(Q191)&gt;0,Q191&amp;newline,"")&amp;indent&amp;"break;",indent0&amp;"/* Illegal opcode 0x"&amp;F191&amp;": "&amp;B191&amp;" "&amp;VLOOKUP(G191,AccessModes!$E$2:$G$14,3,FALSE)&amp;" */"&amp;newline)</f>
        <v xml:space="preserve">        case 0xBD: /* LDA aaaa,X */
            cpu.cycles = 4;
            cpu.A = memory_getAbsoluteIndexedX();
            cpu.PS_N = ((cpu.A &amp; 0x80) != 0);
            cpu.PS_Z = (cpu.A == 0);
            break;</v>
      </c>
      <c r="S191" s="22" t="str">
        <f t="shared" si="11"/>
        <v xml:space="preserve">    {"LDA", false, AM_AIX, 4, 1},</v>
      </c>
    </row>
    <row r="192" spans="1:19" ht="76.5" hidden="1" x14ac:dyDescent="0.25">
      <c r="A192" s="22">
        <v>190</v>
      </c>
      <c r="B192" s="22" t="s">
        <v>100</v>
      </c>
      <c r="C192" s="22">
        <v>0</v>
      </c>
      <c r="D192" s="22" t="s">
        <v>135</v>
      </c>
      <c r="E192" s="22" t="str">
        <f t="shared" si="8"/>
        <v>BE</v>
      </c>
      <c r="F192" s="22" t="str">
        <f t="shared" si="10"/>
        <v>BE</v>
      </c>
      <c r="G192" s="22" t="str">
        <f>_xlfn.IFNA(VLOOKUP(D192,AccessModes!$D$2:$E$14,2,FALSE),"AM_IMP")</f>
        <v>AM_AIY</v>
      </c>
      <c r="H192" s="22">
        <v>4</v>
      </c>
      <c r="I192" s="22">
        <v>1</v>
      </c>
      <c r="J192" s="22" t="str">
        <f>$J$164</f>
        <v>cpu.X</v>
      </c>
      <c r="K192" s="22" t="str">
        <f>$K$164</f>
        <v>cpu.X</v>
      </c>
      <c r="L192" s="22" t="str">
        <f>$L$164</f>
        <v/>
      </c>
      <c r="M192" s="22" t="str">
        <f>IF(LEN(J192)&gt;0,indent&amp;J192&amp;" = "&amp;VLOOKUP($G192,AccessModes!$E$2:$I$14,4,FALSE),"")</f>
        <v xml:space="preserve">            cpu.X = memory_getAbsoluteIndexedY();</v>
      </c>
      <c r="N192" s="26" t="str">
        <f>$N$164</f>
        <v/>
      </c>
      <c r="O192" s="26" t="str">
        <f t="shared" si="9"/>
        <v xml:space="preserve">            cpu.PS_N = ((cpu.X &amp; 0x80) != 0);
            cpu.PS_Z = (cpu.X == 0);</v>
      </c>
      <c r="P192" s="22" t="str">
        <f>IF(LEN(L192)&gt;0,indent&amp;IF(L192="LAST",AccessModes!$I$16&amp;J192,VLOOKUP($G192,AccessModes!$E$2:$I$14,5,FALSE)&amp;L192)&amp;");","")</f>
        <v/>
      </c>
      <c r="Q192" s="22"/>
      <c r="R192" s="26" t="str">
        <f>IF(C192=0,indent0&amp;"case 0x"&amp;F192&amp;": /* "&amp;B192&amp;" "&amp;VLOOKUP(G192,AccessModes!$E$2:$G$14,3,FALSE)&amp;" */"&amp;newline&amp;indent&amp;"cpu.cycles = "&amp;H192&amp;";"&amp;newline&amp;IF(LEN(M192)&gt;0,M192&amp;CHAR(10),"")&amp;IF(LEN(N192)&gt;0,N192&amp;newline,"")&amp;IF(LEN(O192)&gt;0,O192&amp;newline,"")&amp;IF(LEN(P192)&gt;0,P192&amp;newline,"")&amp;IF(LEN(Q192)&gt;0,Q192&amp;newline,"")&amp;indent&amp;"break;",indent0&amp;"/* Illegal opcode 0x"&amp;F192&amp;": "&amp;B192&amp;" "&amp;VLOOKUP(G192,AccessModes!$E$2:$G$14,3,FALSE)&amp;" */"&amp;newline)</f>
        <v xml:space="preserve">        case 0xBE: /* LDX aaaa,Y */
            cpu.cycles = 4;
            cpu.X = memory_getAbsoluteIndexedY();
            cpu.PS_N = ((cpu.X &amp; 0x80) != 0);
            cpu.PS_Z = (cpu.X == 0);
            break;</v>
      </c>
      <c r="S192" s="22" t="str">
        <f t="shared" si="11"/>
        <v xml:space="preserve">    {"LDX", false, AM_AIY, 4, 1},</v>
      </c>
    </row>
    <row r="193" spans="1:19" ht="25.5" hidden="1" x14ac:dyDescent="0.25">
      <c r="A193" s="28">
        <v>191</v>
      </c>
      <c r="B193" s="28" t="s">
        <v>101</v>
      </c>
      <c r="C193" s="28">
        <v>-1</v>
      </c>
      <c r="D193" s="28" t="s">
        <v>135</v>
      </c>
      <c r="E193" s="28" t="str">
        <f t="shared" si="8"/>
        <v>BF</v>
      </c>
      <c r="F193" s="28" t="str">
        <f t="shared" si="10"/>
        <v>BF</v>
      </c>
      <c r="G193" s="28" t="str">
        <f>_xlfn.IFNA(VLOOKUP(D193,AccessModes!$D$2:$E$14,2,FALSE),"AM_IMP")</f>
        <v>AM_AIY</v>
      </c>
      <c r="H193" s="28">
        <v>4</v>
      </c>
      <c r="I193" s="28">
        <v>1</v>
      </c>
      <c r="J193" s="28"/>
      <c r="K193" s="28"/>
      <c r="L193" s="28"/>
      <c r="M193" s="28" t="str">
        <f>IF(LEN(J193)&gt;0,indent&amp;J193&amp;" = "&amp;VLOOKUP($G193,AccessModes!$E$2:$I$14,4,FALSE),"")</f>
        <v/>
      </c>
      <c r="N193" s="29" t="str">
        <f>indent&amp;"/* TODO: implementation of the action */"</f>
        <v xml:space="preserve">            /* TODO: implementation of the action */</v>
      </c>
      <c r="O193" s="29" t="str">
        <f t="shared" si="9"/>
        <v/>
      </c>
      <c r="P193" s="28" t="str">
        <f>IF(LEN(L193)&gt;0,indent&amp;IF(L193="LAST",AccessModes!$I$16&amp;J193,VLOOKUP($G193,AccessModes!$E$2:$I$14,5,FALSE)&amp;L193)&amp;");","")</f>
        <v/>
      </c>
      <c r="Q193" s="28"/>
      <c r="R193" s="29" t="str">
        <f>IF(C193=0,indent0&amp;"case 0x"&amp;F193&amp;": /* "&amp;B193&amp;" "&amp;VLOOKUP(G193,AccessModes!$E$2:$G$14,3,FALSE)&amp;" */"&amp;newline&amp;indent&amp;"cpu.cycles = "&amp;H193&amp;";"&amp;newline&amp;IF(LEN(M193)&gt;0,M193&amp;CHAR(10),"")&amp;IF(LEN(N193)&gt;0,N193&amp;newline,"")&amp;IF(LEN(O193)&gt;0,O193&amp;newline,"")&amp;IF(LEN(P193)&gt;0,P193&amp;newline,"")&amp;IF(LEN(Q193)&gt;0,Q193&amp;newline,"")&amp;indent&amp;"break;",indent0&amp;"/* Illegal opcode 0x"&amp;F193&amp;": "&amp;B193&amp;" "&amp;VLOOKUP(G193,AccessModes!$E$2:$G$14,3,FALSE)&amp;" */"&amp;newline)</f>
        <v xml:space="preserve">        /* Illegal opcode 0xBF: LAX aaaa,Y */
</v>
      </c>
      <c r="S193" s="28" t="str">
        <f t="shared" si="11"/>
        <v xml:space="preserve">    {"LAX", true , AM_AIY, 4, 1},</v>
      </c>
    </row>
    <row r="194" spans="1:19" ht="102" hidden="1" x14ac:dyDescent="0.25">
      <c r="A194" s="22">
        <v>192</v>
      </c>
      <c r="B194" s="22" t="s">
        <v>110</v>
      </c>
      <c r="C194" s="22">
        <v>0</v>
      </c>
      <c r="D194" s="22" t="s">
        <v>130</v>
      </c>
      <c r="E194" s="22" t="str">
        <f t="shared" ref="E194:E257" si="13">DEC2HEX(A194)</f>
        <v>C0</v>
      </c>
      <c r="F194" s="22" t="str">
        <f t="shared" si="10"/>
        <v>C0</v>
      </c>
      <c r="G194" s="22" t="str">
        <f>_xlfn.IFNA(VLOOKUP(D194,AccessModes!$D$2:$E$14,2,FALSE),"AM_IMP")</f>
        <v>AM_IMM</v>
      </c>
      <c r="H194" s="22">
        <v>2</v>
      </c>
      <c r="I194" s="22">
        <v>0</v>
      </c>
      <c r="J194" s="24" t="str">
        <f>K194</f>
        <v>value</v>
      </c>
      <c r="K194" s="24" t="s">
        <v>224</v>
      </c>
      <c r="L194" s="24" t="str">
        <f>""</f>
        <v/>
      </c>
      <c r="M194" s="22" t="str">
        <f>IF(LEN(J194)&gt;0,indent&amp;J194&amp;" = "&amp;VLOOKUP($G194,AccessModes!$E$2:$I$14,4,FALSE),"")</f>
        <v xml:space="preserve">            value = memory_getImmediate();</v>
      </c>
      <c r="N194" s="25" t="str">
        <f>indent&amp;"value = cpu.Y - value;"</f>
        <v xml:space="preserve">            value = cpu.Y - value;</v>
      </c>
      <c r="O194" s="34" t="str">
        <f t="shared" ref="O194:O257" si="14">IF(LEN(K194)&gt;0,indent&amp;"cpu.PS_N = (("&amp;K194&amp;" &amp; 0x80) != 0);"&amp;newline&amp;indent&amp;"cpu.PS_Z = ("&amp;K194&amp;" == 0);","")</f>
        <v xml:space="preserve">            cpu.PS_N = ((value &amp; 0x80) != 0);
            cpu.PS_Z = (value == 0);</v>
      </c>
      <c r="P194" s="22" t="str">
        <f>IF(LEN(L194)&gt;0,indent&amp;IF(L194="LAST",AccessModes!$I$16&amp;J194,VLOOKUP($G194,AccessModes!$E$2:$I$14,5,FALSE)&amp;L194)&amp;");","")</f>
        <v/>
      </c>
      <c r="Q194" s="25" t="str">
        <f>indent&amp;"cpu.PS_C = !cpu.PS_N;"</f>
        <v xml:space="preserve">            cpu.PS_C = !cpu.PS_N;</v>
      </c>
      <c r="R194" s="26" t="str">
        <f>IF(C194=0,indent0&amp;"case 0x"&amp;F194&amp;": /* "&amp;B194&amp;" "&amp;VLOOKUP(G194,AccessModes!$E$2:$G$14,3,FALSE)&amp;" */"&amp;newline&amp;indent&amp;"cpu.cycles = "&amp;H194&amp;";"&amp;newline&amp;IF(LEN(M194)&gt;0,M194&amp;CHAR(10),"")&amp;IF(LEN(N194)&gt;0,N194&amp;newline,"")&amp;IF(LEN(O194)&gt;0,O194&amp;newline,"")&amp;IF(LEN(P194)&gt;0,P194&amp;newline,"")&amp;IF(LEN(Q194)&gt;0,Q194&amp;newline,"")&amp;indent&amp;"break;",indent0&amp;"/* Illegal opcode 0x"&amp;F194&amp;": "&amp;B194&amp;" "&amp;VLOOKUP(G194,AccessModes!$E$2:$G$14,3,FALSE)&amp;" */"&amp;newline)</f>
        <v xml:space="preserve">        case 0xC0: /* CPY #aa */
            cpu.cycles = 2;
            value = memory_getImmediate();
            value = cpu.Y - value;
            cpu.PS_N = ((value &amp; 0x80) != 0);
            cpu.PS_Z = (value == 0);
            cpu.PS_C = !cpu.PS_N;
            break;</v>
      </c>
      <c r="S194" s="22" t="str">
        <f t="shared" si="11"/>
        <v xml:space="preserve">    {"CPY", false, AM_IMM, 2, 0},</v>
      </c>
    </row>
    <row r="195" spans="1:19" ht="102" hidden="1" x14ac:dyDescent="0.25">
      <c r="A195" s="22">
        <v>193</v>
      </c>
      <c r="B195" s="22" t="s">
        <v>111</v>
      </c>
      <c r="C195" s="22">
        <v>0</v>
      </c>
      <c r="D195" s="22" t="s">
        <v>129</v>
      </c>
      <c r="E195" s="22" t="str">
        <f t="shared" si="13"/>
        <v>C1</v>
      </c>
      <c r="F195" s="22" t="str">
        <f t="shared" ref="F195:F257" si="15">RIGHT("0"&amp;E195,2)</f>
        <v>C1</v>
      </c>
      <c r="G195" s="22" t="str">
        <f>_xlfn.IFNA(VLOOKUP(D195,AccessModes!$D$2:$E$14,2,FALSE),"AM_IMP")</f>
        <v>AM_IIX</v>
      </c>
      <c r="H195" s="22">
        <v>6</v>
      </c>
      <c r="I195" s="22">
        <v>0</v>
      </c>
      <c r="J195" s="24" t="s">
        <v>224</v>
      </c>
      <c r="K195" s="24" t="s">
        <v>224</v>
      </c>
      <c r="L195" s="24" t="s">
        <v>139</v>
      </c>
      <c r="M195" s="22" t="str">
        <f>IF(LEN(J195)&gt;0,indent&amp;J195&amp;" = "&amp;VLOOKUP($G195,AccessModes!$E$2:$I$14,4,FALSE),"")</f>
        <v xml:space="preserve">            value = memory_getIndexedIndirectX();</v>
      </c>
      <c r="N195" s="25" t="str">
        <f>indent&amp;"value = cpu.A - value;"</f>
        <v xml:space="preserve">            value = cpu.A - value;</v>
      </c>
      <c r="O195" s="26" t="str">
        <f t="shared" si="14"/>
        <v xml:space="preserve">            cpu.PS_N = ((value &amp; 0x80) != 0);
            cpu.PS_Z = (value == 0);</v>
      </c>
      <c r="P195" s="22" t="str">
        <f>IF(LEN(L195)&gt;0,indent&amp;IF(L195="LAST",AccessModes!$I$16&amp;J195,VLOOKUP($G195,AccessModes!$E$2:$I$14,5,FALSE)&amp;L195)&amp;");","")</f>
        <v/>
      </c>
      <c r="Q195" s="25" t="str">
        <f>indent&amp;"cpu.PS_C = !cpu.PS_N;"</f>
        <v xml:space="preserve">            cpu.PS_C = !cpu.PS_N;</v>
      </c>
      <c r="R195" s="26" t="str">
        <f>IF(C195=0,indent0&amp;"case 0x"&amp;F195&amp;": /* "&amp;B195&amp;" "&amp;VLOOKUP(G195,AccessModes!$E$2:$G$14,3,FALSE)&amp;" */"&amp;newline&amp;indent&amp;"cpu.cycles = "&amp;H195&amp;";"&amp;newline&amp;IF(LEN(M195)&gt;0,M195&amp;CHAR(10),"")&amp;IF(LEN(N195)&gt;0,N195&amp;newline,"")&amp;IF(LEN(O195)&gt;0,O195&amp;newline,"")&amp;IF(LEN(P195)&gt;0,P195&amp;newline,"")&amp;IF(LEN(Q195)&gt;0,Q195&amp;newline,"")&amp;indent&amp;"break;",indent0&amp;"/* Illegal opcode 0x"&amp;F195&amp;": "&amp;B195&amp;" "&amp;VLOOKUP(G195,AccessModes!$E$2:$G$14,3,FALSE)&amp;" */"&amp;newline)</f>
        <v xml:space="preserve">        case 0xC1: /* CMP (aa,X) */
            cpu.cycles = 6;
            value = memory_getIndexedIndirectX();
            value = cpu.A - value;
            cpu.PS_N = ((value &amp; 0x80) != 0);
            cpu.PS_Z = (value == 0);
            cpu.PS_C = !cpu.PS_N;
            break;</v>
      </c>
      <c r="S195" s="22" t="str">
        <f t="shared" ref="S195:S257" si="16">"    {"&amp;CHAR(34)&amp;B195&amp;CHAR(34)&amp;", "&amp;IF(C195,"true ","false")&amp;", "&amp;G195&amp;", "&amp;H195&amp;", "&amp;I195&amp;"},"</f>
        <v xml:space="preserve">    {"CMP", false, AM_IIX, 6, 0},</v>
      </c>
    </row>
    <row r="196" spans="1:19" ht="25.5" hidden="1" x14ac:dyDescent="0.25">
      <c r="A196" s="28">
        <v>194</v>
      </c>
      <c r="B196" s="28" t="s">
        <v>23</v>
      </c>
      <c r="C196" s="28">
        <v>-1</v>
      </c>
      <c r="D196" s="28" t="s">
        <v>130</v>
      </c>
      <c r="E196" s="28" t="str">
        <f t="shared" si="13"/>
        <v>C2</v>
      </c>
      <c r="F196" s="28" t="str">
        <f t="shared" si="15"/>
        <v>C2</v>
      </c>
      <c r="G196" s="28" t="str">
        <f>_xlfn.IFNA(VLOOKUP(D196,AccessModes!$D$2:$E$14,2,FALSE),"AM_IMP")</f>
        <v>AM_IMM</v>
      </c>
      <c r="H196" s="28">
        <v>2</v>
      </c>
      <c r="I196" s="28">
        <v>0</v>
      </c>
      <c r="J196" s="28"/>
      <c r="K196" s="28"/>
      <c r="L196" s="28"/>
      <c r="M196" s="28" t="str">
        <f>IF(LEN(J196)&gt;0,indent&amp;J196&amp;" = "&amp;VLOOKUP($G196,AccessModes!$E$2:$I$14,4,FALSE),"")</f>
        <v/>
      </c>
      <c r="N196" s="29" t="str">
        <f>indent&amp;"/* TODO: implementation of the action */"</f>
        <v xml:space="preserve">            /* TODO: implementation of the action */</v>
      </c>
      <c r="O196" s="29" t="str">
        <f t="shared" si="14"/>
        <v/>
      </c>
      <c r="P196" s="28" t="str">
        <f>IF(LEN(L196)&gt;0,indent&amp;IF(L196="LAST",AccessModes!$I$16&amp;J196,VLOOKUP($G196,AccessModes!$E$2:$I$14,5,FALSE)&amp;L196)&amp;");","")</f>
        <v/>
      </c>
      <c r="Q196" s="28"/>
      <c r="R196" s="29" t="str">
        <f>IF(C196=0,indent0&amp;"case 0x"&amp;F196&amp;": /* "&amp;B196&amp;" "&amp;VLOOKUP(G196,AccessModes!$E$2:$G$14,3,FALSE)&amp;" */"&amp;newline&amp;indent&amp;"cpu.cycles = "&amp;H196&amp;";"&amp;newline&amp;IF(LEN(M196)&gt;0,M196&amp;CHAR(10),"")&amp;IF(LEN(N196)&gt;0,N196&amp;newline,"")&amp;IF(LEN(O196)&gt;0,O196&amp;newline,"")&amp;IF(LEN(P196)&gt;0,P196&amp;newline,"")&amp;IF(LEN(Q196)&gt;0,Q196&amp;newline,"")&amp;indent&amp;"break;",indent0&amp;"/* Illegal opcode 0x"&amp;F196&amp;": "&amp;B196&amp;" "&amp;VLOOKUP(G196,AccessModes!$E$2:$G$14,3,FALSE)&amp;" */"&amp;newline)</f>
        <v xml:space="preserve">        /* Illegal opcode 0xC2: NOP #aa */
</v>
      </c>
      <c r="S196" s="28" t="str">
        <f t="shared" si="16"/>
        <v xml:space="preserve">    {"NOP", true , AM_IMM, 2, 0},</v>
      </c>
    </row>
    <row r="197" spans="1:19" ht="25.5" hidden="1" x14ac:dyDescent="0.25">
      <c r="A197" s="28">
        <v>195</v>
      </c>
      <c r="B197" s="28" t="s">
        <v>112</v>
      </c>
      <c r="C197" s="28">
        <v>-1</v>
      </c>
      <c r="D197" s="28" t="s">
        <v>129</v>
      </c>
      <c r="E197" s="28" t="str">
        <f t="shared" si="13"/>
        <v>C3</v>
      </c>
      <c r="F197" s="28" t="str">
        <f t="shared" si="15"/>
        <v>C3</v>
      </c>
      <c r="G197" s="28" t="str">
        <f>_xlfn.IFNA(VLOOKUP(D197,AccessModes!$D$2:$E$14,2,FALSE),"AM_IMP")</f>
        <v>AM_IIX</v>
      </c>
      <c r="H197" s="28">
        <v>8</v>
      </c>
      <c r="I197" s="28">
        <v>0</v>
      </c>
      <c r="J197" s="28"/>
      <c r="K197" s="28"/>
      <c r="L197" s="28"/>
      <c r="M197" s="28" t="str">
        <f>IF(LEN(J197)&gt;0,indent&amp;J197&amp;" = "&amp;VLOOKUP($G197,AccessModes!$E$2:$I$14,4,FALSE),"")</f>
        <v/>
      </c>
      <c r="N197" s="29" t="str">
        <f>indent&amp;"/* TODO: implementation of the action */"</f>
        <v xml:space="preserve">            /* TODO: implementation of the action */</v>
      </c>
      <c r="O197" s="29" t="str">
        <f t="shared" si="14"/>
        <v/>
      </c>
      <c r="P197" s="28" t="str">
        <f>IF(LEN(L197)&gt;0,indent&amp;IF(L197="LAST",AccessModes!$I$16&amp;J197,VLOOKUP($G197,AccessModes!$E$2:$I$14,5,FALSE)&amp;L197)&amp;");","")</f>
        <v/>
      </c>
      <c r="Q197" s="28"/>
      <c r="R197" s="29" t="str">
        <f>IF(C197=0,indent0&amp;"case 0x"&amp;F197&amp;": /* "&amp;B197&amp;" "&amp;VLOOKUP(G197,AccessModes!$E$2:$G$14,3,FALSE)&amp;" */"&amp;newline&amp;indent&amp;"cpu.cycles = "&amp;H197&amp;";"&amp;newline&amp;IF(LEN(M197)&gt;0,M197&amp;CHAR(10),"")&amp;IF(LEN(N197)&gt;0,N197&amp;newline,"")&amp;IF(LEN(O197)&gt;0,O197&amp;newline,"")&amp;IF(LEN(P197)&gt;0,P197&amp;newline,"")&amp;IF(LEN(Q197)&gt;0,Q197&amp;newline,"")&amp;indent&amp;"break;",indent0&amp;"/* Illegal opcode 0x"&amp;F197&amp;": "&amp;B197&amp;" "&amp;VLOOKUP(G197,AccessModes!$E$2:$G$14,3,FALSE)&amp;" */"&amp;newline)</f>
        <v xml:space="preserve">        /* Illegal opcode 0xC3: DCP (aa,X) */
</v>
      </c>
      <c r="S197" s="28" t="str">
        <f t="shared" si="16"/>
        <v xml:space="preserve">    {"DCP", true , AM_IIX, 8, 0},</v>
      </c>
    </row>
    <row r="198" spans="1:19" ht="102" hidden="1" x14ac:dyDescent="0.25">
      <c r="A198" s="22">
        <v>196</v>
      </c>
      <c r="B198" s="22" t="s">
        <v>110</v>
      </c>
      <c r="C198" s="22">
        <v>0</v>
      </c>
      <c r="D198" s="22" t="s">
        <v>144</v>
      </c>
      <c r="E198" s="22" t="str">
        <f t="shared" si="13"/>
        <v>C4</v>
      </c>
      <c r="F198" s="22" t="str">
        <f t="shared" si="15"/>
        <v>C4</v>
      </c>
      <c r="G198" s="22" t="str">
        <f>_xlfn.IFNA(VLOOKUP(D198,AccessModes!$D$2:$E$14,2,FALSE),"AM_IMP")</f>
        <v>AM_ZPG</v>
      </c>
      <c r="H198" s="22">
        <v>3</v>
      </c>
      <c r="I198" s="22">
        <v>0</v>
      </c>
      <c r="J198" s="22" t="str">
        <f>$J$194</f>
        <v>value</v>
      </c>
      <c r="K198" s="22" t="str">
        <f>$K$194</f>
        <v>value</v>
      </c>
      <c r="L198" s="22" t="str">
        <f>$L$194</f>
        <v/>
      </c>
      <c r="M198" s="22" t="str">
        <f>IF(LEN(J198)&gt;0,indent&amp;J198&amp;" = "&amp;VLOOKUP($G198,AccessModes!$E$2:$I$14,4,FALSE),"")</f>
        <v xml:space="preserve">            value = memory_getZeroPage();</v>
      </c>
      <c r="N198" s="26" t="str">
        <f>$N$194</f>
        <v xml:space="preserve">            value = cpu.Y - value;</v>
      </c>
      <c r="O198" s="26" t="str">
        <f t="shared" si="14"/>
        <v xml:space="preserve">            cpu.PS_N = ((value &amp; 0x80) != 0);
            cpu.PS_Z = (value == 0);</v>
      </c>
      <c r="P198" s="22" t="str">
        <f>IF(LEN(L198)&gt;0,indent&amp;IF(L198="LAST",AccessModes!$I$16&amp;J198,VLOOKUP($G198,AccessModes!$E$2:$I$14,5,FALSE)&amp;L198)&amp;");","")</f>
        <v/>
      </c>
      <c r="Q198" s="26" t="str">
        <f>$Q$194</f>
        <v xml:space="preserve">            cpu.PS_C = !cpu.PS_N;</v>
      </c>
      <c r="R198" s="26" t="str">
        <f>IF(C198=0,indent0&amp;"case 0x"&amp;F198&amp;": /* "&amp;B198&amp;" "&amp;VLOOKUP(G198,AccessModes!$E$2:$G$14,3,FALSE)&amp;" */"&amp;newline&amp;indent&amp;"cpu.cycles = "&amp;H198&amp;";"&amp;newline&amp;IF(LEN(M198)&gt;0,M198&amp;CHAR(10),"")&amp;IF(LEN(N198)&gt;0,N198&amp;newline,"")&amp;IF(LEN(O198)&gt;0,O198&amp;newline,"")&amp;IF(LEN(P198)&gt;0,P198&amp;newline,"")&amp;IF(LEN(Q198)&gt;0,Q198&amp;newline,"")&amp;indent&amp;"break;",indent0&amp;"/* Illegal opcode 0x"&amp;F198&amp;": "&amp;B198&amp;" "&amp;VLOOKUP(G198,AccessModes!$E$2:$G$14,3,FALSE)&amp;" */"&amp;newline)</f>
        <v xml:space="preserve">        case 0xC4: /* CPY aa */
            cpu.cycles = 3;
            value = memory_getZeroPage();
            value = cpu.Y - value;
            cpu.PS_N = ((value &amp; 0x80) != 0);
            cpu.PS_Z = (value == 0);
            cpu.PS_C = !cpu.PS_N;
            break;</v>
      </c>
      <c r="S198" s="22" t="str">
        <f t="shared" si="16"/>
        <v xml:space="preserve">    {"CPY", false, AM_ZPG, 3, 0},</v>
      </c>
    </row>
    <row r="199" spans="1:19" ht="102" hidden="1" x14ac:dyDescent="0.25">
      <c r="A199" s="22">
        <v>197</v>
      </c>
      <c r="B199" s="22" t="s">
        <v>111</v>
      </c>
      <c r="C199" s="22">
        <v>0</v>
      </c>
      <c r="D199" s="22" t="s">
        <v>144</v>
      </c>
      <c r="E199" s="22" t="str">
        <f t="shared" si="13"/>
        <v>C5</v>
      </c>
      <c r="F199" s="22" t="str">
        <f t="shared" si="15"/>
        <v>C5</v>
      </c>
      <c r="G199" s="22" t="str">
        <f>_xlfn.IFNA(VLOOKUP(D199,AccessModes!$D$2:$E$14,2,FALSE),"AM_IMP")</f>
        <v>AM_ZPG</v>
      </c>
      <c r="H199" s="22">
        <v>3</v>
      </c>
      <c r="I199" s="22">
        <v>0</v>
      </c>
      <c r="J199" s="22" t="str">
        <f>$J$194</f>
        <v>value</v>
      </c>
      <c r="K199" s="22" t="str">
        <f>$K$194</f>
        <v>value</v>
      </c>
      <c r="L199" s="22" t="str">
        <f>$L$194</f>
        <v/>
      </c>
      <c r="M199" s="22" t="str">
        <f>IF(LEN(J199)&gt;0,indent&amp;J199&amp;" = "&amp;VLOOKUP($G199,AccessModes!$E$2:$I$14,4,FALSE),"")</f>
        <v xml:space="preserve">            value = memory_getZeroPage();</v>
      </c>
      <c r="N199" s="26" t="str">
        <f>$N$195</f>
        <v xml:space="preserve">            value = cpu.A - value;</v>
      </c>
      <c r="O199" s="26" t="str">
        <f t="shared" si="14"/>
        <v xml:space="preserve">            cpu.PS_N = ((value &amp; 0x80) != 0);
            cpu.PS_Z = (value == 0);</v>
      </c>
      <c r="P199" s="22" t="str">
        <f>IF(LEN(L199)&gt;0,indent&amp;IF(L199="LAST",AccessModes!$I$16&amp;J199,VLOOKUP($G199,AccessModes!$E$2:$I$14,5,FALSE)&amp;L199)&amp;");","")</f>
        <v/>
      </c>
      <c r="Q199" s="26" t="str">
        <f>$Q$195</f>
        <v xml:space="preserve">            cpu.PS_C = !cpu.PS_N;</v>
      </c>
      <c r="R199" s="26" t="str">
        <f>IF(C199=0,indent0&amp;"case 0x"&amp;F199&amp;": /* "&amp;B199&amp;" "&amp;VLOOKUP(G199,AccessModes!$E$2:$G$14,3,FALSE)&amp;" */"&amp;newline&amp;indent&amp;"cpu.cycles = "&amp;H199&amp;";"&amp;newline&amp;IF(LEN(M199)&gt;0,M199&amp;CHAR(10),"")&amp;IF(LEN(N199)&gt;0,N199&amp;newline,"")&amp;IF(LEN(O199)&gt;0,O199&amp;newline,"")&amp;IF(LEN(P199)&gt;0,P199&amp;newline,"")&amp;IF(LEN(Q199)&gt;0,Q199&amp;newline,"")&amp;indent&amp;"break;",indent0&amp;"/* Illegal opcode 0x"&amp;F199&amp;": "&amp;B199&amp;" "&amp;VLOOKUP(G199,AccessModes!$E$2:$G$14,3,FALSE)&amp;" */"&amp;newline)</f>
        <v xml:space="preserve">        case 0xC5: /* CMP aa */
            cpu.cycles = 3;
            value = memory_getZeroPage();
            value = cpu.A - value;
            cpu.PS_N = ((value &amp; 0x80) != 0);
            cpu.PS_Z = (value == 0);
            cpu.PS_C = !cpu.PS_N;
            break;</v>
      </c>
      <c r="S199" s="22" t="str">
        <f t="shared" si="16"/>
        <v xml:space="preserve">    {"CMP", false, AM_ZPG, 3, 0},</v>
      </c>
    </row>
    <row r="200" spans="1:19" ht="102" hidden="1" x14ac:dyDescent="0.25">
      <c r="A200" s="22">
        <v>198</v>
      </c>
      <c r="B200" s="22" t="s">
        <v>113</v>
      </c>
      <c r="C200" s="22">
        <v>0</v>
      </c>
      <c r="D200" s="22" t="s">
        <v>144</v>
      </c>
      <c r="E200" s="22" t="str">
        <f t="shared" si="13"/>
        <v>C6</v>
      </c>
      <c r="F200" s="22" t="str">
        <f t="shared" si="15"/>
        <v>C6</v>
      </c>
      <c r="G200" s="22" t="str">
        <f>_xlfn.IFNA(VLOOKUP(D200,AccessModes!$D$2:$E$14,2,FALSE),"AM_IMP")</f>
        <v>AM_ZPG</v>
      </c>
      <c r="H200" s="22">
        <v>5</v>
      </c>
      <c r="I200" s="22">
        <v>0</v>
      </c>
      <c r="J200" s="24" t="str">
        <f>K200</f>
        <v>value</v>
      </c>
      <c r="K200" s="24" t="s">
        <v>224</v>
      </c>
      <c r="L200" s="24" t="s">
        <v>227</v>
      </c>
      <c r="M200" s="22" t="str">
        <f>IF(LEN(J200)&gt;0,indent&amp;J200&amp;" = "&amp;VLOOKUP($G200,AccessModes!$E$2:$I$14,4,FALSE),"")</f>
        <v xml:space="preserve">            value = memory_getZeroPage();</v>
      </c>
      <c r="N200" s="25" t="str">
        <f>indent&amp;"--"&amp;K200&amp;";"</f>
        <v xml:space="preserve">            --value;</v>
      </c>
      <c r="O200" s="26" t="str">
        <f t="shared" si="14"/>
        <v xml:space="preserve">            cpu.PS_N = ((value &amp; 0x80) != 0);
            cpu.PS_Z = (value == 0);</v>
      </c>
      <c r="P200" s="22" t="str">
        <f>IF(LEN(L200)&gt;0,indent&amp;IF(L200="LAST",AccessModes!$I$16&amp;J200,VLOOKUP($G200,AccessModes!$E$2:$I$14,5,FALSE)&amp;L200)&amp;");","")</f>
        <v xml:space="preserve">            memory_setLast(value);</v>
      </c>
      <c r="Q200" s="22"/>
      <c r="R200" s="26" t="str">
        <f>IF(C200=0,indent0&amp;"case 0x"&amp;F200&amp;": /* "&amp;B200&amp;" "&amp;VLOOKUP(G200,AccessModes!$E$2:$G$14,3,FALSE)&amp;" */"&amp;newline&amp;indent&amp;"cpu.cycles = "&amp;H200&amp;";"&amp;newline&amp;IF(LEN(M200)&gt;0,M200&amp;CHAR(10),"")&amp;IF(LEN(N200)&gt;0,N200&amp;newline,"")&amp;IF(LEN(O200)&gt;0,O200&amp;newline,"")&amp;IF(LEN(P200)&gt;0,P200&amp;newline,"")&amp;IF(LEN(Q200)&gt;0,Q200&amp;newline,"")&amp;indent&amp;"break;",indent0&amp;"/* Illegal opcode 0x"&amp;F200&amp;": "&amp;B200&amp;" "&amp;VLOOKUP(G200,AccessModes!$E$2:$G$14,3,FALSE)&amp;" */"&amp;newline)</f>
        <v xml:space="preserve">        case 0xC6: /* DEC aa */
            cpu.cycles = 5;
            value = memory_getZeroPage();
            --value;
            cpu.PS_N = ((value &amp; 0x80) != 0);
            cpu.PS_Z = (value == 0);
            memory_setLast(value);
            break;</v>
      </c>
      <c r="S200" s="22" t="str">
        <f t="shared" si="16"/>
        <v xml:space="preserve">    {"DEC", false, AM_ZPG, 5, 0},</v>
      </c>
    </row>
    <row r="201" spans="1:19" ht="25.5" hidden="1" x14ac:dyDescent="0.25">
      <c r="A201" s="28">
        <v>199</v>
      </c>
      <c r="B201" s="28" t="s">
        <v>112</v>
      </c>
      <c r="C201" s="28">
        <v>-1</v>
      </c>
      <c r="D201" s="28" t="s">
        <v>144</v>
      </c>
      <c r="E201" s="28" t="str">
        <f t="shared" si="13"/>
        <v>C7</v>
      </c>
      <c r="F201" s="28" t="str">
        <f t="shared" si="15"/>
        <v>C7</v>
      </c>
      <c r="G201" s="28" t="str">
        <f>_xlfn.IFNA(VLOOKUP(D201,AccessModes!$D$2:$E$14,2,FALSE),"AM_IMP")</f>
        <v>AM_ZPG</v>
      </c>
      <c r="H201" s="28">
        <v>5</v>
      </c>
      <c r="I201" s="28">
        <v>0</v>
      </c>
      <c r="J201" s="28"/>
      <c r="K201" s="28"/>
      <c r="L201" s="28"/>
      <c r="M201" s="28" t="str">
        <f>IF(LEN(J201)&gt;0,indent&amp;J201&amp;" = "&amp;VLOOKUP($G201,AccessModes!$E$2:$I$14,4,FALSE),"")</f>
        <v/>
      </c>
      <c r="N201" s="29" t="str">
        <f>indent&amp;"/* TODO: implementation of the action */"</f>
        <v xml:space="preserve">            /* TODO: implementation of the action */</v>
      </c>
      <c r="O201" s="29" t="str">
        <f t="shared" si="14"/>
        <v/>
      </c>
      <c r="P201" s="28" t="str">
        <f>IF(LEN(L201)&gt;0,indent&amp;IF(L201="LAST",AccessModes!$I$16&amp;J201,VLOOKUP($G201,AccessModes!$E$2:$I$14,5,FALSE)&amp;L201)&amp;");","")</f>
        <v/>
      </c>
      <c r="Q201" s="28"/>
      <c r="R201" s="29" t="str">
        <f>IF(C201=0,indent0&amp;"case 0x"&amp;F201&amp;": /* "&amp;B201&amp;" "&amp;VLOOKUP(G201,AccessModes!$E$2:$G$14,3,FALSE)&amp;" */"&amp;newline&amp;indent&amp;"cpu.cycles = "&amp;H201&amp;";"&amp;newline&amp;IF(LEN(M201)&gt;0,M201&amp;CHAR(10),"")&amp;IF(LEN(N201)&gt;0,N201&amp;newline,"")&amp;IF(LEN(O201)&gt;0,O201&amp;newline,"")&amp;IF(LEN(P201)&gt;0,P201&amp;newline,"")&amp;IF(LEN(Q201)&gt;0,Q201&amp;newline,"")&amp;indent&amp;"break;",indent0&amp;"/* Illegal opcode 0x"&amp;F201&amp;": "&amp;B201&amp;" "&amp;VLOOKUP(G201,AccessModes!$E$2:$G$14,3,FALSE)&amp;" */"&amp;newline)</f>
        <v xml:space="preserve">        /* Illegal opcode 0xC7: DCP aa */
</v>
      </c>
      <c r="S201" s="28" t="str">
        <f t="shared" si="16"/>
        <v xml:space="preserve">    {"DCP", true , AM_ZPG, 5, 0},</v>
      </c>
    </row>
    <row r="202" spans="1:19" ht="76.5" hidden="1" x14ac:dyDescent="0.25">
      <c r="A202" s="22">
        <v>200</v>
      </c>
      <c r="B202" s="22" t="s">
        <v>114</v>
      </c>
      <c r="C202" s="22">
        <v>0</v>
      </c>
      <c r="D202" s="22" t="s">
        <v>139</v>
      </c>
      <c r="E202" s="22" t="str">
        <f t="shared" si="13"/>
        <v>C8</v>
      </c>
      <c r="F202" s="22" t="str">
        <f t="shared" si="15"/>
        <v>C8</v>
      </c>
      <c r="G202" s="22" t="str">
        <f>_xlfn.IFNA(VLOOKUP(D202,AccessModes!$D$2:$E$14,2,FALSE),"AM_IMP")</f>
        <v>AM_IMP</v>
      </c>
      <c r="H202" s="22">
        <v>2</v>
      </c>
      <c r="I202" s="22">
        <v>0</v>
      </c>
      <c r="J202" s="24" t="str">
        <f>""</f>
        <v/>
      </c>
      <c r="K202" s="24" t="str">
        <f>$K$138</f>
        <v>cpu.Y</v>
      </c>
      <c r="L202" s="24" t="str">
        <f>""</f>
        <v/>
      </c>
      <c r="M202" s="22" t="str">
        <f>IF(LEN(J202)&gt;0,indent&amp;J202&amp;" = "&amp;VLOOKUP($G202,AccessModes!$E$2:$I$14,4,FALSE),"")</f>
        <v/>
      </c>
      <c r="N202" s="25" t="str">
        <f>indent&amp;"++"&amp;K202&amp;";"</f>
        <v xml:space="preserve">            ++cpu.Y;</v>
      </c>
      <c r="O202" s="26" t="str">
        <f t="shared" si="14"/>
        <v xml:space="preserve">            cpu.PS_N = ((cpu.Y &amp; 0x80) != 0);
            cpu.PS_Z = (cpu.Y == 0);</v>
      </c>
      <c r="P202" s="22" t="str">
        <f>IF(LEN(L202)&gt;0,indent&amp;IF(L202="LAST",AccessModes!$I$16&amp;J202,VLOOKUP($G202,AccessModes!$E$2:$I$14,5,FALSE)&amp;L202)&amp;");","")</f>
        <v/>
      </c>
      <c r="Q202" s="22"/>
      <c r="R202" s="26" t="str">
        <f>IF(C202=0,indent0&amp;"case 0x"&amp;F202&amp;": /* "&amp;B202&amp;" "&amp;VLOOKUP(G202,AccessModes!$E$2:$G$14,3,FALSE)&amp;" */"&amp;newline&amp;indent&amp;"cpu.cycles = "&amp;H202&amp;";"&amp;newline&amp;IF(LEN(M202)&gt;0,M202&amp;CHAR(10),"")&amp;IF(LEN(N202)&gt;0,N202&amp;newline,"")&amp;IF(LEN(O202)&gt;0,O202&amp;newline,"")&amp;IF(LEN(P202)&gt;0,P202&amp;newline,"")&amp;IF(LEN(Q202)&gt;0,Q202&amp;newline,"")&amp;indent&amp;"break;",indent0&amp;"/* Illegal opcode 0x"&amp;F202&amp;": "&amp;B202&amp;" "&amp;VLOOKUP(G202,AccessModes!$E$2:$G$14,3,FALSE)&amp;" */"&amp;newline)</f>
        <v xml:space="preserve">        case 0xC8: /* INY  */
            cpu.cycles = 2;
            ++cpu.Y;
            cpu.PS_N = ((cpu.Y &amp; 0x80) != 0);
            cpu.PS_Z = (cpu.Y == 0);
            break;</v>
      </c>
      <c r="S202" s="22" t="str">
        <f t="shared" si="16"/>
        <v xml:space="preserve">    {"INY", false, AM_IMP, 2, 0},</v>
      </c>
    </row>
    <row r="203" spans="1:19" ht="102" hidden="1" x14ac:dyDescent="0.25">
      <c r="A203" s="22">
        <v>201</v>
      </c>
      <c r="B203" s="22" t="s">
        <v>111</v>
      </c>
      <c r="C203" s="22">
        <v>0</v>
      </c>
      <c r="D203" s="22" t="s">
        <v>130</v>
      </c>
      <c r="E203" s="22" t="str">
        <f t="shared" si="13"/>
        <v>C9</v>
      </c>
      <c r="F203" s="22" t="str">
        <f t="shared" si="15"/>
        <v>C9</v>
      </c>
      <c r="G203" s="22" t="str">
        <f>_xlfn.IFNA(VLOOKUP(D203,AccessModes!$D$2:$E$14,2,FALSE),"AM_IMP")</f>
        <v>AM_IMM</v>
      </c>
      <c r="H203" s="22">
        <v>2</v>
      </c>
      <c r="I203" s="22">
        <v>0</v>
      </c>
      <c r="J203" s="22" t="str">
        <f>$J$194</f>
        <v>value</v>
      </c>
      <c r="K203" s="22" t="str">
        <f>$K$194</f>
        <v>value</v>
      </c>
      <c r="L203" s="22" t="str">
        <f>$L$194</f>
        <v/>
      </c>
      <c r="M203" s="22" t="str">
        <f>IF(LEN(J203)&gt;0,indent&amp;J203&amp;" = "&amp;VLOOKUP($G203,AccessModes!$E$2:$I$14,4,FALSE),"")</f>
        <v xml:space="preserve">            value = memory_getImmediate();</v>
      </c>
      <c r="N203" s="26" t="str">
        <f>$N$195</f>
        <v xml:space="preserve">            value = cpu.A - value;</v>
      </c>
      <c r="O203" s="26" t="str">
        <f t="shared" si="14"/>
        <v xml:space="preserve">            cpu.PS_N = ((value &amp; 0x80) != 0);
            cpu.PS_Z = (value == 0);</v>
      </c>
      <c r="P203" s="22" t="str">
        <f>IF(LEN(L203)&gt;0,indent&amp;IF(L203="LAST",AccessModes!$I$16&amp;J203,VLOOKUP($G203,AccessModes!$E$2:$I$14,5,FALSE)&amp;L203)&amp;");","")</f>
        <v/>
      </c>
      <c r="Q203" s="26" t="str">
        <f>$Q$195</f>
        <v xml:space="preserve">            cpu.PS_C = !cpu.PS_N;</v>
      </c>
      <c r="R203" s="26" t="str">
        <f>IF(C203=0,indent0&amp;"case 0x"&amp;F203&amp;": /* "&amp;B203&amp;" "&amp;VLOOKUP(G203,AccessModes!$E$2:$G$14,3,FALSE)&amp;" */"&amp;newline&amp;indent&amp;"cpu.cycles = "&amp;H203&amp;";"&amp;newline&amp;IF(LEN(M203)&gt;0,M203&amp;CHAR(10),"")&amp;IF(LEN(N203)&gt;0,N203&amp;newline,"")&amp;IF(LEN(O203)&gt;0,O203&amp;newline,"")&amp;IF(LEN(P203)&gt;0,P203&amp;newline,"")&amp;IF(LEN(Q203)&gt;0,Q203&amp;newline,"")&amp;indent&amp;"break;",indent0&amp;"/* Illegal opcode 0x"&amp;F203&amp;": "&amp;B203&amp;" "&amp;VLOOKUP(G203,AccessModes!$E$2:$G$14,3,FALSE)&amp;" */"&amp;newline)</f>
        <v xml:space="preserve">        case 0xC9: /* CMP #aa */
            cpu.cycles = 2;
            value = memory_getImmediate();
            value = cpu.A - value;
            cpu.PS_N = ((value &amp; 0x80) != 0);
            cpu.PS_Z = (value == 0);
            cpu.PS_C = !cpu.PS_N;
            break;</v>
      </c>
      <c r="S203" s="22" t="str">
        <f t="shared" si="16"/>
        <v xml:space="preserve">    {"CMP", false, AM_IMM, 2, 0},</v>
      </c>
    </row>
    <row r="204" spans="1:19" ht="76.5" hidden="1" x14ac:dyDescent="0.25">
      <c r="A204" s="22">
        <v>202</v>
      </c>
      <c r="B204" s="22" t="s">
        <v>115</v>
      </c>
      <c r="C204" s="22">
        <v>0</v>
      </c>
      <c r="D204" s="22" t="s">
        <v>139</v>
      </c>
      <c r="E204" s="22" t="str">
        <f t="shared" si="13"/>
        <v>CA</v>
      </c>
      <c r="F204" s="22" t="str">
        <f t="shared" si="15"/>
        <v>CA</v>
      </c>
      <c r="G204" s="22" t="str">
        <f>_xlfn.IFNA(VLOOKUP(D204,AccessModes!$D$2:$E$14,2,FALSE),"AM_IMP")</f>
        <v>AM_IMP</v>
      </c>
      <c r="H204" s="22">
        <v>2</v>
      </c>
      <c r="I204" s="22">
        <v>0</v>
      </c>
      <c r="J204" s="24" t="str">
        <f>""</f>
        <v/>
      </c>
      <c r="K204" s="24" t="s">
        <v>226</v>
      </c>
      <c r="L204" s="24" t="str">
        <f>""</f>
        <v/>
      </c>
      <c r="M204" s="22" t="str">
        <f>IF(LEN(J204)&gt;0,indent&amp;J204&amp;" = "&amp;VLOOKUP($G204,AccessModes!$E$2:$I$14,4,FALSE),"")</f>
        <v/>
      </c>
      <c r="N204" s="25" t="str">
        <f>indent&amp;"--"&amp;K204&amp;";"</f>
        <v xml:space="preserve">            --cpu.X;</v>
      </c>
      <c r="O204" s="26" t="str">
        <f t="shared" si="14"/>
        <v xml:space="preserve">            cpu.PS_N = ((cpu.X &amp; 0x80) != 0);
            cpu.PS_Z = (cpu.X == 0);</v>
      </c>
      <c r="P204" s="22" t="str">
        <f>IF(LEN(L204)&gt;0,indent&amp;IF(L204="LAST",AccessModes!$I$16&amp;J204,VLOOKUP($G204,AccessModes!$E$2:$I$14,5,FALSE)&amp;L204)&amp;");","")</f>
        <v/>
      </c>
      <c r="Q204" s="22"/>
      <c r="R204" s="26" t="str">
        <f>IF(C204=0,indent0&amp;"case 0x"&amp;F204&amp;": /* "&amp;B204&amp;" "&amp;VLOOKUP(G204,AccessModes!$E$2:$G$14,3,FALSE)&amp;" */"&amp;newline&amp;indent&amp;"cpu.cycles = "&amp;H204&amp;";"&amp;newline&amp;IF(LEN(M204)&gt;0,M204&amp;CHAR(10),"")&amp;IF(LEN(N204)&gt;0,N204&amp;newline,"")&amp;IF(LEN(O204)&gt;0,O204&amp;newline,"")&amp;IF(LEN(P204)&gt;0,P204&amp;newline,"")&amp;IF(LEN(Q204)&gt;0,Q204&amp;newline,"")&amp;indent&amp;"break;",indent0&amp;"/* Illegal opcode 0x"&amp;F204&amp;": "&amp;B204&amp;" "&amp;VLOOKUP(G204,AccessModes!$E$2:$G$14,3,FALSE)&amp;" */"&amp;newline)</f>
        <v xml:space="preserve">        case 0xCA: /* DEX  */
            cpu.cycles = 2;
            --cpu.X;
            cpu.PS_N = ((cpu.X &amp; 0x80) != 0);
            cpu.PS_Z = (cpu.X == 0);
            break;</v>
      </c>
      <c r="S204" s="22" t="str">
        <f t="shared" si="16"/>
        <v xml:space="preserve">    {"DEX", false, AM_IMP, 2, 0},</v>
      </c>
    </row>
    <row r="205" spans="1:19" ht="25.5" hidden="1" x14ac:dyDescent="0.25">
      <c r="A205" s="28">
        <v>203</v>
      </c>
      <c r="B205" s="28" t="s">
        <v>116</v>
      </c>
      <c r="C205" s="28">
        <v>-1</v>
      </c>
      <c r="D205" s="28" t="s">
        <v>130</v>
      </c>
      <c r="E205" s="28" t="str">
        <f t="shared" si="13"/>
        <v>CB</v>
      </c>
      <c r="F205" s="28" t="str">
        <f t="shared" si="15"/>
        <v>CB</v>
      </c>
      <c r="G205" s="28" t="str">
        <f>_xlfn.IFNA(VLOOKUP(D205,AccessModes!$D$2:$E$14,2,FALSE),"AM_IMP")</f>
        <v>AM_IMM</v>
      </c>
      <c r="H205" s="28">
        <v>2</v>
      </c>
      <c r="I205" s="28">
        <v>0</v>
      </c>
      <c r="J205" s="28"/>
      <c r="K205" s="28"/>
      <c r="L205" s="28"/>
      <c r="M205" s="28" t="str">
        <f>IF(LEN(J205)&gt;0,indent&amp;J205&amp;" = "&amp;VLOOKUP($G205,AccessModes!$E$2:$I$14,4,FALSE),"")</f>
        <v/>
      </c>
      <c r="N205" s="29" t="str">
        <f>indent&amp;"/* TODO: implementation of the action */"</f>
        <v xml:space="preserve">            /* TODO: implementation of the action */</v>
      </c>
      <c r="O205" s="29" t="str">
        <f t="shared" si="14"/>
        <v/>
      </c>
      <c r="P205" s="28" t="str">
        <f>IF(LEN(L205)&gt;0,indent&amp;IF(L205="LAST",AccessModes!$I$16&amp;J205,VLOOKUP($G205,AccessModes!$E$2:$I$14,5,FALSE)&amp;L205)&amp;");","")</f>
        <v/>
      </c>
      <c r="Q205" s="28"/>
      <c r="R205" s="29" t="str">
        <f>IF(C205=0,indent0&amp;"case 0x"&amp;F205&amp;": /* "&amp;B205&amp;" "&amp;VLOOKUP(G205,AccessModes!$E$2:$G$14,3,FALSE)&amp;" */"&amp;newline&amp;indent&amp;"cpu.cycles = "&amp;H205&amp;";"&amp;newline&amp;IF(LEN(M205)&gt;0,M205&amp;CHAR(10),"")&amp;IF(LEN(N205)&gt;0,N205&amp;newline,"")&amp;IF(LEN(O205)&gt;0,O205&amp;newline,"")&amp;IF(LEN(P205)&gt;0,P205&amp;newline,"")&amp;IF(LEN(Q205)&gt;0,Q205&amp;newline,"")&amp;indent&amp;"break;",indent0&amp;"/* Illegal opcode 0x"&amp;F205&amp;": "&amp;B205&amp;" "&amp;VLOOKUP(G205,AccessModes!$E$2:$G$14,3,FALSE)&amp;" */"&amp;newline)</f>
        <v xml:space="preserve">        /* Illegal opcode 0xCB: AXS #aa */
</v>
      </c>
      <c r="S205" s="28" t="str">
        <f t="shared" si="16"/>
        <v xml:space="preserve">    {"AXS", true , AM_IMM, 2, 0},</v>
      </c>
    </row>
    <row r="206" spans="1:19" ht="102" hidden="1" x14ac:dyDescent="0.25">
      <c r="A206" s="22">
        <v>204</v>
      </c>
      <c r="B206" s="22" t="s">
        <v>110</v>
      </c>
      <c r="C206" s="22">
        <v>0</v>
      </c>
      <c r="D206" s="22" t="s">
        <v>131</v>
      </c>
      <c r="E206" s="22" t="str">
        <f t="shared" si="13"/>
        <v>CC</v>
      </c>
      <c r="F206" s="22" t="str">
        <f t="shared" si="15"/>
        <v>CC</v>
      </c>
      <c r="G206" s="22" t="str">
        <f>_xlfn.IFNA(VLOOKUP(D206,AccessModes!$D$2:$E$14,2,FALSE),"AM_IMP")</f>
        <v>AM_ABS</v>
      </c>
      <c r="H206" s="22">
        <v>4</v>
      </c>
      <c r="I206" s="22">
        <v>0</v>
      </c>
      <c r="J206" s="22" t="str">
        <f>$J$194</f>
        <v>value</v>
      </c>
      <c r="K206" s="22" t="str">
        <f>$K$194</f>
        <v>value</v>
      </c>
      <c r="L206" s="22" t="str">
        <f>$L$194</f>
        <v/>
      </c>
      <c r="M206" s="22" t="str">
        <f>IF(LEN(J206)&gt;0,indent&amp;J206&amp;" = "&amp;VLOOKUP($G206,AccessModes!$E$2:$I$14,4,FALSE),"")</f>
        <v xml:space="preserve">            value = memory_getAbsolute();</v>
      </c>
      <c r="N206" s="26" t="str">
        <f>$N$194</f>
        <v xml:space="preserve">            value = cpu.Y - value;</v>
      </c>
      <c r="O206" s="26" t="str">
        <f t="shared" si="14"/>
        <v xml:space="preserve">            cpu.PS_N = ((value &amp; 0x80) != 0);
            cpu.PS_Z = (value == 0);</v>
      </c>
      <c r="P206" s="22" t="str">
        <f>IF(LEN(L206)&gt;0,indent&amp;IF(L206="LAST",AccessModes!$I$16&amp;J206,VLOOKUP($G206,AccessModes!$E$2:$I$14,5,FALSE)&amp;L206)&amp;");","")</f>
        <v/>
      </c>
      <c r="Q206" s="26" t="str">
        <f>$Q$194</f>
        <v xml:space="preserve">            cpu.PS_C = !cpu.PS_N;</v>
      </c>
      <c r="R206" s="26" t="str">
        <f>IF(C206=0,indent0&amp;"case 0x"&amp;F206&amp;": /* "&amp;B206&amp;" "&amp;VLOOKUP(G206,AccessModes!$E$2:$G$14,3,FALSE)&amp;" */"&amp;newline&amp;indent&amp;"cpu.cycles = "&amp;H206&amp;";"&amp;newline&amp;IF(LEN(M206)&gt;0,M206&amp;CHAR(10),"")&amp;IF(LEN(N206)&gt;0,N206&amp;newline,"")&amp;IF(LEN(O206)&gt;0,O206&amp;newline,"")&amp;IF(LEN(P206)&gt;0,P206&amp;newline,"")&amp;IF(LEN(Q206)&gt;0,Q206&amp;newline,"")&amp;indent&amp;"break;",indent0&amp;"/* Illegal opcode 0x"&amp;F206&amp;": "&amp;B206&amp;" "&amp;VLOOKUP(G206,AccessModes!$E$2:$G$14,3,FALSE)&amp;" */"&amp;newline)</f>
        <v xml:space="preserve">        case 0xCC: /* CPY aaaa */
            cpu.cycles = 4;
            value = memory_getAbsolute();
            value = cpu.Y - value;
            cpu.PS_N = ((value &amp; 0x80) != 0);
            cpu.PS_Z = (value == 0);
            cpu.PS_C = !cpu.PS_N;
            break;</v>
      </c>
      <c r="S206" s="22" t="str">
        <f t="shared" si="16"/>
        <v xml:space="preserve">    {"CPY", false, AM_ABS, 4, 0},</v>
      </c>
    </row>
    <row r="207" spans="1:19" ht="102" hidden="1" x14ac:dyDescent="0.25">
      <c r="A207" s="22">
        <v>205</v>
      </c>
      <c r="B207" s="22" t="s">
        <v>111</v>
      </c>
      <c r="C207" s="22">
        <v>0</v>
      </c>
      <c r="D207" s="22" t="s">
        <v>131</v>
      </c>
      <c r="E207" s="22" t="str">
        <f t="shared" si="13"/>
        <v>CD</v>
      </c>
      <c r="F207" s="22" t="str">
        <f t="shared" si="15"/>
        <v>CD</v>
      </c>
      <c r="G207" s="22" t="str">
        <f>_xlfn.IFNA(VLOOKUP(D207,AccessModes!$D$2:$E$14,2,FALSE),"AM_IMP")</f>
        <v>AM_ABS</v>
      </c>
      <c r="H207" s="22">
        <v>4</v>
      </c>
      <c r="I207" s="22">
        <v>0</v>
      </c>
      <c r="J207" s="22" t="str">
        <f>$J$194</f>
        <v>value</v>
      </c>
      <c r="K207" s="22" t="str">
        <f>$K$194</f>
        <v>value</v>
      </c>
      <c r="L207" s="22" t="str">
        <f>$L$194</f>
        <v/>
      </c>
      <c r="M207" s="22" t="str">
        <f>IF(LEN(J207)&gt;0,indent&amp;J207&amp;" = "&amp;VLOOKUP($G207,AccessModes!$E$2:$I$14,4,FALSE),"")</f>
        <v xml:space="preserve">            value = memory_getAbsolute();</v>
      </c>
      <c r="N207" s="26" t="str">
        <f>$N$195</f>
        <v xml:space="preserve">            value = cpu.A - value;</v>
      </c>
      <c r="O207" s="26" t="str">
        <f t="shared" si="14"/>
        <v xml:space="preserve">            cpu.PS_N = ((value &amp; 0x80) != 0);
            cpu.PS_Z = (value == 0);</v>
      </c>
      <c r="P207" s="22" t="str">
        <f>IF(LEN(L207)&gt;0,indent&amp;IF(L207="LAST",AccessModes!$I$16&amp;J207,VLOOKUP($G207,AccessModes!$E$2:$I$14,5,FALSE)&amp;L207)&amp;");","")</f>
        <v/>
      </c>
      <c r="Q207" s="26" t="str">
        <f>$Q$195</f>
        <v xml:space="preserve">            cpu.PS_C = !cpu.PS_N;</v>
      </c>
      <c r="R207" s="26" t="str">
        <f>IF(C207=0,indent0&amp;"case 0x"&amp;F207&amp;": /* "&amp;B207&amp;" "&amp;VLOOKUP(G207,AccessModes!$E$2:$G$14,3,FALSE)&amp;" */"&amp;newline&amp;indent&amp;"cpu.cycles = "&amp;H207&amp;";"&amp;newline&amp;IF(LEN(M207)&gt;0,M207&amp;CHAR(10),"")&amp;IF(LEN(N207)&gt;0,N207&amp;newline,"")&amp;IF(LEN(O207)&gt;0,O207&amp;newline,"")&amp;IF(LEN(P207)&gt;0,P207&amp;newline,"")&amp;IF(LEN(Q207)&gt;0,Q207&amp;newline,"")&amp;indent&amp;"break;",indent0&amp;"/* Illegal opcode 0x"&amp;F207&amp;": "&amp;B207&amp;" "&amp;VLOOKUP(G207,AccessModes!$E$2:$G$14,3,FALSE)&amp;" */"&amp;newline)</f>
        <v xml:space="preserve">        case 0xCD: /* CMP aaaa */
            cpu.cycles = 4;
            value = memory_getAbsolute();
            value = cpu.A - value;
            cpu.PS_N = ((value &amp; 0x80) != 0);
            cpu.PS_Z = (value == 0);
            cpu.PS_C = !cpu.PS_N;
            break;</v>
      </c>
      <c r="S207" s="22" t="str">
        <f t="shared" si="16"/>
        <v xml:space="preserve">    {"CMP", false, AM_ABS, 4, 0},</v>
      </c>
    </row>
    <row r="208" spans="1:19" ht="102" hidden="1" x14ac:dyDescent="0.25">
      <c r="A208" s="22">
        <v>206</v>
      </c>
      <c r="B208" s="22" t="s">
        <v>113</v>
      </c>
      <c r="C208" s="22">
        <v>0</v>
      </c>
      <c r="D208" s="22" t="s">
        <v>131</v>
      </c>
      <c r="E208" s="22" t="str">
        <f t="shared" si="13"/>
        <v>CE</v>
      </c>
      <c r="F208" s="22" t="str">
        <f t="shared" si="15"/>
        <v>CE</v>
      </c>
      <c r="G208" s="22" t="str">
        <f>_xlfn.IFNA(VLOOKUP(D208,AccessModes!$D$2:$E$14,2,FALSE),"AM_IMP")</f>
        <v>AM_ABS</v>
      </c>
      <c r="H208" s="22">
        <v>6</v>
      </c>
      <c r="I208" s="22">
        <v>0</v>
      </c>
      <c r="J208" s="22" t="str">
        <f>$J$200</f>
        <v>value</v>
      </c>
      <c r="K208" s="22" t="str">
        <f>$K$200</f>
        <v>value</v>
      </c>
      <c r="L208" s="22" t="str">
        <f>$L$200</f>
        <v>LAST</v>
      </c>
      <c r="M208" s="22" t="str">
        <f>IF(LEN(J208)&gt;0,indent&amp;J208&amp;" = "&amp;VLOOKUP($G208,AccessModes!$E$2:$I$14,4,FALSE),"")</f>
        <v xml:space="preserve">            value = memory_getAbsolute();</v>
      </c>
      <c r="N208" s="26" t="str">
        <f>$N$200</f>
        <v xml:space="preserve">            --value;</v>
      </c>
      <c r="O208" s="26" t="str">
        <f t="shared" si="14"/>
        <v xml:space="preserve">            cpu.PS_N = ((value &amp; 0x80) != 0);
            cpu.PS_Z = (value == 0);</v>
      </c>
      <c r="P208" s="22" t="str">
        <f>IF(LEN(L208)&gt;0,indent&amp;IF(L208="LAST",AccessModes!$I$16&amp;J208,VLOOKUP($G208,AccessModes!$E$2:$I$14,5,FALSE)&amp;L208)&amp;");","")</f>
        <v xml:space="preserve">            memory_setLast(value);</v>
      </c>
      <c r="Q208" s="22"/>
      <c r="R208" s="26" t="str">
        <f>IF(C208=0,indent0&amp;"case 0x"&amp;F208&amp;": /* "&amp;B208&amp;" "&amp;VLOOKUP(G208,AccessModes!$E$2:$G$14,3,FALSE)&amp;" */"&amp;newline&amp;indent&amp;"cpu.cycles = "&amp;H208&amp;";"&amp;newline&amp;IF(LEN(M208)&gt;0,M208&amp;CHAR(10),"")&amp;IF(LEN(N208)&gt;0,N208&amp;newline,"")&amp;IF(LEN(O208)&gt;0,O208&amp;newline,"")&amp;IF(LEN(P208)&gt;0,P208&amp;newline,"")&amp;IF(LEN(Q208)&gt;0,Q208&amp;newline,"")&amp;indent&amp;"break;",indent0&amp;"/* Illegal opcode 0x"&amp;F208&amp;": "&amp;B208&amp;" "&amp;VLOOKUP(G208,AccessModes!$E$2:$G$14,3,FALSE)&amp;" */"&amp;newline)</f>
        <v xml:space="preserve">        case 0xCE: /* DEC aaaa */
            cpu.cycles = 6;
            value = memory_getAbsolute();
            --value;
            cpu.PS_N = ((value &amp; 0x80) != 0);
            cpu.PS_Z = (value == 0);
            memory_setLast(value);
            break;</v>
      </c>
      <c r="S208" s="22" t="str">
        <f t="shared" si="16"/>
        <v xml:space="preserve">    {"DEC", false, AM_ABS, 6, 0},</v>
      </c>
    </row>
    <row r="209" spans="1:19" ht="25.5" hidden="1" x14ac:dyDescent="0.25">
      <c r="A209" s="28">
        <v>207</v>
      </c>
      <c r="B209" s="28" t="s">
        <v>112</v>
      </c>
      <c r="C209" s="28">
        <v>-1</v>
      </c>
      <c r="D209" s="28" t="s">
        <v>131</v>
      </c>
      <c r="E209" s="28" t="str">
        <f t="shared" si="13"/>
        <v>CF</v>
      </c>
      <c r="F209" s="28" t="str">
        <f t="shared" si="15"/>
        <v>CF</v>
      </c>
      <c r="G209" s="28" t="str">
        <f>_xlfn.IFNA(VLOOKUP(D209,AccessModes!$D$2:$E$14,2,FALSE),"AM_IMP")</f>
        <v>AM_ABS</v>
      </c>
      <c r="H209" s="28">
        <v>6</v>
      </c>
      <c r="I209" s="28">
        <v>0</v>
      </c>
      <c r="J209" s="28"/>
      <c r="K209" s="28"/>
      <c r="L209" s="28"/>
      <c r="M209" s="28" t="str">
        <f>IF(LEN(J209)&gt;0,indent&amp;J209&amp;" = "&amp;VLOOKUP($G209,AccessModes!$E$2:$I$14,4,FALSE),"")</f>
        <v/>
      </c>
      <c r="N209" s="29" t="str">
        <f>indent&amp;"/* TODO: implementation of the action */"</f>
        <v xml:space="preserve">            /* TODO: implementation of the action */</v>
      </c>
      <c r="O209" s="29" t="str">
        <f t="shared" si="14"/>
        <v/>
      </c>
      <c r="P209" s="28" t="str">
        <f>IF(LEN(L209)&gt;0,indent&amp;IF(L209="LAST",AccessModes!$I$16&amp;J209,VLOOKUP($G209,AccessModes!$E$2:$I$14,5,FALSE)&amp;L209)&amp;");","")</f>
        <v/>
      </c>
      <c r="Q209" s="28"/>
      <c r="R209" s="29" t="str">
        <f>IF(C209=0,indent0&amp;"case 0x"&amp;F209&amp;": /* "&amp;B209&amp;" "&amp;VLOOKUP(G209,AccessModes!$E$2:$G$14,3,FALSE)&amp;" */"&amp;newline&amp;indent&amp;"cpu.cycles = "&amp;H209&amp;";"&amp;newline&amp;IF(LEN(M209)&gt;0,M209&amp;CHAR(10),"")&amp;IF(LEN(N209)&gt;0,N209&amp;newline,"")&amp;IF(LEN(O209)&gt;0,O209&amp;newline,"")&amp;IF(LEN(P209)&gt;0,P209&amp;newline,"")&amp;IF(LEN(Q209)&gt;0,Q209&amp;newline,"")&amp;indent&amp;"break;",indent0&amp;"/* Illegal opcode 0x"&amp;F209&amp;": "&amp;B209&amp;" "&amp;VLOOKUP(G209,AccessModes!$E$2:$G$14,3,FALSE)&amp;" */"&amp;newline)</f>
        <v xml:space="preserve">        /* Illegal opcode 0xCF: DCP aaaa */
</v>
      </c>
      <c r="S209" s="28" t="str">
        <f t="shared" si="16"/>
        <v xml:space="preserve">    {"DCP", true , AM_ABS, 6, 0},</v>
      </c>
    </row>
    <row r="210" spans="1:19" ht="102" hidden="1" x14ac:dyDescent="0.25">
      <c r="A210" s="22">
        <v>208</v>
      </c>
      <c r="B210" s="22" t="s">
        <v>118</v>
      </c>
      <c r="C210" s="22">
        <v>0</v>
      </c>
      <c r="D210" s="22" t="s">
        <v>132</v>
      </c>
      <c r="E210" s="22" t="str">
        <f t="shared" si="13"/>
        <v>D0</v>
      </c>
      <c r="F210" s="22" t="str">
        <f t="shared" si="15"/>
        <v>D0</v>
      </c>
      <c r="G210" s="22" t="str">
        <f>_xlfn.IFNA(VLOOKUP(D210,AccessModes!$D$2:$E$14,2,FALSE),"AM_IMP")</f>
        <v>AM_REL</v>
      </c>
      <c r="H210" s="22">
        <v>2</v>
      </c>
      <c r="I210" s="22">
        <v>1</v>
      </c>
      <c r="J210" s="24" t="s">
        <v>240</v>
      </c>
      <c r="K210" s="24"/>
      <c r="L210" s="24"/>
      <c r="M210" s="22" t="str">
        <f>IF(LEN(J210)&gt;0,indent&amp;J210&amp;" = "&amp;VLOOKUP($G210,AccessModes!$E$2:$I$14,4,FALSE),"")</f>
        <v xml:space="preserve">            value_w = memory_getRelativeAddress();</v>
      </c>
      <c r="N210" s="25" t="str">
        <f>indent&amp;"if(!cpu.PS_Z) {"&amp;newline&amp;indent2&amp;"++cpu.cycles;"&amp;newline&amp;indent2&amp;"cpu.PC = "&amp;J210&amp;";"&amp;newline&amp;indent&amp;"}"</f>
        <v xml:space="preserve">            if(!cpu.PS_Z) {
                ++cpu.cycles;
                cpu.PC = value_w;
            }</v>
      </c>
      <c r="O210" s="26" t="str">
        <f t="shared" si="14"/>
        <v/>
      </c>
      <c r="P210" s="22" t="str">
        <f>IF(LEN(L210)&gt;0,indent&amp;IF(L210="LAST",AccessModes!$I$16&amp;J210,VLOOKUP($G210,AccessModes!$E$2:$I$14,5,FALSE)&amp;L210)&amp;");","")</f>
        <v/>
      </c>
      <c r="Q210" s="22"/>
      <c r="R210" s="26" t="str">
        <f>IF(C210=0,indent0&amp;"case 0x"&amp;F210&amp;": /* "&amp;B210&amp;" "&amp;VLOOKUP(G210,AccessModes!$E$2:$G$14,3,FALSE)&amp;" */"&amp;newline&amp;indent&amp;"cpu.cycles = "&amp;H210&amp;";"&amp;newline&amp;IF(LEN(M210)&gt;0,M210&amp;CHAR(10),"")&amp;IF(LEN(N210)&gt;0,N210&amp;newline,"")&amp;IF(LEN(O210)&gt;0,O210&amp;newline,"")&amp;IF(LEN(P210)&gt;0,P210&amp;newline,"")&amp;IF(LEN(Q210)&gt;0,Q210&amp;newline,"")&amp;indent&amp;"break;",indent0&amp;"/* Illegal opcode 0x"&amp;F210&amp;": "&amp;B210&amp;" "&amp;VLOOKUP(G210,AccessModes!$E$2:$G$14,3,FALSE)&amp;" */"&amp;newline)</f>
        <v xml:space="preserve">        case 0xD0: /* BNE aaaa */
            cpu.cycles = 2;
            value_w = memory_getRelativeAddress();
            if(!cpu.PS_Z) {
                ++cpu.cycles;
                cpu.PC = value_w;
            }
            break;</v>
      </c>
      <c r="S210" s="22" t="str">
        <f t="shared" si="16"/>
        <v xml:space="preserve">    {"BNE", false, AM_REL, 2, 1},</v>
      </c>
    </row>
    <row r="211" spans="1:19" ht="102" hidden="1" x14ac:dyDescent="0.25">
      <c r="A211" s="22">
        <v>209</v>
      </c>
      <c r="B211" s="22" t="s">
        <v>111</v>
      </c>
      <c r="C211" s="22">
        <v>0</v>
      </c>
      <c r="D211" s="22" t="s">
        <v>133</v>
      </c>
      <c r="E211" s="22" t="str">
        <f t="shared" si="13"/>
        <v>D1</v>
      </c>
      <c r="F211" s="22" t="str">
        <f t="shared" si="15"/>
        <v>D1</v>
      </c>
      <c r="G211" s="22" t="str">
        <f>_xlfn.IFNA(VLOOKUP(D211,AccessModes!$D$2:$E$14,2,FALSE),"AM_IMP")</f>
        <v>AM_IIY</v>
      </c>
      <c r="H211" s="22">
        <v>5</v>
      </c>
      <c r="I211" s="22">
        <v>1</v>
      </c>
      <c r="J211" s="22" t="str">
        <f>$J$194</f>
        <v>value</v>
      </c>
      <c r="K211" s="22" t="str">
        <f>$K$194</f>
        <v>value</v>
      </c>
      <c r="L211" s="22" t="str">
        <f>$L$194</f>
        <v/>
      </c>
      <c r="M211" s="22" t="str">
        <f>IF(LEN(J211)&gt;0,indent&amp;J211&amp;" = "&amp;VLOOKUP($G211,AccessModes!$E$2:$I$14,4,FALSE),"")</f>
        <v xml:space="preserve">            value = memory_getIndirectIndexedY();</v>
      </c>
      <c r="N211" s="26" t="str">
        <f>$N$195</f>
        <v xml:space="preserve">            value = cpu.A - value;</v>
      </c>
      <c r="O211" s="26" t="str">
        <f t="shared" si="14"/>
        <v xml:space="preserve">            cpu.PS_N = ((value &amp; 0x80) != 0);
            cpu.PS_Z = (value == 0);</v>
      </c>
      <c r="P211" s="22" t="str">
        <f>IF(LEN(L211)&gt;0,indent&amp;IF(L211="LAST",AccessModes!$I$16&amp;J211,VLOOKUP($G211,AccessModes!$E$2:$I$14,5,FALSE)&amp;L211)&amp;");","")</f>
        <v/>
      </c>
      <c r="Q211" s="26" t="str">
        <f>$Q$195</f>
        <v xml:space="preserve">            cpu.PS_C = !cpu.PS_N;</v>
      </c>
      <c r="R211" s="26" t="str">
        <f>IF(C211=0,indent0&amp;"case 0x"&amp;F211&amp;": /* "&amp;B211&amp;" "&amp;VLOOKUP(G211,AccessModes!$E$2:$G$14,3,FALSE)&amp;" */"&amp;newline&amp;indent&amp;"cpu.cycles = "&amp;H211&amp;";"&amp;newline&amp;IF(LEN(M211)&gt;0,M211&amp;CHAR(10),"")&amp;IF(LEN(N211)&gt;0,N211&amp;newline,"")&amp;IF(LEN(O211)&gt;0,O211&amp;newline,"")&amp;IF(LEN(P211)&gt;0,P211&amp;newline,"")&amp;IF(LEN(Q211)&gt;0,Q211&amp;newline,"")&amp;indent&amp;"break;",indent0&amp;"/* Illegal opcode 0x"&amp;F211&amp;": "&amp;B211&amp;" "&amp;VLOOKUP(G211,AccessModes!$E$2:$G$14,3,FALSE)&amp;" */"&amp;newline)</f>
        <v xml:space="preserve">        case 0xD1: /* CMP (aa),Y */
            cpu.cycles = 5;
            value = memory_getIndirectIndexedY();
            value = cpu.A - value;
            cpu.PS_N = ((value &amp; 0x80) != 0);
            cpu.PS_Z = (value == 0);
            cpu.PS_C = !cpu.PS_N;
            break;</v>
      </c>
      <c r="S211" s="22" t="str">
        <f t="shared" si="16"/>
        <v xml:space="preserve">    {"CMP", false, AM_IIY, 5, 1},</v>
      </c>
    </row>
    <row r="212" spans="1:19" ht="25.5" hidden="1" x14ac:dyDescent="0.25">
      <c r="A212" s="28">
        <v>210</v>
      </c>
      <c r="B212" s="28" t="s">
        <v>20</v>
      </c>
      <c r="C212" s="28">
        <v>-1</v>
      </c>
      <c r="D212" s="28"/>
      <c r="E212" s="28" t="str">
        <f t="shared" si="13"/>
        <v>D2</v>
      </c>
      <c r="F212" s="28" t="str">
        <f t="shared" si="15"/>
        <v>D2</v>
      </c>
      <c r="G212" s="28" t="str">
        <f>_xlfn.IFNA(VLOOKUP(D212,AccessModes!$D$2:$E$14,2,FALSE),"AM_IMP")</f>
        <v>AM_IMP</v>
      </c>
      <c r="H212" s="28">
        <v>0</v>
      </c>
      <c r="I212" s="28">
        <v>0</v>
      </c>
      <c r="J212" s="28"/>
      <c r="K212" s="28"/>
      <c r="L212" s="28"/>
      <c r="M212" s="28" t="str">
        <f>IF(LEN(J212)&gt;0,indent&amp;J212&amp;" = "&amp;VLOOKUP($G212,AccessModes!$E$2:$I$14,4,FALSE),"")</f>
        <v/>
      </c>
      <c r="N212" s="29" t="str">
        <f>indent&amp;"/* TODO: implementation of the action */"</f>
        <v xml:space="preserve">            /* TODO: implementation of the action */</v>
      </c>
      <c r="O212" s="29" t="str">
        <f t="shared" si="14"/>
        <v/>
      </c>
      <c r="P212" s="28" t="str">
        <f>IF(LEN(L212)&gt;0,indent&amp;IF(L212="LAST",AccessModes!$I$16&amp;J212,VLOOKUP($G212,AccessModes!$E$2:$I$14,5,FALSE)&amp;L212)&amp;");","")</f>
        <v/>
      </c>
      <c r="Q212" s="28"/>
      <c r="R212" s="29" t="str">
        <f>IF(C212=0,indent0&amp;"case 0x"&amp;F212&amp;": /* "&amp;B212&amp;" "&amp;VLOOKUP(G212,AccessModes!$E$2:$G$14,3,FALSE)&amp;" */"&amp;newline&amp;indent&amp;"cpu.cycles = "&amp;H212&amp;";"&amp;newline&amp;IF(LEN(M212)&gt;0,M212&amp;CHAR(10),"")&amp;IF(LEN(N212)&gt;0,N212&amp;newline,"")&amp;IF(LEN(O212)&gt;0,O212&amp;newline,"")&amp;IF(LEN(P212)&gt;0,P212&amp;newline,"")&amp;IF(LEN(Q212)&gt;0,Q212&amp;newline,"")&amp;indent&amp;"break;",indent0&amp;"/* Illegal opcode 0x"&amp;F212&amp;": "&amp;B212&amp;" "&amp;VLOOKUP(G212,AccessModes!$E$2:$G$14,3,FALSE)&amp;" */"&amp;newline)</f>
        <v xml:space="preserve">        /* Illegal opcode 0xD2: KIL  */
</v>
      </c>
      <c r="S212" s="28" t="str">
        <f t="shared" si="16"/>
        <v xml:space="preserve">    {"KIL", true , AM_IMP, 0, 0},</v>
      </c>
    </row>
    <row r="213" spans="1:19" ht="25.5" hidden="1" x14ac:dyDescent="0.25">
      <c r="A213" s="28">
        <v>211</v>
      </c>
      <c r="B213" s="28" t="s">
        <v>112</v>
      </c>
      <c r="C213" s="28">
        <v>-1</v>
      </c>
      <c r="D213" s="28" t="s">
        <v>133</v>
      </c>
      <c r="E213" s="28" t="str">
        <f t="shared" si="13"/>
        <v>D3</v>
      </c>
      <c r="F213" s="28" t="str">
        <f t="shared" si="15"/>
        <v>D3</v>
      </c>
      <c r="G213" s="28" t="str">
        <f>_xlfn.IFNA(VLOOKUP(D213,AccessModes!$D$2:$E$14,2,FALSE),"AM_IMP")</f>
        <v>AM_IIY</v>
      </c>
      <c r="H213" s="28">
        <v>8</v>
      </c>
      <c r="I213" s="28">
        <v>0</v>
      </c>
      <c r="J213" s="28"/>
      <c r="K213" s="28"/>
      <c r="L213" s="28"/>
      <c r="M213" s="28" t="str">
        <f>IF(LEN(J213)&gt;0,indent&amp;J213&amp;" = "&amp;VLOOKUP($G213,AccessModes!$E$2:$I$14,4,FALSE),"")</f>
        <v/>
      </c>
      <c r="N213" s="29" t="str">
        <f>indent&amp;"/* TODO: implementation of the action */"</f>
        <v xml:space="preserve">            /* TODO: implementation of the action */</v>
      </c>
      <c r="O213" s="29" t="str">
        <f t="shared" si="14"/>
        <v/>
      </c>
      <c r="P213" s="28" t="str">
        <f>IF(LEN(L213)&gt;0,indent&amp;IF(L213="LAST",AccessModes!$I$16&amp;J213,VLOOKUP($G213,AccessModes!$E$2:$I$14,5,FALSE)&amp;L213)&amp;");","")</f>
        <v/>
      </c>
      <c r="Q213" s="28"/>
      <c r="R213" s="29" t="str">
        <f>IF(C213=0,indent0&amp;"case 0x"&amp;F213&amp;": /* "&amp;B213&amp;" "&amp;VLOOKUP(G213,AccessModes!$E$2:$G$14,3,FALSE)&amp;" */"&amp;newline&amp;indent&amp;"cpu.cycles = "&amp;H213&amp;";"&amp;newline&amp;IF(LEN(M213)&gt;0,M213&amp;CHAR(10),"")&amp;IF(LEN(N213)&gt;0,N213&amp;newline,"")&amp;IF(LEN(O213)&gt;0,O213&amp;newline,"")&amp;IF(LEN(P213)&gt;0,P213&amp;newline,"")&amp;IF(LEN(Q213)&gt;0,Q213&amp;newline,"")&amp;indent&amp;"break;",indent0&amp;"/* Illegal opcode 0x"&amp;F213&amp;": "&amp;B213&amp;" "&amp;VLOOKUP(G213,AccessModes!$E$2:$G$14,3,FALSE)&amp;" */"&amp;newline)</f>
        <v xml:space="preserve">        /* Illegal opcode 0xD3: DCP (aa),Y */
</v>
      </c>
      <c r="S213" s="28" t="str">
        <f t="shared" si="16"/>
        <v xml:space="preserve">    {"DCP", true , AM_IIY, 8, 0},</v>
      </c>
    </row>
    <row r="214" spans="1:19" ht="25.5" hidden="1" x14ac:dyDescent="0.25">
      <c r="A214" s="28">
        <v>212</v>
      </c>
      <c r="B214" s="28" t="s">
        <v>23</v>
      </c>
      <c r="C214" s="28">
        <v>-1</v>
      </c>
      <c r="D214" s="28" t="s">
        <v>134</v>
      </c>
      <c r="E214" s="28" t="str">
        <f t="shared" si="13"/>
        <v>D4</v>
      </c>
      <c r="F214" s="28" t="str">
        <f t="shared" si="15"/>
        <v>D4</v>
      </c>
      <c r="G214" s="28" t="str">
        <f>_xlfn.IFNA(VLOOKUP(D214,AccessModes!$D$2:$E$14,2,FALSE),"AM_IMP")</f>
        <v>AM_ZIX</v>
      </c>
      <c r="H214" s="28">
        <v>4</v>
      </c>
      <c r="I214" s="28">
        <v>0</v>
      </c>
      <c r="J214" s="28"/>
      <c r="K214" s="28"/>
      <c r="L214" s="28"/>
      <c r="M214" s="28" t="str">
        <f>IF(LEN(J214)&gt;0,indent&amp;J214&amp;" = "&amp;VLOOKUP($G214,AccessModes!$E$2:$I$14,4,FALSE),"")</f>
        <v/>
      </c>
      <c r="N214" s="29" t="str">
        <f>indent&amp;"/* TODO: implementation of the action */"</f>
        <v xml:space="preserve">            /* TODO: implementation of the action */</v>
      </c>
      <c r="O214" s="29" t="str">
        <f t="shared" si="14"/>
        <v/>
      </c>
      <c r="P214" s="28" t="str">
        <f>IF(LEN(L214)&gt;0,indent&amp;IF(L214="LAST",AccessModes!$I$16&amp;J214,VLOOKUP($G214,AccessModes!$E$2:$I$14,5,FALSE)&amp;L214)&amp;");","")</f>
        <v/>
      </c>
      <c r="Q214" s="28"/>
      <c r="R214" s="29" t="str">
        <f>IF(C214=0,indent0&amp;"case 0x"&amp;F214&amp;": /* "&amp;B214&amp;" "&amp;VLOOKUP(G214,AccessModes!$E$2:$G$14,3,FALSE)&amp;" */"&amp;newline&amp;indent&amp;"cpu.cycles = "&amp;H214&amp;";"&amp;newline&amp;IF(LEN(M214)&gt;0,M214&amp;CHAR(10),"")&amp;IF(LEN(N214)&gt;0,N214&amp;newline,"")&amp;IF(LEN(O214)&gt;0,O214&amp;newline,"")&amp;IF(LEN(P214)&gt;0,P214&amp;newline,"")&amp;IF(LEN(Q214)&gt;0,Q214&amp;newline,"")&amp;indent&amp;"break;",indent0&amp;"/* Illegal opcode 0x"&amp;F214&amp;": "&amp;B214&amp;" "&amp;VLOOKUP(G214,AccessModes!$E$2:$G$14,3,FALSE)&amp;" */"&amp;newline)</f>
        <v xml:space="preserve">        /* Illegal opcode 0xD4: NOP aa,X */
</v>
      </c>
      <c r="S214" s="28" t="str">
        <f t="shared" si="16"/>
        <v xml:space="preserve">    {"NOP", true , AM_ZIX, 4, 0},</v>
      </c>
    </row>
    <row r="215" spans="1:19" ht="102" hidden="1" x14ac:dyDescent="0.25">
      <c r="A215" s="22">
        <v>213</v>
      </c>
      <c r="B215" s="22" t="s">
        <v>111</v>
      </c>
      <c r="C215" s="22">
        <v>0</v>
      </c>
      <c r="D215" s="22" t="s">
        <v>134</v>
      </c>
      <c r="E215" s="22" t="str">
        <f t="shared" si="13"/>
        <v>D5</v>
      </c>
      <c r="F215" s="22" t="str">
        <f t="shared" si="15"/>
        <v>D5</v>
      </c>
      <c r="G215" s="22" t="str">
        <f>_xlfn.IFNA(VLOOKUP(D215,AccessModes!$D$2:$E$14,2,FALSE),"AM_IMP")</f>
        <v>AM_ZIX</v>
      </c>
      <c r="H215" s="22">
        <v>4</v>
      </c>
      <c r="I215" s="22">
        <v>0</v>
      </c>
      <c r="J215" s="22" t="str">
        <f>$J$194</f>
        <v>value</v>
      </c>
      <c r="K215" s="22" t="str">
        <f>$K$194</f>
        <v>value</v>
      </c>
      <c r="L215" s="22" t="str">
        <f>$L$194</f>
        <v/>
      </c>
      <c r="M215" s="22" t="str">
        <f>IF(LEN(J215)&gt;0,indent&amp;J215&amp;" = "&amp;VLOOKUP($G215,AccessModes!$E$2:$I$14,4,FALSE),"")</f>
        <v xml:space="preserve">            value = memory_getZeroPageIndexedX();</v>
      </c>
      <c r="N215" s="26" t="str">
        <f>$N$195</f>
        <v xml:space="preserve">            value = cpu.A - value;</v>
      </c>
      <c r="O215" s="26" t="str">
        <f t="shared" si="14"/>
        <v xml:space="preserve">            cpu.PS_N = ((value &amp; 0x80) != 0);
            cpu.PS_Z = (value == 0);</v>
      </c>
      <c r="P215" s="22" t="str">
        <f>IF(LEN(L215)&gt;0,indent&amp;IF(L215="LAST",AccessModes!$I$16&amp;J215,VLOOKUP($G215,AccessModes!$E$2:$I$14,5,FALSE)&amp;L215)&amp;");","")</f>
        <v/>
      </c>
      <c r="Q215" s="26" t="str">
        <f>$Q$195</f>
        <v xml:space="preserve">            cpu.PS_C = !cpu.PS_N;</v>
      </c>
      <c r="R215" s="26" t="str">
        <f>IF(C215=0,indent0&amp;"case 0x"&amp;F215&amp;": /* "&amp;B215&amp;" "&amp;VLOOKUP(G215,AccessModes!$E$2:$G$14,3,FALSE)&amp;" */"&amp;newline&amp;indent&amp;"cpu.cycles = "&amp;H215&amp;";"&amp;newline&amp;IF(LEN(M215)&gt;0,M215&amp;CHAR(10),"")&amp;IF(LEN(N215)&gt;0,N215&amp;newline,"")&amp;IF(LEN(O215)&gt;0,O215&amp;newline,"")&amp;IF(LEN(P215)&gt;0,P215&amp;newline,"")&amp;IF(LEN(Q215)&gt;0,Q215&amp;newline,"")&amp;indent&amp;"break;",indent0&amp;"/* Illegal opcode 0x"&amp;F215&amp;": "&amp;B215&amp;" "&amp;VLOOKUP(G215,AccessModes!$E$2:$G$14,3,FALSE)&amp;" */"&amp;newline)</f>
        <v xml:space="preserve">        case 0xD5: /* CMP aa,X */
            cpu.cycles = 4;
            value = memory_getZeroPageIndexedX();
            value = cpu.A - value;
            cpu.PS_N = ((value &amp; 0x80) != 0);
            cpu.PS_Z = (value == 0);
            cpu.PS_C = !cpu.PS_N;
            break;</v>
      </c>
      <c r="S215" s="22" t="str">
        <f t="shared" si="16"/>
        <v xml:space="preserve">    {"CMP", false, AM_ZIX, 4, 0},</v>
      </c>
    </row>
    <row r="216" spans="1:19" ht="102" hidden="1" x14ac:dyDescent="0.25">
      <c r="A216" s="22">
        <v>214</v>
      </c>
      <c r="B216" s="22" t="s">
        <v>113</v>
      </c>
      <c r="C216" s="22">
        <v>0</v>
      </c>
      <c r="D216" s="22" t="s">
        <v>134</v>
      </c>
      <c r="E216" s="22" t="str">
        <f t="shared" si="13"/>
        <v>D6</v>
      </c>
      <c r="F216" s="22" t="str">
        <f t="shared" si="15"/>
        <v>D6</v>
      </c>
      <c r="G216" s="22" t="str">
        <f>_xlfn.IFNA(VLOOKUP(D216,AccessModes!$D$2:$E$14,2,FALSE),"AM_IMP")</f>
        <v>AM_ZIX</v>
      </c>
      <c r="H216" s="22">
        <v>6</v>
      </c>
      <c r="I216" s="22">
        <v>0</v>
      </c>
      <c r="J216" s="22" t="str">
        <f>$J$200</f>
        <v>value</v>
      </c>
      <c r="K216" s="22" t="str">
        <f>$K$200</f>
        <v>value</v>
      </c>
      <c r="L216" s="22" t="str">
        <f>$L$200</f>
        <v>LAST</v>
      </c>
      <c r="M216" s="22" t="str">
        <f>IF(LEN(J216)&gt;0,indent&amp;J216&amp;" = "&amp;VLOOKUP($G216,AccessModes!$E$2:$I$14,4,FALSE),"")</f>
        <v xml:space="preserve">            value = memory_getZeroPageIndexedX();</v>
      </c>
      <c r="N216" s="26" t="str">
        <f>$N$200</f>
        <v xml:space="preserve">            --value;</v>
      </c>
      <c r="O216" s="26" t="str">
        <f t="shared" si="14"/>
        <v xml:space="preserve">            cpu.PS_N = ((value &amp; 0x80) != 0);
            cpu.PS_Z = (value == 0);</v>
      </c>
      <c r="P216" s="22" t="str">
        <f>IF(LEN(L216)&gt;0,indent&amp;IF(L216="LAST",AccessModes!$I$16&amp;J216,VLOOKUP($G216,AccessModes!$E$2:$I$14,5,FALSE)&amp;L216)&amp;");","")</f>
        <v xml:space="preserve">            memory_setLast(value);</v>
      </c>
      <c r="Q216" s="22"/>
      <c r="R216" s="26" t="str">
        <f>IF(C216=0,indent0&amp;"case 0x"&amp;F216&amp;": /* "&amp;B216&amp;" "&amp;VLOOKUP(G216,AccessModes!$E$2:$G$14,3,FALSE)&amp;" */"&amp;newline&amp;indent&amp;"cpu.cycles = "&amp;H216&amp;";"&amp;newline&amp;IF(LEN(M216)&gt;0,M216&amp;CHAR(10),"")&amp;IF(LEN(N216)&gt;0,N216&amp;newline,"")&amp;IF(LEN(O216)&gt;0,O216&amp;newline,"")&amp;IF(LEN(P216)&gt;0,P216&amp;newline,"")&amp;IF(LEN(Q216)&gt;0,Q216&amp;newline,"")&amp;indent&amp;"break;",indent0&amp;"/* Illegal opcode 0x"&amp;F216&amp;": "&amp;B216&amp;" "&amp;VLOOKUP(G216,AccessModes!$E$2:$G$14,3,FALSE)&amp;" */"&amp;newline)</f>
        <v xml:space="preserve">        case 0xD6: /* DEC aa,X */
            cpu.cycles = 6;
            value = memory_getZeroPageIndexedX();
            --value;
            cpu.PS_N = ((value &amp; 0x80) != 0);
            cpu.PS_Z = (value == 0);
            memory_setLast(value);
            break;</v>
      </c>
      <c r="S216" s="22" t="str">
        <f t="shared" si="16"/>
        <v xml:space="preserve">    {"DEC", false, AM_ZIX, 6, 0},</v>
      </c>
    </row>
    <row r="217" spans="1:19" ht="25.5" hidden="1" x14ac:dyDescent="0.25">
      <c r="A217" s="28">
        <v>215</v>
      </c>
      <c r="B217" s="28" t="s">
        <v>112</v>
      </c>
      <c r="C217" s="28">
        <v>-1</v>
      </c>
      <c r="D217" s="28" t="s">
        <v>134</v>
      </c>
      <c r="E217" s="28" t="str">
        <f t="shared" si="13"/>
        <v>D7</v>
      </c>
      <c r="F217" s="28" t="str">
        <f t="shared" si="15"/>
        <v>D7</v>
      </c>
      <c r="G217" s="28" t="str">
        <f>_xlfn.IFNA(VLOOKUP(D217,AccessModes!$D$2:$E$14,2,FALSE),"AM_IMP")</f>
        <v>AM_ZIX</v>
      </c>
      <c r="H217" s="28">
        <v>6</v>
      </c>
      <c r="I217" s="28">
        <v>0</v>
      </c>
      <c r="J217" s="28"/>
      <c r="K217" s="28"/>
      <c r="L217" s="28"/>
      <c r="M217" s="28" t="str">
        <f>IF(LEN(J217)&gt;0,indent&amp;J217&amp;" = "&amp;VLOOKUP($G217,AccessModes!$E$2:$I$14,4,FALSE),"")</f>
        <v/>
      </c>
      <c r="N217" s="29" t="str">
        <f>indent&amp;"/* TODO: implementation of the action */"</f>
        <v xml:space="preserve">            /* TODO: implementation of the action */</v>
      </c>
      <c r="O217" s="29" t="str">
        <f t="shared" si="14"/>
        <v/>
      </c>
      <c r="P217" s="28" t="str">
        <f>IF(LEN(L217)&gt;0,indent&amp;IF(L217="LAST",AccessModes!$I$16&amp;J217,VLOOKUP($G217,AccessModes!$E$2:$I$14,5,FALSE)&amp;L217)&amp;");","")</f>
        <v/>
      </c>
      <c r="Q217" s="28"/>
      <c r="R217" s="29" t="str">
        <f>IF(C217=0,indent0&amp;"case 0x"&amp;F217&amp;": /* "&amp;B217&amp;" "&amp;VLOOKUP(G217,AccessModes!$E$2:$G$14,3,FALSE)&amp;" */"&amp;newline&amp;indent&amp;"cpu.cycles = "&amp;H217&amp;";"&amp;newline&amp;IF(LEN(M217)&gt;0,M217&amp;CHAR(10),"")&amp;IF(LEN(N217)&gt;0,N217&amp;newline,"")&amp;IF(LEN(O217)&gt;0,O217&amp;newline,"")&amp;IF(LEN(P217)&gt;0,P217&amp;newline,"")&amp;IF(LEN(Q217)&gt;0,Q217&amp;newline,"")&amp;indent&amp;"break;",indent0&amp;"/* Illegal opcode 0x"&amp;F217&amp;": "&amp;B217&amp;" "&amp;VLOOKUP(G217,AccessModes!$E$2:$G$14,3,FALSE)&amp;" */"&amp;newline)</f>
        <v xml:space="preserve">        /* Illegal opcode 0xD7: DCP aa,X */
</v>
      </c>
      <c r="S217" s="28" t="str">
        <f t="shared" si="16"/>
        <v xml:space="preserve">    {"DCP", true , AM_ZIX, 6, 0},</v>
      </c>
    </row>
    <row r="218" spans="1:19" ht="51" hidden="1" x14ac:dyDescent="0.25">
      <c r="A218" s="22">
        <v>216</v>
      </c>
      <c r="B218" s="22" t="s">
        <v>119</v>
      </c>
      <c r="C218" s="22">
        <v>0</v>
      </c>
      <c r="D218" s="22" t="s">
        <v>139</v>
      </c>
      <c r="E218" s="22" t="str">
        <f t="shared" si="13"/>
        <v>D8</v>
      </c>
      <c r="F218" s="22" t="str">
        <f t="shared" si="15"/>
        <v>D8</v>
      </c>
      <c r="G218" s="22" t="str">
        <f>_xlfn.IFNA(VLOOKUP(D218,AccessModes!$D$2:$E$14,2,FALSE),"AM_IMP")</f>
        <v>AM_IMP</v>
      </c>
      <c r="H218" s="22">
        <v>2</v>
      </c>
      <c r="I218" s="22">
        <v>0</v>
      </c>
      <c r="J218" s="24"/>
      <c r="K218" s="24"/>
      <c r="L218" s="24"/>
      <c r="M218" s="22" t="str">
        <f>IF(LEN(J218)&gt;0,indent&amp;J218&amp;" = "&amp;VLOOKUP($G218,AccessModes!$E$2:$I$14,4,FALSE),"")</f>
        <v/>
      </c>
      <c r="N218" s="25" t="str">
        <f>indent&amp;"cpu.PS_D = false;"</f>
        <v xml:space="preserve">            cpu.PS_D = false;</v>
      </c>
      <c r="O218" s="26" t="str">
        <f t="shared" si="14"/>
        <v/>
      </c>
      <c r="P218" s="22" t="str">
        <f>IF(LEN(L218)&gt;0,indent&amp;IF(L218="LAST",AccessModes!$I$16&amp;J218,VLOOKUP($G218,AccessModes!$E$2:$I$14,5,FALSE)&amp;L218)&amp;");","")</f>
        <v/>
      </c>
      <c r="Q218" s="22"/>
      <c r="R218" s="26" t="str">
        <f>IF(C218=0,indent0&amp;"case 0x"&amp;F218&amp;": /* "&amp;B218&amp;" "&amp;VLOOKUP(G218,AccessModes!$E$2:$G$14,3,FALSE)&amp;" */"&amp;newline&amp;indent&amp;"cpu.cycles = "&amp;H218&amp;";"&amp;newline&amp;IF(LEN(M218)&gt;0,M218&amp;CHAR(10),"")&amp;IF(LEN(N218)&gt;0,N218&amp;newline,"")&amp;IF(LEN(O218)&gt;0,O218&amp;newline,"")&amp;IF(LEN(P218)&gt;0,P218&amp;newline,"")&amp;IF(LEN(Q218)&gt;0,Q218&amp;newline,"")&amp;indent&amp;"break;",indent0&amp;"/* Illegal opcode 0x"&amp;F218&amp;": "&amp;B218&amp;" "&amp;VLOOKUP(G218,AccessModes!$E$2:$G$14,3,FALSE)&amp;" */"&amp;newline)</f>
        <v xml:space="preserve">        case 0xD8: /* CLD  */
            cpu.cycles = 2;
            cpu.PS_D = false;
            break;</v>
      </c>
      <c r="S218" s="22" t="str">
        <f t="shared" si="16"/>
        <v xml:space="preserve">    {"CLD", false, AM_IMP, 2, 0},</v>
      </c>
    </row>
    <row r="219" spans="1:19" ht="102" hidden="1" x14ac:dyDescent="0.25">
      <c r="A219" s="22">
        <v>217</v>
      </c>
      <c r="B219" s="22" t="s">
        <v>111</v>
      </c>
      <c r="C219" s="22">
        <v>0</v>
      </c>
      <c r="D219" s="22" t="s">
        <v>135</v>
      </c>
      <c r="E219" s="22" t="str">
        <f t="shared" si="13"/>
        <v>D9</v>
      </c>
      <c r="F219" s="22" t="str">
        <f t="shared" si="15"/>
        <v>D9</v>
      </c>
      <c r="G219" s="22" t="str">
        <f>_xlfn.IFNA(VLOOKUP(D219,AccessModes!$D$2:$E$14,2,FALSE),"AM_IMP")</f>
        <v>AM_AIY</v>
      </c>
      <c r="H219" s="22">
        <v>4</v>
      </c>
      <c r="I219" s="22">
        <v>1</v>
      </c>
      <c r="J219" s="22" t="str">
        <f>$J$194</f>
        <v>value</v>
      </c>
      <c r="K219" s="22" t="str">
        <f>$K$194</f>
        <v>value</v>
      </c>
      <c r="L219" s="22" t="str">
        <f>$L$194</f>
        <v/>
      </c>
      <c r="M219" s="22" t="str">
        <f>IF(LEN(J219)&gt;0,indent&amp;J219&amp;" = "&amp;VLOOKUP($G219,AccessModes!$E$2:$I$14,4,FALSE),"")</f>
        <v xml:space="preserve">            value = memory_getAbsoluteIndexedY();</v>
      </c>
      <c r="N219" s="26" t="str">
        <f>$N$195</f>
        <v xml:space="preserve">            value = cpu.A - value;</v>
      </c>
      <c r="O219" s="26" t="str">
        <f t="shared" si="14"/>
        <v xml:space="preserve">            cpu.PS_N = ((value &amp; 0x80) != 0);
            cpu.PS_Z = (value == 0);</v>
      </c>
      <c r="P219" s="22" t="str">
        <f>IF(LEN(L219)&gt;0,indent&amp;IF(L219="LAST",AccessModes!$I$16&amp;J219,VLOOKUP($G219,AccessModes!$E$2:$I$14,5,FALSE)&amp;L219)&amp;");","")</f>
        <v/>
      </c>
      <c r="Q219" s="26" t="str">
        <f>$Q$195</f>
        <v xml:space="preserve">            cpu.PS_C = !cpu.PS_N;</v>
      </c>
      <c r="R219" s="26" t="str">
        <f>IF(C219=0,indent0&amp;"case 0x"&amp;F219&amp;": /* "&amp;B219&amp;" "&amp;VLOOKUP(G219,AccessModes!$E$2:$G$14,3,FALSE)&amp;" */"&amp;newline&amp;indent&amp;"cpu.cycles = "&amp;H219&amp;";"&amp;newline&amp;IF(LEN(M219)&gt;0,M219&amp;CHAR(10),"")&amp;IF(LEN(N219)&gt;0,N219&amp;newline,"")&amp;IF(LEN(O219)&gt;0,O219&amp;newline,"")&amp;IF(LEN(P219)&gt;0,P219&amp;newline,"")&amp;IF(LEN(Q219)&gt;0,Q219&amp;newline,"")&amp;indent&amp;"break;",indent0&amp;"/* Illegal opcode 0x"&amp;F219&amp;": "&amp;B219&amp;" "&amp;VLOOKUP(G219,AccessModes!$E$2:$G$14,3,FALSE)&amp;" */"&amp;newline)</f>
        <v xml:space="preserve">        case 0xD9: /* CMP aaaa,Y */
            cpu.cycles = 4;
            value = memory_getAbsoluteIndexedY();
            value = cpu.A - value;
            cpu.PS_N = ((value &amp; 0x80) != 0);
            cpu.PS_Z = (value == 0);
            cpu.PS_C = !cpu.PS_N;
            break;</v>
      </c>
      <c r="S219" s="22" t="str">
        <f t="shared" si="16"/>
        <v xml:space="preserve">    {"CMP", false, AM_AIY, 4, 1},</v>
      </c>
    </row>
    <row r="220" spans="1:19" ht="25.5" hidden="1" x14ac:dyDescent="0.25">
      <c r="A220" s="28">
        <v>218</v>
      </c>
      <c r="B220" s="28" t="s">
        <v>23</v>
      </c>
      <c r="C220" s="28">
        <v>-1</v>
      </c>
      <c r="D220" s="28" t="s">
        <v>139</v>
      </c>
      <c r="E220" s="28" t="str">
        <f t="shared" si="13"/>
        <v>DA</v>
      </c>
      <c r="F220" s="28" t="str">
        <f t="shared" si="15"/>
        <v>DA</v>
      </c>
      <c r="G220" s="28" t="str">
        <f>_xlfn.IFNA(VLOOKUP(D220,AccessModes!$D$2:$E$14,2,FALSE),"AM_IMP")</f>
        <v>AM_IMP</v>
      </c>
      <c r="H220" s="28">
        <v>2</v>
      </c>
      <c r="I220" s="28">
        <v>0</v>
      </c>
      <c r="J220" s="28"/>
      <c r="K220" s="28"/>
      <c r="L220" s="28"/>
      <c r="M220" s="28" t="str">
        <f>IF(LEN(J220)&gt;0,indent&amp;J220&amp;" = "&amp;VLOOKUP($G220,AccessModes!$E$2:$I$14,4,FALSE),"")</f>
        <v/>
      </c>
      <c r="N220" s="29" t="str">
        <f>indent&amp;"/* TODO: implementation of the action */"</f>
        <v xml:space="preserve">            /* TODO: implementation of the action */</v>
      </c>
      <c r="O220" s="29" t="str">
        <f t="shared" si="14"/>
        <v/>
      </c>
      <c r="P220" s="28" t="str">
        <f>IF(LEN(L220)&gt;0,indent&amp;IF(L220="LAST",AccessModes!$I$16&amp;J220,VLOOKUP($G220,AccessModes!$E$2:$I$14,5,FALSE)&amp;L220)&amp;");","")</f>
        <v/>
      </c>
      <c r="Q220" s="28"/>
      <c r="R220" s="29" t="str">
        <f>IF(C220=0,indent0&amp;"case 0x"&amp;F220&amp;": /* "&amp;B220&amp;" "&amp;VLOOKUP(G220,AccessModes!$E$2:$G$14,3,FALSE)&amp;" */"&amp;newline&amp;indent&amp;"cpu.cycles = "&amp;H220&amp;";"&amp;newline&amp;IF(LEN(M220)&gt;0,M220&amp;CHAR(10),"")&amp;IF(LEN(N220)&gt;0,N220&amp;newline,"")&amp;IF(LEN(O220)&gt;0,O220&amp;newline,"")&amp;IF(LEN(P220)&gt;0,P220&amp;newline,"")&amp;IF(LEN(Q220)&gt;0,Q220&amp;newline,"")&amp;indent&amp;"break;",indent0&amp;"/* Illegal opcode 0x"&amp;F220&amp;": "&amp;B220&amp;" "&amp;VLOOKUP(G220,AccessModes!$E$2:$G$14,3,FALSE)&amp;" */"&amp;newline)</f>
        <v xml:space="preserve">        /* Illegal opcode 0xDA: NOP  */
</v>
      </c>
      <c r="S220" s="28" t="str">
        <f t="shared" si="16"/>
        <v xml:space="preserve">    {"NOP", true , AM_IMP, 2, 0},</v>
      </c>
    </row>
    <row r="221" spans="1:19" ht="25.5" hidden="1" x14ac:dyDescent="0.25">
      <c r="A221" s="28">
        <v>219</v>
      </c>
      <c r="B221" s="28" t="s">
        <v>112</v>
      </c>
      <c r="C221" s="28">
        <v>-1</v>
      </c>
      <c r="D221" s="28" t="s">
        <v>135</v>
      </c>
      <c r="E221" s="28" t="str">
        <f t="shared" si="13"/>
        <v>DB</v>
      </c>
      <c r="F221" s="28" t="str">
        <f t="shared" si="15"/>
        <v>DB</v>
      </c>
      <c r="G221" s="28" t="str">
        <f>_xlfn.IFNA(VLOOKUP(D221,AccessModes!$D$2:$E$14,2,FALSE),"AM_IMP")</f>
        <v>AM_AIY</v>
      </c>
      <c r="H221" s="28">
        <v>7</v>
      </c>
      <c r="I221" s="28">
        <v>0</v>
      </c>
      <c r="J221" s="28"/>
      <c r="K221" s="28"/>
      <c r="L221" s="28"/>
      <c r="M221" s="28" t="str">
        <f>IF(LEN(J221)&gt;0,indent&amp;J221&amp;" = "&amp;VLOOKUP($G221,AccessModes!$E$2:$I$14,4,FALSE),"")</f>
        <v/>
      </c>
      <c r="N221" s="29" t="str">
        <f>indent&amp;"/* TODO: implementation of the action */"</f>
        <v xml:space="preserve">            /* TODO: implementation of the action */</v>
      </c>
      <c r="O221" s="29" t="str">
        <f t="shared" si="14"/>
        <v/>
      </c>
      <c r="P221" s="28" t="str">
        <f>IF(LEN(L221)&gt;0,indent&amp;IF(L221="LAST",AccessModes!$I$16&amp;J221,VLOOKUP($G221,AccessModes!$E$2:$I$14,5,FALSE)&amp;L221)&amp;");","")</f>
        <v/>
      </c>
      <c r="Q221" s="28"/>
      <c r="R221" s="29" t="str">
        <f>IF(C221=0,indent0&amp;"case 0x"&amp;F221&amp;": /* "&amp;B221&amp;" "&amp;VLOOKUP(G221,AccessModes!$E$2:$G$14,3,FALSE)&amp;" */"&amp;newline&amp;indent&amp;"cpu.cycles = "&amp;H221&amp;";"&amp;newline&amp;IF(LEN(M221)&gt;0,M221&amp;CHAR(10),"")&amp;IF(LEN(N221)&gt;0,N221&amp;newline,"")&amp;IF(LEN(O221)&gt;0,O221&amp;newline,"")&amp;IF(LEN(P221)&gt;0,P221&amp;newline,"")&amp;IF(LEN(Q221)&gt;0,Q221&amp;newline,"")&amp;indent&amp;"break;",indent0&amp;"/* Illegal opcode 0x"&amp;F221&amp;": "&amp;B221&amp;" "&amp;VLOOKUP(G221,AccessModes!$E$2:$G$14,3,FALSE)&amp;" */"&amp;newline)</f>
        <v xml:space="preserve">        /* Illegal opcode 0xDB: DCP aaaa,Y */
</v>
      </c>
      <c r="S221" s="28" t="str">
        <f t="shared" si="16"/>
        <v xml:space="preserve">    {"DCP", true , AM_AIY, 7, 0},</v>
      </c>
    </row>
    <row r="222" spans="1:19" ht="25.5" hidden="1" x14ac:dyDescent="0.25">
      <c r="A222" s="28">
        <v>220</v>
      </c>
      <c r="B222" s="28" t="s">
        <v>23</v>
      </c>
      <c r="C222" s="28">
        <v>-1</v>
      </c>
      <c r="D222" s="28" t="s">
        <v>136</v>
      </c>
      <c r="E222" s="28" t="str">
        <f t="shared" si="13"/>
        <v>DC</v>
      </c>
      <c r="F222" s="28" t="str">
        <f t="shared" si="15"/>
        <v>DC</v>
      </c>
      <c r="G222" s="28" t="str">
        <f>_xlfn.IFNA(VLOOKUP(D222,AccessModes!$D$2:$E$14,2,FALSE),"AM_IMP")</f>
        <v>AM_AIX</v>
      </c>
      <c r="H222" s="28">
        <v>4</v>
      </c>
      <c r="I222" s="28">
        <v>1</v>
      </c>
      <c r="J222" s="28"/>
      <c r="K222" s="28"/>
      <c r="L222" s="28"/>
      <c r="M222" s="28" t="str">
        <f>IF(LEN(J222)&gt;0,indent&amp;J222&amp;" = "&amp;VLOOKUP($G222,AccessModes!$E$2:$I$14,4,FALSE),"")</f>
        <v/>
      </c>
      <c r="N222" s="29" t="str">
        <f>indent&amp;"/* TODO: implementation of the action */"</f>
        <v xml:space="preserve">            /* TODO: implementation of the action */</v>
      </c>
      <c r="O222" s="29" t="str">
        <f t="shared" si="14"/>
        <v/>
      </c>
      <c r="P222" s="28" t="str">
        <f>IF(LEN(L222)&gt;0,indent&amp;IF(L222="LAST",AccessModes!$I$16&amp;J222,VLOOKUP($G222,AccessModes!$E$2:$I$14,5,FALSE)&amp;L222)&amp;");","")</f>
        <v/>
      </c>
      <c r="Q222" s="28"/>
      <c r="R222" s="29" t="str">
        <f>IF(C222=0,indent0&amp;"case 0x"&amp;F222&amp;": /* "&amp;B222&amp;" "&amp;VLOOKUP(G222,AccessModes!$E$2:$G$14,3,FALSE)&amp;" */"&amp;newline&amp;indent&amp;"cpu.cycles = "&amp;H222&amp;";"&amp;newline&amp;IF(LEN(M222)&gt;0,M222&amp;CHAR(10),"")&amp;IF(LEN(N222)&gt;0,N222&amp;newline,"")&amp;IF(LEN(O222)&gt;0,O222&amp;newline,"")&amp;IF(LEN(P222)&gt;0,P222&amp;newline,"")&amp;IF(LEN(Q222)&gt;0,Q222&amp;newline,"")&amp;indent&amp;"break;",indent0&amp;"/* Illegal opcode 0x"&amp;F222&amp;": "&amp;B222&amp;" "&amp;VLOOKUP(G222,AccessModes!$E$2:$G$14,3,FALSE)&amp;" */"&amp;newline)</f>
        <v xml:space="preserve">        /* Illegal opcode 0xDC: NOP aaaa,X */
</v>
      </c>
      <c r="S222" s="28" t="str">
        <f t="shared" si="16"/>
        <v xml:space="preserve">    {"NOP", true , AM_AIX, 4, 1},</v>
      </c>
    </row>
    <row r="223" spans="1:19" ht="102" hidden="1" x14ac:dyDescent="0.25">
      <c r="A223" s="22">
        <v>221</v>
      </c>
      <c r="B223" s="22" t="s">
        <v>111</v>
      </c>
      <c r="C223" s="22">
        <v>0</v>
      </c>
      <c r="D223" s="22" t="s">
        <v>136</v>
      </c>
      <c r="E223" s="22" t="str">
        <f t="shared" si="13"/>
        <v>DD</v>
      </c>
      <c r="F223" s="22" t="str">
        <f t="shared" si="15"/>
        <v>DD</v>
      </c>
      <c r="G223" s="22" t="str">
        <f>_xlfn.IFNA(VLOOKUP(D223,AccessModes!$D$2:$E$14,2,FALSE),"AM_IMP")</f>
        <v>AM_AIX</v>
      </c>
      <c r="H223" s="22">
        <v>4</v>
      </c>
      <c r="I223" s="22">
        <v>1</v>
      </c>
      <c r="J223" s="22" t="str">
        <f>$J$194</f>
        <v>value</v>
      </c>
      <c r="K223" s="22" t="str">
        <f>$K$194</f>
        <v>value</v>
      </c>
      <c r="L223" s="22" t="str">
        <f>$L$194</f>
        <v/>
      </c>
      <c r="M223" s="22" t="str">
        <f>IF(LEN(J223)&gt;0,indent&amp;J223&amp;" = "&amp;VLOOKUP($G223,AccessModes!$E$2:$I$14,4,FALSE),"")</f>
        <v xml:space="preserve">            value = memory_getAbsoluteIndexedX();</v>
      </c>
      <c r="N223" s="26" t="str">
        <f>$N$195</f>
        <v xml:space="preserve">            value = cpu.A - value;</v>
      </c>
      <c r="O223" s="26" t="str">
        <f t="shared" si="14"/>
        <v xml:space="preserve">            cpu.PS_N = ((value &amp; 0x80) != 0);
            cpu.PS_Z = (value == 0);</v>
      </c>
      <c r="P223" s="22" t="str">
        <f>IF(LEN(L223)&gt;0,indent&amp;IF(L223="LAST",AccessModes!$I$16&amp;J223,VLOOKUP($G223,AccessModes!$E$2:$I$14,5,FALSE)&amp;L223)&amp;");","")</f>
        <v/>
      </c>
      <c r="Q223" s="26" t="str">
        <f>$Q$195</f>
        <v xml:space="preserve">            cpu.PS_C = !cpu.PS_N;</v>
      </c>
      <c r="R223" s="26" t="str">
        <f>IF(C223=0,indent0&amp;"case 0x"&amp;F223&amp;": /* "&amp;B223&amp;" "&amp;VLOOKUP(G223,AccessModes!$E$2:$G$14,3,FALSE)&amp;" */"&amp;newline&amp;indent&amp;"cpu.cycles = "&amp;H223&amp;";"&amp;newline&amp;IF(LEN(M223)&gt;0,M223&amp;CHAR(10),"")&amp;IF(LEN(N223)&gt;0,N223&amp;newline,"")&amp;IF(LEN(O223)&gt;0,O223&amp;newline,"")&amp;IF(LEN(P223)&gt;0,P223&amp;newline,"")&amp;IF(LEN(Q223)&gt;0,Q223&amp;newline,"")&amp;indent&amp;"break;",indent0&amp;"/* Illegal opcode 0x"&amp;F223&amp;": "&amp;B223&amp;" "&amp;VLOOKUP(G223,AccessModes!$E$2:$G$14,3,FALSE)&amp;" */"&amp;newline)</f>
        <v xml:space="preserve">        case 0xDD: /* CMP aaaa,X */
            cpu.cycles = 4;
            value = memory_getAbsoluteIndexedX();
            value = cpu.A - value;
            cpu.PS_N = ((value &amp; 0x80) != 0);
            cpu.PS_Z = (value == 0);
            cpu.PS_C = !cpu.PS_N;
            break;</v>
      </c>
      <c r="S223" s="22" t="str">
        <f t="shared" si="16"/>
        <v xml:space="preserve">    {"CMP", false, AM_AIX, 4, 1},</v>
      </c>
    </row>
    <row r="224" spans="1:19" ht="102" hidden="1" x14ac:dyDescent="0.25">
      <c r="A224" s="22">
        <v>222</v>
      </c>
      <c r="B224" s="22" t="s">
        <v>113</v>
      </c>
      <c r="C224" s="22">
        <v>0</v>
      </c>
      <c r="D224" s="22" t="s">
        <v>136</v>
      </c>
      <c r="E224" s="22" t="str">
        <f t="shared" si="13"/>
        <v>DE</v>
      </c>
      <c r="F224" s="22" t="str">
        <f t="shared" si="15"/>
        <v>DE</v>
      </c>
      <c r="G224" s="22" t="str">
        <f>_xlfn.IFNA(VLOOKUP(D224,AccessModes!$D$2:$E$14,2,FALSE),"AM_IMP")</f>
        <v>AM_AIX</v>
      </c>
      <c r="H224" s="22">
        <v>7</v>
      </c>
      <c r="I224" s="22">
        <v>0</v>
      </c>
      <c r="J224" s="22" t="str">
        <f>$J$200</f>
        <v>value</v>
      </c>
      <c r="K224" s="22" t="str">
        <f>$K$200</f>
        <v>value</v>
      </c>
      <c r="L224" s="22" t="str">
        <f>$L$200</f>
        <v>LAST</v>
      </c>
      <c r="M224" s="22" t="str">
        <f>IF(LEN(J224)&gt;0,indent&amp;J224&amp;" = "&amp;VLOOKUP($G224,AccessModes!$E$2:$I$14,4,FALSE),"")</f>
        <v xml:space="preserve">            value = memory_getAbsoluteIndexedX();</v>
      </c>
      <c r="N224" s="26" t="str">
        <f>$N$200</f>
        <v xml:space="preserve">            --value;</v>
      </c>
      <c r="O224" s="26" t="str">
        <f t="shared" si="14"/>
        <v xml:space="preserve">            cpu.PS_N = ((value &amp; 0x80) != 0);
            cpu.PS_Z = (value == 0);</v>
      </c>
      <c r="P224" s="22" t="str">
        <f>IF(LEN(L224)&gt;0,indent&amp;IF(L224="LAST",AccessModes!$I$16&amp;J224,VLOOKUP($G224,AccessModes!$E$2:$I$14,5,FALSE)&amp;L224)&amp;");","")</f>
        <v xml:space="preserve">            memory_setLast(value);</v>
      </c>
      <c r="Q224" s="22"/>
      <c r="R224" s="26" t="str">
        <f>IF(C224=0,indent0&amp;"case 0x"&amp;F224&amp;": /* "&amp;B224&amp;" "&amp;VLOOKUP(G224,AccessModes!$E$2:$G$14,3,FALSE)&amp;" */"&amp;newline&amp;indent&amp;"cpu.cycles = "&amp;H224&amp;";"&amp;newline&amp;IF(LEN(M224)&gt;0,M224&amp;CHAR(10),"")&amp;IF(LEN(N224)&gt;0,N224&amp;newline,"")&amp;IF(LEN(O224)&gt;0,O224&amp;newline,"")&amp;IF(LEN(P224)&gt;0,P224&amp;newline,"")&amp;IF(LEN(Q224)&gt;0,Q224&amp;newline,"")&amp;indent&amp;"break;",indent0&amp;"/* Illegal opcode 0x"&amp;F224&amp;": "&amp;B224&amp;" "&amp;VLOOKUP(G224,AccessModes!$E$2:$G$14,3,FALSE)&amp;" */"&amp;newline)</f>
        <v xml:space="preserve">        case 0xDE: /* DEC aaaa,X */
            cpu.cycles = 7;
            value = memory_getAbsoluteIndexedX();
            --value;
            cpu.PS_N = ((value &amp; 0x80) != 0);
            cpu.PS_Z = (value == 0);
            memory_setLast(value);
            break;</v>
      </c>
      <c r="S224" s="22" t="str">
        <f t="shared" si="16"/>
        <v xml:space="preserve">    {"DEC", false, AM_AIX, 7, 0},</v>
      </c>
    </row>
    <row r="225" spans="1:19" ht="25.5" hidden="1" x14ac:dyDescent="0.25">
      <c r="A225" s="28">
        <v>223</v>
      </c>
      <c r="B225" s="28" t="s">
        <v>112</v>
      </c>
      <c r="C225" s="28">
        <v>-1</v>
      </c>
      <c r="D225" s="28" t="s">
        <v>136</v>
      </c>
      <c r="E225" s="28" t="str">
        <f t="shared" si="13"/>
        <v>DF</v>
      </c>
      <c r="F225" s="28" t="str">
        <f t="shared" si="15"/>
        <v>DF</v>
      </c>
      <c r="G225" s="28" t="str">
        <f>_xlfn.IFNA(VLOOKUP(D225,AccessModes!$D$2:$E$14,2,FALSE),"AM_IMP")</f>
        <v>AM_AIX</v>
      </c>
      <c r="H225" s="28">
        <v>7</v>
      </c>
      <c r="I225" s="28">
        <v>0</v>
      </c>
      <c r="J225" s="28"/>
      <c r="K225" s="28"/>
      <c r="L225" s="28"/>
      <c r="M225" s="28" t="str">
        <f>IF(LEN(J225)&gt;0,indent&amp;J225&amp;" = "&amp;VLOOKUP($G225,AccessModes!$E$2:$I$14,4,FALSE),"")</f>
        <v/>
      </c>
      <c r="N225" s="29" t="str">
        <f>indent&amp;"/* TODO: implementation of the action */"</f>
        <v xml:space="preserve">            /* TODO: implementation of the action */</v>
      </c>
      <c r="O225" s="29" t="str">
        <f t="shared" si="14"/>
        <v/>
      </c>
      <c r="P225" s="28" t="str">
        <f>IF(LEN(L225)&gt;0,indent&amp;IF(L225="LAST",AccessModes!$I$16&amp;J225,VLOOKUP($G225,AccessModes!$E$2:$I$14,5,FALSE)&amp;L225)&amp;");","")</f>
        <v/>
      </c>
      <c r="Q225" s="28"/>
      <c r="R225" s="29" t="str">
        <f>IF(C225=0,indent0&amp;"case 0x"&amp;F225&amp;": /* "&amp;B225&amp;" "&amp;VLOOKUP(G225,AccessModes!$E$2:$G$14,3,FALSE)&amp;" */"&amp;newline&amp;indent&amp;"cpu.cycles = "&amp;H225&amp;";"&amp;newline&amp;IF(LEN(M225)&gt;0,M225&amp;CHAR(10),"")&amp;IF(LEN(N225)&gt;0,N225&amp;newline,"")&amp;IF(LEN(O225)&gt;0,O225&amp;newline,"")&amp;IF(LEN(P225)&gt;0,P225&amp;newline,"")&amp;IF(LEN(Q225)&gt;0,Q225&amp;newline,"")&amp;indent&amp;"break;",indent0&amp;"/* Illegal opcode 0x"&amp;F225&amp;": "&amp;B225&amp;" "&amp;VLOOKUP(G225,AccessModes!$E$2:$G$14,3,FALSE)&amp;" */"&amp;newline)</f>
        <v xml:space="preserve">        /* Illegal opcode 0xDF: DCP aaaa,X */
</v>
      </c>
      <c r="S225" s="28" t="str">
        <f t="shared" si="16"/>
        <v xml:space="preserve">    {"DCP", true , AM_AIX, 7, 0},</v>
      </c>
    </row>
    <row r="226" spans="1:19" ht="102" hidden="1" x14ac:dyDescent="0.25">
      <c r="A226" s="22">
        <v>224</v>
      </c>
      <c r="B226" s="22" t="s">
        <v>121</v>
      </c>
      <c r="C226" s="22">
        <v>0</v>
      </c>
      <c r="D226" s="22" t="s">
        <v>130</v>
      </c>
      <c r="E226" s="22" t="str">
        <f t="shared" si="13"/>
        <v>E0</v>
      </c>
      <c r="F226" s="22" t="str">
        <f t="shared" si="15"/>
        <v>E0</v>
      </c>
      <c r="G226" s="22" t="str">
        <f>_xlfn.IFNA(VLOOKUP(D226,AccessModes!$D$2:$E$14,2,FALSE),"AM_IMP")</f>
        <v>AM_IMM</v>
      </c>
      <c r="H226" s="22">
        <v>2</v>
      </c>
      <c r="I226" s="22">
        <v>0</v>
      </c>
      <c r="J226" s="24" t="s">
        <v>224</v>
      </c>
      <c r="K226" s="24" t="s">
        <v>224</v>
      </c>
      <c r="L226" s="24" t="s">
        <v>139</v>
      </c>
      <c r="M226" s="22" t="str">
        <f>IF(LEN(J226)&gt;0,indent&amp;J226&amp;" = "&amp;VLOOKUP($G226,AccessModes!$E$2:$I$14,4,FALSE),"")</f>
        <v xml:space="preserve">            value = memory_getImmediate();</v>
      </c>
      <c r="N226" s="25" t="str">
        <f>indent&amp;"value = cpu.X - value;"</f>
        <v xml:space="preserve">            value = cpu.X - value;</v>
      </c>
      <c r="O226" s="26" t="str">
        <f t="shared" si="14"/>
        <v xml:space="preserve">            cpu.PS_N = ((value &amp; 0x80) != 0);
            cpu.PS_Z = (value == 0);</v>
      </c>
      <c r="P226" s="22" t="str">
        <f>IF(LEN(L226)&gt;0,indent&amp;IF(L226="LAST",AccessModes!$I$16&amp;J226,VLOOKUP($G226,AccessModes!$E$2:$I$14,5,FALSE)&amp;L226)&amp;");","")</f>
        <v/>
      </c>
      <c r="Q226" s="25" t="str">
        <f>indent&amp;"cpu.PS_C = !cpu.PS_N;"</f>
        <v xml:space="preserve">            cpu.PS_C = !cpu.PS_N;</v>
      </c>
      <c r="R226" s="26" t="str">
        <f>IF(C226=0,indent0&amp;"case 0x"&amp;F226&amp;": /* "&amp;B226&amp;" "&amp;VLOOKUP(G226,AccessModes!$E$2:$G$14,3,FALSE)&amp;" */"&amp;newline&amp;indent&amp;"cpu.cycles = "&amp;H226&amp;";"&amp;newline&amp;IF(LEN(M226)&gt;0,M226&amp;CHAR(10),"")&amp;IF(LEN(N226)&gt;0,N226&amp;newline,"")&amp;IF(LEN(O226)&gt;0,O226&amp;newline,"")&amp;IF(LEN(P226)&gt;0,P226&amp;newline,"")&amp;IF(LEN(Q226)&gt;0,Q226&amp;newline,"")&amp;indent&amp;"break;",indent0&amp;"/* Illegal opcode 0x"&amp;F226&amp;": "&amp;B226&amp;" "&amp;VLOOKUP(G226,AccessModes!$E$2:$G$14,3,FALSE)&amp;" */"&amp;newline)</f>
        <v xml:space="preserve">        case 0xE0: /* CPX #aa */
            cpu.cycles = 2;
            value = memory_getImmediate();
            value = cpu.X - value;
            cpu.PS_N = ((value &amp; 0x80) != 0);
            cpu.PS_Z = (value == 0);
            cpu.PS_C = !cpu.PS_N;
            break;</v>
      </c>
      <c r="S226" s="22" t="str">
        <f t="shared" si="16"/>
        <v xml:space="preserve">    {"CPX", false, AM_IMM, 2, 0},</v>
      </c>
    </row>
    <row r="227" spans="1:19" ht="267.75" x14ac:dyDescent="0.25">
      <c r="A227" s="22">
        <v>225</v>
      </c>
      <c r="B227" s="22" t="s">
        <v>122</v>
      </c>
      <c r="C227" s="22">
        <v>0</v>
      </c>
      <c r="D227" s="22" t="s">
        <v>129</v>
      </c>
      <c r="E227" s="22" t="str">
        <f t="shared" si="13"/>
        <v>E1</v>
      </c>
      <c r="F227" s="22" t="str">
        <f t="shared" si="15"/>
        <v>E1</v>
      </c>
      <c r="G227" s="22" t="str">
        <f>_xlfn.IFNA(VLOOKUP(D227,AccessModes!$D$2:$E$14,2,FALSE),"AM_IMP")</f>
        <v>AM_IIX</v>
      </c>
      <c r="H227" s="22">
        <v>6</v>
      </c>
      <c r="I227" s="22">
        <v>0</v>
      </c>
      <c r="J227" s="24" t="str">
        <f>$J$99</f>
        <v>value</v>
      </c>
      <c r="K227" s="24" t="str">
        <f>$K$99</f>
        <v/>
      </c>
      <c r="L227" s="24" t="str">
        <f>$L$99</f>
        <v/>
      </c>
      <c r="M227" s="26" t="str">
        <f>indent&amp;J227&amp;" = "&amp;VLOOKUP($G227,AccessModes!$E$2:$I$14,4,FALSE)</f>
        <v xml:space="preserve">            value = memory_getIndexedIndirectX();</v>
      </c>
      <c r="N227" s="25" t="str">
        <f>indent&amp;"value_w = cpu.A - value - (cpu.PS_C ? 0 : 1);"&amp;newline&amp;
indent&amp;"cpu.PS_N = ((value_w &amp; 0x80) != 0);"&amp;newline&amp;
indent&amp;" cpu.PS_V = ((cpu.A ^ value_w) &amp; 0x80) &amp;&amp; !((cpu.A ^ value) &amp; 0x80);"&amp;newline&amp;
indent&amp;"cpu.PS_Z = (value_w == 0);"&amp;newline&amp;
indent&amp;"cpu.PS_C = (value_w &lt; 0x100);"&amp;newline&amp;newline&amp;
indent&amp;"if(cpu.PS_D) {"&amp;newline&amp;
indent2&amp;"value_w2 = (cpu.A &amp; 0x0F) - (value &amp; 0x0F) + (cpu.PS_C ? 0 : 1);"&amp;newline&amp;
indent2&amp;"if(value_w2 &amp; 0x8000)"&amp;newline&amp;
indent3&amp;"value_w = ((value_w - 0x06) &amp; 0x0F) - 0x10;"&amp;newline&amp;
indent2&amp;"value_w2 += (cpu.A &amp; 0xF0) - (value &amp; 0xF0);"&amp;newline&amp;
indent2&amp;"if(value_w2 &amp; 0x8000)"&amp;newline&amp;
indent3&amp;"value_w -= 0x60;"&amp;newline&amp;
indent2&amp;"cpu.A = (byte)(value_w2 &amp; 0xFF);"&amp;newline&amp;
indent&amp;"} else"&amp;newline&amp;
indent2&amp;"cpu.A = (byte)(value_w &amp; 0xFF);"&amp;newline</f>
        <v xml:space="preserve">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</v>
      </c>
      <c r="O227" s="26" t="str">
        <f t="shared" si="14"/>
        <v/>
      </c>
      <c r="P227" s="26" t="str">
        <f>IF(LEN(L227)&gt;0,indent&amp;IF(L227="LAST",AccessModes!$I$16&amp;J227,VLOOKUP($G227,AccessModes!$E$2:$I$14,5,FALSE)&amp;L227)&amp;");","")</f>
        <v/>
      </c>
      <c r="Q227" s="35"/>
      <c r="R227" s="26" t="str">
        <f>IF(C227=0,indent0&amp;"case 0x"&amp;F227&amp;": /* "&amp;B227&amp;" "&amp;VLOOKUP(G227,AccessModes!$E$2:$G$14,3,FALSE)&amp;" */"&amp;newline&amp;indent&amp;"cpu.cycles = "&amp;H227&amp;";"&amp;newline&amp;IF(LEN(M227)&gt;0,M227&amp;CHAR(10),"")&amp;IF(LEN(N227)&gt;0,N227&amp;newline,"")&amp;IF(LEN(O227)&gt;0,O227&amp;newline,"")&amp;IF(LEN(P227)&gt;0,P227&amp;newline,"")&amp;IF(LEN(Q227)&gt;0,Q227&amp;newline,"")&amp;indent&amp;"break;",indent0&amp;"/* Illegal opcode 0x"&amp;F227&amp;": "&amp;B227&amp;" "&amp;VLOOKUP(G227,AccessModes!$E$2:$G$14,3,FALSE)&amp;" */"&amp;newline)</f>
        <v xml:space="preserve">        case 0xE1: /* SBC (aa,X) */
            cpu.cycles = 6;
            value = memory_getIndexedIndirectX();
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            break;</v>
      </c>
      <c r="S227" s="22" t="str">
        <f t="shared" si="16"/>
        <v xml:space="preserve">    {"SBC", false, AM_IIX, 6, 0},</v>
      </c>
    </row>
    <row r="228" spans="1:19" ht="25.5" hidden="1" x14ac:dyDescent="0.25">
      <c r="A228" s="28">
        <v>226</v>
      </c>
      <c r="B228" s="28" t="s">
        <v>23</v>
      </c>
      <c r="C228" s="28">
        <v>-1</v>
      </c>
      <c r="D228" s="28" t="s">
        <v>130</v>
      </c>
      <c r="E228" s="28" t="str">
        <f t="shared" si="13"/>
        <v>E2</v>
      </c>
      <c r="F228" s="28" t="str">
        <f t="shared" si="15"/>
        <v>E2</v>
      </c>
      <c r="G228" s="28" t="str">
        <f>_xlfn.IFNA(VLOOKUP(D228,AccessModes!$D$2:$E$14,2,FALSE),"AM_IMP")</f>
        <v>AM_IMM</v>
      </c>
      <c r="H228" s="28">
        <v>2</v>
      </c>
      <c r="I228" s="28">
        <v>0</v>
      </c>
      <c r="J228" s="28"/>
      <c r="K228" s="28"/>
      <c r="L228" s="28"/>
      <c r="M228" s="28" t="str">
        <f>IF(LEN(J228)&gt;0,indent&amp;J228&amp;" = "&amp;VLOOKUP($G228,AccessModes!$E$2:$I$14,4,FALSE),"")</f>
        <v/>
      </c>
      <c r="N228" s="29" t="str">
        <f>indent&amp;"/* TODO: implementation of the action */"</f>
        <v xml:space="preserve">            /* TODO: implementation of the action */</v>
      </c>
      <c r="O228" s="29" t="str">
        <f t="shared" si="14"/>
        <v/>
      </c>
      <c r="P228" s="28" t="str">
        <f>IF(LEN(L228)&gt;0,indent&amp;IF(L228="LAST",AccessModes!$I$16&amp;J228,VLOOKUP($G228,AccessModes!$E$2:$I$14,5,FALSE)&amp;L228)&amp;");","")</f>
        <v/>
      </c>
      <c r="Q228" s="28"/>
      <c r="R228" s="29" t="str">
        <f>IF(C228=0,indent0&amp;"case 0x"&amp;F228&amp;": /* "&amp;B228&amp;" "&amp;VLOOKUP(G228,AccessModes!$E$2:$G$14,3,FALSE)&amp;" */"&amp;newline&amp;indent&amp;"cpu.cycles = "&amp;H228&amp;";"&amp;newline&amp;IF(LEN(M228)&gt;0,M228&amp;CHAR(10),"")&amp;IF(LEN(N228)&gt;0,N228&amp;newline,"")&amp;IF(LEN(O228)&gt;0,O228&amp;newline,"")&amp;IF(LEN(P228)&gt;0,P228&amp;newline,"")&amp;IF(LEN(Q228)&gt;0,Q228&amp;newline,"")&amp;indent&amp;"break;",indent0&amp;"/* Illegal opcode 0x"&amp;F228&amp;": "&amp;B228&amp;" "&amp;VLOOKUP(G228,AccessModes!$E$2:$G$14,3,FALSE)&amp;" */"&amp;newline)</f>
        <v xml:space="preserve">        /* Illegal opcode 0xE2: NOP #aa */
</v>
      </c>
      <c r="S228" s="28" t="str">
        <f t="shared" si="16"/>
        <v xml:space="preserve">    {"NOP", true , AM_IMM, 2, 0},</v>
      </c>
    </row>
    <row r="229" spans="1:19" ht="25.5" hidden="1" x14ac:dyDescent="0.25">
      <c r="A229" s="28">
        <v>227</v>
      </c>
      <c r="B229" s="28" t="s">
        <v>123</v>
      </c>
      <c r="C229" s="28">
        <v>-1</v>
      </c>
      <c r="D229" s="28" t="s">
        <v>129</v>
      </c>
      <c r="E229" s="28" t="str">
        <f t="shared" si="13"/>
        <v>E3</v>
      </c>
      <c r="F229" s="28" t="str">
        <f t="shared" si="15"/>
        <v>E3</v>
      </c>
      <c r="G229" s="28" t="str">
        <f>_xlfn.IFNA(VLOOKUP(D229,AccessModes!$D$2:$E$14,2,FALSE),"AM_IMP")</f>
        <v>AM_IIX</v>
      </c>
      <c r="H229" s="28">
        <v>8</v>
      </c>
      <c r="I229" s="28">
        <v>0</v>
      </c>
      <c r="J229" s="28"/>
      <c r="K229" s="28"/>
      <c r="L229" s="28"/>
      <c r="M229" s="28" t="str">
        <f>IF(LEN(J229)&gt;0,indent&amp;J229&amp;" = "&amp;VLOOKUP($G229,AccessModes!$E$2:$I$14,4,FALSE),"")</f>
        <v/>
      </c>
      <c r="N229" s="29" t="str">
        <f>indent&amp;"/* TODO: implementation of the action */"</f>
        <v xml:space="preserve">            /* TODO: implementation of the action */</v>
      </c>
      <c r="O229" s="29" t="str">
        <f t="shared" si="14"/>
        <v/>
      </c>
      <c r="P229" s="28" t="str">
        <f>IF(LEN(L229)&gt;0,indent&amp;IF(L229="LAST",AccessModes!$I$16&amp;J229,VLOOKUP($G229,AccessModes!$E$2:$I$14,5,FALSE)&amp;L229)&amp;");","")</f>
        <v/>
      </c>
      <c r="Q229" s="28"/>
      <c r="R229" s="29" t="str">
        <f>IF(C229=0,indent0&amp;"case 0x"&amp;F229&amp;": /* "&amp;B229&amp;" "&amp;VLOOKUP(G229,AccessModes!$E$2:$G$14,3,FALSE)&amp;" */"&amp;newline&amp;indent&amp;"cpu.cycles = "&amp;H229&amp;";"&amp;newline&amp;IF(LEN(M229)&gt;0,M229&amp;CHAR(10),"")&amp;IF(LEN(N229)&gt;0,N229&amp;newline,"")&amp;IF(LEN(O229)&gt;0,O229&amp;newline,"")&amp;IF(LEN(P229)&gt;0,P229&amp;newline,"")&amp;IF(LEN(Q229)&gt;0,Q229&amp;newline,"")&amp;indent&amp;"break;",indent0&amp;"/* Illegal opcode 0x"&amp;F229&amp;": "&amp;B229&amp;" "&amp;VLOOKUP(G229,AccessModes!$E$2:$G$14,3,FALSE)&amp;" */"&amp;newline)</f>
        <v xml:space="preserve">        /* Illegal opcode 0xE3: ISC (aa,X) */
</v>
      </c>
      <c r="S229" s="28" t="str">
        <f t="shared" si="16"/>
        <v xml:space="preserve">    {"ISC", true , AM_IIX, 8, 0},</v>
      </c>
    </row>
    <row r="230" spans="1:19" ht="102" hidden="1" x14ac:dyDescent="0.25">
      <c r="A230" s="22">
        <v>228</v>
      </c>
      <c r="B230" s="22" t="s">
        <v>121</v>
      </c>
      <c r="C230" s="22">
        <v>0</v>
      </c>
      <c r="D230" s="22" t="s">
        <v>144</v>
      </c>
      <c r="E230" s="22" t="str">
        <f t="shared" si="13"/>
        <v>E4</v>
      </c>
      <c r="F230" s="22" t="str">
        <f t="shared" si="15"/>
        <v>E4</v>
      </c>
      <c r="G230" s="22" t="str">
        <f>_xlfn.IFNA(VLOOKUP(D230,AccessModes!$D$2:$E$14,2,FALSE),"AM_IMP")</f>
        <v>AM_ZPG</v>
      </c>
      <c r="H230" s="22">
        <v>3</v>
      </c>
      <c r="I230" s="22">
        <v>0</v>
      </c>
      <c r="J230" s="22" t="str">
        <f>$J$194</f>
        <v>value</v>
      </c>
      <c r="K230" s="22" t="str">
        <f>$K$194</f>
        <v>value</v>
      </c>
      <c r="L230" s="22" t="str">
        <f>$L$194</f>
        <v/>
      </c>
      <c r="M230" s="22" t="str">
        <f>IF(LEN(J230)&gt;0,indent&amp;J230&amp;" = "&amp;VLOOKUP($G230,AccessModes!$E$2:$I$14,4,FALSE),"")</f>
        <v xml:space="preserve">            value = memory_getZeroPage();</v>
      </c>
      <c r="N230" s="26" t="str">
        <f>$N$226</f>
        <v xml:space="preserve">            value = cpu.X - value;</v>
      </c>
      <c r="O230" s="26" t="str">
        <f t="shared" si="14"/>
        <v xml:space="preserve">            cpu.PS_N = ((value &amp; 0x80) != 0);
            cpu.PS_Z = (value == 0);</v>
      </c>
      <c r="P230" s="22" t="str">
        <f>IF(LEN(L230)&gt;0,indent&amp;IF(L230="LAST",AccessModes!$I$16&amp;J230,VLOOKUP($G230,AccessModes!$E$2:$I$14,5,FALSE)&amp;L230)&amp;");","")</f>
        <v/>
      </c>
      <c r="Q230" s="26" t="str">
        <f>$Q$226</f>
        <v xml:space="preserve">            cpu.PS_C = !cpu.PS_N;</v>
      </c>
      <c r="R230" s="26" t="str">
        <f>IF(C230=0,indent0&amp;"case 0x"&amp;F230&amp;": /* "&amp;B230&amp;" "&amp;VLOOKUP(G230,AccessModes!$E$2:$G$14,3,FALSE)&amp;" */"&amp;newline&amp;indent&amp;"cpu.cycles = "&amp;H230&amp;";"&amp;newline&amp;IF(LEN(M230)&gt;0,M230&amp;CHAR(10),"")&amp;IF(LEN(N230)&gt;0,N230&amp;newline,"")&amp;IF(LEN(O230)&gt;0,O230&amp;newline,"")&amp;IF(LEN(P230)&gt;0,P230&amp;newline,"")&amp;IF(LEN(Q230)&gt;0,Q230&amp;newline,"")&amp;indent&amp;"break;",indent0&amp;"/* Illegal opcode 0x"&amp;F230&amp;": "&amp;B230&amp;" "&amp;VLOOKUP(G230,AccessModes!$E$2:$G$14,3,FALSE)&amp;" */"&amp;newline)</f>
        <v xml:space="preserve">        case 0xE4: /* CPX aa */
            cpu.cycles = 3;
            value = memory_getZeroPage();
            value = cpu.X - value;
            cpu.PS_N = ((value &amp; 0x80) != 0);
            cpu.PS_Z = (value == 0);
            cpu.PS_C = !cpu.PS_N;
            break;</v>
      </c>
      <c r="S230" s="22" t="str">
        <f t="shared" si="16"/>
        <v xml:space="preserve">    {"CPX", false, AM_ZPG, 3, 0},</v>
      </c>
    </row>
    <row r="231" spans="1:19" ht="267.75" x14ac:dyDescent="0.25">
      <c r="A231" s="22">
        <v>229</v>
      </c>
      <c r="B231" s="22" t="s">
        <v>122</v>
      </c>
      <c r="C231" s="22">
        <v>0</v>
      </c>
      <c r="D231" s="22" t="s">
        <v>144</v>
      </c>
      <c r="E231" s="22" t="str">
        <f t="shared" si="13"/>
        <v>E5</v>
      </c>
      <c r="F231" s="22" t="str">
        <f t="shared" si="15"/>
        <v>E5</v>
      </c>
      <c r="G231" s="22" t="str">
        <f>_xlfn.IFNA(VLOOKUP(D231,AccessModes!$D$2:$E$14,2,FALSE),"AM_IMP")</f>
        <v>AM_ZPG</v>
      </c>
      <c r="H231" s="22">
        <v>3</v>
      </c>
      <c r="I231" s="22">
        <v>0</v>
      </c>
      <c r="J231" s="22" t="str">
        <f>$J$227</f>
        <v>value</v>
      </c>
      <c r="K231" s="22" t="str">
        <f>$K$227</f>
        <v/>
      </c>
      <c r="L231" s="22" t="str">
        <f>$L$227</f>
        <v/>
      </c>
      <c r="M231" s="26" t="str">
        <f>IF(LEN(J231)&gt;0,indent&amp;J231&amp;" = "&amp;VLOOKUP($G231,AccessModes!$E$2:$I$14,4,FALSE),"")</f>
        <v xml:space="preserve">            value = memory_getZeroPage();</v>
      </c>
      <c r="N231" s="26" t="str">
        <f>$N$227</f>
        <v xml:space="preserve">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</v>
      </c>
      <c r="O231" s="26" t="str">
        <f t="shared" si="14"/>
        <v/>
      </c>
      <c r="P231" s="26" t="str">
        <f>IF(LEN(L231)&gt;0,indent&amp;IF(L231="LAST",AccessModes!$I$16&amp;J231,VLOOKUP($G231,AccessModes!$E$2:$I$14,5,FALSE)&amp;L231)&amp;");","")</f>
        <v/>
      </c>
      <c r="Q231" s="22"/>
      <c r="R231" s="26" t="str">
        <f>IF(C231=0,indent0&amp;"case 0x"&amp;F231&amp;": /* "&amp;B231&amp;" "&amp;VLOOKUP(G231,AccessModes!$E$2:$G$14,3,FALSE)&amp;" */"&amp;newline&amp;indent&amp;"cpu.cycles = "&amp;H231&amp;";"&amp;newline&amp;IF(LEN(M231)&gt;0,M231&amp;CHAR(10),"")&amp;IF(LEN(N231)&gt;0,N231&amp;newline,"")&amp;IF(LEN(O231)&gt;0,O231&amp;newline,"")&amp;IF(LEN(P231)&gt;0,P231&amp;newline,"")&amp;IF(LEN(Q231)&gt;0,Q231&amp;newline,"")&amp;indent&amp;"break;",indent0&amp;"/* Illegal opcode 0x"&amp;F231&amp;": "&amp;B231&amp;" "&amp;VLOOKUP(G231,AccessModes!$E$2:$G$14,3,FALSE)&amp;" */"&amp;newline)</f>
        <v xml:space="preserve">        case 0xE5: /* SBC aa */
            cpu.cycles = 3;
            value = memory_getZeroPage();
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            break;</v>
      </c>
      <c r="S231" s="22" t="str">
        <f t="shared" si="16"/>
        <v xml:space="preserve">    {"SBC", false, AM_ZPG, 3, 0},</v>
      </c>
    </row>
    <row r="232" spans="1:19" ht="102" hidden="1" x14ac:dyDescent="0.25">
      <c r="A232" s="22">
        <v>230</v>
      </c>
      <c r="B232" s="22" t="s">
        <v>124</v>
      </c>
      <c r="C232" s="22">
        <v>0</v>
      </c>
      <c r="D232" s="22" t="s">
        <v>144</v>
      </c>
      <c r="E232" s="22" t="str">
        <f t="shared" si="13"/>
        <v>E6</v>
      </c>
      <c r="F232" s="22" t="str">
        <f t="shared" si="15"/>
        <v>E6</v>
      </c>
      <c r="G232" s="22" t="str">
        <f>_xlfn.IFNA(VLOOKUP(D232,AccessModes!$D$2:$E$14,2,FALSE),"AM_IMP")</f>
        <v>AM_ZPG</v>
      </c>
      <c r="H232" s="22">
        <v>5</v>
      </c>
      <c r="I232" s="22">
        <v>0</v>
      </c>
      <c r="J232" s="24" t="s">
        <v>224</v>
      </c>
      <c r="K232" s="24" t="s">
        <v>224</v>
      </c>
      <c r="L232" s="24" t="s">
        <v>227</v>
      </c>
      <c r="M232" s="22" t="str">
        <f>IF(LEN(J232)&gt;0,indent&amp;J232&amp;" = "&amp;VLOOKUP($G232,AccessModes!$E$2:$I$14,4,FALSE),"")</f>
        <v xml:space="preserve">            value = memory_getZeroPage();</v>
      </c>
      <c r="N232" s="25" t="str">
        <f>indent&amp;"++"&amp;K232&amp;";"</f>
        <v xml:space="preserve">            ++value;</v>
      </c>
      <c r="O232" s="26" t="str">
        <f t="shared" si="14"/>
        <v xml:space="preserve">            cpu.PS_N = ((value &amp; 0x80) != 0);
            cpu.PS_Z = (value == 0);</v>
      </c>
      <c r="P232" s="22" t="str">
        <f>IF(LEN(L232)&gt;0,indent&amp;IF(L232="LAST",AccessModes!$I$16&amp;J232,VLOOKUP($G232,AccessModes!$E$2:$I$14,5,FALSE)&amp;L232)&amp;");","")</f>
        <v xml:space="preserve">            memory_setLast(value);</v>
      </c>
      <c r="Q232" s="22"/>
      <c r="R232" s="26" t="str">
        <f>IF(C232=0,indent0&amp;"case 0x"&amp;F232&amp;": /* "&amp;B232&amp;" "&amp;VLOOKUP(G232,AccessModes!$E$2:$G$14,3,FALSE)&amp;" */"&amp;newline&amp;indent&amp;"cpu.cycles = "&amp;H232&amp;";"&amp;newline&amp;IF(LEN(M232)&gt;0,M232&amp;CHAR(10),"")&amp;IF(LEN(N232)&gt;0,N232&amp;newline,"")&amp;IF(LEN(O232)&gt;0,O232&amp;newline,"")&amp;IF(LEN(P232)&gt;0,P232&amp;newline,"")&amp;IF(LEN(Q232)&gt;0,Q232&amp;newline,"")&amp;indent&amp;"break;",indent0&amp;"/* Illegal opcode 0x"&amp;F232&amp;": "&amp;B232&amp;" "&amp;VLOOKUP(G232,AccessModes!$E$2:$G$14,3,FALSE)&amp;" */"&amp;newline)</f>
        <v xml:space="preserve">        case 0xE6: /* INC aa */
            cpu.cycles = 5;
            value = memory_getZeroPage();
            ++value;
            cpu.PS_N = ((value &amp; 0x80) != 0);
            cpu.PS_Z = (value == 0);
            memory_setLast(value);
            break;</v>
      </c>
      <c r="S232" s="22" t="str">
        <f t="shared" si="16"/>
        <v xml:space="preserve">    {"INC", false, AM_ZPG, 5, 0},</v>
      </c>
    </row>
    <row r="233" spans="1:19" ht="25.5" hidden="1" x14ac:dyDescent="0.25">
      <c r="A233" s="28">
        <v>231</v>
      </c>
      <c r="B233" s="28" t="s">
        <v>123</v>
      </c>
      <c r="C233" s="28">
        <v>-1</v>
      </c>
      <c r="D233" s="28" t="s">
        <v>144</v>
      </c>
      <c r="E233" s="28" t="str">
        <f t="shared" si="13"/>
        <v>E7</v>
      </c>
      <c r="F233" s="28" t="str">
        <f t="shared" si="15"/>
        <v>E7</v>
      </c>
      <c r="G233" s="28" t="str">
        <f>_xlfn.IFNA(VLOOKUP(D233,AccessModes!$D$2:$E$14,2,FALSE),"AM_IMP")</f>
        <v>AM_ZPG</v>
      </c>
      <c r="H233" s="28">
        <v>5</v>
      </c>
      <c r="I233" s="28">
        <v>0</v>
      </c>
      <c r="J233" s="28"/>
      <c r="K233" s="28"/>
      <c r="L233" s="28"/>
      <c r="M233" s="28" t="str">
        <f>IF(LEN(J233)&gt;0,indent&amp;J233&amp;" = "&amp;VLOOKUP($G233,AccessModes!$E$2:$I$14,4,FALSE),"")</f>
        <v/>
      </c>
      <c r="N233" s="29" t="str">
        <f>indent&amp;"/* TODO: implementation of the action */"</f>
        <v xml:space="preserve">            /* TODO: implementation of the action */</v>
      </c>
      <c r="O233" s="29" t="str">
        <f t="shared" si="14"/>
        <v/>
      </c>
      <c r="P233" s="28" t="str">
        <f>IF(LEN(L233)&gt;0,indent&amp;IF(L233="LAST",AccessModes!$I$16&amp;J233,VLOOKUP($G233,AccessModes!$E$2:$I$14,5,FALSE)&amp;L233)&amp;");","")</f>
        <v/>
      </c>
      <c r="Q233" s="28"/>
      <c r="R233" s="29" t="str">
        <f>IF(C233=0,indent0&amp;"case 0x"&amp;F233&amp;": /* "&amp;B233&amp;" "&amp;VLOOKUP(G233,AccessModes!$E$2:$G$14,3,FALSE)&amp;" */"&amp;newline&amp;indent&amp;"cpu.cycles = "&amp;H233&amp;";"&amp;newline&amp;IF(LEN(M233)&gt;0,M233&amp;CHAR(10),"")&amp;IF(LEN(N233)&gt;0,N233&amp;newline,"")&amp;IF(LEN(O233)&gt;0,O233&amp;newline,"")&amp;IF(LEN(P233)&gt;0,P233&amp;newline,"")&amp;IF(LEN(Q233)&gt;0,Q233&amp;newline,"")&amp;indent&amp;"break;",indent0&amp;"/* Illegal opcode 0x"&amp;F233&amp;": "&amp;B233&amp;" "&amp;VLOOKUP(G233,AccessModes!$E$2:$G$14,3,FALSE)&amp;" */"&amp;newline)</f>
        <v xml:space="preserve">        /* Illegal opcode 0xE7: ISC aa */
</v>
      </c>
      <c r="S233" s="28" t="str">
        <f t="shared" si="16"/>
        <v xml:space="preserve">    {"ISC", true , AM_ZPG, 5, 0},</v>
      </c>
    </row>
    <row r="234" spans="1:19" ht="76.5" hidden="1" x14ac:dyDescent="0.25">
      <c r="A234" s="22">
        <v>232</v>
      </c>
      <c r="B234" s="22" t="s">
        <v>125</v>
      </c>
      <c r="C234" s="22">
        <v>0</v>
      </c>
      <c r="D234" s="22" t="s">
        <v>139</v>
      </c>
      <c r="E234" s="22" t="str">
        <f t="shared" si="13"/>
        <v>E8</v>
      </c>
      <c r="F234" s="22" t="str">
        <f t="shared" si="15"/>
        <v>E8</v>
      </c>
      <c r="G234" s="22" t="str">
        <f>_xlfn.IFNA(VLOOKUP(D234,AccessModes!$D$2:$E$14,2,FALSE),"AM_IMP")</f>
        <v>AM_IMP</v>
      </c>
      <c r="H234" s="22">
        <v>2</v>
      </c>
      <c r="I234" s="22">
        <v>0</v>
      </c>
      <c r="J234" s="24" t="str">
        <f>""</f>
        <v/>
      </c>
      <c r="K234" s="24" t="str">
        <f>$K$204</f>
        <v>cpu.X</v>
      </c>
      <c r="L234" s="24" t="str">
        <f>""</f>
        <v/>
      </c>
      <c r="M234" s="22" t="str">
        <f>IF(LEN(J234)&gt;0,indent&amp;J234&amp;" = "&amp;VLOOKUP($G234,AccessModes!$E$2:$I$14,4,FALSE),"")</f>
        <v/>
      </c>
      <c r="N234" s="25" t="str">
        <f>indent&amp;"++"&amp;K234&amp;";"</f>
        <v xml:space="preserve">            ++cpu.X;</v>
      </c>
      <c r="O234" s="26" t="str">
        <f t="shared" si="14"/>
        <v xml:space="preserve">            cpu.PS_N = ((cpu.X &amp; 0x80) != 0);
            cpu.PS_Z = (cpu.X == 0);</v>
      </c>
      <c r="P234" s="22" t="str">
        <f>IF(LEN(L234)&gt;0,indent&amp;IF(L234="LAST",AccessModes!$I$16&amp;J234,VLOOKUP($G234,AccessModes!$E$2:$I$14,5,FALSE)&amp;L234)&amp;");","")</f>
        <v/>
      </c>
      <c r="Q234" s="22"/>
      <c r="R234" s="26" t="str">
        <f>IF(C234=0,indent0&amp;"case 0x"&amp;F234&amp;": /* "&amp;B234&amp;" "&amp;VLOOKUP(G234,AccessModes!$E$2:$G$14,3,FALSE)&amp;" */"&amp;newline&amp;indent&amp;"cpu.cycles = "&amp;H234&amp;";"&amp;newline&amp;IF(LEN(M234)&gt;0,M234&amp;CHAR(10),"")&amp;IF(LEN(N234)&gt;0,N234&amp;newline,"")&amp;IF(LEN(O234)&gt;0,O234&amp;newline,"")&amp;IF(LEN(P234)&gt;0,P234&amp;newline,"")&amp;IF(LEN(Q234)&gt;0,Q234&amp;newline,"")&amp;indent&amp;"break;",indent0&amp;"/* Illegal opcode 0x"&amp;F234&amp;": "&amp;B234&amp;" "&amp;VLOOKUP(G234,AccessModes!$E$2:$G$14,3,FALSE)&amp;" */"&amp;newline)</f>
        <v xml:space="preserve">        case 0xE8: /* INX  */
            cpu.cycles = 2;
            ++cpu.X;
            cpu.PS_N = ((cpu.X &amp; 0x80) != 0);
            cpu.PS_Z = (cpu.X == 0);
            break;</v>
      </c>
      <c r="S234" s="22" t="str">
        <f t="shared" si="16"/>
        <v xml:space="preserve">    {"INX", false, AM_IMP, 2, 0},</v>
      </c>
    </row>
    <row r="235" spans="1:19" ht="267.75" x14ac:dyDescent="0.25">
      <c r="A235" s="22">
        <v>233</v>
      </c>
      <c r="B235" s="22" t="s">
        <v>122</v>
      </c>
      <c r="C235" s="22">
        <v>0</v>
      </c>
      <c r="D235" s="22" t="s">
        <v>130</v>
      </c>
      <c r="E235" s="22" t="str">
        <f t="shared" si="13"/>
        <v>E9</v>
      </c>
      <c r="F235" s="22" t="str">
        <f t="shared" si="15"/>
        <v>E9</v>
      </c>
      <c r="G235" s="22" t="str">
        <f>_xlfn.IFNA(VLOOKUP(D235,AccessModes!$D$2:$E$14,2,FALSE),"AM_IMP")</f>
        <v>AM_IMM</v>
      </c>
      <c r="H235" s="22">
        <v>2</v>
      </c>
      <c r="I235" s="22">
        <v>0</v>
      </c>
      <c r="J235" s="22" t="str">
        <f>$J$227</f>
        <v>value</v>
      </c>
      <c r="K235" s="22" t="str">
        <f>$K$227</f>
        <v/>
      </c>
      <c r="L235" s="22" t="str">
        <f>$L$227</f>
        <v/>
      </c>
      <c r="M235" s="26" t="str">
        <f>IF(LEN(J235)&gt;0,indent&amp;J235&amp;" = "&amp;VLOOKUP($G235,AccessModes!$E$2:$I$14,4,FALSE),"")</f>
        <v xml:space="preserve">            value = memory_getImmediate();</v>
      </c>
      <c r="N235" s="26" t="str">
        <f>$N$227</f>
        <v xml:space="preserve">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</v>
      </c>
      <c r="O235" s="26" t="str">
        <f t="shared" si="14"/>
        <v/>
      </c>
      <c r="P235" s="26" t="str">
        <f>IF(LEN(L235)&gt;0,indent&amp;IF(L235="LAST",AccessModes!$I$16&amp;J235,VLOOKUP($G235,AccessModes!$E$2:$I$14,5,FALSE)&amp;L235)&amp;");","")</f>
        <v/>
      </c>
      <c r="Q235" s="22"/>
      <c r="R235" s="26" t="str">
        <f>IF(C235=0,indent0&amp;"case 0x"&amp;F235&amp;": /* "&amp;B235&amp;" "&amp;VLOOKUP(G235,AccessModes!$E$2:$G$14,3,FALSE)&amp;" */"&amp;newline&amp;indent&amp;"cpu.cycles = "&amp;H235&amp;";"&amp;newline&amp;IF(LEN(M235)&gt;0,M235&amp;CHAR(10),"")&amp;IF(LEN(N235)&gt;0,N235&amp;newline,"")&amp;IF(LEN(O235)&gt;0,O235&amp;newline,"")&amp;IF(LEN(P235)&gt;0,P235&amp;newline,"")&amp;IF(LEN(Q235)&gt;0,Q235&amp;newline,"")&amp;indent&amp;"break;",indent0&amp;"/* Illegal opcode 0x"&amp;F235&amp;": "&amp;B235&amp;" "&amp;VLOOKUP(G235,AccessModes!$E$2:$G$14,3,FALSE)&amp;" */"&amp;newline)</f>
        <v xml:space="preserve">        case 0xE9: /* SBC #aa */
            cpu.cycles = 2;
            value = memory_getImmediate();
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            break;</v>
      </c>
      <c r="S235" s="22" t="str">
        <f t="shared" si="16"/>
        <v xml:space="preserve">    {"SBC", false, AM_IMM, 2, 0},</v>
      </c>
    </row>
    <row r="236" spans="1:19" ht="51" hidden="1" x14ac:dyDescent="0.25">
      <c r="A236" s="22">
        <v>234</v>
      </c>
      <c r="B236" s="22" t="s">
        <v>23</v>
      </c>
      <c r="C236" s="22">
        <v>0</v>
      </c>
      <c r="D236" s="22" t="s">
        <v>139</v>
      </c>
      <c r="E236" s="22" t="str">
        <f t="shared" si="13"/>
        <v>EA</v>
      </c>
      <c r="F236" s="22" t="str">
        <f t="shared" si="15"/>
        <v>EA</v>
      </c>
      <c r="G236" s="22" t="str">
        <f>_xlfn.IFNA(VLOOKUP(D236,AccessModes!$D$2:$E$14,2,FALSE),"AM_IMP")</f>
        <v>AM_IMP</v>
      </c>
      <c r="H236" s="22">
        <v>2</v>
      </c>
      <c r="I236" s="22">
        <v>0</v>
      </c>
      <c r="J236" s="24"/>
      <c r="K236" s="24"/>
      <c r="L236" s="24"/>
      <c r="M236" s="22" t="str">
        <f>IF(LEN(J236)&gt;0,indent&amp;J236&amp;" = "&amp;VLOOKUP($G236,AccessModes!$E$2:$I$14,4,FALSE),"")</f>
        <v/>
      </c>
      <c r="N236" s="25" t="str">
        <f>indent&amp;"/* do nothing */"</f>
        <v xml:space="preserve">            /* do nothing */</v>
      </c>
      <c r="O236" s="26" t="str">
        <f t="shared" si="14"/>
        <v/>
      </c>
      <c r="P236" s="22" t="str">
        <f>IF(LEN(L236)&gt;0,indent&amp;IF(L236="LAST",AccessModes!$I$16&amp;J236,VLOOKUP($G236,AccessModes!$E$2:$I$14,5,FALSE)&amp;L236)&amp;");","")</f>
        <v/>
      </c>
      <c r="Q236" s="22"/>
      <c r="R236" s="26" t="str">
        <f>IF(C236=0,indent0&amp;"case 0x"&amp;F236&amp;": /* "&amp;B236&amp;" "&amp;VLOOKUP(G236,AccessModes!$E$2:$G$14,3,FALSE)&amp;" */"&amp;newline&amp;indent&amp;"cpu.cycles = "&amp;H236&amp;";"&amp;newline&amp;IF(LEN(M236)&gt;0,M236&amp;CHAR(10),"")&amp;IF(LEN(N236)&gt;0,N236&amp;newline,"")&amp;IF(LEN(O236)&gt;0,O236&amp;newline,"")&amp;IF(LEN(P236)&gt;0,P236&amp;newline,"")&amp;IF(LEN(Q236)&gt;0,Q236&amp;newline,"")&amp;indent&amp;"break;",indent0&amp;"/* Illegal opcode 0x"&amp;F236&amp;": "&amp;B236&amp;" "&amp;VLOOKUP(G236,AccessModes!$E$2:$G$14,3,FALSE)&amp;" */"&amp;newline)</f>
        <v xml:space="preserve">        case 0xEA: /* NOP  */
            cpu.cycles = 2;
            /* do nothing */
            break;</v>
      </c>
      <c r="S236" s="22" t="str">
        <f t="shared" si="16"/>
        <v xml:space="preserve">    {"NOP", false, AM_IMP, 2, 0},</v>
      </c>
    </row>
    <row r="237" spans="1:19" ht="25.5" x14ac:dyDescent="0.25">
      <c r="A237" s="28">
        <v>235</v>
      </c>
      <c r="B237" s="28" t="s">
        <v>122</v>
      </c>
      <c r="C237" s="28">
        <v>-1</v>
      </c>
      <c r="D237" s="28" t="s">
        <v>130</v>
      </c>
      <c r="E237" s="28" t="str">
        <f t="shared" si="13"/>
        <v>EB</v>
      </c>
      <c r="F237" s="28" t="str">
        <f t="shared" si="15"/>
        <v>EB</v>
      </c>
      <c r="G237" s="28" t="str">
        <f>_xlfn.IFNA(VLOOKUP(D237,AccessModes!$D$2:$E$14,2,FALSE),"AM_IMP")</f>
        <v>AM_IMM</v>
      </c>
      <c r="H237" s="28">
        <v>2</v>
      </c>
      <c r="I237" s="28">
        <v>0</v>
      </c>
      <c r="J237" s="28"/>
      <c r="K237" s="28"/>
      <c r="L237" s="28"/>
      <c r="M237" s="28" t="str">
        <f>IF(LEN(J237)&gt;0,indent&amp;J237&amp;" = "&amp;VLOOKUP($G237,AccessModes!$E$2:$I$14,4,FALSE),"")</f>
        <v/>
      </c>
      <c r="N237" s="29" t="str">
        <f>indent&amp;"/* TODO: implementation of the action */"</f>
        <v xml:space="preserve">            /* TODO: implementation of the action */</v>
      </c>
      <c r="O237" s="29" t="str">
        <f t="shared" si="14"/>
        <v/>
      </c>
      <c r="P237" s="28" t="str">
        <f>IF(LEN(L237)&gt;0,indent&amp;IF(L237="LAST",AccessModes!$I$16&amp;J237,VLOOKUP($G237,AccessModes!$E$2:$I$14,5,FALSE)&amp;L237)&amp;");","")</f>
        <v/>
      </c>
      <c r="Q237" s="28"/>
      <c r="R237" s="29" t="str">
        <f>IF(C237=0,indent0&amp;"case 0x"&amp;F237&amp;": /* "&amp;B237&amp;" "&amp;VLOOKUP(G237,AccessModes!$E$2:$G$14,3,FALSE)&amp;" */"&amp;newline&amp;indent&amp;"cpu.cycles = "&amp;H237&amp;";"&amp;newline&amp;IF(LEN(M237)&gt;0,M237&amp;CHAR(10),"")&amp;IF(LEN(N237)&gt;0,N237&amp;newline,"")&amp;IF(LEN(O237)&gt;0,O237&amp;newline,"")&amp;IF(LEN(P237)&gt;0,P237&amp;newline,"")&amp;IF(LEN(Q237)&gt;0,Q237&amp;newline,"")&amp;indent&amp;"break;",indent0&amp;"/* Illegal opcode 0x"&amp;F237&amp;": "&amp;B237&amp;" "&amp;VLOOKUP(G237,AccessModes!$E$2:$G$14,3,FALSE)&amp;" */"&amp;newline)</f>
        <v xml:space="preserve">        /* Illegal opcode 0xEB: SBC #aa */
</v>
      </c>
      <c r="S237" s="28" t="str">
        <f t="shared" si="16"/>
        <v xml:space="preserve">    {"SBC", true , AM_IMM, 2, 0},</v>
      </c>
    </row>
    <row r="238" spans="1:19" ht="102" hidden="1" x14ac:dyDescent="0.25">
      <c r="A238" s="22">
        <v>236</v>
      </c>
      <c r="B238" s="22" t="s">
        <v>121</v>
      </c>
      <c r="C238" s="22">
        <v>0</v>
      </c>
      <c r="D238" s="22" t="s">
        <v>131</v>
      </c>
      <c r="E238" s="22" t="str">
        <f t="shared" si="13"/>
        <v>EC</v>
      </c>
      <c r="F238" s="22" t="str">
        <f t="shared" si="15"/>
        <v>EC</v>
      </c>
      <c r="G238" s="22" t="str">
        <f>_xlfn.IFNA(VLOOKUP(D238,AccessModes!$D$2:$E$14,2,FALSE),"AM_IMP")</f>
        <v>AM_ABS</v>
      </c>
      <c r="H238" s="22">
        <v>4</v>
      </c>
      <c r="I238" s="22">
        <v>0</v>
      </c>
      <c r="J238" s="22" t="str">
        <f>$J$194</f>
        <v>value</v>
      </c>
      <c r="K238" s="22" t="str">
        <f>$K$194</f>
        <v>value</v>
      </c>
      <c r="L238" s="22" t="str">
        <f>$L$194</f>
        <v/>
      </c>
      <c r="M238" s="22" t="str">
        <f>IF(LEN(J238)&gt;0,indent&amp;J238&amp;" = "&amp;VLOOKUP($G238,AccessModes!$E$2:$I$14,4,FALSE),"")</f>
        <v xml:space="preserve">            value = memory_getAbsolute();</v>
      </c>
      <c r="N238" s="26" t="str">
        <f>$N$226</f>
        <v xml:space="preserve">            value = cpu.X - value;</v>
      </c>
      <c r="O238" s="26" t="str">
        <f t="shared" si="14"/>
        <v xml:space="preserve">            cpu.PS_N = ((value &amp; 0x80) != 0);
            cpu.PS_Z = (value == 0);</v>
      </c>
      <c r="P238" s="22" t="str">
        <f>IF(LEN(L238)&gt;0,indent&amp;IF(L238="LAST",AccessModes!$I$16&amp;J238,VLOOKUP($G238,AccessModes!$E$2:$I$14,5,FALSE)&amp;L238)&amp;");","")</f>
        <v/>
      </c>
      <c r="Q238" s="26" t="str">
        <f>$Q$226</f>
        <v xml:space="preserve">            cpu.PS_C = !cpu.PS_N;</v>
      </c>
      <c r="R238" s="26" t="str">
        <f>IF(C238=0,indent0&amp;"case 0x"&amp;F238&amp;": /* "&amp;B238&amp;" "&amp;VLOOKUP(G238,AccessModes!$E$2:$G$14,3,FALSE)&amp;" */"&amp;newline&amp;indent&amp;"cpu.cycles = "&amp;H238&amp;";"&amp;newline&amp;IF(LEN(M238)&gt;0,M238&amp;CHAR(10),"")&amp;IF(LEN(N238)&gt;0,N238&amp;newline,"")&amp;IF(LEN(O238)&gt;0,O238&amp;newline,"")&amp;IF(LEN(P238)&gt;0,P238&amp;newline,"")&amp;IF(LEN(Q238)&gt;0,Q238&amp;newline,"")&amp;indent&amp;"break;",indent0&amp;"/* Illegal opcode 0x"&amp;F238&amp;": "&amp;B238&amp;" "&amp;VLOOKUP(G238,AccessModes!$E$2:$G$14,3,FALSE)&amp;" */"&amp;newline)</f>
        <v xml:space="preserve">        case 0xEC: /* CPX aaaa */
            cpu.cycles = 4;
            value = memory_getAbsolute();
            value = cpu.X - value;
            cpu.PS_N = ((value &amp; 0x80) != 0);
            cpu.PS_Z = (value == 0);
            cpu.PS_C = !cpu.PS_N;
            break;</v>
      </c>
      <c r="S238" s="22" t="str">
        <f t="shared" si="16"/>
        <v xml:space="preserve">    {"CPX", false, AM_ABS, 4, 0},</v>
      </c>
    </row>
    <row r="239" spans="1:19" ht="267.75" x14ac:dyDescent="0.25">
      <c r="A239" s="22">
        <v>237</v>
      </c>
      <c r="B239" s="22" t="s">
        <v>122</v>
      </c>
      <c r="C239" s="22">
        <v>0</v>
      </c>
      <c r="D239" s="22" t="s">
        <v>131</v>
      </c>
      <c r="E239" s="22" t="str">
        <f t="shared" si="13"/>
        <v>ED</v>
      </c>
      <c r="F239" s="22" t="str">
        <f t="shared" si="15"/>
        <v>ED</v>
      </c>
      <c r="G239" s="22" t="str">
        <f>_xlfn.IFNA(VLOOKUP(D239,AccessModes!$D$2:$E$14,2,FALSE),"AM_IMP")</f>
        <v>AM_ABS</v>
      </c>
      <c r="H239" s="22">
        <v>4</v>
      </c>
      <c r="I239" s="22">
        <v>0</v>
      </c>
      <c r="J239" s="22" t="str">
        <f>$J$227</f>
        <v>value</v>
      </c>
      <c r="K239" s="22" t="str">
        <f>$K$227</f>
        <v/>
      </c>
      <c r="L239" s="22" t="str">
        <f>$L$227</f>
        <v/>
      </c>
      <c r="M239" s="26" t="str">
        <f>IF(LEN(J239)&gt;0,indent&amp;J239&amp;" = "&amp;VLOOKUP($G239,AccessModes!$E$2:$I$14,4,FALSE),"")</f>
        <v xml:space="preserve">            value = memory_getAbsolute();</v>
      </c>
      <c r="N239" s="26" t="str">
        <f>$N$227</f>
        <v xml:space="preserve">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</v>
      </c>
      <c r="O239" s="26" t="str">
        <f t="shared" si="14"/>
        <v/>
      </c>
      <c r="P239" s="26" t="str">
        <f>IF(LEN(L239)&gt;0,indent&amp;IF(L239="LAST",AccessModes!$I$16&amp;J239,VLOOKUP($G239,AccessModes!$E$2:$I$14,5,FALSE)&amp;L239)&amp;");","")</f>
        <v/>
      </c>
      <c r="Q239" s="22"/>
      <c r="R239" s="26" t="str">
        <f>IF(C239=0,indent0&amp;"case 0x"&amp;F239&amp;": /* "&amp;B239&amp;" "&amp;VLOOKUP(G239,AccessModes!$E$2:$G$14,3,FALSE)&amp;" */"&amp;newline&amp;indent&amp;"cpu.cycles = "&amp;H239&amp;";"&amp;newline&amp;IF(LEN(M239)&gt;0,M239&amp;CHAR(10),"")&amp;IF(LEN(N239)&gt;0,N239&amp;newline,"")&amp;IF(LEN(O239)&gt;0,O239&amp;newline,"")&amp;IF(LEN(P239)&gt;0,P239&amp;newline,"")&amp;IF(LEN(Q239)&gt;0,Q239&amp;newline,"")&amp;indent&amp;"break;",indent0&amp;"/* Illegal opcode 0x"&amp;F239&amp;": "&amp;B239&amp;" "&amp;VLOOKUP(G239,AccessModes!$E$2:$G$14,3,FALSE)&amp;" */"&amp;newline)</f>
        <v xml:space="preserve">        case 0xED: /* SBC aaaa */
            cpu.cycles = 4;
            value = memory_getAbsolute();
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            break;</v>
      </c>
      <c r="S239" s="22" t="str">
        <f t="shared" si="16"/>
        <v xml:space="preserve">    {"SBC", false, AM_ABS, 4, 0},</v>
      </c>
    </row>
    <row r="240" spans="1:19" ht="102" hidden="1" x14ac:dyDescent="0.25">
      <c r="A240" s="22">
        <v>238</v>
      </c>
      <c r="B240" s="22" t="s">
        <v>124</v>
      </c>
      <c r="C240" s="22">
        <v>0</v>
      </c>
      <c r="D240" s="22" t="s">
        <v>131</v>
      </c>
      <c r="E240" s="22" t="str">
        <f t="shared" si="13"/>
        <v>EE</v>
      </c>
      <c r="F240" s="22" t="str">
        <f t="shared" si="15"/>
        <v>EE</v>
      </c>
      <c r="G240" s="22" t="str">
        <f>_xlfn.IFNA(VLOOKUP(D240,AccessModes!$D$2:$E$14,2,FALSE),"AM_IMP")</f>
        <v>AM_ABS</v>
      </c>
      <c r="H240" s="22">
        <v>6</v>
      </c>
      <c r="I240" s="22">
        <v>0</v>
      </c>
      <c r="J240" s="22" t="str">
        <f>$J$200</f>
        <v>value</v>
      </c>
      <c r="K240" s="22" t="str">
        <f>$K$200</f>
        <v>value</v>
      </c>
      <c r="L240" s="22" t="str">
        <f>$L$200</f>
        <v>LAST</v>
      </c>
      <c r="M240" s="22" t="str">
        <f>IF(LEN(J240)&gt;0,indent&amp;J240&amp;" = "&amp;VLOOKUP($G240,AccessModes!$E$2:$I$14,4,FALSE),"")</f>
        <v xml:space="preserve">            value = memory_getAbsolute();</v>
      </c>
      <c r="N240" s="26" t="str">
        <f>$N$232</f>
        <v xml:space="preserve">            ++value;</v>
      </c>
      <c r="O240" s="26" t="str">
        <f t="shared" si="14"/>
        <v xml:space="preserve">            cpu.PS_N = ((value &amp; 0x80) != 0);
            cpu.PS_Z = (value == 0);</v>
      </c>
      <c r="P240" s="22" t="str">
        <f>IF(LEN(L240)&gt;0,indent&amp;IF(L240="LAST",AccessModes!$I$16&amp;J240,VLOOKUP($G240,AccessModes!$E$2:$I$14,5,FALSE)&amp;L240)&amp;");","")</f>
        <v xml:space="preserve">            memory_setLast(value);</v>
      </c>
      <c r="Q240" s="22"/>
      <c r="R240" s="26" t="str">
        <f>IF(C240=0,indent0&amp;"case 0x"&amp;F240&amp;": /* "&amp;B240&amp;" "&amp;VLOOKUP(G240,AccessModes!$E$2:$G$14,3,FALSE)&amp;" */"&amp;newline&amp;indent&amp;"cpu.cycles = "&amp;H240&amp;";"&amp;newline&amp;IF(LEN(M240)&gt;0,M240&amp;CHAR(10),"")&amp;IF(LEN(N240)&gt;0,N240&amp;newline,"")&amp;IF(LEN(O240)&gt;0,O240&amp;newline,"")&amp;IF(LEN(P240)&gt;0,P240&amp;newline,"")&amp;IF(LEN(Q240)&gt;0,Q240&amp;newline,"")&amp;indent&amp;"break;",indent0&amp;"/* Illegal opcode 0x"&amp;F240&amp;": "&amp;B240&amp;" "&amp;VLOOKUP(G240,AccessModes!$E$2:$G$14,3,FALSE)&amp;" */"&amp;newline)</f>
        <v xml:space="preserve">        case 0xEE: /* INC aaaa */
            cpu.cycles = 6;
            value = memory_getAbsolute();
            ++value;
            cpu.PS_N = ((value &amp; 0x80) != 0);
            cpu.PS_Z = (value == 0);
            memory_setLast(value);
            break;</v>
      </c>
      <c r="S240" s="22" t="str">
        <f t="shared" si="16"/>
        <v xml:space="preserve">    {"INC", false, AM_ABS, 6, 0},</v>
      </c>
    </row>
    <row r="241" spans="1:19" ht="25.5" hidden="1" x14ac:dyDescent="0.25">
      <c r="A241" s="28">
        <v>239</v>
      </c>
      <c r="B241" s="28" t="s">
        <v>123</v>
      </c>
      <c r="C241" s="28">
        <v>-1</v>
      </c>
      <c r="D241" s="28" t="s">
        <v>131</v>
      </c>
      <c r="E241" s="28" t="str">
        <f t="shared" si="13"/>
        <v>EF</v>
      </c>
      <c r="F241" s="28" t="str">
        <f t="shared" si="15"/>
        <v>EF</v>
      </c>
      <c r="G241" s="28" t="str">
        <f>_xlfn.IFNA(VLOOKUP(D241,AccessModes!$D$2:$E$14,2,FALSE),"AM_IMP")</f>
        <v>AM_ABS</v>
      </c>
      <c r="H241" s="28">
        <v>6</v>
      </c>
      <c r="I241" s="28">
        <v>0</v>
      </c>
      <c r="J241" s="28"/>
      <c r="K241" s="28"/>
      <c r="L241" s="28"/>
      <c r="M241" s="28" t="str">
        <f>IF(LEN(J241)&gt;0,indent&amp;J241&amp;" = "&amp;VLOOKUP($G241,AccessModes!$E$2:$I$14,4,FALSE),"")</f>
        <v/>
      </c>
      <c r="N241" s="29" t="str">
        <f>indent&amp;"/* TODO: implementation of the action */"</f>
        <v xml:space="preserve">            /* TODO: implementation of the action */</v>
      </c>
      <c r="O241" s="29" t="str">
        <f t="shared" si="14"/>
        <v/>
      </c>
      <c r="P241" s="28" t="str">
        <f>IF(LEN(L241)&gt;0,indent&amp;IF(L241="LAST",AccessModes!$I$16&amp;J241,VLOOKUP($G241,AccessModes!$E$2:$I$14,5,FALSE)&amp;L241)&amp;");","")</f>
        <v/>
      </c>
      <c r="Q241" s="28"/>
      <c r="R241" s="29" t="str">
        <f>IF(C241=0,indent0&amp;"case 0x"&amp;F241&amp;": /* "&amp;B241&amp;" "&amp;VLOOKUP(G241,AccessModes!$E$2:$G$14,3,FALSE)&amp;" */"&amp;newline&amp;indent&amp;"cpu.cycles = "&amp;H241&amp;";"&amp;newline&amp;IF(LEN(M241)&gt;0,M241&amp;CHAR(10),"")&amp;IF(LEN(N241)&gt;0,N241&amp;newline,"")&amp;IF(LEN(O241)&gt;0,O241&amp;newline,"")&amp;IF(LEN(P241)&gt;0,P241&amp;newline,"")&amp;IF(LEN(Q241)&gt;0,Q241&amp;newline,"")&amp;indent&amp;"break;",indent0&amp;"/* Illegal opcode 0x"&amp;F241&amp;": "&amp;B241&amp;" "&amp;VLOOKUP(G241,AccessModes!$E$2:$G$14,3,FALSE)&amp;" */"&amp;newline)</f>
        <v xml:space="preserve">        /* Illegal opcode 0xEF: ISC aaaa */
</v>
      </c>
      <c r="S241" s="28" t="str">
        <f t="shared" si="16"/>
        <v xml:space="preserve">    {"ISC", true , AM_ABS, 6, 0},</v>
      </c>
    </row>
    <row r="242" spans="1:19" ht="102" hidden="1" x14ac:dyDescent="0.25">
      <c r="A242" s="22">
        <v>240</v>
      </c>
      <c r="B242" s="22" t="s">
        <v>127</v>
      </c>
      <c r="C242" s="22">
        <v>0</v>
      </c>
      <c r="D242" s="22" t="s">
        <v>132</v>
      </c>
      <c r="E242" s="22" t="str">
        <f t="shared" si="13"/>
        <v>F0</v>
      </c>
      <c r="F242" s="22" t="str">
        <f t="shared" si="15"/>
        <v>F0</v>
      </c>
      <c r="G242" s="22" t="str">
        <f>_xlfn.IFNA(VLOOKUP(D242,AccessModes!$D$2:$E$14,2,FALSE),"AM_IMP")</f>
        <v>AM_REL</v>
      </c>
      <c r="H242" s="22">
        <v>2</v>
      </c>
      <c r="I242" s="22">
        <v>1</v>
      </c>
      <c r="J242" s="24" t="s">
        <v>240</v>
      </c>
      <c r="K242" s="24"/>
      <c r="L242" s="24"/>
      <c r="M242" s="22" t="str">
        <f>IF(LEN(J242)&gt;0,indent&amp;J242&amp;" = "&amp;VLOOKUP($G242,AccessModes!$E$2:$I$14,4,FALSE),"")</f>
        <v xml:space="preserve">            value_w = memory_getRelativeAddress();</v>
      </c>
      <c r="N242" s="25" t="str">
        <f>indent&amp;"if(cpu.PS_Z) {"&amp;newline&amp;indent2&amp;"++cpu.cycles;"&amp;newline&amp;indent2&amp;"cpu.PC = "&amp;J242&amp;";"&amp;newline&amp;indent&amp;"}"</f>
        <v xml:space="preserve">            if(cpu.PS_Z) {
                ++cpu.cycles;
                cpu.PC = value_w;
            }</v>
      </c>
      <c r="O242" s="26" t="str">
        <f t="shared" si="14"/>
        <v/>
      </c>
      <c r="P242" s="22" t="str">
        <f>IF(LEN(L242)&gt;0,indent&amp;IF(L242="LAST",AccessModes!$I$16&amp;J242,VLOOKUP($G242,AccessModes!$E$2:$I$14,5,FALSE)&amp;L242)&amp;");","")</f>
        <v/>
      </c>
      <c r="Q242" s="22"/>
      <c r="R242" s="26" t="str">
        <f>IF(C242=0,indent0&amp;"case 0x"&amp;F242&amp;": /* "&amp;B242&amp;" "&amp;VLOOKUP(G242,AccessModes!$E$2:$G$14,3,FALSE)&amp;" */"&amp;newline&amp;indent&amp;"cpu.cycles = "&amp;H242&amp;";"&amp;newline&amp;IF(LEN(M242)&gt;0,M242&amp;CHAR(10),"")&amp;IF(LEN(N242)&gt;0,N242&amp;newline,"")&amp;IF(LEN(O242)&gt;0,O242&amp;newline,"")&amp;IF(LEN(P242)&gt;0,P242&amp;newline,"")&amp;IF(LEN(Q242)&gt;0,Q242&amp;newline,"")&amp;indent&amp;"break;",indent0&amp;"/* Illegal opcode 0x"&amp;F242&amp;": "&amp;B242&amp;" "&amp;VLOOKUP(G242,AccessModes!$E$2:$G$14,3,FALSE)&amp;" */"&amp;newline)</f>
        <v xml:space="preserve">        case 0xF0: /* BEQ aaaa */
            cpu.cycles = 2;
            value_w = memory_getRelativeAddress();
            if(cpu.PS_Z) {
                ++cpu.cycles;
                cpu.PC = value_w;
            }
            break;</v>
      </c>
      <c r="S242" s="22" t="str">
        <f t="shared" si="16"/>
        <v xml:space="preserve">    {"BEQ", false, AM_REL, 2, 1},</v>
      </c>
    </row>
    <row r="243" spans="1:19" ht="267.75" x14ac:dyDescent="0.25">
      <c r="A243" s="22">
        <v>241</v>
      </c>
      <c r="B243" s="22" t="s">
        <v>122</v>
      </c>
      <c r="C243" s="22">
        <v>0</v>
      </c>
      <c r="D243" s="22" t="s">
        <v>133</v>
      </c>
      <c r="E243" s="22" t="str">
        <f t="shared" si="13"/>
        <v>F1</v>
      </c>
      <c r="F243" s="22" t="str">
        <f t="shared" si="15"/>
        <v>F1</v>
      </c>
      <c r="G243" s="22" t="str">
        <f>_xlfn.IFNA(VLOOKUP(D243,AccessModes!$D$2:$E$14,2,FALSE),"AM_IMP")</f>
        <v>AM_IIY</v>
      </c>
      <c r="H243" s="22">
        <v>5</v>
      </c>
      <c r="I243" s="22">
        <v>1</v>
      </c>
      <c r="J243" s="22" t="str">
        <f>$J$227</f>
        <v>value</v>
      </c>
      <c r="K243" s="22" t="str">
        <f>$K$227</f>
        <v/>
      </c>
      <c r="L243" s="22" t="str">
        <f>$L$227</f>
        <v/>
      </c>
      <c r="M243" s="26" t="str">
        <f>IF(LEN(J243)&gt;0,indent&amp;J243&amp;" = "&amp;VLOOKUP($G243,AccessModes!$E$2:$I$14,4,FALSE),"")</f>
        <v xml:space="preserve">            value = memory_getIndirectIndexedY();</v>
      </c>
      <c r="N243" s="26" t="str">
        <f>$N$227</f>
        <v xml:space="preserve">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</v>
      </c>
      <c r="O243" s="26" t="str">
        <f t="shared" si="14"/>
        <v/>
      </c>
      <c r="P243" s="26" t="str">
        <f>IF(LEN(L243)&gt;0,indent&amp;IF(L243="LAST",AccessModes!$I$16&amp;J243,VLOOKUP($G243,AccessModes!$E$2:$I$14,5,FALSE)&amp;L243)&amp;");","")</f>
        <v/>
      </c>
      <c r="Q243" s="22"/>
      <c r="R243" s="26" t="str">
        <f>IF(C243=0,indent0&amp;"case 0x"&amp;F243&amp;": /* "&amp;B243&amp;" "&amp;VLOOKUP(G243,AccessModes!$E$2:$G$14,3,FALSE)&amp;" */"&amp;newline&amp;indent&amp;"cpu.cycles = "&amp;H243&amp;";"&amp;newline&amp;IF(LEN(M243)&gt;0,M243&amp;CHAR(10),"")&amp;IF(LEN(N243)&gt;0,N243&amp;newline,"")&amp;IF(LEN(O243)&gt;0,O243&amp;newline,"")&amp;IF(LEN(P243)&gt;0,P243&amp;newline,"")&amp;IF(LEN(Q243)&gt;0,Q243&amp;newline,"")&amp;indent&amp;"break;",indent0&amp;"/* Illegal opcode 0x"&amp;F243&amp;": "&amp;B243&amp;" "&amp;VLOOKUP(G243,AccessModes!$E$2:$G$14,3,FALSE)&amp;" */"&amp;newline)</f>
        <v xml:space="preserve">        case 0xF1: /* SBC (aa),Y */
            cpu.cycles = 5;
            value = memory_getIndirectIndexedY();
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            break;</v>
      </c>
      <c r="S243" s="22" t="str">
        <f t="shared" si="16"/>
        <v xml:space="preserve">    {"SBC", false, AM_IIY, 5, 1},</v>
      </c>
    </row>
    <row r="244" spans="1:19" ht="25.5" hidden="1" x14ac:dyDescent="0.25">
      <c r="A244" s="28">
        <v>242</v>
      </c>
      <c r="B244" s="28" t="s">
        <v>20</v>
      </c>
      <c r="C244" s="28">
        <v>-1</v>
      </c>
      <c r="D244" s="28"/>
      <c r="E244" s="28" t="str">
        <f t="shared" si="13"/>
        <v>F2</v>
      </c>
      <c r="F244" s="28" t="str">
        <f t="shared" si="15"/>
        <v>F2</v>
      </c>
      <c r="G244" s="28" t="str">
        <f>_xlfn.IFNA(VLOOKUP(D244,AccessModes!$D$2:$E$14,2,FALSE),"AM_IMP")</f>
        <v>AM_IMP</v>
      </c>
      <c r="H244" s="28">
        <v>0</v>
      </c>
      <c r="I244" s="28">
        <v>0</v>
      </c>
      <c r="J244" s="28"/>
      <c r="K244" s="28"/>
      <c r="L244" s="28"/>
      <c r="M244" s="28" t="str">
        <f>IF(LEN(J244)&gt;0,indent&amp;J244&amp;" = "&amp;VLOOKUP($G244,AccessModes!$E$2:$I$14,4,FALSE),"")</f>
        <v/>
      </c>
      <c r="N244" s="29" t="str">
        <f>indent&amp;"/* TODO: implementation of the action */"</f>
        <v xml:space="preserve">            /* TODO: implementation of the action */</v>
      </c>
      <c r="O244" s="29" t="str">
        <f t="shared" si="14"/>
        <v/>
      </c>
      <c r="P244" s="28" t="str">
        <f>IF(LEN(L244)&gt;0,indent&amp;IF(L244="LAST",AccessModes!$I$16&amp;J244,VLOOKUP($G244,AccessModes!$E$2:$I$14,5,FALSE)&amp;L244)&amp;");","")</f>
        <v/>
      </c>
      <c r="Q244" s="28"/>
      <c r="R244" s="29" t="str">
        <f>IF(C244=0,indent0&amp;"case 0x"&amp;F244&amp;": /* "&amp;B244&amp;" "&amp;VLOOKUP(G244,AccessModes!$E$2:$G$14,3,FALSE)&amp;" */"&amp;newline&amp;indent&amp;"cpu.cycles = "&amp;H244&amp;";"&amp;newline&amp;IF(LEN(M244)&gt;0,M244&amp;CHAR(10),"")&amp;IF(LEN(N244)&gt;0,N244&amp;newline,"")&amp;IF(LEN(O244)&gt;0,O244&amp;newline,"")&amp;IF(LEN(P244)&gt;0,P244&amp;newline,"")&amp;IF(LEN(Q244)&gt;0,Q244&amp;newline,"")&amp;indent&amp;"break;",indent0&amp;"/* Illegal opcode 0x"&amp;F244&amp;": "&amp;B244&amp;" "&amp;VLOOKUP(G244,AccessModes!$E$2:$G$14,3,FALSE)&amp;" */"&amp;newline)</f>
        <v xml:space="preserve">        /* Illegal opcode 0xF2: KIL  */
</v>
      </c>
      <c r="S244" s="28" t="str">
        <f t="shared" si="16"/>
        <v xml:space="preserve">    {"KIL", true , AM_IMP, 0, 0},</v>
      </c>
    </row>
    <row r="245" spans="1:19" ht="25.5" hidden="1" x14ac:dyDescent="0.25">
      <c r="A245" s="28">
        <v>243</v>
      </c>
      <c r="B245" s="28" t="s">
        <v>123</v>
      </c>
      <c r="C245" s="28">
        <v>-1</v>
      </c>
      <c r="D245" s="28" t="s">
        <v>133</v>
      </c>
      <c r="E245" s="28" t="str">
        <f t="shared" si="13"/>
        <v>F3</v>
      </c>
      <c r="F245" s="28" t="str">
        <f t="shared" si="15"/>
        <v>F3</v>
      </c>
      <c r="G245" s="28" t="str">
        <f>_xlfn.IFNA(VLOOKUP(D245,AccessModes!$D$2:$E$14,2,FALSE),"AM_IMP")</f>
        <v>AM_IIY</v>
      </c>
      <c r="H245" s="28">
        <v>8</v>
      </c>
      <c r="I245" s="28">
        <v>0</v>
      </c>
      <c r="J245" s="28"/>
      <c r="K245" s="28"/>
      <c r="L245" s="28"/>
      <c r="M245" s="28" t="str">
        <f>IF(LEN(J245)&gt;0,indent&amp;J245&amp;" = "&amp;VLOOKUP($G245,AccessModes!$E$2:$I$14,4,FALSE),"")</f>
        <v/>
      </c>
      <c r="N245" s="29" t="str">
        <f>indent&amp;"/* TODO: implementation of the action */"</f>
        <v xml:space="preserve">            /* TODO: implementation of the action */</v>
      </c>
      <c r="O245" s="29" t="str">
        <f t="shared" si="14"/>
        <v/>
      </c>
      <c r="P245" s="28" t="str">
        <f>IF(LEN(L245)&gt;0,indent&amp;IF(L245="LAST",AccessModes!$I$16&amp;J245,VLOOKUP($G245,AccessModes!$E$2:$I$14,5,FALSE)&amp;L245)&amp;");","")</f>
        <v/>
      </c>
      <c r="Q245" s="28"/>
      <c r="R245" s="29" t="str">
        <f>IF(C245=0,indent0&amp;"case 0x"&amp;F245&amp;": /* "&amp;B245&amp;" "&amp;VLOOKUP(G245,AccessModes!$E$2:$G$14,3,FALSE)&amp;" */"&amp;newline&amp;indent&amp;"cpu.cycles = "&amp;H245&amp;";"&amp;newline&amp;IF(LEN(M245)&gt;0,M245&amp;CHAR(10),"")&amp;IF(LEN(N245)&gt;0,N245&amp;newline,"")&amp;IF(LEN(O245)&gt;0,O245&amp;newline,"")&amp;IF(LEN(P245)&gt;0,P245&amp;newline,"")&amp;IF(LEN(Q245)&gt;0,Q245&amp;newline,"")&amp;indent&amp;"break;",indent0&amp;"/* Illegal opcode 0x"&amp;F245&amp;": "&amp;B245&amp;" "&amp;VLOOKUP(G245,AccessModes!$E$2:$G$14,3,FALSE)&amp;" */"&amp;newline)</f>
        <v xml:space="preserve">        /* Illegal opcode 0xF3: ISC (aa),Y */
</v>
      </c>
      <c r="S245" s="28" t="str">
        <f t="shared" si="16"/>
        <v xml:space="preserve">    {"ISC", true , AM_IIY, 8, 0},</v>
      </c>
    </row>
    <row r="246" spans="1:19" ht="25.5" hidden="1" x14ac:dyDescent="0.25">
      <c r="A246" s="28">
        <v>244</v>
      </c>
      <c r="B246" s="28" t="s">
        <v>23</v>
      </c>
      <c r="C246" s="28">
        <v>-1</v>
      </c>
      <c r="D246" s="28" t="s">
        <v>134</v>
      </c>
      <c r="E246" s="28" t="str">
        <f t="shared" si="13"/>
        <v>F4</v>
      </c>
      <c r="F246" s="28" t="str">
        <f t="shared" si="15"/>
        <v>F4</v>
      </c>
      <c r="G246" s="28" t="str">
        <f>_xlfn.IFNA(VLOOKUP(D246,AccessModes!$D$2:$E$14,2,FALSE),"AM_IMP")</f>
        <v>AM_ZIX</v>
      </c>
      <c r="H246" s="28">
        <v>4</v>
      </c>
      <c r="I246" s="28">
        <v>0</v>
      </c>
      <c r="J246" s="28"/>
      <c r="K246" s="28"/>
      <c r="L246" s="28"/>
      <c r="M246" s="28" t="str">
        <f>IF(LEN(J246)&gt;0,indent&amp;J246&amp;" = "&amp;VLOOKUP($G246,AccessModes!$E$2:$I$14,4,FALSE),"")</f>
        <v/>
      </c>
      <c r="N246" s="29" t="str">
        <f>indent&amp;"/* TODO: implementation of the action */"</f>
        <v xml:space="preserve">            /* TODO: implementation of the action */</v>
      </c>
      <c r="O246" s="29" t="str">
        <f t="shared" si="14"/>
        <v/>
      </c>
      <c r="P246" s="28" t="str">
        <f>IF(LEN(L246)&gt;0,indent&amp;IF(L246="LAST",AccessModes!$I$16&amp;J246,VLOOKUP($G246,AccessModes!$E$2:$I$14,5,FALSE)&amp;L246)&amp;");","")</f>
        <v/>
      </c>
      <c r="Q246" s="28"/>
      <c r="R246" s="29" t="str">
        <f>IF(C246=0,indent0&amp;"case 0x"&amp;F246&amp;": /* "&amp;B246&amp;" "&amp;VLOOKUP(G246,AccessModes!$E$2:$G$14,3,FALSE)&amp;" */"&amp;newline&amp;indent&amp;"cpu.cycles = "&amp;H246&amp;";"&amp;newline&amp;IF(LEN(M246)&gt;0,M246&amp;CHAR(10),"")&amp;IF(LEN(N246)&gt;0,N246&amp;newline,"")&amp;IF(LEN(O246)&gt;0,O246&amp;newline,"")&amp;IF(LEN(P246)&gt;0,P246&amp;newline,"")&amp;IF(LEN(Q246)&gt;0,Q246&amp;newline,"")&amp;indent&amp;"break;",indent0&amp;"/* Illegal opcode 0x"&amp;F246&amp;": "&amp;B246&amp;" "&amp;VLOOKUP(G246,AccessModes!$E$2:$G$14,3,FALSE)&amp;" */"&amp;newline)</f>
        <v xml:space="preserve">        /* Illegal opcode 0xF4: NOP aa,X */
</v>
      </c>
      <c r="S246" s="28" t="str">
        <f t="shared" si="16"/>
        <v xml:space="preserve">    {"NOP", true , AM_ZIX, 4, 0},</v>
      </c>
    </row>
    <row r="247" spans="1:19" ht="267.75" x14ac:dyDescent="0.25">
      <c r="A247" s="22">
        <v>245</v>
      </c>
      <c r="B247" s="22" t="s">
        <v>122</v>
      </c>
      <c r="C247" s="22">
        <v>0</v>
      </c>
      <c r="D247" s="22" t="s">
        <v>134</v>
      </c>
      <c r="E247" s="22" t="str">
        <f t="shared" si="13"/>
        <v>F5</v>
      </c>
      <c r="F247" s="22" t="str">
        <f t="shared" si="15"/>
        <v>F5</v>
      </c>
      <c r="G247" s="22" t="str">
        <f>_xlfn.IFNA(VLOOKUP(D247,AccessModes!$D$2:$E$14,2,FALSE),"AM_IMP")</f>
        <v>AM_ZIX</v>
      </c>
      <c r="H247" s="22">
        <v>4</v>
      </c>
      <c r="I247" s="22">
        <v>0</v>
      </c>
      <c r="J247" s="22" t="str">
        <f>$J$227</f>
        <v>value</v>
      </c>
      <c r="K247" s="22" t="str">
        <f>$K$227</f>
        <v/>
      </c>
      <c r="L247" s="22" t="str">
        <f>$L$227</f>
        <v/>
      </c>
      <c r="M247" s="26" t="str">
        <f>IF(LEN(J247)&gt;0,indent&amp;J247&amp;" = "&amp;VLOOKUP($G247,AccessModes!$E$2:$I$14,4,FALSE),"")</f>
        <v xml:space="preserve">            value = memory_getZeroPageIndexedX();</v>
      </c>
      <c r="N247" s="26" t="str">
        <f>$N$227</f>
        <v xml:space="preserve">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</v>
      </c>
      <c r="O247" s="26" t="str">
        <f t="shared" si="14"/>
        <v/>
      </c>
      <c r="P247" s="26" t="str">
        <f>IF(LEN(L247)&gt;0,indent&amp;IF(L247="LAST",AccessModes!$I$16&amp;J247,VLOOKUP($G247,AccessModes!$E$2:$I$14,5,FALSE)&amp;L247)&amp;");","")</f>
        <v/>
      </c>
      <c r="Q247" s="22"/>
      <c r="R247" s="26" t="str">
        <f>IF(C247=0,indent0&amp;"case 0x"&amp;F247&amp;": /* "&amp;B247&amp;" "&amp;VLOOKUP(G247,AccessModes!$E$2:$G$14,3,FALSE)&amp;" */"&amp;newline&amp;indent&amp;"cpu.cycles = "&amp;H247&amp;";"&amp;newline&amp;IF(LEN(M247)&gt;0,M247&amp;CHAR(10),"")&amp;IF(LEN(N247)&gt;0,N247&amp;newline,"")&amp;IF(LEN(O247)&gt;0,O247&amp;newline,"")&amp;IF(LEN(P247)&gt;0,P247&amp;newline,"")&amp;IF(LEN(Q247)&gt;0,Q247&amp;newline,"")&amp;indent&amp;"break;",indent0&amp;"/* Illegal opcode 0x"&amp;F247&amp;": "&amp;B247&amp;" "&amp;VLOOKUP(G247,AccessModes!$E$2:$G$14,3,FALSE)&amp;" */"&amp;newline)</f>
        <v xml:space="preserve">        case 0xF5: /* SBC aa,X */
            cpu.cycles = 4;
            value = memory_getZeroPageIndexedX();
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            break;</v>
      </c>
      <c r="S247" s="22" t="str">
        <f t="shared" si="16"/>
        <v xml:space="preserve">    {"SBC", false, AM_ZIX, 4, 0},</v>
      </c>
    </row>
    <row r="248" spans="1:19" ht="102" hidden="1" x14ac:dyDescent="0.25">
      <c r="A248" s="22">
        <v>246</v>
      </c>
      <c r="B248" s="22" t="s">
        <v>124</v>
      </c>
      <c r="C248" s="22">
        <v>0</v>
      </c>
      <c r="D248" s="22" t="s">
        <v>134</v>
      </c>
      <c r="E248" s="22" t="str">
        <f t="shared" si="13"/>
        <v>F6</v>
      </c>
      <c r="F248" s="22" t="str">
        <f t="shared" si="15"/>
        <v>F6</v>
      </c>
      <c r="G248" s="22" t="str">
        <f>_xlfn.IFNA(VLOOKUP(D248,AccessModes!$D$2:$E$14,2,FALSE),"AM_IMP")</f>
        <v>AM_ZIX</v>
      </c>
      <c r="H248" s="22">
        <v>6</v>
      </c>
      <c r="I248" s="22">
        <v>0</v>
      </c>
      <c r="J248" s="22" t="str">
        <f>$J$200</f>
        <v>value</v>
      </c>
      <c r="K248" s="22" t="str">
        <f>$K$200</f>
        <v>value</v>
      </c>
      <c r="L248" s="22" t="str">
        <f>$L$200</f>
        <v>LAST</v>
      </c>
      <c r="M248" s="22" t="str">
        <f>IF(LEN(J248)&gt;0,indent&amp;J248&amp;" = "&amp;VLOOKUP($G248,AccessModes!$E$2:$I$14,4,FALSE),"")</f>
        <v xml:space="preserve">            value = memory_getZeroPageIndexedX();</v>
      </c>
      <c r="N248" s="26" t="str">
        <f>$N$232</f>
        <v xml:space="preserve">            ++value;</v>
      </c>
      <c r="O248" s="26" t="str">
        <f t="shared" si="14"/>
        <v xml:space="preserve">            cpu.PS_N = ((value &amp; 0x80) != 0);
            cpu.PS_Z = (value == 0);</v>
      </c>
      <c r="P248" s="22" t="str">
        <f>IF(LEN(L248)&gt;0,indent&amp;IF(L248="LAST",AccessModes!$I$16&amp;J248,VLOOKUP($G248,AccessModes!$E$2:$I$14,5,FALSE)&amp;L248)&amp;");","")</f>
        <v xml:space="preserve">            memory_setLast(value);</v>
      </c>
      <c r="Q248" s="22"/>
      <c r="R248" s="26" t="str">
        <f>IF(C248=0,indent0&amp;"case 0x"&amp;F248&amp;": /* "&amp;B248&amp;" "&amp;VLOOKUP(G248,AccessModes!$E$2:$G$14,3,FALSE)&amp;" */"&amp;newline&amp;indent&amp;"cpu.cycles = "&amp;H248&amp;";"&amp;newline&amp;IF(LEN(M248)&gt;0,M248&amp;CHAR(10),"")&amp;IF(LEN(N248)&gt;0,N248&amp;newline,"")&amp;IF(LEN(O248)&gt;0,O248&amp;newline,"")&amp;IF(LEN(P248)&gt;0,P248&amp;newline,"")&amp;IF(LEN(Q248)&gt;0,Q248&amp;newline,"")&amp;indent&amp;"break;",indent0&amp;"/* Illegal opcode 0x"&amp;F248&amp;": "&amp;B248&amp;" "&amp;VLOOKUP(G248,AccessModes!$E$2:$G$14,3,FALSE)&amp;" */"&amp;newline)</f>
        <v xml:space="preserve">        case 0xF6: /* INC aa,X */
            cpu.cycles = 6;
            value = memory_getZeroPageIndexedX();
            ++value;
            cpu.PS_N = ((value &amp; 0x80) != 0);
            cpu.PS_Z = (value == 0);
            memory_setLast(value);
            break;</v>
      </c>
      <c r="S248" s="22" t="str">
        <f t="shared" si="16"/>
        <v xml:space="preserve">    {"INC", false, AM_ZIX, 6, 0},</v>
      </c>
    </row>
    <row r="249" spans="1:19" ht="25.5" hidden="1" x14ac:dyDescent="0.25">
      <c r="A249" s="28">
        <v>247</v>
      </c>
      <c r="B249" s="28" t="s">
        <v>123</v>
      </c>
      <c r="C249" s="28">
        <v>-1</v>
      </c>
      <c r="D249" s="28" t="s">
        <v>134</v>
      </c>
      <c r="E249" s="28" t="str">
        <f t="shared" si="13"/>
        <v>F7</v>
      </c>
      <c r="F249" s="28" t="str">
        <f t="shared" si="15"/>
        <v>F7</v>
      </c>
      <c r="G249" s="28" t="str">
        <f>_xlfn.IFNA(VLOOKUP(D249,AccessModes!$D$2:$E$14,2,FALSE),"AM_IMP")</f>
        <v>AM_ZIX</v>
      </c>
      <c r="H249" s="28">
        <v>6</v>
      </c>
      <c r="I249" s="28">
        <v>0</v>
      </c>
      <c r="J249" s="28"/>
      <c r="K249" s="28"/>
      <c r="L249" s="28"/>
      <c r="M249" s="28" t="str">
        <f>IF(LEN(J249)&gt;0,indent&amp;J249&amp;" = "&amp;VLOOKUP($G249,AccessModes!$E$2:$I$14,4,FALSE),"")</f>
        <v/>
      </c>
      <c r="N249" s="29" t="str">
        <f>indent&amp;"/* TODO: implementation of the action */"</f>
        <v xml:space="preserve">            /* TODO: implementation of the action */</v>
      </c>
      <c r="O249" s="29" t="str">
        <f t="shared" si="14"/>
        <v/>
      </c>
      <c r="P249" s="28" t="str">
        <f>IF(LEN(L249)&gt;0,indent&amp;IF(L249="LAST",AccessModes!$I$16&amp;J249,VLOOKUP($G249,AccessModes!$E$2:$I$14,5,FALSE)&amp;L249)&amp;");","")</f>
        <v/>
      </c>
      <c r="Q249" s="28"/>
      <c r="R249" s="29" t="str">
        <f>IF(C249=0,indent0&amp;"case 0x"&amp;F249&amp;": /* "&amp;B249&amp;" "&amp;VLOOKUP(G249,AccessModes!$E$2:$G$14,3,FALSE)&amp;" */"&amp;newline&amp;indent&amp;"cpu.cycles = "&amp;H249&amp;";"&amp;newline&amp;IF(LEN(M249)&gt;0,M249&amp;CHAR(10),"")&amp;IF(LEN(N249)&gt;0,N249&amp;newline,"")&amp;IF(LEN(O249)&gt;0,O249&amp;newline,"")&amp;IF(LEN(P249)&gt;0,P249&amp;newline,"")&amp;IF(LEN(Q249)&gt;0,Q249&amp;newline,"")&amp;indent&amp;"break;",indent0&amp;"/* Illegal opcode 0x"&amp;F249&amp;": "&amp;B249&amp;" "&amp;VLOOKUP(G249,AccessModes!$E$2:$G$14,3,FALSE)&amp;" */"&amp;newline)</f>
        <v xml:space="preserve">        /* Illegal opcode 0xF7: ISC aa,X */
</v>
      </c>
      <c r="S249" s="28" t="str">
        <f t="shared" si="16"/>
        <v xml:space="preserve">    {"ISC", true , AM_ZIX, 6, 0},</v>
      </c>
    </row>
    <row r="250" spans="1:19" ht="51" hidden="1" x14ac:dyDescent="0.25">
      <c r="A250" s="22">
        <v>248</v>
      </c>
      <c r="B250" s="22" t="s">
        <v>128</v>
      </c>
      <c r="C250" s="22">
        <v>0</v>
      </c>
      <c r="D250" s="22" t="s">
        <v>139</v>
      </c>
      <c r="E250" s="22" t="str">
        <f t="shared" si="13"/>
        <v>F8</v>
      </c>
      <c r="F250" s="22" t="str">
        <f t="shared" si="15"/>
        <v>F8</v>
      </c>
      <c r="G250" s="22" t="str">
        <f>_xlfn.IFNA(VLOOKUP(D250,AccessModes!$D$2:$E$14,2,FALSE),"AM_IMP")</f>
        <v>AM_IMP</v>
      </c>
      <c r="H250" s="22">
        <v>2</v>
      </c>
      <c r="I250" s="22">
        <v>0</v>
      </c>
      <c r="J250" s="24"/>
      <c r="K250" s="24"/>
      <c r="L250" s="24"/>
      <c r="M250" s="22" t="str">
        <f>IF(LEN(J250)&gt;0,indent&amp;J250&amp;" = "&amp;VLOOKUP($G250,AccessModes!$E$2:$I$14,4,FALSE),"")</f>
        <v/>
      </c>
      <c r="N250" s="25" t="str">
        <f>indent&amp;"cpu.PS_D = true;"</f>
        <v xml:space="preserve">            cpu.PS_D = true;</v>
      </c>
      <c r="O250" s="26" t="str">
        <f t="shared" si="14"/>
        <v/>
      </c>
      <c r="P250" s="22" t="str">
        <f>IF(LEN(L250)&gt;0,indent&amp;IF(L250="LAST",AccessModes!$I$16&amp;J250,VLOOKUP($G250,AccessModes!$E$2:$I$14,5,FALSE)&amp;L250)&amp;");","")</f>
        <v/>
      </c>
      <c r="Q250" s="22"/>
      <c r="R250" s="26" t="str">
        <f>IF(C250=0,indent0&amp;"case 0x"&amp;F250&amp;": /* "&amp;B250&amp;" "&amp;VLOOKUP(G250,AccessModes!$E$2:$G$14,3,FALSE)&amp;" */"&amp;newline&amp;indent&amp;"cpu.cycles = "&amp;H250&amp;";"&amp;newline&amp;IF(LEN(M250)&gt;0,M250&amp;CHAR(10),"")&amp;IF(LEN(N250)&gt;0,N250&amp;newline,"")&amp;IF(LEN(O250)&gt;0,O250&amp;newline,"")&amp;IF(LEN(P250)&gt;0,P250&amp;newline,"")&amp;IF(LEN(Q250)&gt;0,Q250&amp;newline,"")&amp;indent&amp;"break;",indent0&amp;"/* Illegal opcode 0x"&amp;F250&amp;": "&amp;B250&amp;" "&amp;VLOOKUP(G250,AccessModes!$E$2:$G$14,3,FALSE)&amp;" */"&amp;newline)</f>
        <v xml:space="preserve">        case 0xF8: /* SED  */
            cpu.cycles = 2;
            cpu.PS_D = true;
            break;</v>
      </c>
      <c r="S250" s="22" t="str">
        <f t="shared" si="16"/>
        <v xml:space="preserve">    {"SED", false, AM_IMP, 2, 0},</v>
      </c>
    </row>
    <row r="251" spans="1:19" ht="267.75" x14ac:dyDescent="0.25">
      <c r="A251" s="22">
        <v>249</v>
      </c>
      <c r="B251" s="22" t="s">
        <v>122</v>
      </c>
      <c r="C251" s="22">
        <v>0</v>
      </c>
      <c r="D251" s="22" t="s">
        <v>135</v>
      </c>
      <c r="E251" s="22" t="str">
        <f t="shared" si="13"/>
        <v>F9</v>
      </c>
      <c r="F251" s="22" t="str">
        <f t="shared" si="15"/>
        <v>F9</v>
      </c>
      <c r="G251" s="22" t="str">
        <f>_xlfn.IFNA(VLOOKUP(D251,AccessModes!$D$2:$E$14,2,FALSE),"AM_IMP")</f>
        <v>AM_AIY</v>
      </c>
      <c r="H251" s="22">
        <v>4</v>
      </c>
      <c r="I251" s="22">
        <v>1</v>
      </c>
      <c r="J251" s="22" t="str">
        <f>$J$227</f>
        <v>value</v>
      </c>
      <c r="K251" s="22" t="str">
        <f>$K$227</f>
        <v/>
      </c>
      <c r="L251" s="22" t="str">
        <f>$L$227</f>
        <v/>
      </c>
      <c r="M251" s="26" t="str">
        <f>IF(LEN(J251)&gt;0,indent&amp;J251&amp;" = "&amp;VLOOKUP($G251,AccessModes!$E$2:$I$14,4,FALSE),"")</f>
        <v xml:space="preserve">            value = memory_getAbsoluteIndexedY();</v>
      </c>
      <c r="N251" s="26" t="str">
        <f>$N$227</f>
        <v xml:space="preserve">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</v>
      </c>
      <c r="O251" s="26" t="str">
        <f t="shared" si="14"/>
        <v/>
      </c>
      <c r="P251" s="26" t="str">
        <f>IF(LEN(L251)&gt;0,indent&amp;IF(L251="LAST",AccessModes!$I$16&amp;J251,VLOOKUP($G251,AccessModes!$E$2:$I$14,5,FALSE)&amp;L251)&amp;");","")</f>
        <v/>
      </c>
      <c r="Q251" s="22"/>
      <c r="R251" s="26" t="str">
        <f>IF(C251=0,indent0&amp;"case 0x"&amp;F251&amp;": /* "&amp;B251&amp;" "&amp;VLOOKUP(G251,AccessModes!$E$2:$G$14,3,FALSE)&amp;" */"&amp;newline&amp;indent&amp;"cpu.cycles = "&amp;H251&amp;";"&amp;newline&amp;IF(LEN(M251)&gt;0,M251&amp;CHAR(10),"")&amp;IF(LEN(N251)&gt;0,N251&amp;newline,"")&amp;IF(LEN(O251)&gt;0,O251&amp;newline,"")&amp;IF(LEN(P251)&gt;0,P251&amp;newline,"")&amp;IF(LEN(Q251)&gt;0,Q251&amp;newline,"")&amp;indent&amp;"break;",indent0&amp;"/* Illegal opcode 0x"&amp;F251&amp;": "&amp;B251&amp;" "&amp;VLOOKUP(G251,AccessModes!$E$2:$G$14,3,FALSE)&amp;" */"&amp;newline)</f>
        <v xml:space="preserve">        case 0xF9: /* SBC aaaa,Y */
            cpu.cycles = 4;
            value = memory_getAbsoluteIndexedY();
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            break;</v>
      </c>
      <c r="S251" s="22" t="str">
        <f t="shared" si="16"/>
        <v xml:space="preserve">    {"SBC", false, AM_AIY, 4, 1},</v>
      </c>
    </row>
    <row r="252" spans="1:19" ht="25.5" hidden="1" x14ac:dyDescent="0.25">
      <c r="A252" s="28">
        <v>250</v>
      </c>
      <c r="B252" s="28" t="s">
        <v>23</v>
      </c>
      <c r="C252" s="28">
        <v>-1</v>
      </c>
      <c r="D252" s="28" t="s">
        <v>139</v>
      </c>
      <c r="E252" s="28" t="str">
        <f t="shared" si="13"/>
        <v>FA</v>
      </c>
      <c r="F252" s="28" t="str">
        <f t="shared" si="15"/>
        <v>FA</v>
      </c>
      <c r="G252" s="28" t="str">
        <f>_xlfn.IFNA(VLOOKUP(D252,AccessModes!$D$2:$E$14,2,FALSE),"AM_IMP")</f>
        <v>AM_IMP</v>
      </c>
      <c r="H252" s="28">
        <v>2</v>
      </c>
      <c r="I252" s="28">
        <v>0</v>
      </c>
      <c r="J252" s="28"/>
      <c r="K252" s="28"/>
      <c r="L252" s="28"/>
      <c r="M252" s="28" t="str">
        <f>IF(LEN(J252)&gt;0,indent&amp;J252&amp;" = "&amp;VLOOKUP($G252,AccessModes!$E$2:$I$14,4,FALSE),"")</f>
        <v/>
      </c>
      <c r="N252" s="29" t="str">
        <f>indent&amp;"/* TODO: implementation of the action */"</f>
        <v xml:space="preserve">            /* TODO: implementation of the action */</v>
      </c>
      <c r="O252" s="29" t="str">
        <f t="shared" si="14"/>
        <v/>
      </c>
      <c r="P252" s="28" t="str">
        <f>IF(LEN(L252)&gt;0,indent&amp;IF(L252="LAST",AccessModes!$I$16&amp;J252,VLOOKUP($G252,AccessModes!$E$2:$I$14,5,FALSE)&amp;L252)&amp;");","")</f>
        <v/>
      </c>
      <c r="Q252" s="28"/>
      <c r="R252" s="29" t="str">
        <f>IF(C252=0,indent0&amp;"case 0x"&amp;F252&amp;": /* "&amp;B252&amp;" "&amp;VLOOKUP(G252,AccessModes!$E$2:$G$14,3,FALSE)&amp;" */"&amp;newline&amp;indent&amp;"cpu.cycles = "&amp;H252&amp;";"&amp;newline&amp;IF(LEN(M252)&gt;0,M252&amp;CHAR(10),"")&amp;IF(LEN(N252)&gt;0,N252&amp;newline,"")&amp;IF(LEN(O252)&gt;0,O252&amp;newline,"")&amp;IF(LEN(P252)&gt;0,P252&amp;newline,"")&amp;IF(LEN(Q252)&gt;0,Q252&amp;newline,"")&amp;indent&amp;"break;",indent0&amp;"/* Illegal opcode 0x"&amp;F252&amp;": "&amp;B252&amp;" "&amp;VLOOKUP(G252,AccessModes!$E$2:$G$14,3,FALSE)&amp;" */"&amp;newline)</f>
        <v xml:space="preserve">        /* Illegal opcode 0xFA: NOP  */
</v>
      </c>
      <c r="S252" s="28" t="str">
        <f t="shared" si="16"/>
        <v xml:space="preserve">    {"NOP", true , AM_IMP, 2, 0},</v>
      </c>
    </row>
    <row r="253" spans="1:19" ht="25.5" hidden="1" x14ac:dyDescent="0.25">
      <c r="A253" s="28">
        <v>251</v>
      </c>
      <c r="B253" s="28" t="s">
        <v>123</v>
      </c>
      <c r="C253" s="28">
        <v>-1</v>
      </c>
      <c r="D253" s="28" t="s">
        <v>135</v>
      </c>
      <c r="E253" s="28" t="str">
        <f t="shared" si="13"/>
        <v>FB</v>
      </c>
      <c r="F253" s="28" t="str">
        <f t="shared" si="15"/>
        <v>FB</v>
      </c>
      <c r="G253" s="28" t="str">
        <f>_xlfn.IFNA(VLOOKUP(D253,AccessModes!$D$2:$E$14,2,FALSE),"AM_IMP")</f>
        <v>AM_AIY</v>
      </c>
      <c r="H253" s="28">
        <v>7</v>
      </c>
      <c r="I253" s="28">
        <v>0</v>
      </c>
      <c r="J253" s="28"/>
      <c r="K253" s="28"/>
      <c r="L253" s="28"/>
      <c r="M253" s="28" t="str">
        <f>IF(LEN(J253)&gt;0,indent&amp;J253&amp;" = "&amp;VLOOKUP($G253,AccessModes!$E$2:$I$14,4,FALSE),"")</f>
        <v/>
      </c>
      <c r="N253" s="29" t="str">
        <f>indent&amp;"/* TODO: implementation of the action */"</f>
        <v xml:space="preserve">            /* TODO: implementation of the action */</v>
      </c>
      <c r="O253" s="29" t="str">
        <f t="shared" si="14"/>
        <v/>
      </c>
      <c r="P253" s="28" t="str">
        <f>IF(LEN(L253)&gt;0,indent&amp;IF(L253="LAST",AccessModes!$I$16&amp;J253,VLOOKUP($G253,AccessModes!$E$2:$I$14,5,FALSE)&amp;L253)&amp;");","")</f>
        <v/>
      </c>
      <c r="Q253" s="28"/>
      <c r="R253" s="29" t="str">
        <f>IF(C253=0,indent0&amp;"case 0x"&amp;F253&amp;": /* "&amp;B253&amp;" "&amp;VLOOKUP(G253,AccessModes!$E$2:$G$14,3,FALSE)&amp;" */"&amp;newline&amp;indent&amp;"cpu.cycles = "&amp;H253&amp;";"&amp;newline&amp;IF(LEN(M253)&gt;0,M253&amp;CHAR(10),"")&amp;IF(LEN(N253)&gt;0,N253&amp;newline,"")&amp;IF(LEN(O253)&gt;0,O253&amp;newline,"")&amp;IF(LEN(P253)&gt;0,P253&amp;newline,"")&amp;IF(LEN(Q253)&gt;0,Q253&amp;newline,"")&amp;indent&amp;"break;",indent0&amp;"/* Illegal opcode 0x"&amp;F253&amp;": "&amp;B253&amp;" "&amp;VLOOKUP(G253,AccessModes!$E$2:$G$14,3,FALSE)&amp;" */"&amp;newline)</f>
        <v xml:space="preserve">        /* Illegal opcode 0xFB: ISC aaaa,Y */
</v>
      </c>
      <c r="S253" s="28" t="str">
        <f t="shared" si="16"/>
        <v xml:space="preserve">    {"ISC", true , AM_AIY, 7, 0},</v>
      </c>
    </row>
    <row r="254" spans="1:19" ht="25.5" hidden="1" x14ac:dyDescent="0.25">
      <c r="A254" s="28">
        <v>252</v>
      </c>
      <c r="B254" s="28" t="s">
        <v>23</v>
      </c>
      <c r="C254" s="28">
        <v>-1</v>
      </c>
      <c r="D254" s="28" t="s">
        <v>136</v>
      </c>
      <c r="E254" s="28" t="str">
        <f t="shared" si="13"/>
        <v>FC</v>
      </c>
      <c r="F254" s="28" t="str">
        <f t="shared" si="15"/>
        <v>FC</v>
      </c>
      <c r="G254" s="28" t="str">
        <f>_xlfn.IFNA(VLOOKUP(D254,AccessModes!$D$2:$E$14,2,FALSE),"AM_IMP")</f>
        <v>AM_AIX</v>
      </c>
      <c r="H254" s="28">
        <v>4</v>
      </c>
      <c r="I254" s="28">
        <v>1</v>
      </c>
      <c r="J254" s="28"/>
      <c r="K254" s="28"/>
      <c r="L254" s="28"/>
      <c r="M254" s="28" t="str">
        <f>IF(LEN(J254)&gt;0,indent&amp;J254&amp;" = "&amp;VLOOKUP($G254,AccessModes!$E$2:$I$14,4,FALSE),"")</f>
        <v/>
      </c>
      <c r="N254" s="29" t="str">
        <f>indent&amp;"/* TODO: implementation of the action */"</f>
        <v xml:space="preserve">            /* TODO: implementation of the action */</v>
      </c>
      <c r="O254" s="29" t="str">
        <f t="shared" si="14"/>
        <v/>
      </c>
      <c r="P254" s="28" t="str">
        <f>IF(LEN(L254)&gt;0,indent&amp;IF(L254="LAST",AccessModes!$I$16&amp;J254,VLOOKUP($G254,AccessModes!$E$2:$I$14,5,FALSE)&amp;L254)&amp;");","")</f>
        <v/>
      </c>
      <c r="Q254" s="28"/>
      <c r="R254" s="29" t="str">
        <f>IF(C254=0,indent0&amp;"case 0x"&amp;F254&amp;": /* "&amp;B254&amp;" "&amp;VLOOKUP(G254,AccessModes!$E$2:$G$14,3,FALSE)&amp;" */"&amp;newline&amp;indent&amp;"cpu.cycles = "&amp;H254&amp;";"&amp;newline&amp;IF(LEN(M254)&gt;0,M254&amp;CHAR(10),"")&amp;IF(LEN(N254)&gt;0,N254&amp;newline,"")&amp;IF(LEN(O254)&gt;0,O254&amp;newline,"")&amp;IF(LEN(P254)&gt;0,P254&amp;newline,"")&amp;IF(LEN(Q254)&gt;0,Q254&amp;newline,"")&amp;indent&amp;"break;",indent0&amp;"/* Illegal opcode 0x"&amp;F254&amp;": "&amp;B254&amp;" "&amp;VLOOKUP(G254,AccessModes!$E$2:$G$14,3,FALSE)&amp;" */"&amp;newline)</f>
        <v xml:space="preserve">        /* Illegal opcode 0xFC: NOP aaaa,X */
</v>
      </c>
      <c r="S254" s="28" t="str">
        <f t="shared" si="16"/>
        <v xml:space="preserve">    {"NOP", true , AM_AIX, 4, 1},</v>
      </c>
    </row>
    <row r="255" spans="1:19" ht="267.75" x14ac:dyDescent="0.25">
      <c r="A255" s="22">
        <v>253</v>
      </c>
      <c r="B255" s="22" t="s">
        <v>122</v>
      </c>
      <c r="C255" s="22">
        <v>0</v>
      </c>
      <c r="D255" s="22" t="s">
        <v>136</v>
      </c>
      <c r="E255" s="22" t="str">
        <f t="shared" si="13"/>
        <v>FD</v>
      </c>
      <c r="F255" s="22" t="str">
        <f t="shared" si="15"/>
        <v>FD</v>
      </c>
      <c r="G255" s="22" t="str">
        <f>_xlfn.IFNA(VLOOKUP(D255,AccessModes!$D$2:$E$14,2,FALSE),"AM_IMP")</f>
        <v>AM_AIX</v>
      </c>
      <c r="H255" s="22">
        <v>4</v>
      </c>
      <c r="I255" s="22">
        <v>1</v>
      </c>
      <c r="J255" s="22" t="str">
        <f>$J$227</f>
        <v>value</v>
      </c>
      <c r="K255" s="22" t="str">
        <f>$K$227</f>
        <v/>
      </c>
      <c r="L255" s="22" t="str">
        <f>$L$227</f>
        <v/>
      </c>
      <c r="M255" s="26" t="str">
        <f>IF(LEN(J255)&gt;0,indent&amp;J255&amp;" = "&amp;VLOOKUP($G255,AccessModes!$E$2:$I$14,4,FALSE),"")</f>
        <v xml:space="preserve">            value = memory_getAbsoluteIndexedX();</v>
      </c>
      <c r="N255" s="26" t="str">
        <f>$N$227</f>
        <v xml:space="preserve">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</v>
      </c>
      <c r="O255" s="26" t="str">
        <f t="shared" si="14"/>
        <v/>
      </c>
      <c r="P255" s="26" t="str">
        <f>IF(LEN(L255)&gt;0,indent&amp;IF(L255="LAST",AccessModes!$I$16&amp;J255,VLOOKUP($G255,AccessModes!$E$2:$I$14,5,FALSE)&amp;L255)&amp;");","")</f>
        <v/>
      </c>
      <c r="Q255" s="22"/>
      <c r="R255" s="26" t="str">
        <f>IF(C255=0,indent0&amp;"case 0x"&amp;F255&amp;": /* "&amp;B255&amp;" "&amp;VLOOKUP(G255,AccessModes!$E$2:$G$14,3,FALSE)&amp;" */"&amp;newline&amp;indent&amp;"cpu.cycles = "&amp;H255&amp;";"&amp;newline&amp;IF(LEN(M255)&gt;0,M255&amp;CHAR(10),"")&amp;IF(LEN(N255)&gt;0,N255&amp;newline,"")&amp;IF(LEN(O255)&gt;0,O255&amp;newline,"")&amp;IF(LEN(P255)&gt;0,P255&amp;newline,"")&amp;IF(LEN(Q255)&gt;0,Q255&amp;newline,"")&amp;indent&amp;"break;",indent0&amp;"/* Illegal opcode 0x"&amp;F255&amp;": "&amp;B255&amp;" "&amp;VLOOKUP(G255,AccessModes!$E$2:$G$14,3,FALSE)&amp;" */"&amp;newline)</f>
        <v xml:space="preserve">        case 0xFD: /* SBC aaaa,X */
            cpu.cycles = 4;
            value = memory_getAbsoluteIndexedX();
            value_w = cpu.A - value - (cpu.PS_C ? 0 : 1);
            cpu.PS_N = ((value_w &amp; 0x80) != 0);
             cpu.PS_V = ((cpu.A ^ value_w) &amp; 0x80) &amp;&amp; !((cpu.A ^ value) &amp; 0x80);
            cpu.PS_Z = (value_w == 0);
            cpu.PS_C = (value_w &lt; 0x100);
            if(cpu.PS_D) {
                value_w2 = (cpu.A &amp; 0x0F) - (value &amp; 0x0F) + (cpu.PS_C ? 0 : 1);
                if(value_w2 &amp; 0x8000)
                    value_w = ((value_w - 0x06) &amp; 0x0F) - 0x10;
                value_w2 += (cpu.A &amp; 0xF0) - (value &amp; 0xF0);
                if(value_w2 &amp; 0x8000)
                    value_w -= 0x60;
                cpu.A = (byte)(value_w2 &amp; 0xFF);
            } else
                cpu.A = (byte)(value_w &amp; 0xFF);
            break;</v>
      </c>
      <c r="S255" s="22" t="str">
        <f t="shared" si="16"/>
        <v xml:space="preserve">    {"SBC", false, AM_AIX, 4, 1},</v>
      </c>
    </row>
    <row r="256" spans="1:19" ht="102" hidden="1" x14ac:dyDescent="0.25">
      <c r="A256" s="22">
        <v>254</v>
      </c>
      <c r="B256" s="22" t="s">
        <v>124</v>
      </c>
      <c r="C256" s="22">
        <v>0</v>
      </c>
      <c r="D256" s="22" t="s">
        <v>136</v>
      </c>
      <c r="E256" s="22" t="str">
        <f t="shared" si="13"/>
        <v>FE</v>
      </c>
      <c r="F256" s="22" t="str">
        <f t="shared" si="15"/>
        <v>FE</v>
      </c>
      <c r="G256" s="22" t="str">
        <f>_xlfn.IFNA(VLOOKUP(D256,AccessModes!$D$2:$E$14,2,FALSE),"AM_IMP")</f>
        <v>AM_AIX</v>
      </c>
      <c r="H256" s="22">
        <v>7</v>
      </c>
      <c r="I256" s="22">
        <v>0</v>
      </c>
      <c r="J256" s="22" t="str">
        <f>$J$200</f>
        <v>value</v>
      </c>
      <c r="K256" s="22" t="str">
        <f>$K$200</f>
        <v>value</v>
      </c>
      <c r="L256" s="22" t="str">
        <f>$L$200</f>
        <v>LAST</v>
      </c>
      <c r="M256" s="22" t="str">
        <f>IF(LEN(J256)&gt;0,indent&amp;J256&amp;" = "&amp;VLOOKUP($G256,AccessModes!$E$2:$I$14,4,FALSE),"")</f>
        <v xml:space="preserve">            value = memory_getAbsoluteIndexedX();</v>
      </c>
      <c r="N256" s="26" t="str">
        <f>$N$232</f>
        <v xml:space="preserve">            ++value;</v>
      </c>
      <c r="O256" s="26" t="str">
        <f t="shared" si="14"/>
        <v xml:space="preserve">            cpu.PS_N = ((value &amp; 0x80) != 0);
            cpu.PS_Z = (value == 0);</v>
      </c>
      <c r="P256" s="22" t="str">
        <f>IF(LEN(L256)&gt;0,indent&amp;IF(L256="LAST",AccessModes!$I$16&amp;J256,VLOOKUP($G256,AccessModes!$E$2:$I$14,5,FALSE)&amp;L256)&amp;");","")</f>
        <v xml:space="preserve">            memory_setLast(value);</v>
      </c>
      <c r="Q256" s="22"/>
      <c r="R256" s="26" t="str">
        <f>IF(C256=0,indent0&amp;"case 0x"&amp;F256&amp;": /* "&amp;B256&amp;" "&amp;VLOOKUP(G256,AccessModes!$E$2:$G$14,3,FALSE)&amp;" */"&amp;newline&amp;indent&amp;"cpu.cycles = "&amp;H256&amp;";"&amp;newline&amp;IF(LEN(M256)&gt;0,M256&amp;CHAR(10),"")&amp;IF(LEN(N256)&gt;0,N256&amp;newline,"")&amp;IF(LEN(O256)&gt;0,O256&amp;newline,"")&amp;IF(LEN(P256)&gt;0,P256&amp;newline,"")&amp;IF(LEN(Q256)&gt;0,Q256&amp;newline,"")&amp;indent&amp;"break;",indent0&amp;"/* Illegal opcode 0x"&amp;F256&amp;": "&amp;B256&amp;" "&amp;VLOOKUP(G256,AccessModes!$E$2:$G$14,3,FALSE)&amp;" */"&amp;newline)</f>
        <v xml:space="preserve">        case 0xFE: /* INC aaaa,X */
            cpu.cycles = 7;
            value = memory_getAbsoluteIndexedX();
            ++value;
            cpu.PS_N = ((value &amp; 0x80) != 0);
            cpu.PS_Z = (value == 0);
            memory_setLast(value);
            break;</v>
      </c>
      <c r="S256" s="22" t="str">
        <f t="shared" si="16"/>
        <v xml:space="preserve">    {"INC", false, AM_AIX, 7, 0},</v>
      </c>
    </row>
    <row r="257" spans="1:19" ht="25.5" hidden="1" x14ac:dyDescent="0.25">
      <c r="A257" s="28">
        <v>255</v>
      </c>
      <c r="B257" s="28" t="s">
        <v>123</v>
      </c>
      <c r="C257" s="28">
        <v>-1</v>
      </c>
      <c r="D257" s="28" t="s">
        <v>136</v>
      </c>
      <c r="E257" s="28" t="str">
        <f t="shared" si="13"/>
        <v>FF</v>
      </c>
      <c r="F257" s="28" t="str">
        <f t="shared" si="15"/>
        <v>FF</v>
      </c>
      <c r="G257" s="28" t="str">
        <f>_xlfn.IFNA(VLOOKUP(D257,AccessModes!$D$2:$E$14,2,FALSE),"AM_IMP")</f>
        <v>AM_AIX</v>
      </c>
      <c r="H257" s="28">
        <v>7</v>
      </c>
      <c r="I257" s="28">
        <v>0</v>
      </c>
      <c r="J257" s="28"/>
      <c r="K257" s="28"/>
      <c r="L257" s="28"/>
      <c r="M257" s="28" t="str">
        <f>IF(LEN(J257)&gt;0,indent&amp;J257&amp;" = "&amp;VLOOKUP($G257,AccessModes!$E$2:$I$14,4,FALSE),"")</f>
        <v/>
      </c>
      <c r="N257" s="29" t="str">
        <f>indent&amp;"/* TODO: implementation of the action */"</f>
        <v xml:space="preserve">            /* TODO: implementation of the action */</v>
      </c>
      <c r="O257" s="29" t="str">
        <f t="shared" si="14"/>
        <v/>
      </c>
      <c r="P257" s="28" t="str">
        <f>IF(LEN(L257)&gt;0,indent&amp;IF(L257="LAST",AccessModes!$I$16&amp;J257,VLOOKUP($G257,AccessModes!$E$2:$I$14,5,FALSE)&amp;L257)&amp;");","")</f>
        <v/>
      </c>
      <c r="Q257" s="28"/>
      <c r="R257" s="29" t="str">
        <f>IF(C257=0,indent0&amp;"case 0x"&amp;F257&amp;": /* "&amp;B257&amp;" "&amp;VLOOKUP(G257,AccessModes!$E$2:$G$14,3,FALSE)&amp;" */"&amp;newline&amp;indent&amp;"cpu.cycles = "&amp;H257&amp;";"&amp;newline&amp;IF(LEN(M257)&gt;0,M257&amp;CHAR(10),"")&amp;IF(LEN(N257)&gt;0,N257&amp;newline,"")&amp;IF(LEN(O257)&gt;0,O257&amp;newline,"")&amp;IF(LEN(P257)&gt;0,P257&amp;newline,"")&amp;IF(LEN(Q257)&gt;0,Q257&amp;newline,"")&amp;indent&amp;"break;",indent0&amp;"/* Illegal opcode 0x"&amp;F257&amp;": "&amp;B257&amp;" "&amp;VLOOKUP(G257,AccessModes!$E$2:$G$14,3,FALSE)&amp;" */"&amp;newline)</f>
        <v xml:space="preserve">        /* Illegal opcode 0xFF: ISC aaaa,X */
</v>
      </c>
      <c r="S257" s="28" t="str">
        <f t="shared" si="16"/>
        <v xml:space="preserve">    {"ISC", true , AM_AIX, 7, 0},</v>
      </c>
    </row>
  </sheetData>
  <autoFilter ref="A1:S257">
    <filterColumn colId="1">
      <filters>
        <filter val="ADC"/>
        <filter val="SBC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4" sqref="B14"/>
    </sheetView>
  </sheetViews>
  <sheetFormatPr defaultRowHeight="15" x14ac:dyDescent="0.25"/>
  <sheetData>
    <row r="1" spans="1:4" x14ac:dyDescent="0.25">
      <c r="A1" s="14" t="s">
        <v>235</v>
      </c>
      <c r="B1" s="15" t="s">
        <v>233</v>
      </c>
      <c r="C1" s="15" t="s">
        <v>234</v>
      </c>
      <c r="D1" s="15"/>
    </row>
    <row r="2" spans="1:4" x14ac:dyDescent="0.25">
      <c r="A2" s="15" t="s">
        <v>229</v>
      </c>
      <c r="B2" s="15">
        <v>0</v>
      </c>
      <c r="C2" s="15">
        <v>1</v>
      </c>
      <c r="D2" s="15" t="s">
        <v>231</v>
      </c>
    </row>
    <row r="3" spans="1:4" x14ac:dyDescent="0.25">
      <c r="A3" s="15" t="s">
        <v>229</v>
      </c>
      <c r="B3" s="15">
        <v>0</v>
      </c>
      <c r="C3" s="15">
        <v>0</v>
      </c>
      <c r="D3" s="15" t="s">
        <v>232</v>
      </c>
    </row>
    <row r="4" spans="1:4" x14ac:dyDescent="0.25">
      <c r="A4" s="15" t="s">
        <v>230</v>
      </c>
      <c r="B4" s="15">
        <v>0</v>
      </c>
      <c r="C4" s="15">
        <v>0</v>
      </c>
      <c r="D4" s="15" t="s">
        <v>231</v>
      </c>
    </row>
    <row r="5" spans="1:4" x14ac:dyDescent="0.25">
      <c r="A5" s="15" t="s">
        <v>230</v>
      </c>
      <c r="B5" s="15">
        <v>1</v>
      </c>
      <c r="C5" s="15">
        <v>0</v>
      </c>
      <c r="D5" s="15" t="s">
        <v>232</v>
      </c>
    </row>
    <row r="7" spans="1:4" x14ac:dyDescent="0.25">
      <c r="B7" t="s">
        <v>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5" sqref="B5"/>
    </sheetView>
  </sheetViews>
  <sheetFormatPr defaultRowHeight="15" x14ac:dyDescent="0.25"/>
  <cols>
    <col min="1" max="1" width="21.85546875" bestFit="1" customWidth="1"/>
    <col min="4" max="4" width="5" bestFit="1" customWidth="1"/>
    <col min="5" max="5" width="9" bestFit="1" customWidth="1"/>
    <col min="6" max="6" width="32.85546875" bestFit="1" customWidth="1"/>
    <col min="7" max="7" width="9" bestFit="1" customWidth="1"/>
    <col min="8" max="8" width="37.140625" bestFit="1" customWidth="1"/>
    <col min="9" max="9" width="30.28515625" bestFit="1" customWidth="1"/>
  </cols>
  <sheetData>
    <row r="1" spans="1:9" s="13" customFormat="1" x14ac:dyDescent="0.25">
      <c r="A1" s="13" t="s">
        <v>218</v>
      </c>
      <c r="B1" s="38" t="str">
        <f>CHAR(10)</f>
        <v xml:space="preserve">
</v>
      </c>
      <c r="D1" s="13" t="s">
        <v>197</v>
      </c>
      <c r="E1" s="13" t="s">
        <v>198</v>
      </c>
      <c r="F1" s="13" t="s">
        <v>199</v>
      </c>
      <c r="G1" s="13" t="s">
        <v>200</v>
      </c>
      <c r="H1" s="13" t="s">
        <v>201</v>
      </c>
      <c r="I1" s="13" t="s">
        <v>202</v>
      </c>
    </row>
    <row r="2" spans="1:9" x14ac:dyDescent="0.25">
      <c r="A2" s="13" t="s">
        <v>216</v>
      </c>
      <c r="B2" s="38" t="str">
        <f>REPT(" ", 8)</f>
        <v xml:space="preserve">        </v>
      </c>
      <c r="D2" t="s">
        <v>130</v>
      </c>
      <c r="E2" t="s">
        <v>165</v>
      </c>
      <c r="F2" s="10" t="s">
        <v>150</v>
      </c>
      <c r="G2" s="10" t="s">
        <v>219</v>
      </c>
      <c r="H2" t="s">
        <v>179</v>
      </c>
    </row>
    <row r="3" spans="1:9" x14ac:dyDescent="0.25">
      <c r="A3" s="13" t="s">
        <v>217</v>
      </c>
      <c r="B3" s="38" t="str">
        <f>REPT(" ", 12)</f>
        <v xml:space="preserve">            </v>
      </c>
      <c r="D3" t="s">
        <v>245</v>
      </c>
      <c r="E3" t="s">
        <v>246</v>
      </c>
      <c r="F3" s="10" t="s">
        <v>151</v>
      </c>
      <c r="G3" s="10" t="s">
        <v>220</v>
      </c>
      <c r="H3" t="s">
        <v>247</v>
      </c>
    </row>
    <row r="4" spans="1:9" x14ac:dyDescent="0.25">
      <c r="A4" s="13" t="s">
        <v>228</v>
      </c>
      <c r="B4" s="38" t="str">
        <f>REPT(" ", 16)</f>
        <v xml:space="preserve">                </v>
      </c>
      <c r="D4" t="s">
        <v>131</v>
      </c>
      <c r="E4" t="s">
        <v>166</v>
      </c>
      <c r="F4" s="10" t="s">
        <v>151</v>
      </c>
      <c r="G4" s="10" t="s">
        <v>220</v>
      </c>
      <c r="H4" t="s">
        <v>180</v>
      </c>
      <c r="I4" t="s">
        <v>189</v>
      </c>
    </row>
    <row r="5" spans="1:9" x14ac:dyDescent="0.25">
      <c r="A5" s="13" t="s">
        <v>248</v>
      </c>
      <c r="B5" s="38" t="str">
        <f>REPT(" ", 20)</f>
        <v xml:space="preserve">                    </v>
      </c>
      <c r="D5" t="s">
        <v>144</v>
      </c>
      <c r="E5" t="s">
        <v>167</v>
      </c>
      <c r="F5" s="10" t="s">
        <v>152</v>
      </c>
      <c r="G5" s="10" t="s">
        <v>221</v>
      </c>
      <c r="H5" t="s">
        <v>181</v>
      </c>
      <c r="I5" t="s">
        <v>190</v>
      </c>
    </row>
    <row r="6" spans="1:9" x14ac:dyDescent="0.25">
      <c r="D6" t="s">
        <v>163</v>
      </c>
      <c r="E6" t="s">
        <v>168</v>
      </c>
      <c r="F6" s="10" t="s">
        <v>153</v>
      </c>
      <c r="G6" s="10"/>
    </row>
    <row r="7" spans="1:9" x14ac:dyDescent="0.25">
      <c r="D7" t="s">
        <v>137</v>
      </c>
      <c r="E7" t="s">
        <v>169</v>
      </c>
      <c r="F7" s="10" t="s">
        <v>154</v>
      </c>
      <c r="G7" s="10" t="s">
        <v>145</v>
      </c>
      <c r="H7" t="s">
        <v>182</v>
      </c>
    </row>
    <row r="8" spans="1:9" x14ac:dyDescent="0.25">
      <c r="D8" t="s">
        <v>136</v>
      </c>
      <c r="E8" t="s">
        <v>170</v>
      </c>
      <c r="F8" s="10" t="s">
        <v>155</v>
      </c>
      <c r="G8" s="10" t="s">
        <v>146</v>
      </c>
      <c r="H8" t="s">
        <v>183</v>
      </c>
      <c r="I8" t="s">
        <v>191</v>
      </c>
    </row>
    <row r="9" spans="1:9" x14ac:dyDescent="0.25">
      <c r="D9" t="s">
        <v>135</v>
      </c>
      <c r="E9" t="s">
        <v>171</v>
      </c>
      <c r="F9" s="10" t="s">
        <v>156</v>
      </c>
      <c r="G9" s="10" t="s">
        <v>147</v>
      </c>
      <c r="H9" t="s">
        <v>184</v>
      </c>
      <c r="I9" t="s">
        <v>192</v>
      </c>
    </row>
    <row r="10" spans="1:9" x14ac:dyDescent="0.25">
      <c r="D10" t="s">
        <v>129</v>
      </c>
      <c r="E10" t="s">
        <v>174</v>
      </c>
      <c r="F10" s="10" t="s">
        <v>159</v>
      </c>
      <c r="G10" s="10" t="s">
        <v>148</v>
      </c>
      <c r="H10" t="s">
        <v>187</v>
      </c>
      <c r="I10" t="s">
        <v>195</v>
      </c>
    </row>
    <row r="11" spans="1:9" x14ac:dyDescent="0.25">
      <c r="D11" t="s">
        <v>133</v>
      </c>
      <c r="E11" t="s">
        <v>175</v>
      </c>
      <c r="F11" s="10" t="s">
        <v>160</v>
      </c>
      <c r="G11" s="10" t="s">
        <v>149</v>
      </c>
      <c r="H11" t="s">
        <v>242</v>
      </c>
      <c r="I11" t="s">
        <v>196</v>
      </c>
    </row>
    <row r="12" spans="1:9" x14ac:dyDescent="0.25">
      <c r="D12" t="s">
        <v>134</v>
      </c>
      <c r="E12" t="s">
        <v>172</v>
      </c>
      <c r="F12" s="10" t="s">
        <v>157</v>
      </c>
      <c r="G12" s="10" t="s">
        <v>222</v>
      </c>
      <c r="H12" t="s">
        <v>185</v>
      </c>
      <c r="I12" t="s">
        <v>193</v>
      </c>
    </row>
    <row r="13" spans="1:9" x14ac:dyDescent="0.25">
      <c r="D13" t="s">
        <v>138</v>
      </c>
      <c r="E13" t="s">
        <v>173</v>
      </c>
      <c r="F13" s="10" t="s">
        <v>158</v>
      </c>
      <c r="G13" s="10" t="s">
        <v>223</v>
      </c>
      <c r="H13" t="s">
        <v>186</v>
      </c>
      <c r="I13" t="s">
        <v>194</v>
      </c>
    </row>
    <row r="14" spans="1:9" x14ac:dyDescent="0.25">
      <c r="D14" t="s">
        <v>132</v>
      </c>
      <c r="E14" t="s">
        <v>176</v>
      </c>
      <c r="F14" s="10" t="s">
        <v>161</v>
      </c>
      <c r="G14" s="10" t="s">
        <v>220</v>
      </c>
      <c r="H14" t="s">
        <v>188</v>
      </c>
    </row>
    <row r="15" spans="1:9" x14ac:dyDescent="0.25">
      <c r="D15" s="11" t="s">
        <v>164</v>
      </c>
      <c r="E15" s="11" t="s">
        <v>177</v>
      </c>
      <c r="F15" s="12" t="s">
        <v>162</v>
      </c>
      <c r="G15" s="12" t="s">
        <v>214</v>
      </c>
    </row>
    <row r="16" spans="1:9" x14ac:dyDescent="0.25">
      <c r="F16" s="10" t="s">
        <v>238</v>
      </c>
      <c r="I16" t="s">
        <v>239</v>
      </c>
    </row>
    <row r="19" spans="6:7" x14ac:dyDescent="0.25">
      <c r="F19" s="10"/>
      <c r="G19" s="10"/>
    </row>
    <row r="20" spans="6:7" x14ac:dyDescent="0.25">
      <c r="F20" s="10"/>
      <c r="G20" s="10"/>
    </row>
    <row r="21" spans="6:7" x14ac:dyDescent="0.25">
      <c r="F21" s="10"/>
      <c r="G21" s="10"/>
    </row>
    <row r="22" spans="6:7" x14ac:dyDescent="0.25">
      <c r="F22" s="10"/>
      <c r="G22" s="1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5</vt:i4>
      </vt:variant>
    </vt:vector>
  </HeadingPairs>
  <TitlesOfParts>
    <vt:vector size="9" baseType="lpstr">
      <vt:lpstr>Table</vt:lpstr>
      <vt:lpstr>List</vt:lpstr>
      <vt:lpstr>Blad1</vt:lpstr>
      <vt:lpstr>AccessModes</vt:lpstr>
      <vt:lpstr>indent</vt:lpstr>
      <vt:lpstr>indent0</vt:lpstr>
      <vt:lpstr>indent2</vt:lpstr>
      <vt:lpstr>indent3</vt:lpstr>
      <vt:lpstr>newline</vt:lpstr>
    </vt:vector>
  </TitlesOfParts>
  <Company>Ordina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Maanen, Remco van</dc:creator>
  <cp:lastModifiedBy>Remco</cp:lastModifiedBy>
  <dcterms:created xsi:type="dcterms:W3CDTF">2017-05-29T19:24:22Z</dcterms:created>
  <dcterms:modified xsi:type="dcterms:W3CDTF">2017-10-04T15:36:08Z</dcterms:modified>
</cp:coreProperties>
</file>