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rma10426\Documents\Emulator\Emulate6502\Doc\"/>
    </mc:Choice>
  </mc:AlternateContent>
  <bookViews>
    <workbookView xWindow="0" yWindow="0" windowWidth="23040" windowHeight="8832" activeTab="1"/>
  </bookViews>
  <sheets>
    <sheet name="Table" sheetId="1" r:id="rId1"/>
    <sheet name="List" sheetId="2" r:id="rId2"/>
    <sheet name="Blad1" sheetId="4" r:id="rId3"/>
    <sheet name="AccessModes" sheetId="3" r:id="rId4"/>
  </sheets>
  <definedNames>
    <definedName name="_xlnm._FilterDatabase" localSheetId="1" hidden="1">List!$A$1:$Q$257</definedName>
    <definedName name="indent">AccessModes!$B$3</definedName>
    <definedName name="indent0">AccessModes!$B$2</definedName>
    <definedName name="indent2">AccessModes!$B$4</definedName>
    <definedName name="newline">AccessModes!$B$1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227" i="2" l="1"/>
  <c r="J184" i="2"/>
  <c r="I184" i="2"/>
  <c r="J176" i="2"/>
  <c r="I176" i="2"/>
  <c r="J191" i="2"/>
  <c r="I191" i="2"/>
  <c r="J187" i="2"/>
  <c r="I187" i="2"/>
  <c r="J183" i="2"/>
  <c r="I183" i="2"/>
  <c r="J179" i="2"/>
  <c r="I179" i="2"/>
  <c r="J175" i="2"/>
  <c r="I175" i="2"/>
  <c r="L99" i="2" l="1"/>
  <c r="L67" i="2" l="1"/>
  <c r="L242" i="2" l="1"/>
  <c r="L210" i="2"/>
  <c r="L178" i="2"/>
  <c r="L146" i="2"/>
  <c r="L114" i="2"/>
  <c r="L82" i="2"/>
  <c r="L50" i="2"/>
  <c r="L18" i="2"/>
  <c r="L250" i="2"/>
  <c r="L122" i="2"/>
  <c r="L58" i="2"/>
  <c r="L218" i="2"/>
  <c r="L186" i="2"/>
  <c r="L90" i="2"/>
  <c r="L26" i="2"/>
  <c r="J227" i="2"/>
  <c r="N227" i="2" s="1"/>
  <c r="I227" i="2"/>
  <c r="M227" i="2" s="1"/>
  <c r="H227" i="2"/>
  <c r="L38" i="2"/>
  <c r="L46" i="2"/>
  <c r="J38" i="2"/>
  <c r="J46" i="2" s="1"/>
  <c r="N46" i="2" s="1"/>
  <c r="I38" i="2"/>
  <c r="I46" i="2" s="1"/>
  <c r="M46" i="2" s="1"/>
  <c r="H46" i="2"/>
  <c r="L42" i="2"/>
  <c r="L34" i="2"/>
  <c r="L10" i="2"/>
  <c r="L98" i="2"/>
  <c r="L110" i="2"/>
  <c r="L78" i="2"/>
  <c r="J78" i="2"/>
  <c r="J110" i="2" s="1"/>
  <c r="N110" i="2" s="1"/>
  <c r="I78" i="2"/>
  <c r="I110" i="2"/>
  <c r="M110" i="2" s="1"/>
  <c r="H110" i="2"/>
  <c r="L66" i="2"/>
  <c r="O195" i="2"/>
  <c r="O211" i="2" s="1"/>
  <c r="O206" i="2"/>
  <c r="O198" i="2"/>
  <c r="O226" i="2"/>
  <c r="O238" i="2" s="1"/>
  <c r="O223" i="2"/>
  <c r="O219" i="2"/>
  <c r="O215" i="2"/>
  <c r="O207" i="2"/>
  <c r="O203" i="2"/>
  <c r="O199" i="2"/>
  <c r="L257" i="2"/>
  <c r="L254" i="2"/>
  <c r="L253" i="2"/>
  <c r="L252" i="2"/>
  <c r="L249" i="2"/>
  <c r="L246" i="2"/>
  <c r="L245" i="2"/>
  <c r="L244" i="2"/>
  <c r="L241" i="2"/>
  <c r="L237" i="2"/>
  <c r="L152" i="2"/>
  <c r="L144" i="2"/>
  <c r="L150" i="2"/>
  <c r="L142" i="2"/>
  <c r="L159" i="2"/>
  <c r="L155" i="2"/>
  <c r="L151" i="2"/>
  <c r="L147" i="2"/>
  <c r="L143" i="2"/>
  <c r="L136" i="2"/>
  <c r="L134" i="2"/>
  <c r="L131" i="2"/>
  <c r="L135" i="2"/>
  <c r="L12" i="2"/>
  <c r="L164" i="2"/>
  <c r="L163" i="2"/>
  <c r="L162" i="2"/>
  <c r="L106" i="2"/>
  <c r="L74" i="2"/>
  <c r="L236" i="2"/>
  <c r="L188" i="2"/>
  <c r="L156" i="2"/>
  <c r="L172" i="2"/>
  <c r="L170" i="2"/>
  <c r="L154" i="2"/>
  <c r="L140" i="2"/>
  <c r="I142" i="2"/>
  <c r="M142" i="2" s="1"/>
  <c r="I134" i="2"/>
  <c r="J152" i="2"/>
  <c r="I152" i="2"/>
  <c r="M152" i="2" s="1"/>
  <c r="I136" i="2"/>
  <c r="J144" i="2"/>
  <c r="I144" i="2"/>
  <c r="M144" i="2" s="1"/>
  <c r="I159" i="2"/>
  <c r="M159" i="2" s="1"/>
  <c r="I147" i="2"/>
  <c r="M147" i="2" s="1"/>
  <c r="K158" i="2"/>
  <c r="M157" i="2"/>
  <c r="M156" i="2"/>
  <c r="K156" i="2"/>
  <c r="K154" i="2"/>
  <c r="M153" i="2"/>
  <c r="M149" i="2"/>
  <c r="M148" i="2"/>
  <c r="K148" i="2"/>
  <c r="M145" i="2"/>
  <c r="I131" i="2"/>
  <c r="N257" i="2"/>
  <c r="N254" i="2"/>
  <c r="N253" i="2"/>
  <c r="N252" i="2"/>
  <c r="N250" i="2"/>
  <c r="N249" i="2"/>
  <c r="N246" i="2"/>
  <c r="N245" i="2"/>
  <c r="N244" i="2"/>
  <c r="N242" i="2"/>
  <c r="N241" i="2"/>
  <c r="N237" i="2"/>
  <c r="N236" i="2"/>
  <c r="N234" i="2"/>
  <c r="N233" i="2"/>
  <c r="N229" i="2"/>
  <c r="N228" i="2"/>
  <c r="N225" i="2"/>
  <c r="N222" i="2"/>
  <c r="N221" i="2"/>
  <c r="N220" i="2"/>
  <c r="N218" i="2"/>
  <c r="N217" i="2"/>
  <c r="N214" i="2"/>
  <c r="N213" i="2"/>
  <c r="N212" i="2"/>
  <c r="N210" i="2"/>
  <c r="N209" i="2"/>
  <c r="N205" i="2"/>
  <c r="N204" i="2"/>
  <c r="N202" i="2"/>
  <c r="N201" i="2"/>
  <c r="N197" i="2"/>
  <c r="N196" i="2"/>
  <c r="N194" i="2"/>
  <c r="N193" i="2"/>
  <c r="N173" i="2"/>
  <c r="N172" i="2"/>
  <c r="N170" i="2"/>
  <c r="N169" i="2"/>
  <c r="N165" i="2"/>
  <c r="N164" i="2"/>
  <c r="N163" i="2"/>
  <c r="N162" i="2"/>
  <c r="N161" i="2"/>
  <c r="N160" i="2"/>
  <c r="N141" i="2"/>
  <c r="N140" i="2"/>
  <c r="N139" i="2"/>
  <c r="N138" i="2"/>
  <c r="N137" i="2"/>
  <c r="N133" i="2"/>
  <c r="N132" i="2"/>
  <c r="N130" i="2"/>
  <c r="N129" i="2"/>
  <c r="N126" i="2"/>
  <c r="N125" i="2"/>
  <c r="N124" i="2"/>
  <c r="N122" i="2"/>
  <c r="N121" i="2"/>
  <c r="N118" i="2"/>
  <c r="N117" i="2"/>
  <c r="N116" i="2"/>
  <c r="N114" i="2"/>
  <c r="N113" i="2"/>
  <c r="N109" i="2"/>
  <c r="N108" i="2"/>
  <c r="N106" i="2"/>
  <c r="N105" i="2"/>
  <c r="N102" i="2"/>
  <c r="N101" i="2"/>
  <c r="N100" i="2"/>
  <c r="N99" i="2"/>
  <c r="N98" i="2"/>
  <c r="N97" i="2"/>
  <c r="N94" i="2"/>
  <c r="N93" i="2"/>
  <c r="N92" i="2"/>
  <c r="N90" i="2"/>
  <c r="N89" i="2"/>
  <c r="N86" i="2"/>
  <c r="N85" i="2"/>
  <c r="N84" i="2"/>
  <c r="N82" i="2"/>
  <c r="N81" i="2"/>
  <c r="N78" i="2"/>
  <c r="N77" i="2"/>
  <c r="N76" i="2"/>
  <c r="N74" i="2"/>
  <c r="N73" i="2"/>
  <c r="N70" i="2"/>
  <c r="N69" i="2"/>
  <c r="N68" i="2"/>
  <c r="N67" i="2"/>
  <c r="N66" i="2"/>
  <c r="N65" i="2"/>
  <c r="N62" i="2"/>
  <c r="N61" i="2"/>
  <c r="N60" i="2"/>
  <c r="N58" i="2"/>
  <c r="N57" i="2"/>
  <c r="N54" i="2"/>
  <c r="N53" i="2"/>
  <c r="N52" i="2"/>
  <c r="N50" i="2"/>
  <c r="N49" i="2"/>
  <c r="N45" i="2"/>
  <c r="N44" i="2"/>
  <c r="N42" i="2"/>
  <c r="N41" i="2"/>
  <c r="N38" i="2"/>
  <c r="N37" i="2"/>
  <c r="N36" i="2"/>
  <c r="N35" i="2"/>
  <c r="N34" i="2"/>
  <c r="N33" i="2"/>
  <c r="N30" i="2"/>
  <c r="N29" i="2"/>
  <c r="N28" i="2"/>
  <c r="N26" i="2"/>
  <c r="N25" i="2"/>
  <c r="N22" i="2"/>
  <c r="N21" i="2"/>
  <c r="N20" i="2"/>
  <c r="N18" i="2"/>
  <c r="N17" i="2"/>
  <c r="N14" i="2"/>
  <c r="N13" i="2"/>
  <c r="N12" i="2"/>
  <c r="N10" i="2"/>
  <c r="N9" i="2"/>
  <c r="N6" i="2"/>
  <c r="N5" i="2"/>
  <c r="N4" i="2"/>
  <c r="N3" i="2"/>
  <c r="N2" i="2"/>
  <c r="H136" i="2"/>
  <c r="H134" i="2"/>
  <c r="H234" i="2"/>
  <c r="J234" i="2"/>
  <c r="J204" i="2"/>
  <c r="H204" i="2"/>
  <c r="H202" i="2"/>
  <c r="J202" i="2"/>
  <c r="J194" i="2"/>
  <c r="J238" i="2" s="1"/>
  <c r="J164" i="2"/>
  <c r="J192" i="2" s="1"/>
  <c r="J163" i="2"/>
  <c r="J162" i="2"/>
  <c r="J138" i="2"/>
  <c r="H138" i="2"/>
  <c r="K138" i="2" s="1"/>
  <c r="H131" i="2"/>
  <c r="J99" i="2"/>
  <c r="I99" i="2"/>
  <c r="H76" i="2"/>
  <c r="J76" i="2"/>
  <c r="J67" i="2"/>
  <c r="J44" i="2"/>
  <c r="H44" i="2"/>
  <c r="J35" i="2"/>
  <c r="J12" i="2"/>
  <c r="H12" i="2"/>
  <c r="J3" i="2"/>
  <c r="J27" i="2"/>
  <c r="N27" i="2" s="1"/>
  <c r="H104" i="2"/>
  <c r="H112" i="2" s="1"/>
  <c r="J123" i="2"/>
  <c r="H40" i="2"/>
  <c r="H8" i="2"/>
  <c r="H80" i="2" s="1"/>
  <c r="K257" i="2"/>
  <c r="K254" i="2"/>
  <c r="K253" i="2"/>
  <c r="K252" i="2"/>
  <c r="K250" i="2"/>
  <c r="K249" i="2"/>
  <c r="K246" i="2"/>
  <c r="K245" i="2"/>
  <c r="K244" i="2"/>
  <c r="K241" i="2"/>
  <c r="K237" i="2"/>
  <c r="K236" i="2"/>
  <c r="K234" i="2"/>
  <c r="K233" i="2"/>
  <c r="K229" i="2"/>
  <c r="K228" i="2"/>
  <c r="K225" i="2"/>
  <c r="K222" i="2"/>
  <c r="K221" i="2"/>
  <c r="K220" i="2"/>
  <c r="K218" i="2"/>
  <c r="K217" i="2"/>
  <c r="K214" i="2"/>
  <c r="K213" i="2"/>
  <c r="K212" i="2"/>
  <c r="K209" i="2"/>
  <c r="K205" i="2"/>
  <c r="K204" i="2"/>
  <c r="K202" i="2"/>
  <c r="K201" i="2"/>
  <c r="K197" i="2"/>
  <c r="K196" i="2"/>
  <c r="K193" i="2"/>
  <c r="K173" i="2"/>
  <c r="K172" i="2"/>
  <c r="K170" i="2"/>
  <c r="K169" i="2"/>
  <c r="K165" i="2"/>
  <c r="K161" i="2"/>
  <c r="K160" i="2"/>
  <c r="K157" i="2"/>
  <c r="K153" i="2"/>
  <c r="K149" i="2"/>
  <c r="K145" i="2"/>
  <c r="K141" i="2"/>
  <c r="K140" i="2"/>
  <c r="K139" i="2"/>
  <c r="K137" i="2"/>
  <c r="K136" i="2"/>
  <c r="K133" i="2"/>
  <c r="K132" i="2"/>
  <c r="K131" i="2"/>
  <c r="K130" i="2"/>
  <c r="K129" i="2"/>
  <c r="K126" i="2"/>
  <c r="K125" i="2"/>
  <c r="K124" i="2"/>
  <c r="K122" i="2"/>
  <c r="K121" i="2"/>
  <c r="K118" i="2"/>
  <c r="K117" i="2"/>
  <c r="K116" i="2"/>
  <c r="K113" i="2"/>
  <c r="K109" i="2"/>
  <c r="K108" i="2"/>
  <c r="K106" i="2"/>
  <c r="K105" i="2"/>
  <c r="K102" i="2"/>
  <c r="K101" i="2"/>
  <c r="K100" i="2"/>
  <c r="K98" i="2"/>
  <c r="K97" i="2"/>
  <c r="K94" i="2"/>
  <c r="K93" i="2"/>
  <c r="K92" i="2"/>
  <c r="K90" i="2"/>
  <c r="K89" i="2"/>
  <c r="K86" i="2"/>
  <c r="K85" i="2"/>
  <c r="K84" i="2"/>
  <c r="K81" i="2"/>
  <c r="K77" i="2"/>
  <c r="K76" i="2"/>
  <c r="K74" i="2"/>
  <c r="K73" i="2"/>
  <c r="K70" i="2"/>
  <c r="K69" i="2"/>
  <c r="K68" i="2"/>
  <c r="K66" i="2"/>
  <c r="K65" i="2"/>
  <c r="K62" i="2"/>
  <c r="K61" i="2"/>
  <c r="K60" i="2"/>
  <c r="K58" i="2"/>
  <c r="K57" i="2"/>
  <c r="K54" i="2"/>
  <c r="K53" i="2"/>
  <c r="K52" i="2"/>
  <c r="K49" i="2"/>
  <c r="K45" i="2"/>
  <c r="K44" i="2"/>
  <c r="K42" i="2"/>
  <c r="K41" i="2"/>
  <c r="K37" i="2"/>
  <c r="K36" i="2"/>
  <c r="K33" i="2"/>
  <c r="K30" i="2"/>
  <c r="K29" i="2"/>
  <c r="K28" i="2"/>
  <c r="K26" i="2"/>
  <c r="K25" i="2"/>
  <c r="K22" i="2"/>
  <c r="K21" i="2"/>
  <c r="K20" i="2"/>
  <c r="K17" i="2"/>
  <c r="K14" i="2"/>
  <c r="K13" i="2"/>
  <c r="K12" i="2"/>
  <c r="K10" i="2"/>
  <c r="K9" i="2"/>
  <c r="K6" i="2"/>
  <c r="K5" i="2"/>
  <c r="K4" i="2"/>
  <c r="K2" i="2"/>
  <c r="O194" i="2"/>
  <c r="P257" i="2"/>
  <c r="P254" i="2"/>
  <c r="P253" i="2"/>
  <c r="P252" i="2"/>
  <c r="P249" i="2"/>
  <c r="P246" i="2"/>
  <c r="P245" i="2"/>
  <c r="P244" i="2"/>
  <c r="P241" i="2"/>
  <c r="P237" i="2"/>
  <c r="P233" i="2"/>
  <c r="P229" i="2"/>
  <c r="P228" i="2"/>
  <c r="P225" i="2"/>
  <c r="P222" i="2"/>
  <c r="P221" i="2"/>
  <c r="P220" i="2"/>
  <c r="P217" i="2"/>
  <c r="P214" i="2"/>
  <c r="P213" i="2"/>
  <c r="P212" i="2"/>
  <c r="P209" i="2"/>
  <c r="P205" i="2"/>
  <c r="P201" i="2"/>
  <c r="P197" i="2"/>
  <c r="P196" i="2"/>
  <c r="P193" i="2"/>
  <c r="P189" i="2"/>
  <c r="P185" i="2"/>
  <c r="P181" i="2"/>
  <c r="P180" i="2"/>
  <c r="P177" i="2"/>
  <c r="P173" i="2"/>
  <c r="P169" i="2"/>
  <c r="P165" i="2"/>
  <c r="P161" i="2"/>
  <c r="P160" i="2"/>
  <c r="P158" i="2"/>
  <c r="P157" i="2"/>
  <c r="P153" i="2"/>
  <c r="M257" i="2"/>
  <c r="M254" i="2"/>
  <c r="M253" i="2"/>
  <c r="M252" i="2"/>
  <c r="M249" i="2"/>
  <c r="M246" i="2"/>
  <c r="M245" i="2"/>
  <c r="M244" i="2"/>
  <c r="M241" i="2"/>
  <c r="M237" i="2"/>
  <c r="M233" i="2"/>
  <c r="M229" i="2"/>
  <c r="M228" i="2"/>
  <c r="M225" i="2"/>
  <c r="M222" i="2"/>
  <c r="M221" i="2"/>
  <c r="M220" i="2"/>
  <c r="M218" i="2"/>
  <c r="M217" i="2"/>
  <c r="M214" i="2"/>
  <c r="M213" i="2"/>
  <c r="M212" i="2"/>
  <c r="M210" i="2"/>
  <c r="M209" i="2"/>
  <c r="M205" i="2"/>
  <c r="M204" i="2"/>
  <c r="M201" i="2"/>
  <c r="M200" i="2"/>
  <c r="M197" i="2"/>
  <c r="M196" i="2"/>
  <c r="M193" i="2"/>
  <c r="M173" i="2"/>
  <c r="M172" i="2"/>
  <c r="M170" i="2"/>
  <c r="M169" i="2"/>
  <c r="M165" i="2"/>
  <c r="M164" i="2"/>
  <c r="M163" i="2"/>
  <c r="M162" i="2"/>
  <c r="M161" i="2"/>
  <c r="M160" i="2"/>
  <c r="M158" i="2"/>
  <c r="M154" i="2"/>
  <c r="M146" i="2"/>
  <c r="M141" i="2"/>
  <c r="M140" i="2"/>
  <c r="M139" i="2"/>
  <c r="M138" i="2"/>
  <c r="M137" i="2"/>
  <c r="M136" i="2"/>
  <c r="M134" i="2"/>
  <c r="M133" i="2"/>
  <c r="M132" i="2"/>
  <c r="M131" i="2"/>
  <c r="M130" i="2"/>
  <c r="M129" i="2"/>
  <c r="M126" i="2"/>
  <c r="M125" i="2"/>
  <c r="M124" i="2"/>
  <c r="M122" i="2"/>
  <c r="M121" i="2"/>
  <c r="M118" i="2"/>
  <c r="M117" i="2"/>
  <c r="M116" i="2"/>
  <c r="M114" i="2"/>
  <c r="M113" i="2"/>
  <c r="M109" i="2"/>
  <c r="M108" i="2"/>
  <c r="M106" i="2"/>
  <c r="M105" i="2"/>
  <c r="M104" i="2"/>
  <c r="M102" i="2"/>
  <c r="M101" i="2"/>
  <c r="M100" i="2"/>
  <c r="M98" i="2"/>
  <c r="M97" i="2"/>
  <c r="M94" i="2"/>
  <c r="M93" i="2"/>
  <c r="M92" i="2"/>
  <c r="M90" i="2"/>
  <c r="M89" i="2"/>
  <c r="M86" i="2"/>
  <c r="M85" i="2"/>
  <c r="M84" i="2"/>
  <c r="M82" i="2"/>
  <c r="M81" i="2"/>
  <c r="M78" i="2"/>
  <c r="M77" i="2"/>
  <c r="M74" i="2"/>
  <c r="M73" i="2"/>
  <c r="M70" i="2"/>
  <c r="M69" i="2"/>
  <c r="M68" i="2"/>
  <c r="M67" i="2"/>
  <c r="M66" i="2"/>
  <c r="M65" i="2"/>
  <c r="M62" i="2"/>
  <c r="M61" i="2"/>
  <c r="M60" i="2"/>
  <c r="M58" i="2"/>
  <c r="M57" i="2"/>
  <c r="M54" i="2"/>
  <c r="M53" i="2"/>
  <c r="M52" i="2"/>
  <c r="M50" i="2"/>
  <c r="M49" i="2"/>
  <c r="M45" i="2"/>
  <c r="M44" i="2"/>
  <c r="M42" i="2"/>
  <c r="M41" i="2"/>
  <c r="M40" i="2"/>
  <c r="M37" i="2"/>
  <c r="M36" i="2"/>
  <c r="M35" i="2"/>
  <c r="M34" i="2"/>
  <c r="M33" i="2"/>
  <c r="M30" i="2"/>
  <c r="M29" i="2"/>
  <c r="M28" i="2"/>
  <c r="M26" i="2"/>
  <c r="M25" i="2"/>
  <c r="M22" i="2"/>
  <c r="M21" i="2"/>
  <c r="M20" i="2"/>
  <c r="M18" i="2"/>
  <c r="M17" i="2"/>
  <c r="M14" i="2"/>
  <c r="M13" i="2"/>
  <c r="M12" i="2"/>
  <c r="M10" i="2"/>
  <c r="M9" i="2"/>
  <c r="M8" i="2"/>
  <c r="M6" i="2"/>
  <c r="M5" i="2"/>
  <c r="M4" i="2"/>
  <c r="M3" i="2"/>
  <c r="M194" i="2"/>
  <c r="M2" i="2"/>
  <c r="H200" i="2"/>
  <c r="N200" i="2" s="1"/>
  <c r="H194" i="2"/>
  <c r="H230" i="2" s="1"/>
  <c r="H152" i="2" s="1"/>
  <c r="H164" i="2"/>
  <c r="H163" i="2"/>
  <c r="L108" i="2"/>
  <c r="L104" i="2"/>
  <c r="L44" i="2"/>
  <c r="L40" i="2"/>
  <c r="L8" i="2"/>
  <c r="L16" i="2" s="1"/>
  <c r="H162" i="2"/>
  <c r="H19" i="2"/>
  <c r="J190" i="2"/>
  <c r="I190" i="2"/>
  <c r="M190" i="2" s="1"/>
  <c r="J189" i="2"/>
  <c r="M189" i="2"/>
  <c r="J188" i="2"/>
  <c r="M188" i="2"/>
  <c r="M187" i="2"/>
  <c r="J186" i="2"/>
  <c r="M186" i="2"/>
  <c r="J185" i="2"/>
  <c r="M185" i="2"/>
  <c r="M184" i="2"/>
  <c r="M183" i="2"/>
  <c r="J182" i="2"/>
  <c r="I182" i="2"/>
  <c r="M182" i="2" s="1"/>
  <c r="J181" i="2"/>
  <c r="M181" i="2"/>
  <c r="J180" i="2"/>
  <c r="M179" i="2"/>
  <c r="J178" i="2"/>
  <c r="M178" i="2"/>
  <c r="J177" i="2"/>
  <c r="M177" i="2"/>
  <c r="M176" i="2"/>
  <c r="M175" i="2"/>
  <c r="J174" i="2"/>
  <c r="I174" i="2"/>
  <c r="M174" i="2" s="1"/>
  <c r="J166" i="2"/>
  <c r="I192" i="2"/>
  <c r="M192" i="2" s="1"/>
  <c r="M191" i="2"/>
  <c r="J171" i="2"/>
  <c r="I171" i="2"/>
  <c r="M171" i="2" s="1"/>
  <c r="J167" i="2"/>
  <c r="B4" i="3"/>
  <c r="H127" i="2"/>
  <c r="H123" i="2"/>
  <c r="I128" i="2"/>
  <c r="M128" i="2" s="1"/>
  <c r="I120" i="2"/>
  <c r="M120" i="2" s="1"/>
  <c r="I112" i="2"/>
  <c r="M112" i="2" s="1"/>
  <c r="I96" i="2"/>
  <c r="M96" i="2" s="1"/>
  <c r="I88" i="2"/>
  <c r="M88" i="2" s="1"/>
  <c r="I80" i="2"/>
  <c r="M80" i="2" s="1"/>
  <c r="M76" i="2"/>
  <c r="M72" i="2"/>
  <c r="J256" i="2"/>
  <c r="I256" i="2"/>
  <c r="M256" i="2" s="1"/>
  <c r="J248" i="2"/>
  <c r="I248" i="2"/>
  <c r="M248" i="2" s="1"/>
  <c r="J240" i="2"/>
  <c r="I240" i="2"/>
  <c r="M240" i="2" s="1"/>
  <c r="M232" i="2"/>
  <c r="J224" i="2"/>
  <c r="I224" i="2"/>
  <c r="M224" i="2" s="1"/>
  <c r="J216" i="2"/>
  <c r="I216" i="2"/>
  <c r="M216" i="2" s="1"/>
  <c r="J208" i="2"/>
  <c r="I208" i="2"/>
  <c r="M208" i="2" s="1"/>
  <c r="I238" i="2"/>
  <c r="M238" i="2" s="1"/>
  <c r="J230" i="2"/>
  <c r="I230" i="2"/>
  <c r="M230" i="2" s="1"/>
  <c r="J223" i="2"/>
  <c r="I223" i="2"/>
  <c r="M223" i="2" s="1"/>
  <c r="I219" i="2"/>
  <c r="J215" i="2"/>
  <c r="I215" i="2"/>
  <c r="M215" i="2" s="1"/>
  <c r="I211" i="2"/>
  <c r="M211" i="2" s="1"/>
  <c r="J207" i="2"/>
  <c r="I207" i="2"/>
  <c r="M207" i="2" s="1"/>
  <c r="I206" i="2"/>
  <c r="M206" i="2" s="1"/>
  <c r="J203" i="2"/>
  <c r="I203" i="2"/>
  <c r="M203" i="2" s="1"/>
  <c r="I199" i="2"/>
  <c r="M199" i="2" s="1"/>
  <c r="M195" i="2"/>
  <c r="I198" i="2"/>
  <c r="M198" i="2" s="1"/>
  <c r="I32" i="2"/>
  <c r="M32" i="2" s="1"/>
  <c r="I24" i="2"/>
  <c r="M24" i="2" s="1"/>
  <c r="I16" i="2"/>
  <c r="M16" i="2" s="1"/>
  <c r="I31" i="2"/>
  <c r="M31" i="2" s="1"/>
  <c r="H31" i="2"/>
  <c r="I27" i="2"/>
  <c r="M27" i="2" s="1"/>
  <c r="I23" i="2"/>
  <c r="M23" i="2" s="1"/>
  <c r="I19" i="2"/>
  <c r="M19" i="2" s="1"/>
  <c r="I15" i="2"/>
  <c r="M15" i="2" s="1"/>
  <c r="H15" i="2"/>
  <c r="I11" i="2"/>
  <c r="M11" i="2" s="1"/>
  <c r="J7" i="2"/>
  <c r="N7" i="2" s="1"/>
  <c r="H176" i="2" l="1"/>
  <c r="H184" i="2"/>
  <c r="H171" i="2"/>
  <c r="H183" i="2"/>
  <c r="H191" i="2"/>
  <c r="H175" i="2"/>
  <c r="H179" i="2"/>
  <c r="H187" i="2"/>
  <c r="I255" i="2"/>
  <c r="M255" i="2" s="1"/>
  <c r="J255" i="2"/>
  <c r="I235" i="2"/>
  <c r="M235" i="2" s="1"/>
  <c r="I243" i="2"/>
  <c r="M243" i="2" s="1"/>
  <c r="J243" i="2"/>
  <c r="M38" i="2"/>
  <c r="O230" i="2"/>
  <c r="H119" i="2"/>
  <c r="H107" i="2"/>
  <c r="H115" i="2"/>
  <c r="H103" i="2"/>
  <c r="I115" i="2"/>
  <c r="M226" i="2"/>
  <c r="I150" i="2"/>
  <c r="M150" i="2" s="1"/>
  <c r="H111" i="2"/>
  <c r="M180" i="2"/>
  <c r="I251" i="2"/>
  <c r="M251" i="2" s="1"/>
  <c r="I239" i="2"/>
  <c r="M239" i="2" s="1"/>
  <c r="M219" i="2"/>
  <c r="I151" i="2"/>
  <c r="M151" i="2" s="1"/>
  <c r="I135" i="2"/>
  <c r="M135" i="2" s="1"/>
  <c r="I155" i="2"/>
  <c r="M155" i="2" s="1"/>
  <c r="I111" i="2"/>
  <c r="M111" i="2" s="1"/>
  <c r="I247" i="2"/>
  <c r="M247" i="2" s="1"/>
  <c r="I143" i="2"/>
  <c r="M143" i="2" s="1"/>
  <c r="L120" i="2"/>
  <c r="J247" i="2"/>
  <c r="J239" i="2"/>
  <c r="H144" i="2"/>
  <c r="N104" i="2"/>
  <c r="N8" i="2"/>
  <c r="N40" i="2"/>
  <c r="K134" i="2"/>
  <c r="H24" i="2"/>
  <c r="H16" i="2"/>
  <c r="H32" i="2"/>
  <c r="J198" i="2"/>
  <c r="J199" i="2"/>
  <c r="J206" i="2"/>
  <c r="J211" i="2"/>
  <c r="J219" i="2"/>
  <c r="J235" i="2"/>
  <c r="J251" i="2"/>
  <c r="J231" i="2"/>
  <c r="I107" i="2"/>
  <c r="M107" i="2" s="1"/>
  <c r="J168" i="2"/>
  <c r="J79" i="2"/>
  <c r="J95" i="2"/>
  <c r="J15" i="2"/>
  <c r="N15" i="2" s="1"/>
  <c r="J23" i="2"/>
  <c r="N23" i="2" s="1"/>
  <c r="J11" i="2"/>
  <c r="N11" i="2" s="1"/>
  <c r="J31" i="2"/>
  <c r="N31" i="2" s="1"/>
  <c r="J19" i="2"/>
  <c r="N19" i="2" s="1"/>
  <c r="H88" i="2"/>
  <c r="J128" i="2"/>
  <c r="H96" i="2"/>
  <c r="H128" i="2"/>
  <c r="H120" i="2"/>
  <c r="J111" i="2"/>
  <c r="J119" i="2"/>
  <c r="J127" i="2"/>
  <c r="J107" i="2"/>
  <c r="J103" i="2"/>
  <c r="J115" i="2"/>
  <c r="H240" i="2"/>
  <c r="H224" i="2"/>
  <c r="I127" i="2"/>
  <c r="M127" i="2" s="1"/>
  <c r="M99" i="2"/>
  <c r="I123" i="2"/>
  <c r="M123" i="2" s="1"/>
  <c r="H167" i="2"/>
  <c r="H256" i="2"/>
  <c r="H216" i="2"/>
  <c r="H248" i="2"/>
  <c r="L76" i="2"/>
  <c r="H208" i="2"/>
  <c r="L72" i="2"/>
  <c r="H168" i="2"/>
  <c r="H166" i="2"/>
  <c r="H207" i="2"/>
  <c r="H192" i="2"/>
  <c r="H190" i="2"/>
  <c r="H223" i="2"/>
  <c r="H174" i="2"/>
  <c r="H182" i="2"/>
  <c r="H198" i="2"/>
  <c r="H206" i="2"/>
  <c r="H219" i="2"/>
  <c r="H199" i="2"/>
  <c r="H211" i="2"/>
  <c r="H238" i="2"/>
  <c r="H203" i="2"/>
  <c r="H215" i="2"/>
  <c r="H11" i="2"/>
  <c r="H27" i="2"/>
  <c r="H23" i="2"/>
  <c r="H7" i="2"/>
  <c r="I119" i="2"/>
  <c r="M119" i="2" s="1"/>
  <c r="L112" i="2"/>
  <c r="L128" i="2"/>
  <c r="L32" i="2"/>
  <c r="L24" i="2"/>
  <c r="I168" i="2"/>
  <c r="M168" i="2" s="1"/>
  <c r="I166" i="2"/>
  <c r="M166" i="2" s="1"/>
  <c r="I167" i="2"/>
  <c r="M167" i="2" s="1"/>
  <c r="H142" i="2" l="1"/>
  <c r="K142" i="2" s="1"/>
  <c r="H150" i="2"/>
  <c r="K150" i="2" s="1"/>
  <c r="N107" i="2"/>
  <c r="N95" i="2"/>
  <c r="J150" i="2"/>
  <c r="J142" i="2"/>
  <c r="H87" i="2"/>
  <c r="H83" i="2"/>
  <c r="H71" i="2"/>
  <c r="H79" i="2"/>
  <c r="H95" i="2"/>
  <c r="H91" i="2"/>
  <c r="H75" i="2"/>
  <c r="N127" i="2"/>
  <c r="N231" i="2"/>
  <c r="N219" i="2"/>
  <c r="J155" i="2"/>
  <c r="J159" i="2"/>
  <c r="J143" i="2"/>
  <c r="J135" i="2"/>
  <c r="J151" i="2"/>
  <c r="J147" i="2"/>
  <c r="N247" i="2"/>
  <c r="M115" i="2"/>
  <c r="I91" i="2"/>
  <c r="M91" i="2" s="1"/>
  <c r="I79" i="2"/>
  <c r="M79" i="2" s="1"/>
  <c r="I95" i="2"/>
  <c r="M95" i="2" s="1"/>
  <c r="I87" i="2"/>
  <c r="M87" i="2" s="1"/>
  <c r="I75" i="2"/>
  <c r="M75" i="2" s="1"/>
  <c r="I83" i="2"/>
  <c r="M83" i="2" s="1"/>
  <c r="H255" i="2"/>
  <c r="H247" i="2"/>
  <c r="H235" i="2"/>
  <c r="H231" i="2"/>
  <c r="H239" i="2"/>
  <c r="H251" i="2"/>
  <c r="H243" i="2"/>
  <c r="N115" i="2"/>
  <c r="J71" i="2"/>
  <c r="J87" i="2"/>
  <c r="N87" i="2" s="1"/>
  <c r="J83" i="2"/>
  <c r="N83" i="2" s="1"/>
  <c r="N119" i="2"/>
  <c r="N251" i="2"/>
  <c r="N211" i="2"/>
  <c r="N239" i="2"/>
  <c r="J91" i="2"/>
  <c r="H147" i="2"/>
  <c r="K147" i="2" s="1"/>
  <c r="H151" i="2"/>
  <c r="K151" i="2" s="1"/>
  <c r="H135" i="2"/>
  <c r="K135" i="2" s="1"/>
  <c r="H155" i="2"/>
  <c r="H143" i="2"/>
  <c r="K143" i="2" s="1"/>
  <c r="H159" i="2"/>
  <c r="K159" i="2" s="1"/>
  <c r="N111" i="2"/>
  <c r="J75" i="2"/>
  <c r="N75" i="2" s="1"/>
  <c r="N235" i="2"/>
  <c r="J112" i="2"/>
  <c r="J120" i="2"/>
  <c r="J96" i="2"/>
  <c r="N96" i="2" s="1"/>
  <c r="J24" i="2"/>
  <c r="N24" i="2" s="1"/>
  <c r="J16" i="2"/>
  <c r="N16" i="2" s="1"/>
  <c r="J32" i="2"/>
  <c r="N32" i="2" s="1"/>
  <c r="J80" i="2"/>
  <c r="N80" i="2" s="1"/>
  <c r="N72" i="2"/>
  <c r="J88" i="2"/>
  <c r="N88" i="2" s="1"/>
  <c r="L204" i="2"/>
  <c r="L138" i="2"/>
  <c r="I234" i="2"/>
  <c r="M234" i="2" s="1"/>
  <c r="I202" i="2"/>
  <c r="M202" i="2" s="1"/>
  <c r="L200" i="2"/>
  <c r="L226" i="2"/>
  <c r="L230" i="2" s="1"/>
  <c r="L194" i="2"/>
  <c r="L206" i="2" s="1"/>
  <c r="L195" i="2"/>
  <c r="M250" i="2"/>
  <c r="M242" i="2"/>
  <c r="M236" i="2"/>
  <c r="I231" i="2"/>
  <c r="M231" i="2" s="1"/>
  <c r="I103" i="2"/>
  <c r="M103" i="2" s="1"/>
  <c r="I71" i="2"/>
  <c r="I7" i="2"/>
  <c r="M7" i="2" s="1"/>
  <c r="L3" i="2"/>
  <c r="L31" i="2" s="1"/>
  <c r="L35" i="2"/>
  <c r="L233" i="2"/>
  <c r="L229" i="2"/>
  <c r="L228" i="2"/>
  <c r="L225" i="2"/>
  <c r="L222" i="2"/>
  <c r="L221" i="2"/>
  <c r="L220" i="2"/>
  <c r="L217" i="2"/>
  <c r="L214" i="2"/>
  <c r="L213" i="2"/>
  <c r="L212" i="2"/>
  <c r="L209" i="2"/>
  <c r="L205" i="2"/>
  <c r="L201" i="2"/>
  <c r="L197" i="2"/>
  <c r="L196" i="2"/>
  <c r="L193" i="2"/>
  <c r="L189" i="2"/>
  <c r="L185" i="2"/>
  <c r="L181" i="2"/>
  <c r="L180" i="2"/>
  <c r="L177" i="2"/>
  <c r="L173" i="2"/>
  <c r="L169" i="2"/>
  <c r="L165" i="2"/>
  <c r="L161" i="2"/>
  <c r="L160" i="2"/>
  <c r="L158" i="2"/>
  <c r="L157" i="2"/>
  <c r="L153" i="2"/>
  <c r="L149" i="2"/>
  <c r="L148" i="2"/>
  <c r="L145" i="2"/>
  <c r="L141" i="2"/>
  <c r="L139" i="2"/>
  <c r="L137" i="2"/>
  <c r="L133" i="2"/>
  <c r="L132" i="2"/>
  <c r="L130" i="2"/>
  <c r="L129" i="2"/>
  <c r="L126" i="2"/>
  <c r="L125" i="2"/>
  <c r="L124" i="2"/>
  <c r="L121" i="2"/>
  <c r="L118" i="2"/>
  <c r="L117" i="2"/>
  <c r="L116" i="2"/>
  <c r="L113" i="2"/>
  <c r="L109" i="2"/>
  <c r="L105" i="2"/>
  <c r="L102" i="2"/>
  <c r="L101" i="2"/>
  <c r="L100" i="2"/>
  <c r="L97" i="2"/>
  <c r="L94" i="2"/>
  <c r="L93" i="2"/>
  <c r="L92" i="2"/>
  <c r="L89" i="2"/>
  <c r="L86" i="2"/>
  <c r="L85" i="2"/>
  <c r="L84" i="2"/>
  <c r="L81" i="2"/>
  <c r="L77" i="2"/>
  <c r="L73" i="2"/>
  <c r="L70" i="2"/>
  <c r="L69" i="2"/>
  <c r="L68" i="2"/>
  <c r="L65" i="2"/>
  <c r="L62" i="2"/>
  <c r="L61" i="2"/>
  <c r="L60" i="2"/>
  <c r="L57" i="2"/>
  <c r="L54" i="2"/>
  <c r="L53" i="2"/>
  <c r="L52" i="2"/>
  <c r="L49" i="2"/>
  <c r="L45" i="2"/>
  <c r="L41" i="2"/>
  <c r="L37" i="2"/>
  <c r="L36" i="2"/>
  <c r="L33" i="2"/>
  <c r="L30" i="2"/>
  <c r="L29" i="2"/>
  <c r="L28" i="2"/>
  <c r="L25" i="2"/>
  <c r="L22" i="2"/>
  <c r="L21" i="2"/>
  <c r="L20" i="2"/>
  <c r="L17" i="2"/>
  <c r="L14" i="2"/>
  <c r="L13" i="2"/>
  <c r="L9" i="2"/>
  <c r="L6" i="2"/>
  <c r="L5" i="2"/>
  <c r="L4" i="2"/>
  <c r="B1" i="3"/>
  <c r="B2" i="3"/>
  <c r="B3" i="3"/>
  <c r="E257" i="2"/>
  <c r="E256" i="2"/>
  <c r="K256" i="2" s="1"/>
  <c r="E255" i="2"/>
  <c r="N255" i="2" s="1"/>
  <c r="E254" i="2"/>
  <c r="E253" i="2"/>
  <c r="E252" i="2"/>
  <c r="E251" i="2"/>
  <c r="E250" i="2"/>
  <c r="E249" i="2"/>
  <c r="E248" i="2"/>
  <c r="E247" i="2"/>
  <c r="E246" i="2"/>
  <c r="E245" i="2"/>
  <c r="E244" i="2"/>
  <c r="E243" i="2"/>
  <c r="N243" i="2" s="1"/>
  <c r="E242" i="2"/>
  <c r="E241" i="2"/>
  <c r="E240" i="2"/>
  <c r="K240" i="2" s="1"/>
  <c r="E239" i="2"/>
  <c r="E238" i="2"/>
  <c r="N238" i="2" s="1"/>
  <c r="E237" i="2"/>
  <c r="E236" i="2"/>
  <c r="P141" i="2" s="1"/>
  <c r="E235" i="2"/>
  <c r="E234" i="2"/>
  <c r="E233" i="2"/>
  <c r="E232" i="2"/>
  <c r="K232" i="2" s="1"/>
  <c r="E231" i="2"/>
  <c r="E230" i="2"/>
  <c r="N230" i="2" s="1"/>
  <c r="E229" i="2"/>
  <c r="E228" i="2"/>
  <c r="E227" i="2"/>
  <c r="K227" i="2" s="1"/>
  <c r="E226" i="2"/>
  <c r="N226" i="2" s="1"/>
  <c r="E225" i="2"/>
  <c r="E224" i="2"/>
  <c r="E223" i="2"/>
  <c r="E222" i="2"/>
  <c r="E221" i="2"/>
  <c r="E220" i="2"/>
  <c r="E219" i="2"/>
  <c r="E218" i="2"/>
  <c r="P130" i="2" s="1"/>
  <c r="E217" i="2"/>
  <c r="E216" i="2"/>
  <c r="E215" i="2"/>
  <c r="N215" i="2" s="1"/>
  <c r="E214" i="2"/>
  <c r="E213" i="2"/>
  <c r="E212" i="2"/>
  <c r="E211" i="2"/>
  <c r="E210" i="2"/>
  <c r="E209" i="2"/>
  <c r="E208" i="2"/>
  <c r="E207" i="2"/>
  <c r="E206" i="2"/>
  <c r="N206" i="2" s="1"/>
  <c r="E205" i="2"/>
  <c r="E204" i="2"/>
  <c r="E203" i="2"/>
  <c r="E202" i="2"/>
  <c r="E201" i="2"/>
  <c r="E200" i="2"/>
  <c r="K200" i="2" s="1"/>
  <c r="E199" i="2"/>
  <c r="E198" i="2"/>
  <c r="E197" i="2"/>
  <c r="E196" i="2"/>
  <c r="E195" i="2"/>
  <c r="E194" i="2"/>
  <c r="E193" i="2"/>
  <c r="E192" i="2"/>
  <c r="N192" i="2" s="1"/>
  <c r="E191" i="2"/>
  <c r="E190" i="2"/>
  <c r="N190" i="2" s="1"/>
  <c r="E189" i="2"/>
  <c r="N189" i="2" s="1"/>
  <c r="E188" i="2"/>
  <c r="N188" i="2" s="1"/>
  <c r="E187" i="2"/>
  <c r="N187" i="2" s="1"/>
  <c r="E186" i="2"/>
  <c r="E185" i="2"/>
  <c r="N185" i="2" s="1"/>
  <c r="E184" i="2"/>
  <c r="N184" i="2" s="1"/>
  <c r="E183" i="2"/>
  <c r="N183" i="2" s="1"/>
  <c r="E182" i="2"/>
  <c r="N182" i="2" s="1"/>
  <c r="E181" i="2"/>
  <c r="N181" i="2" s="1"/>
  <c r="E180" i="2"/>
  <c r="N180" i="2" s="1"/>
  <c r="E179" i="2"/>
  <c r="E178" i="2"/>
  <c r="N178" i="2" s="1"/>
  <c r="E177" i="2"/>
  <c r="N177" i="2" s="1"/>
  <c r="E176" i="2"/>
  <c r="N176" i="2" s="1"/>
  <c r="E175" i="2"/>
  <c r="E174" i="2"/>
  <c r="E173" i="2"/>
  <c r="E172" i="2"/>
  <c r="P100" i="2" s="1"/>
  <c r="E171" i="2"/>
  <c r="N171" i="2" s="1"/>
  <c r="E170" i="2"/>
  <c r="E169" i="2"/>
  <c r="E168" i="2"/>
  <c r="E167" i="2"/>
  <c r="N167" i="2" s="1"/>
  <c r="E166" i="2"/>
  <c r="N166" i="2" s="1"/>
  <c r="E165" i="2"/>
  <c r="E164" i="2"/>
  <c r="E163" i="2"/>
  <c r="E162" i="2"/>
  <c r="E161" i="2"/>
  <c r="E160" i="2"/>
  <c r="E159" i="2"/>
  <c r="E158" i="2"/>
  <c r="N158" i="2" s="1"/>
  <c r="E157" i="2"/>
  <c r="N157" i="2" s="1"/>
  <c r="E156" i="2"/>
  <c r="N156" i="2" s="1"/>
  <c r="E155" i="2"/>
  <c r="E154" i="2"/>
  <c r="N154" i="2" s="1"/>
  <c r="E153" i="2"/>
  <c r="N153" i="2" s="1"/>
  <c r="E152" i="2"/>
  <c r="E151" i="2"/>
  <c r="E150" i="2"/>
  <c r="E149" i="2"/>
  <c r="N149" i="2" s="1"/>
  <c r="E148" i="2"/>
  <c r="N148" i="2" s="1"/>
  <c r="E147" i="2"/>
  <c r="E146" i="2"/>
  <c r="E145" i="2"/>
  <c r="N145" i="2" s="1"/>
  <c r="E144" i="2"/>
  <c r="N144" i="2" s="1"/>
  <c r="E143" i="2"/>
  <c r="E142" i="2"/>
  <c r="E141" i="2"/>
  <c r="E140" i="2"/>
  <c r="E139" i="2"/>
  <c r="E138" i="2"/>
  <c r="E137" i="2"/>
  <c r="E136" i="2"/>
  <c r="E135" i="2"/>
  <c r="E134" i="2"/>
  <c r="N134" i="2" s="1"/>
  <c r="E133" i="2"/>
  <c r="E132" i="2"/>
  <c r="E131" i="2"/>
  <c r="N131" i="2" s="1"/>
  <c r="E130" i="2"/>
  <c r="E129" i="2"/>
  <c r="E128" i="2"/>
  <c r="E127" i="2"/>
  <c r="E126" i="2"/>
  <c r="E125" i="2"/>
  <c r="E124" i="2"/>
  <c r="E123" i="2"/>
  <c r="N123" i="2" s="1"/>
  <c r="E122" i="2"/>
  <c r="P70" i="2" s="1"/>
  <c r="E121" i="2"/>
  <c r="E120" i="2"/>
  <c r="E119" i="2"/>
  <c r="E118" i="2"/>
  <c r="E117" i="2"/>
  <c r="E116" i="2"/>
  <c r="E115" i="2"/>
  <c r="E114" i="2"/>
  <c r="K114" i="2" s="1"/>
  <c r="E113" i="2"/>
  <c r="E112" i="2"/>
  <c r="E111" i="2"/>
  <c r="E110" i="2"/>
  <c r="K110" i="2" s="1"/>
  <c r="E109" i="2"/>
  <c r="E108" i="2"/>
  <c r="P62" i="2" s="1"/>
  <c r="E107" i="2"/>
  <c r="E106" i="2"/>
  <c r="P60" i="2" s="1"/>
  <c r="E105" i="2"/>
  <c r="E104" i="2"/>
  <c r="E103" i="2"/>
  <c r="N103" i="2" s="1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P52" i="2" s="1"/>
  <c r="E89" i="2"/>
  <c r="E88" i="2"/>
  <c r="E87" i="2"/>
  <c r="E86" i="2"/>
  <c r="E85" i="2"/>
  <c r="E84" i="2"/>
  <c r="E83" i="2"/>
  <c r="E82" i="2"/>
  <c r="K82" i="2" s="1"/>
  <c r="E81" i="2"/>
  <c r="E80" i="2"/>
  <c r="E79" i="2"/>
  <c r="N79" i="2" s="1"/>
  <c r="E78" i="2"/>
  <c r="K78" i="2" s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K46" i="2" s="1"/>
  <c r="E45" i="2"/>
  <c r="E44" i="2"/>
  <c r="E43" i="2"/>
  <c r="E42" i="2"/>
  <c r="E41" i="2"/>
  <c r="E40" i="2"/>
  <c r="E39" i="2"/>
  <c r="E38" i="2"/>
  <c r="K38" i="2" s="1"/>
  <c r="E37" i="2"/>
  <c r="E36" i="2"/>
  <c r="E35" i="2"/>
  <c r="E34" i="2"/>
  <c r="K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K18" i="2" s="1"/>
  <c r="E17" i="2"/>
  <c r="E16" i="2"/>
  <c r="E15" i="2"/>
  <c r="E14" i="2"/>
  <c r="E13" i="2"/>
  <c r="E12" i="2"/>
  <c r="E11" i="2"/>
  <c r="E10" i="2"/>
  <c r="P6" i="2" s="1"/>
  <c r="E9" i="2"/>
  <c r="E8" i="2"/>
  <c r="E7" i="2"/>
  <c r="E6" i="2"/>
  <c r="E5" i="2"/>
  <c r="E4" i="2"/>
  <c r="E3" i="2"/>
  <c r="E2" i="2"/>
  <c r="P2" i="2" s="1"/>
  <c r="N159" i="2" l="1"/>
  <c r="N136" i="2"/>
  <c r="P77" i="2"/>
  <c r="N152" i="2"/>
  <c r="K152" i="2"/>
  <c r="P94" i="2"/>
  <c r="K208" i="2"/>
  <c r="K216" i="2"/>
  <c r="K224" i="2"/>
  <c r="K248" i="2"/>
  <c r="L215" i="2"/>
  <c r="N128" i="2"/>
  <c r="N256" i="2"/>
  <c r="H48" i="2"/>
  <c r="K48" i="2" s="1"/>
  <c r="H64" i="2"/>
  <c r="K64" i="2" s="1"/>
  <c r="H56" i="2"/>
  <c r="K56" i="2" s="1"/>
  <c r="L168" i="2"/>
  <c r="L192" i="2"/>
  <c r="L184" i="2"/>
  <c r="L176" i="2"/>
  <c r="M71" i="2"/>
  <c r="I64" i="2"/>
  <c r="M64" i="2" s="1"/>
  <c r="I56" i="2"/>
  <c r="M56" i="2" s="1"/>
  <c r="I48" i="2"/>
  <c r="M48" i="2" s="1"/>
  <c r="N120" i="2"/>
  <c r="N232" i="2"/>
  <c r="N240" i="2"/>
  <c r="P21" i="2"/>
  <c r="K50" i="2"/>
  <c r="P30" i="2"/>
  <c r="P45" i="2"/>
  <c r="N142" i="2"/>
  <c r="N150" i="2"/>
  <c r="P85" i="2"/>
  <c r="P101" i="2"/>
  <c r="N174" i="2"/>
  <c r="N186" i="2"/>
  <c r="P109" i="2" s="1"/>
  <c r="P117" i="2"/>
  <c r="K210" i="2"/>
  <c r="P126" i="2"/>
  <c r="P139" i="2"/>
  <c r="K242" i="2"/>
  <c r="P145" i="2" s="1"/>
  <c r="L174" i="2"/>
  <c r="L166" i="2"/>
  <c r="L190" i="2"/>
  <c r="L182" i="2"/>
  <c r="N112" i="2"/>
  <c r="P65" i="2" s="1"/>
  <c r="K144" i="2"/>
  <c r="N208" i="2"/>
  <c r="P125" i="2" s="1"/>
  <c r="N198" i="2"/>
  <c r="N216" i="2"/>
  <c r="P129" i="2" s="1"/>
  <c r="N224" i="2"/>
  <c r="P13" i="2"/>
  <c r="N135" i="2"/>
  <c r="N143" i="2"/>
  <c r="P81" i="2"/>
  <c r="N147" i="2"/>
  <c r="P84" i="2" s="1"/>
  <c r="N151" i="2"/>
  <c r="P86" i="2"/>
  <c r="N155" i="2"/>
  <c r="N175" i="2"/>
  <c r="N179" i="2"/>
  <c r="P113" i="2"/>
  <c r="P116" i="2"/>
  <c r="N195" i="2"/>
  <c r="N203" i="2"/>
  <c r="N207" i="2"/>
  <c r="N223" i="2"/>
  <c r="L191" i="2"/>
  <c r="L175" i="2"/>
  <c r="P102" i="2" s="1"/>
  <c r="L187" i="2"/>
  <c r="L171" i="2"/>
  <c r="L183" i="2"/>
  <c r="L167" i="2"/>
  <c r="L179" i="2"/>
  <c r="L208" i="2"/>
  <c r="K155" i="2"/>
  <c r="P89" i="2" s="1"/>
  <c r="N91" i="2"/>
  <c r="N168" i="2"/>
  <c r="N71" i="2"/>
  <c r="J64" i="2"/>
  <c r="J56" i="2"/>
  <c r="J48" i="2"/>
  <c r="N199" i="2"/>
  <c r="N191" i="2"/>
  <c r="N248" i="2"/>
  <c r="P5" i="2"/>
  <c r="N146" i="2"/>
  <c r="K146" i="2"/>
  <c r="K168" i="2"/>
  <c r="P97" i="2" s="1"/>
  <c r="K175" i="2"/>
  <c r="K192" i="2"/>
  <c r="K223" i="2"/>
  <c r="P132" i="2" s="1"/>
  <c r="K199" i="2"/>
  <c r="P118" i="2" s="1"/>
  <c r="K180" i="2"/>
  <c r="K176" i="2"/>
  <c r="K219" i="2"/>
  <c r="K206" i="2"/>
  <c r="K27" i="2"/>
  <c r="K174" i="2"/>
  <c r="K188" i="2"/>
  <c r="K7" i="2"/>
  <c r="P4" i="2" s="1"/>
  <c r="K186" i="2"/>
  <c r="K185" i="2"/>
  <c r="K162" i="2"/>
  <c r="P92" i="2" s="1"/>
  <c r="K194" i="2"/>
  <c r="K230" i="2"/>
  <c r="K3" i="2"/>
  <c r="K19" i="2"/>
  <c r="P12" i="2" s="1"/>
  <c r="K31" i="2"/>
  <c r="P17" i="2" s="1"/>
  <c r="K71" i="2"/>
  <c r="K83" i="2"/>
  <c r="K91" i="2"/>
  <c r="K95" i="2"/>
  <c r="K103" i="2"/>
  <c r="K115" i="2"/>
  <c r="K123" i="2"/>
  <c r="K8" i="2"/>
  <c r="K16" i="2"/>
  <c r="K24" i="2"/>
  <c r="P14" i="2" s="1"/>
  <c r="K32" i="2"/>
  <c r="K40" i="2"/>
  <c r="K72" i="2"/>
  <c r="P41" i="2" s="1"/>
  <c r="K80" i="2"/>
  <c r="K88" i="2"/>
  <c r="K96" i="2"/>
  <c r="K104" i="2"/>
  <c r="K112" i="2"/>
  <c r="K120" i="2"/>
  <c r="P69" i="2" s="1"/>
  <c r="K128" i="2"/>
  <c r="P73" i="2" s="1"/>
  <c r="K164" i="2"/>
  <c r="K181" i="2"/>
  <c r="K178" i="2"/>
  <c r="K190" i="2"/>
  <c r="K195" i="2"/>
  <c r="K183" i="2"/>
  <c r="K215" i="2"/>
  <c r="K238" i="2"/>
  <c r="K179" i="2"/>
  <c r="P105" i="2" s="1"/>
  <c r="K189" i="2"/>
  <c r="K177" i="2"/>
  <c r="K226" i="2"/>
  <c r="K198" i="2"/>
  <c r="K15" i="2"/>
  <c r="K35" i="2"/>
  <c r="P20" i="2" s="1"/>
  <c r="K67" i="2"/>
  <c r="K75" i="2"/>
  <c r="K79" i="2"/>
  <c r="K87" i="2"/>
  <c r="K99" i="2"/>
  <c r="P57" i="2" s="1"/>
  <c r="K107" i="2"/>
  <c r="K111" i="2"/>
  <c r="K119" i="2"/>
  <c r="K127" i="2"/>
  <c r="K163" i="2"/>
  <c r="P93" i="2" s="1"/>
  <c r="K171" i="2"/>
  <c r="K191" i="2"/>
  <c r="K231" i="2"/>
  <c r="P137" i="2" s="1"/>
  <c r="K235" i="2"/>
  <c r="K239" i="2"/>
  <c r="K243" i="2"/>
  <c r="K247" i="2"/>
  <c r="K251" i="2"/>
  <c r="K255" i="2"/>
  <c r="K187" i="2"/>
  <c r="K11" i="2"/>
  <c r="K184" i="2"/>
  <c r="K167" i="2"/>
  <c r="K203" i="2"/>
  <c r="K207" i="2"/>
  <c r="P124" i="2" s="1"/>
  <c r="K211" i="2"/>
  <c r="K182" i="2"/>
  <c r="K166" i="2"/>
  <c r="K23" i="2"/>
  <c r="P10" i="2"/>
  <c r="P200" i="2"/>
  <c r="L223" i="2"/>
  <c r="L207" i="2"/>
  <c r="L238" i="2"/>
  <c r="L203" i="2"/>
  <c r="P121" i="2" s="1"/>
  <c r="L219" i="2"/>
  <c r="L211" i="2"/>
  <c r="L198" i="2"/>
  <c r="L199" i="2"/>
  <c r="Q26" i="2"/>
  <c r="Q90" i="2"/>
  <c r="Q36" i="2"/>
  <c r="Q44" i="2"/>
  <c r="Q76" i="2"/>
  <c r="Q244" i="2"/>
  <c r="L232" i="2"/>
  <c r="L240" i="2" s="1"/>
  <c r="L202" i="2"/>
  <c r="L234" i="2"/>
  <c r="L216" i="2"/>
  <c r="L224" i="2"/>
  <c r="L7" i="2"/>
  <c r="L19" i="2"/>
  <c r="L23" i="2"/>
  <c r="L11" i="2"/>
  <c r="L27" i="2"/>
  <c r="L15" i="2"/>
  <c r="P9" i="2" s="1"/>
  <c r="Q2" i="2"/>
  <c r="Q255" i="2"/>
  <c r="Q254" i="2"/>
  <c r="Q246" i="2"/>
  <c r="Q243" i="2"/>
  <c r="Q240" i="2"/>
  <c r="Q239" i="2"/>
  <c r="Q235" i="2"/>
  <c r="Q230" i="2"/>
  <c r="Q229" i="2"/>
  <c r="Q227" i="2"/>
  <c r="Q226" i="2"/>
  <c r="Q225" i="2"/>
  <c r="Q223" i="2"/>
  <c r="Q221" i="2"/>
  <c r="Q214" i="2"/>
  <c r="Q210" i="2"/>
  <c r="Q208" i="2"/>
  <c r="Q207" i="2"/>
  <c r="Q206" i="2"/>
  <c r="Q203" i="2"/>
  <c r="Q200" i="2"/>
  <c r="Q197" i="2"/>
  <c r="Q195" i="2"/>
  <c r="Q193" i="2"/>
  <c r="Q192" i="2"/>
  <c r="Q189" i="2"/>
  <c r="Q184" i="2"/>
  <c r="Q182" i="2"/>
  <c r="Q178" i="2"/>
  <c r="Q177" i="2"/>
  <c r="Q175" i="2"/>
  <c r="Q167" i="2"/>
  <c r="Q165" i="2"/>
  <c r="Q164" i="2"/>
  <c r="Q163" i="2"/>
  <c r="Q161" i="2"/>
  <c r="Q155" i="2"/>
  <c r="Q153" i="2"/>
  <c r="Q151" i="2"/>
  <c r="Q150" i="2"/>
  <c r="Q147" i="2"/>
  <c r="Q144" i="2"/>
  <c r="Q141" i="2"/>
  <c r="Q139" i="2"/>
  <c r="Q131" i="2"/>
  <c r="Q129" i="2"/>
  <c r="Q126" i="2"/>
  <c r="Q121" i="2"/>
  <c r="Q120" i="2"/>
  <c r="Q113" i="2"/>
  <c r="Q111" i="2"/>
  <c r="Q107" i="2"/>
  <c r="Q105" i="2"/>
  <c r="Q104" i="2"/>
  <c r="Q103" i="2"/>
  <c r="Q102" i="2"/>
  <c r="Q101" i="2"/>
  <c r="Q99" i="2"/>
  <c r="Q97" i="2"/>
  <c r="Q95" i="2"/>
  <c r="Q89" i="2"/>
  <c r="Q87" i="2"/>
  <c r="Q86" i="2"/>
  <c r="Q85" i="2"/>
  <c r="Q80" i="2"/>
  <c r="Q78" i="2"/>
  <c r="Q77" i="2"/>
  <c r="Q72" i="2"/>
  <c r="Q71" i="2"/>
  <c r="Q70" i="2"/>
  <c r="Q69" i="2"/>
  <c r="Q65" i="2"/>
  <c r="Q64" i="2"/>
  <c r="Q61" i="2"/>
  <c r="Q57" i="2"/>
  <c r="Q55" i="2"/>
  <c r="Q54" i="2"/>
  <c r="Q50" i="2"/>
  <c r="Q49" i="2"/>
  <c r="Q46" i="2"/>
  <c r="Q41" i="2"/>
  <c r="Q40" i="2"/>
  <c r="Q39" i="2"/>
  <c r="Q124" i="2"/>
  <c r="Q122" i="2"/>
  <c r="Q24" i="2"/>
  <c r="Q23" i="2"/>
  <c r="Q22" i="2"/>
  <c r="Q19" i="2"/>
  <c r="Q17" i="2"/>
  <c r="Q16" i="2"/>
  <c r="Q5" i="2"/>
  <c r="Q108" i="2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S18" i="1"/>
  <c r="S2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48" i="2" l="1"/>
  <c r="L256" i="2"/>
  <c r="P256" i="2" s="1"/>
  <c r="L248" i="2"/>
  <c r="P208" i="2"/>
  <c r="N56" i="2"/>
  <c r="P149" i="2"/>
  <c r="N64" i="2"/>
  <c r="P133" i="2"/>
  <c r="L111" i="2"/>
  <c r="L119" i="2"/>
  <c r="P68" i="2" s="1"/>
  <c r="L123" i="2"/>
  <c r="P123" i="2" s="1"/>
  <c r="L107" i="2"/>
  <c r="P61" i="2" s="1"/>
  <c r="L115" i="2"/>
  <c r="P115" i="2" s="1"/>
  <c r="L127" i="2"/>
  <c r="P127" i="2" s="1"/>
  <c r="L103" i="2"/>
  <c r="P58" i="2" s="1"/>
  <c r="P3" i="2"/>
  <c r="P7" i="2"/>
  <c r="P186" i="2"/>
  <c r="P143" i="2"/>
  <c r="P166" i="2"/>
  <c r="P104" i="2"/>
  <c r="P194" i="2"/>
  <c r="P168" i="2"/>
  <c r="P250" i="2"/>
  <c r="P234" i="2"/>
  <c r="P66" i="2"/>
  <c r="P42" i="2"/>
  <c r="P18" i="2"/>
  <c r="P204" i="2"/>
  <c r="P156" i="2"/>
  <c r="P144" i="2"/>
  <c r="P136" i="2"/>
  <c r="P76" i="2"/>
  <c r="P8" i="2"/>
  <c r="P142" i="2"/>
  <c r="P114" i="2"/>
  <c r="P232" i="2"/>
  <c r="P188" i="2"/>
  <c r="P16" i="2"/>
  <c r="P206" i="2"/>
  <c r="P99" i="2"/>
  <c r="P182" i="2"/>
  <c r="P216" i="2"/>
  <c r="P24" i="2"/>
  <c r="P224" i="2"/>
  <c r="P190" i="2"/>
  <c r="P159" i="2"/>
  <c r="P151" i="2"/>
  <c r="P131" i="2"/>
  <c r="P67" i="2"/>
  <c r="P218" i="2"/>
  <c r="P134" i="2"/>
  <c r="P110" i="2"/>
  <c r="P90" i="2"/>
  <c r="P74" i="2"/>
  <c r="P38" i="2"/>
  <c r="P26" i="2"/>
  <c r="P172" i="2"/>
  <c r="P152" i="2"/>
  <c r="P140" i="2"/>
  <c r="P108" i="2"/>
  <c r="P170" i="2"/>
  <c r="P198" i="2"/>
  <c r="P174" i="2"/>
  <c r="P15" i="2"/>
  <c r="P178" i="2"/>
  <c r="P162" i="2"/>
  <c r="P187" i="2"/>
  <c r="P19" i="2"/>
  <c r="P27" i="2"/>
  <c r="P155" i="2"/>
  <c r="P147" i="2"/>
  <c r="P135" i="2"/>
  <c r="P146" i="2"/>
  <c r="P122" i="2"/>
  <c r="P98" i="2"/>
  <c r="P82" i="2"/>
  <c r="P34" i="2"/>
  <c r="P202" i="2"/>
  <c r="P154" i="2"/>
  <c r="P78" i="2"/>
  <c r="P192" i="2"/>
  <c r="P112" i="2"/>
  <c r="P223" i="2"/>
  <c r="P207" i="2"/>
  <c r="P191" i="2"/>
  <c r="P175" i="2"/>
  <c r="P226" i="2"/>
  <c r="P23" i="2"/>
  <c r="P219" i="2"/>
  <c r="P171" i="2"/>
  <c r="P242" i="2"/>
  <c r="P236" i="2"/>
  <c r="P44" i="2"/>
  <c r="P210" i="2"/>
  <c r="P150" i="2"/>
  <c r="P138" i="2"/>
  <c r="P106" i="2"/>
  <c r="P184" i="2"/>
  <c r="P128" i="2"/>
  <c r="P215" i="2"/>
  <c r="P199" i="2"/>
  <c r="P183" i="2"/>
  <c r="P167" i="2"/>
  <c r="P11" i="2"/>
  <c r="P203" i="2"/>
  <c r="P164" i="2"/>
  <c r="P176" i="2"/>
  <c r="P120" i="2"/>
  <c r="P211" i="2"/>
  <c r="P195" i="2"/>
  <c r="P179" i="2"/>
  <c r="P163" i="2"/>
  <c r="P230" i="2"/>
  <c r="P238" i="2"/>
  <c r="Q45" i="2"/>
  <c r="Q20" i="2"/>
  <c r="Q59" i="2"/>
  <c r="Q140" i="2"/>
  <c r="Q75" i="2"/>
  <c r="Q148" i="2"/>
  <c r="Q115" i="2"/>
  <c r="Q172" i="2"/>
  <c r="Q130" i="2"/>
  <c r="Q58" i="2"/>
  <c r="Q134" i="2"/>
  <c r="Q180" i="2"/>
  <c r="Q149" i="2"/>
  <c r="Q66" i="2"/>
  <c r="Q159" i="2"/>
  <c r="Q173" i="2"/>
  <c r="Q74" i="2"/>
  <c r="Q187" i="2"/>
  <c r="Q196" i="2"/>
  <c r="Q215" i="2"/>
  <c r="Q233" i="2"/>
  <c r="Q248" i="2"/>
  <c r="Q4" i="2"/>
  <c r="Q21" i="2"/>
  <c r="Q10" i="2"/>
  <c r="Q25" i="2"/>
  <c r="Q12" i="2"/>
  <c r="Q81" i="2"/>
  <c r="Q91" i="2"/>
  <c r="Q96" i="2"/>
  <c r="Q112" i="2"/>
  <c r="Q170" i="2"/>
  <c r="Q117" i="2"/>
  <c r="Q127" i="2"/>
  <c r="Q135" i="2"/>
  <c r="Q145" i="2"/>
  <c r="Q160" i="2"/>
  <c r="Q168" i="2"/>
  <c r="Q202" i="2"/>
  <c r="Q174" i="2"/>
  <c r="Q183" i="2"/>
  <c r="Q212" i="2"/>
  <c r="Q201" i="2"/>
  <c r="Q211" i="2"/>
  <c r="Q216" i="2"/>
  <c r="Q234" i="2"/>
  <c r="Q222" i="2"/>
  <c r="Q92" i="2"/>
  <c r="Q245" i="2"/>
  <c r="Q100" i="2"/>
  <c r="Q249" i="2"/>
  <c r="Q27" i="2"/>
  <c r="Q37" i="2"/>
  <c r="Q47" i="2"/>
  <c r="Q51" i="2"/>
  <c r="Q56" i="2"/>
  <c r="Q138" i="2"/>
  <c r="Q62" i="2"/>
  <c r="Q28" i="2"/>
  <c r="Q67" i="2"/>
  <c r="Q82" i="2"/>
  <c r="Q93" i="2"/>
  <c r="Q109" i="2"/>
  <c r="Q118" i="2"/>
  <c r="Q52" i="2"/>
  <c r="Q123" i="2"/>
  <c r="Q128" i="2"/>
  <c r="Q132" i="2"/>
  <c r="Q136" i="2"/>
  <c r="Q142" i="2"/>
  <c r="Q146" i="2"/>
  <c r="Q188" i="2"/>
  <c r="Q157" i="2"/>
  <c r="Q68" i="2"/>
  <c r="Q169" i="2"/>
  <c r="Q179" i="2"/>
  <c r="Q190" i="2"/>
  <c r="Q194" i="2"/>
  <c r="Q220" i="2"/>
  <c r="Q198" i="2"/>
  <c r="Q213" i="2"/>
  <c r="Q217" i="2"/>
  <c r="Q231" i="2"/>
  <c r="Q237" i="2"/>
  <c r="Q241" i="2"/>
  <c r="Q98" i="2"/>
  <c r="Q251" i="2"/>
  <c r="Q256" i="2"/>
  <c r="Q18" i="2"/>
  <c r="Q116" i="2"/>
  <c r="Q38" i="2"/>
  <c r="Q43" i="2"/>
  <c r="Q48" i="2"/>
  <c r="Q53" i="2"/>
  <c r="Q63" i="2"/>
  <c r="Q73" i="2"/>
  <c r="Q79" i="2"/>
  <c r="Q83" i="2"/>
  <c r="Q154" i="2"/>
  <c r="Q88" i="2"/>
  <c r="Q156" i="2"/>
  <c r="Q94" i="2"/>
  <c r="Q42" i="2"/>
  <c r="Q110" i="2"/>
  <c r="Q114" i="2"/>
  <c r="Q119" i="2"/>
  <c r="Q125" i="2"/>
  <c r="Q133" i="2"/>
  <c r="Q60" i="2"/>
  <c r="Q137" i="2"/>
  <c r="Q143" i="2"/>
  <c r="Q186" i="2"/>
  <c r="Q152" i="2"/>
  <c r="Q158" i="2"/>
  <c r="Q162" i="2"/>
  <c r="Q166" i="2"/>
  <c r="Q171" i="2"/>
  <c r="Q204" i="2"/>
  <c r="Q176" i="2"/>
  <c r="Q181" i="2"/>
  <c r="Q185" i="2"/>
  <c r="Q191" i="2"/>
  <c r="Q218" i="2"/>
  <c r="Q199" i="2"/>
  <c r="Q205" i="2"/>
  <c r="Q84" i="2"/>
  <c r="Q209" i="2"/>
  <c r="Q219" i="2"/>
  <c r="Q236" i="2"/>
  <c r="Q224" i="2"/>
  <c r="Q228" i="2"/>
  <c r="Q232" i="2"/>
  <c r="Q238" i="2"/>
  <c r="Q242" i="2"/>
  <c r="Q250" i="2"/>
  <c r="Q247" i="2"/>
  <c r="Q252" i="2"/>
  <c r="Q253" i="2"/>
  <c r="Q257" i="2"/>
  <c r="Q106" i="2"/>
  <c r="Q9" i="2"/>
  <c r="Q15" i="2"/>
  <c r="Q6" i="2"/>
  <c r="Q11" i="2"/>
  <c r="Q7" i="2"/>
  <c r="Q13" i="2"/>
  <c r="Q3" i="2"/>
  <c r="Q8" i="2"/>
  <c r="Q14" i="2"/>
  <c r="Q29" i="2"/>
  <c r="Q33" i="2"/>
  <c r="Q30" i="2"/>
  <c r="Q34" i="2"/>
  <c r="Q31" i="2"/>
  <c r="Q35" i="2"/>
  <c r="Q32" i="2"/>
  <c r="P119" i="2" l="1"/>
  <c r="P107" i="2"/>
  <c r="P103" i="2"/>
  <c r="P111" i="2"/>
  <c r="L96" i="2"/>
  <c r="L88" i="2"/>
  <c r="L80" i="2"/>
  <c r="L95" i="2"/>
  <c r="L75" i="2"/>
  <c r="L87" i="2"/>
  <c r="L83" i="2"/>
  <c r="L71" i="2"/>
  <c r="P71" i="2" s="1"/>
  <c r="L79" i="2"/>
  <c r="L91" i="2"/>
  <c r="P148" i="2"/>
  <c r="P72" i="2"/>
  <c r="P240" i="2"/>
  <c r="P248" i="2"/>
  <c r="P46" i="2" l="1"/>
  <c r="P79" i="2"/>
  <c r="P75" i="2"/>
  <c r="P96" i="2"/>
  <c r="P54" i="2"/>
  <c r="P95" i="2"/>
  <c r="P49" i="2"/>
  <c r="P83" i="2"/>
  <c r="P80" i="2"/>
  <c r="P53" i="2"/>
  <c r="P91" i="2"/>
  <c r="P50" i="2"/>
  <c r="P87" i="2"/>
  <c r="P88" i="2"/>
  <c r="L64" i="2"/>
  <c r="L48" i="2"/>
  <c r="L56" i="2"/>
  <c r="P40" i="2"/>
  <c r="P28" i="2"/>
  <c r="L39" i="2"/>
  <c r="L43" i="2"/>
  <c r="L63" i="2"/>
  <c r="L47" i="2"/>
  <c r="L51" i="2"/>
  <c r="L59" i="2"/>
  <c r="L55" i="2"/>
  <c r="P32" i="2"/>
  <c r="J55" i="2"/>
  <c r="N55" i="2" s="1"/>
  <c r="J51" i="2"/>
  <c r="N51" i="2" s="1"/>
  <c r="J63" i="2"/>
  <c r="N63" i="2" s="1"/>
  <c r="I43" i="2"/>
  <c r="M43" i="2" s="1"/>
  <c r="I55" i="2"/>
  <c r="M55" i="2" s="1"/>
  <c r="I39" i="2"/>
  <c r="M39" i="2" s="1"/>
  <c r="H39" i="2"/>
  <c r="K39" i="2" s="1"/>
  <c r="P22" i="2"/>
  <c r="H51" i="2"/>
  <c r="K51" i="2" s="1"/>
  <c r="P31" i="2"/>
  <c r="H63" i="2"/>
  <c r="K63" i="2" s="1"/>
  <c r="P36" i="2"/>
  <c r="H43" i="2"/>
  <c r="K43" i="2" s="1"/>
  <c r="P25" i="2"/>
  <c r="J39" i="2"/>
  <c r="N39" i="2" s="1"/>
  <c r="J43" i="2"/>
  <c r="N43" i="2" s="1"/>
  <c r="J59" i="2"/>
  <c r="N59" i="2" s="1"/>
  <c r="J47" i="2"/>
  <c r="N47" i="2" s="1"/>
  <c r="I51" i="2"/>
  <c r="M51" i="2" s="1"/>
  <c r="I63" i="2"/>
  <c r="M63" i="2" s="1"/>
  <c r="I59" i="2"/>
  <c r="M59" i="2" s="1"/>
  <c r="I47" i="2"/>
  <c r="M47" i="2" s="1"/>
  <c r="H47" i="2"/>
  <c r="K47" i="2" s="1"/>
  <c r="H55" i="2"/>
  <c r="K55" i="2" s="1"/>
  <c r="H59" i="2"/>
  <c r="K59" i="2" s="1"/>
  <c r="P35" i="2"/>
  <c r="P51" i="2" l="1"/>
  <c r="P59" i="2"/>
  <c r="P55" i="2"/>
  <c r="P63" i="2"/>
  <c r="P47" i="2"/>
  <c r="P43" i="2"/>
  <c r="P29" i="2"/>
  <c r="P48" i="2"/>
  <c r="P39" i="2"/>
  <c r="P37" i="2"/>
  <c r="P64" i="2"/>
  <c r="P33" i="2"/>
  <c r="P56" i="2"/>
  <c r="P227" i="2"/>
  <c r="L255" i="2"/>
  <c r="P255" i="2" s="1"/>
  <c r="L247" i="2"/>
  <c r="P247" i="2" s="1"/>
  <c r="L239" i="2"/>
  <c r="P239" i="2" s="1"/>
  <c r="L231" i="2"/>
  <c r="P231" i="2" s="1"/>
  <c r="L251" i="2"/>
  <c r="P251" i="2" s="1"/>
  <c r="L243" i="2"/>
  <c r="P243" i="2" s="1"/>
  <c r="L235" i="2"/>
  <c r="P235" i="2" s="1"/>
</calcChain>
</file>

<file path=xl/sharedStrings.xml><?xml version="1.0" encoding="utf-8"?>
<sst xmlns="http://schemas.openxmlformats.org/spreadsheetml/2006/main" count="1165" uniqueCount="243">
  <si>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</si>
  <si>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</si>
  <si>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</si>
  <si>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</si>
  <si>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</si>
  <si>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</si>
  <si>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</si>
  <si>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</si>
  <si>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</si>
  <si>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</si>
  <si>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</si>
  <si>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</si>
  <si>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</si>
  <si>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</si>
  <si>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</si>
  <si>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</si>
  <si>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</si>
  <si>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BRK</t>
  </si>
  <si>
    <t>ORA</t>
  </si>
  <si>
    <t>izx 6</t>
  </si>
  <si>
    <t>KIL</t>
  </si>
  <si>
    <t>SLO</t>
  </si>
  <si>
    <t>izx 8</t>
  </si>
  <si>
    <t>NOP</t>
  </si>
  <si>
    <t>zp 3</t>
  </si>
  <si>
    <t>ASL</t>
  </si>
  <si>
    <t>zp 5</t>
  </si>
  <si>
    <t>PHP</t>
  </si>
  <si>
    <t>imm 2</t>
  </si>
  <si>
    <t>ANC</t>
  </si>
  <si>
    <t>abs 4</t>
  </si>
  <si>
    <t>abs 6</t>
  </si>
  <si>
    <t>1x</t>
  </si>
  <si>
    <t>BPL</t>
  </si>
  <si>
    <t>rel 2*</t>
  </si>
  <si>
    <t>izy 5*</t>
  </si>
  <si>
    <t>izy 8</t>
  </si>
  <si>
    <t>zpx 4</t>
  </si>
  <si>
    <t>zpx 6</t>
  </si>
  <si>
    <t>CLC</t>
  </si>
  <si>
    <t>aby 4*</t>
  </si>
  <si>
    <t>aby 7</t>
  </si>
  <si>
    <t>abx 4*</t>
  </si>
  <si>
    <t>abx 7</t>
  </si>
  <si>
    <t>2x</t>
  </si>
  <si>
    <t>JSR</t>
  </si>
  <si>
    <t>AND</t>
  </si>
  <si>
    <t>RLA</t>
  </si>
  <si>
    <t>BIT</t>
  </si>
  <si>
    <t>ROL</t>
  </si>
  <si>
    <t>PLP</t>
  </si>
  <si>
    <t>3x</t>
  </si>
  <si>
    <t>BMI</t>
  </si>
  <si>
    <t>SEC</t>
  </si>
  <si>
    <t>4x</t>
  </si>
  <si>
    <t>RTI</t>
  </si>
  <si>
    <t>EOR</t>
  </si>
  <si>
    <t>SRE</t>
  </si>
  <si>
    <t>LSR</t>
  </si>
  <si>
    <t>PHA</t>
  </si>
  <si>
    <t>ALR</t>
  </si>
  <si>
    <t>JMP</t>
  </si>
  <si>
    <t>abs 3</t>
  </si>
  <si>
    <t>5x</t>
  </si>
  <si>
    <t>BVC</t>
  </si>
  <si>
    <t>CLI</t>
  </si>
  <si>
    <t>6x</t>
  </si>
  <si>
    <t>RTS</t>
  </si>
  <si>
    <t>ADC</t>
  </si>
  <si>
    <t>RRA</t>
  </si>
  <si>
    <t>ROR</t>
  </si>
  <si>
    <t>PLA</t>
  </si>
  <si>
    <t>ARR</t>
  </si>
  <si>
    <t>ind 5</t>
  </si>
  <si>
    <t>7x</t>
  </si>
  <si>
    <t>BVS</t>
  </si>
  <si>
    <t>SEI</t>
  </si>
  <si>
    <t>8x</t>
  </si>
  <si>
    <t>STA</t>
  </si>
  <si>
    <t>SAX</t>
  </si>
  <si>
    <t>STY</t>
  </si>
  <si>
    <t>STX</t>
  </si>
  <si>
    <t>DEY</t>
  </si>
  <si>
    <t>TXA</t>
  </si>
  <si>
    <t>XAA</t>
  </si>
  <si>
    <t>9x</t>
  </si>
  <si>
    <t>BCC</t>
  </si>
  <si>
    <t>izy 6</t>
  </si>
  <si>
    <t>AHX</t>
  </si>
  <si>
    <t>zpy 4</t>
  </si>
  <si>
    <t>TYA</t>
  </si>
  <si>
    <t>aby 5</t>
  </si>
  <si>
    <t>TXS</t>
  </si>
  <si>
    <t>TAS</t>
  </si>
  <si>
    <t>SHY</t>
  </si>
  <si>
    <t>abx 5</t>
  </si>
  <si>
    <t>SHX</t>
  </si>
  <si>
    <t>Ax</t>
  </si>
  <si>
    <t>LDY</t>
  </si>
  <si>
    <t>LDA</t>
  </si>
  <si>
    <t>LDX</t>
  </si>
  <si>
    <t>LAX</t>
  </si>
  <si>
    <t>TAY</t>
  </si>
  <si>
    <t>TAX</t>
  </si>
  <si>
    <t>Bx</t>
  </si>
  <si>
    <t>BCS</t>
  </si>
  <si>
    <t>CLV</t>
  </si>
  <si>
    <t>TSX</t>
  </si>
  <si>
    <t>LAS</t>
  </si>
  <si>
    <t>Cx</t>
  </si>
  <si>
    <t>CPY</t>
  </si>
  <si>
    <t>CMP</t>
  </si>
  <si>
    <t>DCP</t>
  </si>
  <si>
    <t>DEC</t>
  </si>
  <si>
    <t>INY</t>
  </si>
  <si>
    <t>DEX</t>
  </si>
  <si>
    <t>AXS</t>
  </si>
  <si>
    <t>Dx</t>
  </si>
  <si>
    <t>BNE</t>
  </si>
  <si>
    <t>CLD</t>
  </si>
  <si>
    <t>Ex</t>
  </si>
  <si>
    <t>CPX</t>
  </si>
  <si>
    <t>SBC</t>
  </si>
  <si>
    <t>ISC</t>
  </si>
  <si>
    <t>INC</t>
  </si>
  <si>
    <t>INX</t>
  </si>
  <si>
    <t>Fx</t>
  </si>
  <si>
    <t>BEQ</t>
  </si>
  <si>
    <t>SED</t>
  </si>
  <si>
    <t>izx</t>
  </si>
  <si>
    <t>imm</t>
  </si>
  <si>
    <t>abs</t>
  </si>
  <si>
    <t>rel</t>
  </si>
  <si>
    <t>izy</t>
  </si>
  <si>
    <t>zpx</t>
  </si>
  <si>
    <t>aby</t>
  </si>
  <si>
    <t>abx</t>
  </si>
  <si>
    <t>ind</t>
  </si>
  <si>
    <t>zpy</t>
  </si>
  <si>
    <t/>
  </si>
  <si>
    <t>Mnemonic</t>
  </si>
  <si>
    <t>Access</t>
  </si>
  <si>
    <t>Cycles</t>
  </si>
  <si>
    <t>ExtraOnPageSwitch</t>
  </si>
  <si>
    <t>zpg</t>
  </si>
  <si>
    <t>(aaaa)</t>
  </si>
  <si>
    <t>aaaa,X</t>
  </si>
  <si>
    <t>aaaa,Y</t>
  </si>
  <si>
    <t>(aa,X)</t>
  </si>
  <si>
    <t>(aa),Y</t>
  </si>
  <si>
    <t xml:space="preserve">Immediate           </t>
  </si>
  <si>
    <t xml:space="preserve">Absolute            </t>
  </si>
  <si>
    <t xml:space="preserve">Zero Page           </t>
  </si>
  <si>
    <t xml:space="preserve">Implied             </t>
  </si>
  <si>
    <t xml:space="preserve">Indirect Absolute   </t>
  </si>
  <si>
    <t xml:space="preserve">Absolute Indexed,X  </t>
  </si>
  <si>
    <t xml:space="preserve">Absolute Indexed,Y  </t>
  </si>
  <si>
    <t xml:space="preserve">Zero Page Indexed,X </t>
  </si>
  <si>
    <t xml:space="preserve">Zero Page Indexed,Y </t>
  </si>
  <si>
    <t xml:space="preserve">Indexed Indirect    </t>
  </si>
  <si>
    <t xml:space="preserve">Indirect Indexed    </t>
  </si>
  <si>
    <t xml:space="preserve">Relative            </t>
  </si>
  <si>
    <t xml:space="preserve">Accumulator         </t>
  </si>
  <si>
    <t>imp</t>
  </si>
  <si>
    <t>acc</t>
  </si>
  <si>
    <t>AM_IMM</t>
  </si>
  <si>
    <t>AM_ABS</t>
  </si>
  <si>
    <t>AM_ZPG</t>
  </si>
  <si>
    <t>AM_IMP</t>
  </si>
  <si>
    <t>AM_IND</t>
  </si>
  <si>
    <t>AM_AIX</t>
  </si>
  <si>
    <t>AM_AIY</t>
  </si>
  <si>
    <t>AM_ZIX</t>
  </si>
  <si>
    <t>AM_ZIY</t>
  </si>
  <si>
    <t>AM_IIX</t>
  </si>
  <si>
    <t>AM_IIY</t>
  </si>
  <si>
    <t>AM_REL</t>
  </si>
  <si>
    <t>AM_ACC</t>
  </si>
  <si>
    <t>Access Memory</t>
  </si>
  <si>
    <t>memory_getImmediate();</t>
  </si>
  <si>
    <t>memory_getAbsolute();</t>
  </si>
  <si>
    <t>memory_getZeroPage();</t>
  </si>
  <si>
    <t>memory_getIndirectAbsoluteAddress();</t>
  </si>
  <si>
    <t>memory_getAbsoluteIndexedX();</t>
  </si>
  <si>
    <t>memory_getAbsoluteIndexedY();</t>
  </si>
  <si>
    <t>memory_getZeroPageIndexedX();</t>
  </si>
  <si>
    <t>memory_getZeroPageIndexedY();</t>
  </si>
  <si>
    <t>memory_getIndexedIndirectX();</t>
  </si>
  <si>
    <t>memory_getRelativeAddress();</t>
  </si>
  <si>
    <t>memory_setAbsolute(</t>
  </si>
  <si>
    <t>memory_setZeroPage(</t>
  </si>
  <si>
    <t>memory_setAbsoluteIndexedX(</t>
  </si>
  <si>
    <t>memory_setAbsoluteIndexedY(</t>
  </si>
  <si>
    <t>memory_setZeroPageIndexedX(</t>
  </si>
  <si>
    <t>memory_setZeroPageIndexedY(</t>
  </si>
  <si>
    <t>memory_setIndexedIndirectX(</t>
  </si>
  <si>
    <t>memory_setIndirectIndexedY(</t>
  </si>
  <si>
    <t>afko</t>
  </si>
  <si>
    <t>enum</t>
  </si>
  <si>
    <t>name</t>
  </si>
  <si>
    <t>format</t>
  </si>
  <si>
    <t>getter</t>
  </si>
  <si>
    <t>setter</t>
  </si>
  <si>
    <t>NZ set</t>
  </si>
  <si>
    <t>Opcode</t>
  </si>
  <si>
    <t>Illegal</t>
  </si>
  <si>
    <t>GetMem</t>
  </si>
  <si>
    <t>SetMem</t>
  </si>
  <si>
    <t>Opcode table</t>
  </si>
  <si>
    <t>Getter</t>
  </si>
  <si>
    <t>Setter</t>
  </si>
  <si>
    <t>Case code</t>
  </si>
  <si>
    <t>Action</t>
  </si>
  <si>
    <t>NZ setter</t>
  </si>
  <si>
    <t>A</t>
  </si>
  <si>
    <t>cpu.A</t>
  </si>
  <si>
    <t>voorloop spaties case</t>
  </si>
  <si>
    <t>voorloop spaties actie</t>
  </si>
  <si>
    <t>regeleinde</t>
  </si>
  <si>
    <t>#aa</t>
  </si>
  <si>
    <t>aaaa</t>
  </si>
  <si>
    <t>aa</t>
  </si>
  <si>
    <t>aa,X</t>
  </si>
  <si>
    <t>aa,Y</t>
  </si>
  <si>
    <t>value</t>
  </si>
  <si>
    <t>cpu.Y</t>
  </si>
  <si>
    <t>cpu.X</t>
  </si>
  <si>
    <t>LAST</t>
  </si>
  <si>
    <t>voorloop spaties actie2</t>
  </si>
  <si>
    <t>S1</t>
  </si>
  <si>
    <t>~S1</t>
  </si>
  <si>
    <t>S2</t>
  </si>
  <si>
    <t>~S2</t>
  </si>
  <si>
    <t>S3</t>
  </si>
  <si>
    <t>~S3</t>
  </si>
  <si>
    <t>V</t>
  </si>
  <si>
    <t>V=S1S2~S3+~S1~S2S3</t>
  </si>
  <si>
    <t>Post Action</t>
  </si>
  <si>
    <t>set last accessed memory</t>
  </si>
  <si>
    <t>memory_setLast(</t>
  </si>
  <si>
    <t>value_w</t>
  </si>
  <si>
    <t>cpu.PC</t>
  </si>
  <si>
    <t>memory_getIndirectIndexedY();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</si>
</sst>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.5"/>
      <color theme="1"/>
      <name val="Times New Roman"/>
      <family val="1"/>
    </font>
    <font>
      <b/>
      <i/>
      <sz val="7.5"/>
      <color rgb="FFFF0000"/>
      <name val="Times New Roman"/>
      <family val="1"/>
    </font>
    <font>
      <b/>
      <i/>
      <sz val="7.5"/>
      <color rgb="FF0000FF"/>
      <name val="Times New Roman"/>
      <family val="1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i/>
      <sz val="10"/>
      <color rgb="FF0000FF"/>
      <name val="Arial"/>
      <family val="2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ourier New"/>
      <family val="3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9" fillId="0" borderId="0" xfId="0" applyFont="1"/>
    <xf numFmtId="0" fontId="12" fillId="0" borderId="4" xfId="0" applyFont="1" applyBorder="1"/>
    <xf numFmtId="0" fontId="5" fillId="0" borderId="4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4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vertical="top" wrapText="1"/>
    </xf>
    <xf numFmtId="0" fontId="5" fillId="3" borderId="4" xfId="0" applyFont="1" applyFill="1" applyBorder="1" applyAlignment="1">
      <alignment vertical="top"/>
    </xf>
    <xf numFmtId="0" fontId="5" fillId="3" borderId="4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Standaard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27" workbookViewId="0">
      <selection sqref="A1:Q33"/>
    </sheetView>
  </sheetViews>
  <sheetFormatPr defaultRowHeight="14.4" x14ac:dyDescent="0.3"/>
  <sheetData>
    <row r="1" spans="1:20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0" x14ac:dyDescent="0.3">
      <c r="A2" s="34" t="s">
        <v>16</v>
      </c>
      <c r="B2" s="2" t="s">
        <v>17</v>
      </c>
      <c r="C2" s="2" t="s">
        <v>18</v>
      </c>
      <c r="D2" s="4" t="s">
        <v>20</v>
      </c>
      <c r="E2" s="4" t="s">
        <v>21</v>
      </c>
      <c r="F2" s="4" t="s">
        <v>23</v>
      </c>
      <c r="G2" s="2" t="s">
        <v>18</v>
      </c>
      <c r="H2" s="2" t="s">
        <v>25</v>
      </c>
      <c r="I2" s="4" t="s">
        <v>21</v>
      </c>
      <c r="J2" s="2" t="s">
        <v>27</v>
      </c>
      <c r="K2" s="2" t="s">
        <v>18</v>
      </c>
      <c r="L2" s="2" t="s">
        <v>25</v>
      </c>
      <c r="M2" s="4" t="s">
        <v>29</v>
      </c>
      <c r="N2" s="4" t="s">
        <v>23</v>
      </c>
      <c r="O2" s="2" t="s">
        <v>18</v>
      </c>
      <c r="P2" s="2" t="s">
        <v>25</v>
      </c>
      <c r="Q2" s="4" t="s">
        <v>21</v>
      </c>
      <c r="S2">
        <f>0</f>
        <v>0</v>
      </c>
      <c r="T2" t="str">
        <f>B2</f>
        <v>BRK</v>
      </c>
    </row>
    <row r="3" spans="1:20" x14ac:dyDescent="0.3">
      <c r="A3" s="35"/>
      <c r="B3" s="3">
        <v>7</v>
      </c>
      <c r="C3" s="3" t="s">
        <v>19</v>
      </c>
      <c r="D3" s="5"/>
      <c r="E3" s="5" t="s">
        <v>22</v>
      </c>
      <c r="F3" s="5" t="s">
        <v>24</v>
      </c>
      <c r="G3" s="3" t="s">
        <v>24</v>
      </c>
      <c r="H3" s="3" t="s">
        <v>26</v>
      </c>
      <c r="I3" s="5" t="s">
        <v>26</v>
      </c>
      <c r="J3" s="3">
        <v>3</v>
      </c>
      <c r="K3" s="3" t="s">
        <v>28</v>
      </c>
      <c r="L3" s="3">
        <v>2</v>
      </c>
      <c r="M3" s="5" t="s">
        <v>28</v>
      </c>
      <c r="N3" s="5" t="s">
        <v>30</v>
      </c>
      <c r="O3" s="3" t="s">
        <v>30</v>
      </c>
      <c r="P3" s="3" t="s">
        <v>31</v>
      </c>
      <c r="Q3" s="5" t="s">
        <v>31</v>
      </c>
      <c r="S3">
        <v>1</v>
      </c>
      <c r="T3" t="str">
        <f>C2</f>
        <v>ORA</v>
      </c>
    </row>
    <row r="4" spans="1:20" x14ac:dyDescent="0.3">
      <c r="A4" s="34" t="s">
        <v>32</v>
      </c>
      <c r="B4" s="2" t="s">
        <v>33</v>
      </c>
      <c r="C4" s="2" t="s">
        <v>18</v>
      </c>
      <c r="D4" s="4" t="s">
        <v>20</v>
      </c>
      <c r="E4" s="4" t="s">
        <v>21</v>
      </c>
      <c r="F4" s="4" t="s">
        <v>23</v>
      </c>
      <c r="G4" s="2" t="s">
        <v>18</v>
      </c>
      <c r="H4" s="2" t="s">
        <v>25</v>
      </c>
      <c r="I4" s="4" t="s">
        <v>21</v>
      </c>
      <c r="J4" s="2" t="s">
        <v>39</v>
      </c>
      <c r="K4" s="2" t="s">
        <v>18</v>
      </c>
      <c r="L4" s="4" t="s">
        <v>23</v>
      </c>
      <c r="M4" s="4" t="s">
        <v>21</v>
      </c>
      <c r="N4" s="4" t="s">
        <v>23</v>
      </c>
      <c r="O4" s="2" t="s">
        <v>18</v>
      </c>
      <c r="P4" s="2" t="s">
        <v>25</v>
      </c>
      <c r="Q4" s="4" t="s">
        <v>21</v>
      </c>
      <c r="S4">
        <v>2</v>
      </c>
      <c r="T4" t="str">
        <f>D2</f>
        <v>KIL</v>
      </c>
    </row>
    <row r="5" spans="1:20" x14ac:dyDescent="0.3">
      <c r="A5" s="35"/>
      <c r="B5" s="3" t="s">
        <v>34</v>
      </c>
      <c r="C5" s="3" t="s">
        <v>35</v>
      </c>
      <c r="D5" s="5"/>
      <c r="E5" s="5" t="s">
        <v>36</v>
      </c>
      <c r="F5" s="5" t="s">
        <v>37</v>
      </c>
      <c r="G5" s="3" t="s">
        <v>37</v>
      </c>
      <c r="H5" s="3" t="s">
        <v>38</v>
      </c>
      <c r="I5" s="5" t="s">
        <v>38</v>
      </c>
      <c r="J5" s="3">
        <v>2</v>
      </c>
      <c r="K5" s="3" t="s">
        <v>40</v>
      </c>
      <c r="L5" s="5">
        <v>2</v>
      </c>
      <c r="M5" s="5" t="s">
        <v>41</v>
      </c>
      <c r="N5" s="5" t="s">
        <v>42</v>
      </c>
      <c r="O5" s="3" t="s">
        <v>42</v>
      </c>
      <c r="P5" s="3" t="s">
        <v>43</v>
      </c>
      <c r="Q5" s="5" t="s">
        <v>43</v>
      </c>
      <c r="S5">
        <v>3</v>
      </c>
      <c r="T5" t="str">
        <f>E2</f>
        <v>SLO</v>
      </c>
    </row>
    <row r="6" spans="1:20" x14ac:dyDescent="0.3">
      <c r="A6" s="34" t="s">
        <v>44</v>
      </c>
      <c r="B6" s="2" t="s">
        <v>45</v>
      </c>
      <c r="C6" s="2" t="s">
        <v>46</v>
      </c>
      <c r="D6" s="4" t="s">
        <v>20</v>
      </c>
      <c r="E6" s="4" t="s">
        <v>47</v>
      </c>
      <c r="F6" s="2" t="s">
        <v>48</v>
      </c>
      <c r="G6" s="2" t="s">
        <v>46</v>
      </c>
      <c r="H6" s="2" t="s">
        <v>49</v>
      </c>
      <c r="I6" s="4" t="s">
        <v>47</v>
      </c>
      <c r="J6" s="2" t="s">
        <v>50</v>
      </c>
      <c r="K6" s="2" t="s">
        <v>46</v>
      </c>
      <c r="L6" s="2" t="s">
        <v>49</v>
      </c>
      <c r="M6" s="4" t="s">
        <v>29</v>
      </c>
      <c r="N6" s="2" t="s">
        <v>48</v>
      </c>
      <c r="O6" s="2" t="s">
        <v>46</v>
      </c>
      <c r="P6" s="2" t="s">
        <v>49</v>
      </c>
      <c r="Q6" s="4" t="s">
        <v>47</v>
      </c>
      <c r="S6">
        <v>4</v>
      </c>
      <c r="T6" t="str">
        <f>F2</f>
        <v>NOP</v>
      </c>
    </row>
    <row r="7" spans="1:20" x14ac:dyDescent="0.3">
      <c r="A7" s="35"/>
      <c r="B7" s="3" t="s">
        <v>31</v>
      </c>
      <c r="C7" s="3" t="s">
        <v>19</v>
      </c>
      <c r="D7" s="5"/>
      <c r="E7" s="5" t="s">
        <v>22</v>
      </c>
      <c r="F7" s="3" t="s">
        <v>24</v>
      </c>
      <c r="G7" s="3" t="s">
        <v>24</v>
      </c>
      <c r="H7" s="3" t="s">
        <v>26</v>
      </c>
      <c r="I7" s="5" t="s">
        <v>26</v>
      </c>
      <c r="J7" s="3">
        <v>4</v>
      </c>
      <c r="K7" s="3" t="s">
        <v>28</v>
      </c>
      <c r="L7" s="3">
        <v>2</v>
      </c>
      <c r="M7" s="5" t="s">
        <v>28</v>
      </c>
      <c r="N7" s="3" t="s">
        <v>30</v>
      </c>
      <c r="O7" s="3" t="s">
        <v>30</v>
      </c>
      <c r="P7" s="3" t="s">
        <v>31</v>
      </c>
      <c r="Q7" s="5" t="s">
        <v>31</v>
      </c>
      <c r="S7">
        <v>5</v>
      </c>
      <c r="T7" t="str">
        <f>G2</f>
        <v>ORA</v>
      </c>
    </row>
    <row r="8" spans="1:20" x14ac:dyDescent="0.3">
      <c r="A8" s="34" t="s">
        <v>51</v>
      </c>
      <c r="B8" s="2" t="s">
        <v>52</v>
      </c>
      <c r="C8" s="2" t="s">
        <v>46</v>
      </c>
      <c r="D8" s="4" t="s">
        <v>20</v>
      </c>
      <c r="E8" s="4" t="s">
        <v>47</v>
      </c>
      <c r="F8" s="4" t="s">
        <v>23</v>
      </c>
      <c r="G8" s="2" t="s">
        <v>46</v>
      </c>
      <c r="H8" s="2" t="s">
        <v>49</v>
      </c>
      <c r="I8" s="4" t="s">
        <v>47</v>
      </c>
      <c r="J8" s="2" t="s">
        <v>53</v>
      </c>
      <c r="K8" s="2" t="s">
        <v>46</v>
      </c>
      <c r="L8" s="4" t="s">
        <v>23</v>
      </c>
      <c r="M8" s="4" t="s">
        <v>47</v>
      </c>
      <c r="N8" s="4" t="s">
        <v>23</v>
      </c>
      <c r="O8" s="2" t="s">
        <v>46</v>
      </c>
      <c r="P8" s="2" t="s">
        <v>49</v>
      </c>
      <c r="Q8" s="4" t="s">
        <v>47</v>
      </c>
      <c r="S8">
        <v>6</v>
      </c>
      <c r="T8" t="str">
        <f>H2</f>
        <v>ASL</v>
      </c>
    </row>
    <row r="9" spans="1:20" x14ac:dyDescent="0.3">
      <c r="A9" s="35"/>
      <c r="B9" s="3" t="s">
        <v>34</v>
      </c>
      <c r="C9" s="3" t="s">
        <v>35</v>
      </c>
      <c r="D9" s="5"/>
      <c r="E9" s="5" t="s">
        <v>36</v>
      </c>
      <c r="F9" s="5" t="s">
        <v>37</v>
      </c>
      <c r="G9" s="3" t="s">
        <v>37</v>
      </c>
      <c r="H9" s="3" t="s">
        <v>38</v>
      </c>
      <c r="I9" s="5" t="s">
        <v>38</v>
      </c>
      <c r="J9" s="3">
        <v>2</v>
      </c>
      <c r="K9" s="3" t="s">
        <v>40</v>
      </c>
      <c r="L9" s="5">
        <v>2</v>
      </c>
      <c r="M9" s="5" t="s">
        <v>41</v>
      </c>
      <c r="N9" s="5" t="s">
        <v>42</v>
      </c>
      <c r="O9" s="3" t="s">
        <v>42</v>
      </c>
      <c r="P9" s="3" t="s">
        <v>43</v>
      </c>
      <c r="Q9" s="5" t="s">
        <v>43</v>
      </c>
      <c r="S9">
        <v>7</v>
      </c>
      <c r="T9" t="str">
        <f>I2</f>
        <v>SLO</v>
      </c>
    </row>
    <row r="10" spans="1:20" x14ac:dyDescent="0.3">
      <c r="A10" s="34" t="s">
        <v>54</v>
      </c>
      <c r="B10" s="2" t="s">
        <v>55</v>
      </c>
      <c r="C10" s="2" t="s">
        <v>56</v>
      </c>
      <c r="D10" s="4" t="s">
        <v>20</v>
      </c>
      <c r="E10" s="4" t="s">
        <v>57</v>
      </c>
      <c r="F10" s="4" t="s">
        <v>23</v>
      </c>
      <c r="G10" s="2" t="s">
        <v>56</v>
      </c>
      <c r="H10" s="2" t="s">
        <v>58</v>
      </c>
      <c r="I10" s="4" t="s">
        <v>57</v>
      </c>
      <c r="J10" s="2" t="s">
        <v>59</v>
      </c>
      <c r="K10" s="2" t="s">
        <v>56</v>
      </c>
      <c r="L10" s="2" t="s">
        <v>58</v>
      </c>
      <c r="M10" s="4" t="s">
        <v>60</v>
      </c>
      <c r="N10" s="2" t="s">
        <v>61</v>
      </c>
      <c r="O10" s="2" t="s">
        <v>56</v>
      </c>
      <c r="P10" s="2" t="s">
        <v>58</v>
      </c>
      <c r="Q10" s="4" t="s">
        <v>57</v>
      </c>
      <c r="S10">
        <v>8</v>
      </c>
      <c r="T10" t="str">
        <f>J2</f>
        <v>PHP</v>
      </c>
    </row>
    <row r="11" spans="1:20" x14ac:dyDescent="0.3">
      <c r="A11" s="35"/>
      <c r="B11" s="3">
        <v>6</v>
      </c>
      <c r="C11" s="3" t="s">
        <v>19</v>
      </c>
      <c r="D11" s="5"/>
      <c r="E11" s="5" t="s">
        <v>22</v>
      </c>
      <c r="F11" s="5" t="s">
        <v>24</v>
      </c>
      <c r="G11" s="3" t="s">
        <v>24</v>
      </c>
      <c r="H11" s="3" t="s">
        <v>26</v>
      </c>
      <c r="I11" s="5" t="s">
        <v>26</v>
      </c>
      <c r="J11" s="3">
        <v>3</v>
      </c>
      <c r="K11" s="3" t="s">
        <v>28</v>
      </c>
      <c r="L11" s="3">
        <v>2</v>
      </c>
      <c r="M11" s="5" t="s">
        <v>28</v>
      </c>
      <c r="N11" s="3" t="s">
        <v>62</v>
      </c>
      <c r="O11" s="3" t="s">
        <v>30</v>
      </c>
      <c r="P11" s="3" t="s">
        <v>31</v>
      </c>
      <c r="Q11" s="5" t="s">
        <v>31</v>
      </c>
      <c r="S11">
        <v>9</v>
      </c>
      <c r="T11" t="str">
        <f>K2</f>
        <v>ORA</v>
      </c>
    </row>
    <row r="12" spans="1:20" x14ac:dyDescent="0.3">
      <c r="A12" s="34" t="s">
        <v>63</v>
      </c>
      <c r="B12" s="2" t="s">
        <v>64</v>
      </c>
      <c r="C12" s="2" t="s">
        <v>56</v>
      </c>
      <c r="D12" s="4" t="s">
        <v>20</v>
      </c>
      <c r="E12" s="4" t="s">
        <v>57</v>
      </c>
      <c r="F12" s="4" t="s">
        <v>23</v>
      </c>
      <c r="G12" s="2" t="s">
        <v>56</v>
      </c>
      <c r="H12" s="2" t="s">
        <v>58</v>
      </c>
      <c r="I12" s="4" t="s">
        <v>57</v>
      </c>
      <c r="J12" s="2" t="s">
        <v>65</v>
      </c>
      <c r="K12" s="2" t="s">
        <v>56</v>
      </c>
      <c r="L12" s="4" t="s">
        <v>23</v>
      </c>
      <c r="M12" s="4" t="s">
        <v>57</v>
      </c>
      <c r="N12" s="4" t="s">
        <v>23</v>
      </c>
      <c r="O12" s="2" t="s">
        <v>56</v>
      </c>
      <c r="P12" s="2" t="s">
        <v>58</v>
      </c>
      <c r="Q12" s="4" t="s">
        <v>57</v>
      </c>
      <c r="S12">
        <v>10</v>
      </c>
      <c r="T12" t="str">
        <f>L2</f>
        <v>ASL</v>
      </c>
    </row>
    <row r="13" spans="1:20" x14ac:dyDescent="0.3">
      <c r="A13" s="35"/>
      <c r="B13" s="3" t="s">
        <v>34</v>
      </c>
      <c r="C13" s="3" t="s">
        <v>35</v>
      </c>
      <c r="D13" s="5"/>
      <c r="E13" s="5" t="s">
        <v>36</v>
      </c>
      <c r="F13" s="5" t="s">
        <v>37</v>
      </c>
      <c r="G13" s="3" t="s">
        <v>37</v>
      </c>
      <c r="H13" s="3" t="s">
        <v>38</v>
      </c>
      <c r="I13" s="5" t="s">
        <v>38</v>
      </c>
      <c r="J13" s="3">
        <v>2</v>
      </c>
      <c r="K13" s="3" t="s">
        <v>40</v>
      </c>
      <c r="L13" s="5">
        <v>2</v>
      </c>
      <c r="M13" s="5" t="s">
        <v>41</v>
      </c>
      <c r="N13" s="5" t="s">
        <v>42</v>
      </c>
      <c r="O13" s="3" t="s">
        <v>42</v>
      </c>
      <c r="P13" s="3" t="s">
        <v>43</v>
      </c>
      <c r="Q13" s="5" t="s">
        <v>43</v>
      </c>
      <c r="S13">
        <v>11</v>
      </c>
      <c r="T13" t="str">
        <f>M2</f>
        <v>ANC</v>
      </c>
    </row>
    <row r="14" spans="1:20" x14ac:dyDescent="0.3">
      <c r="A14" s="34" t="s">
        <v>66</v>
      </c>
      <c r="B14" s="2" t="s">
        <v>67</v>
      </c>
      <c r="C14" s="2" t="s">
        <v>68</v>
      </c>
      <c r="D14" s="4" t="s">
        <v>20</v>
      </c>
      <c r="E14" s="4" t="s">
        <v>69</v>
      </c>
      <c r="F14" s="4" t="s">
        <v>23</v>
      </c>
      <c r="G14" s="2" t="s">
        <v>68</v>
      </c>
      <c r="H14" s="2" t="s">
        <v>70</v>
      </c>
      <c r="I14" s="4" t="s">
        <v>69</v>
      </c>
      <c r="J14" s="2" t="s">
        <v>71</v>
      </c>
      <c r="K14" s="2" t="s">
        <v>68</v>
      </c>
      <c r="L14" s="2" t="s">
        <v>70</v>
      </c>
      <c r="M14" s="4" t="s">
        <v>72</v>
      </c>
      <c r="N14" s="2" t="s">
        <v>61</v>
      </c>
      <c r="O14" s="2" t="s">
        <v>68</v>
      </c>
      <c r="P14" s="2" t="s">
        <v>70</v>
      </c>
      <c r="Q14" s="4" t="s">
        <v>69</v>
      </c>
      <c r="S14">
        <v>12</v>
      </c>
      <c r="T14" t="str">
        <f>N2</f>
        <v>NOP</v>
      </c>
    </row>
    <row r="15" spans="1:20" x14ac:dyDescent="0.3">
      <c r="A15" s="35"/>
      <c r="B15" s="3">
        <v>6</v>
      </c>
      <c r="C15" s="3" t="s">
        <v>19</v>
      </c>
      <c r="D15" s="5"/>
      <c r="E15" s="5" t="s">
        <v>22</v>
      </c>
      <c r="F15" s="5" t="s">
        <v>24</v>
      </c>
      <c r="G15" s="3" t="s">
        <v>24</v>
      </c>
      <c r="H15" s="3" t="s">
        <v>26</v>
      </c>
      <c r="I15" s="5" t="s">
        <v>26</v>
      </c>
      <c r="J15" s="3">
        <v>4</v>
      </c>
      <c r="K15" s="3" t="s">
        <v>28</v>
      </c>
      <c r="L15" s="3">
        <v>2</v>
      </c>
      <c r="M15" s="5" t="s">
        <v>28</v>
      </c>
      <c r="N15" s="3" t="s">
        <v>73</v>
      </c>
      <c r="O15" s="3" t="s">
        <v>30</v>
      </c>
      <c r="P15" s="3" t="s">
        <v>31</v>
      </c>
      <c r="Q15" s="5" t="s">
        <v>31</v>
      </c>
      <c r="S15">
        <v>13</v>
      </c>
      <c r="T15" t="str">
        <f>O2</f>
        <v>ORA</v>
      </c>
    </row>
    <row r="16" spans="1:20" x14ac:dyDescent="0.3">
      <c r="A16" s="34" t="s">
        <v>74</v>
      </c>
      <c r="B16" s="2" t="s">
        <v>75</v>
      </c>
      <c r="C16" s="2" t="s">
        <v>68</v>
      </c>
      <c r="D16" s="4" t="s">
        <v>20</v>
      </c>
      <c r="E16" s="4" t="s">
        <v>69</v>
      </c>
      <c r="F16" s="4" t="s">
        <v>23</v>
      </c>
      <c r="G16" s="2" t="s">
        <v>68</v>
      </c>
      <c r="H16" s="2" t="s">
        <v>70</v>
      </c>
      <c r="I16" s="4" t="s">
        <v>69</v>
      </c>
      <c r="J16" s="2" t="s">
        <v>76</v>
      </c>
      <c r="K16" s="2" t="s">
        <v>68</v>
      </c>
      <c r="L16" s="4" t="s">
        <v>23</v>
      </c>
      <c r="M16" s="4" t="s">
        <v>69</v>
      </c>
      <c r="N16" s="4" t="s">
        <v>23</v>
      </c>
      <c r="O16" s="2" t="s">
        <v>68</v>
      </c>
      <c r="P16" s="2" t="s">
        <v>70</v>
      </c>
      <c r="Q16" s="4" t="s">
        <v>69</v>
      </c>
      <c r="S16">
        <v>14</v>
      </c>
      <c r="T16" t="str">
        <f>P2</f>
        <v>ASL</v>
      </c>
    </row>
    <row r="17" spans="1:20" x14ac:dyDescent="0.3">
      <c r="A17" s="35"/>
      <c r="B17" s="3" t="s">
        <v>34</v>
      </c>
      <c r="C17" s="3" t="s">
        <v>35</v>
      </c>
      <c r="D17" s="5"/>
      <c r="E17" s="5" t="s">
        <v>36</v>
      </c>
      <c r="F17" s="5" t="s">
        <v>37</v>
      </c>
      <c r="G17" s="3" t="s">
        <v>37</v>
      </c>
      <c r="H17" s="3" t="s">
        <v>38</v>
      </c>
      <c r="I17" s="5" t="s">
        <v>38</v>
      </c>
      <c r="J17" s="3">
        <v>2</v>
      </c>
      <c r="K17" s="3" t="s">
        <v>40</v>
      </c>
      <c r="L17" s="5">
        <v>2</v>
      </c>
      <c r="M17" s="5" t="s">
        <v>41</v>
      </c>
      <c r="N17" s="5" t="s">
        <v>42</v>
      </c>
      <c r="O17" s="3" t="s">
        <v>42</v>
      </c>
      <c r="P17" s="3" t="s">
        <v>43</v>
      </c>
      <c r="Q17" s="5" t="s">
        <v>43</v>
      </c>
      <c r="S17">
        <v>15</v>
      </c>
      <c r="T17" t="str">
        <f>Q2</f>
        <v>SLO</v>
      </c>
    </row>
    <row r="18" spans="1:20" x14ac:dyDescent="0.3">
      <c r="A18" s="34" t="s">
        <v>77</v>
      </c>
      <c r="B18" s="4" t="s">
        <v>23</v>
      </c>
      <c r="C18" s="2" t="s">
        <v>78</v>
      </c>
      <c r="D18" s="4" t="s">
        <v>23</v>
      </c>
      <c r="E18" s="4" t="s">
        <v>79</v>
      </c>
      <c r="F18" s="2" t="s">
        <v>80</v>
      </c>
      <c r="G18" s="2" t="s">
        <v>78</v>
      </c>
      <c r="H18" s="2" t="s">
        <v>81</v>
      </c>
      <c r="I18" s="4" t="s">
        <v>79</v>
      </c>
      <c r="J18" s="2" t="s">
        <v>82</v>
      </c>
      <c r="K18" s="4" t="s">
        <v>23</v>
      </c>
      <c r="L18" s="2" t="s">
        <v>83</v>
      </c>
      <c r="M18" s="6" t="s">
        <v>84</v>
      </c>
      <c r="N18" s="2" t="s">
        <v>80</v>
      </c>
      <c r="O18" s="2" t="s">
        <v>78</v>
      </c>
      <c r="P18" s="2" t="s">
        <v>81</v>
      </c>
      <c r="Q18" s="4" t="s">
        <v>79</v>
      </c>
      <c r="S18">
        <f>0</f>
        <v>0</v>
      </c>
      <c r="T18" t="str">
        <f>B18</f>
        <v>NOP</v>
      </c>
    </row>
    <row r="19" spans="1:20" x14ac:dyDescent="0.3">
      <c r="A19" s="35"/>
      <c r="B19" s="5" t="s">
        <v>28</v>
      </c>
      <c r="C19" s="3" t="s">
        <v>19</v>
      </c>
      <c r="D19" s="5" t="s">
        <v>28</v>
      </c>
      <c r="E19" s="5" t="s">
        <v>19</v>
      </c>
      <c r="F19" s="3" t="s">
        <v>24</v>
      </c>
      <c r="G19" s="3" t="s">
        <v>24</v>
      </c>
      <c r="H19" s="3" t="s">
        <v>24</v>
      </c>
      <c r="I19" s="5" t="s">
        <v>24</v>
      </c>
      <c r="J19" s="3">
        <v>2</v>
      </c>
      <c r="K19" s="5" t="s">
        <v>28</v>
      </c>
      <c r="L19" s="3">
        <v>2</v>
      </c>
      <c r="M19" s="7" t="s">
        <v>28</v>
      </c>
      <c r="N19" s="3" t="s">
        <v>30</v>
      </c>
      <c r="O19" s="3" t="s">
        <v>30</v>
      </c>
      <c r="P19" s="3" t="s">
        <v>30</v>
      </c>
      <c r="Q19" s="5" t="s">
        <v>30</v>
      </c>
      <c r="S19">
        <v>1</v>
      </c>
      <c r="T19" t="str">
        <f>C18</f>
        <v>STA</v>
      </c>
    </row>
    <row r="20" spans="1:20" x14ac:dyDescent="0.3">
      <c r="A20" s="34" t="s">
        <v>85</v>
      </c>
      <c r="B20" s="2" t="s">
        <v>86</v>
      </c>
      <c r="C20" s="2" t="s">
        <v>78</v>
      </c>
      <c r="D20" s="4" t="s">
        <v>20</v>
      </c>
      <c r="E20" s="8" t="s">
        <v>88</v>
      </c>
      <c r="F20" s="2" t="s">
        <v>80</v>
      </c>
      <c r="G20" s="2" t="s">
        <v>78</v>
      </c>
      <c r="H20" s="2" t="s">
        <v>81</v>
      </c>
      <c r="I20" s="4" t="s">
        <v>79</v>
      </c>
      <c r="J20" s="2" t="s">
        <v>90</v>
      </c>
      <c r="K20" s="2" t="s">
        <v>78</v>
      </c>
      <c r="L20" s="2" t="s">
        <v>92</v>
      </c>
      <c r="M20" s="8" t="s">
        <v>93</v>
      </c>
      <c r="N20" s="8" t="s">
        <v>94</v>
      </c>
      <c r="O20" s="2" t="s">
        <v>78</v>
      </c>
      <c r="P20" s="8" t="s">
        <v>96</v>
      </c>
      <c r="Q20" s="8" t="s">
        <v>88</v>
      </c>
      <c r="S20">
        <v>2</v>
      </c>
      <c r="T20" t="str">
        <f>D18</f>
        <v>NOP</v>
      </c>
    </row>
    <row r="21" spans="1:20" x14ac:dyDescent="0.3">
      <c r="A21" s="35"/>
      <c r="B21" s="3" t="s">
        <v>34</v>
      </c>
      <c r="C21" s="3" t="s">
        <v>87</v>
      </c>
      <c r="D21" s="5"/>
      <c r="E21" s="9" t="s">
        <v>87</v>
      </c>
      <c r="F21" s="3" t="s">
        <v>37</v>
      </c>
      <c r="G21" s="3" t="s">
        <v>37</v>
      </c>
      <c r="H21" s="3" t="s">
        <v>89</v>
      </c>
      <c r="I21" s="5" t="s">
        <v>89</v>
      </c>
      <c r="J21" s="3">
        <v>2</v>
      </c>
      <c r="K21" s="3" t="s">
        <v>91</v>
      </c>
      <c r="L21" s="3">
        <v>2</v>
      </c>
      <c r="M21" s="9" t="s">
        <v>91</v>
      </c>
      <c r="N21" s="9" t="s">
        <v>95</v>
      </c>
      <c r="O21" s="3" t="s">
        <v>95</v>
      </c>
      <c r="P21" s="9" t="s">
        <v>91</v>
      </c>
      <c r="Q21" s="9" t="s">
        <v>91</v>
      </c>
      <c r="S21">
        <v>3</v>
      </c>
      <c r="T21" t="str">
        <f>E18</f>
        <v>SAX</v>
      </c>
    </row>
    <row r="22" spans="1:20" x14ac:dyDescent="0.3">
      <c r="A22" s="34" t="s">
        <v>97</v>
      </c>
      <c r="B22" s="2" t="s">
        <v>98</v>
      </c>
      <c r="C22" s="2" t="s">
        <v>99</v>
      </c>
      <c r="D22" s="2" t="s">
        <v>100</v>
      </c>
      <c r="E22" s="4" t="s">
        <v>101</v>
      </c>
      <c r="F22" s="2" t="s">
        <v>98</v>
      </c>
      <c r="G22" s="2" t="s">
        <v>99</v>
      </c>
      <c r="H22" s="2" t="s">
        <v>100</v>
      </c>
      <c r="I22" s="4" t="s">
        <v>101</v>
      </c>
      <c r="J22" s="2" t="s">
        <v>102</v>
      </c>
      <c r="K22" s="2" t="s">
        <v>99</v>
      </c>
      <c r="L22" s="2" t="s">
        <v>103</v>
      </c>
      <c r="M22" s="6" t="s">
        <v>101</v>
      </c>
      <c r="N22" s="2" t="s">
        <v>98</v>
      </c>
      <c r="O22" s="2" t="s">
        <v>99</v>
      </c>
      <c r="P22" s="2" t="s">
        <v>100</v>
      </c>
      <c r="Q22" s="4" t="s">
        <v>101</v>
      </c>
      <c r="S22">
        <v>4</v>
      </c>
      <c r="T22" t="str">
        <f>F18</f>
        <v>STY</v>
      </c>
    </row>
    <row r="23" spans="1:20" x14ac:dyDescent="0.3">
      <c r="A23" s="35"/>
      <c r="B23" s="3" t="s">
        <v>28</v>
      </c>
      <c r="C23" s="3" t="s">
        <v>19</v>
      </c>
      <c r="D23" s="3" t="s">
        <v>28</v>
      </c>
      <c r="E23" s="5" t="s">
        <v>19</v>
      </c>
      <c r="F23" s="3" t="s">
        <v>24</v>
      </c>
      <c r="G23" s="3" t="s">
        <v>24</v>
      </c>
      <c r="H23" s="3" t="s">
        <v>24</v>
      </c>
      <c r="I23" s="5" t="s">
        <v>24</v>
      </c>
      <c r="J23" s="3">
        <v>2</v>
      </c>
      <c r="K23" s="3" t="s">
        <v>28</v>
      </c>
      <c r="L23" s="3">
        <v>2</v>
      </c>
      <c r="M23" s="7" t="s">
        <v>28</v>
      </c>
      <c r="N23" s="3" t="s">
        <v>30</v>
      </c>
      <c r="O23" s="3" t="s">
        <v>30</v>
      </c>
      <c r="P23" s="3" t="s">
        <v>30</v>
      </c>
      <c r="Q23" s="5" t="s">
        <v>30</v>
      </c>
      <c r="S23">
        <v>5</v>
      </c>
      <c r="T23" t="str">
        <f>G18</f>
        <v>STA</v>
      </c>
    </row>
    <row r="24" spans="1:20" x14ac:dyDescent="0.3">
      <c r="A24" s="34" t="s">
        <v>104</v>
      </c>
      <c r="B24" s="2" t="s">
        <v>105</v>
      </c>
      <c r="C24" s="2" t="s">
        <v>99</v>
      </c>
      <c r="D24" s="4" t="s">
        <v>20</v>
      </c>
      <c r="E24" s="4" t="s">
        <v>101</v>
      </c>
      <c r="F24" s="2" t="s">
        <v>98</v>
      </c>
      <c r="G24" s="2" t="s">
        <v>99</v>
      </c>
      <c r="H24" s="2" t="s">
        <v>100</v>
      </c>
      <c r="I24" s="4" t="s">
        <v>101</v>
      </c>
      <c r="J24" s="2" t="s">
        <v>106</v>
      </c>
      <c r="K24" s="2" t="s">
        <v>99</v>
      </c>
      <c r="L24" s="2" t="s">
        <v>107</v>
      </c>
      <c r="M24" s="4" t="s">
        <v>108</v>
      </c>
      <c r="N24" s="2" t="s">
        <v>98</v>
      </c>
      <c r="O24" s="2" t="s">
        <v>99</v>
      </c>
      <c r="P24" s="2" t="s">
        <v>100</v>
      </c>
      <c r="Q24" s="4" t="s">
        <v>101</v>
      </c>
      <c r="S24">
        <v>6</v>
      </c>
      <c r="T24" t="str">
        <f>H18</f>
        <v>STX</v>
      </c>
    </row>
    <row r="25" spans="1:20" x14ac:dyDescent="0.3">
      <c r="A25" s="35"/>
      <c r="B25" s="3" t="s">
        <v>34</v>
      </c>
      <c r="C25" s="3" t="s">
        <v>35</v>
      </c>
      <c r="D25" s="5"/>
      <c r="E25" s="5" t="s">
        <v>35</v>
      </c>
      <c r="F25" s="3" t="s">
        <v>37</v>
      </c>
      <c r="G25" s="3" t="s">
        <v>37</v>
      </c>
      <c r="H25" s="3" t="s">
        <v>89</v>
      </c>
      <c r="I25" s="5" t="s">
        <v>89</v>
      </c>
      <c r="J25" s="3">
        <v>2</v>
      </c>
      <c r="K25" s="3" t="s">
        <v>40</v>
      </c>
      <c r="L25" s="3">
        <v>2</v>
      </c>
      <c r="M25" s="5" t="s">
        <v>40</v>
      </c>
      <c r="N25" s="3" t="s">
        <v>42</v>
      </c>
      <c r="O25" s="3" t="s">
        <v>42</v>
      </c>
      <c r="P25" s="3" t="s">
        <v>40</v>
      </c>
      <c r="Q25" s="5" t="s">
        <v>40</v>
      </c>
      <c r="S25">
        <v>7</v>
      </c>
      <c r="T25" t="str">
        <f>I18</f>
        <v>SAX</v>
      </c>
    </row>
    <row r="26" spans="1:20" x14ac:dyDescent="0.3">
      <c r="A26" s="34" t="s">
        <v>109</v>
      </c>
      <c r="B26" s="2" t="s">
        <v>110</v>
      </c>
      <c r="C26" s="2" t="s">
        <v>111</v>
      </c>
      <c r="D26" s="4" t="s">
        <v>23</v>
      </c>
      <c r="E26" s="4" t="s">
        <v>112</v>
      </c>
      <c r="F26" s="2" t="s">
        <v>110</v>
      </c>
      <c r="G26" s="2" t="s">
        <v>111</v>
      </c>
      <c r="H26" s="2" t="s">
        <v>113</v>
      </c>
      <c r="I26" s="4" t="s">
        <v>112</v>
      </c>
      <c r="J26" s="2" t="s">
        <v>114</v>
      </c>
      <c r="K26" s="2" t="s">
        <v>111</v>
      </c>
      <c r="L26" s="2" t="s">
        <v>115</v>
      </c>
      <c r="M26" s="4" t="s">
        <v>116</v>
      </c>
      <c r="N26" s="2" t="s">
        <v>110</v>
      </c>
      <c r="O26" s="2" t="s">
        <v>111</v>
      </c>
      <c r="P26" s="2" t="s">
        <v>113</v>
      </c>
      <c r="Q26" s="4" t="s">
        <v>112</v>
      </c>
      <c r="S26">
        <v>8</v>
      </c>
      <c r="T26" t="str">
        <f>J18</f>
        <v>DEY</v>
      </c>
    </row>
    <row r="27" spans="1:20" x14ac:dyDescent="0.3">
      <c r="A27" s="35"/>
      <c r="B27" s="3" t="s">
        <v>28</v>
      </c>
      <c r="C27" s="3" t="s">
        <v>19</v>
      </c>
      <c r="D27" s="5" t="s">
        <v>28</v>
      </c>
      <c r="E27" s="5" t="s">
        <v>22</v>
      </c>
      <c r="F27" s="3" t="s">
        <v>24</v>
      </c>
      <c r="G27" s="3" t="s">
        <v>24</v>
      </c>
      <c r="H27" s="3" t="s">
        <v>26</v>
      </c>
      <c r="I27" s="5" t="s">
        <v>26</v>
      </c>
      <c r="J27" s="3">
        <v>2</v>
      </c>
      <c r="K27" s="3" t="s">
        <v>28</v>
      </c>
      <c r="L27" s="3">
        <v>2</v>
      </c>
      <c r="M27" s="5" t="s">
        <v>28</v>
      </c>
      <c r="N27" s="3" t="s">
        <v>30</v>
      </c>
      <c r="O27" s="3" t="s">
        <v>30</v>
      </c>
      <c r="P27" s="3" t="s">
        <v>31</v>
      </c>
      <c r="Q27" s="5" t="s">
        <v>31</v>
      </c>
      <c r="S27">
        <v>9</v>
      </c>
      <c r="T27" t="str">
        <f>K18</f>
        <v>NOP</v>
      </c>
    </row>
    <row r="28" spans="1:20" x14ac:dyDescent="0.3">
      <c r="A28" s="34" t="s">
        <v>117</v>
      </c>
      <c r="B28" s="2" t="s">
        <v>118</v>
      </c>
      <c r="C28" s="2" t="s">
        <v>111</v>
      </c>
      <c r="D28" s="4" t="s">
        <v>20</v>
      </c>
      <c r="E28" s="4" t="s">
        <v>112</v>
      </c>
      <c r="F28" s="4" t="s">
        <v>23</v>
      </c>
      <c r="G28" s="2" t="s">
        <v>111</v>
      </c>
      <c r="H28" s="2" t="s">
        <v>113</v>
      </c>
      <c r="I28" s="4" t="s">
        <v>112</v>
      </c>
      <c r="J28" s="2" t="s">
        <v>119</v>
      </c>
      <c r="K28" s="2" t="s">
        <v>111</v>
      </c>
      <c r="L28" s="4" t="s">
        <v>23</v>
      </c>
      <c r="M28" s="4" t="s">
        <v>112</v>
      </c>
      <c r="N28" s="4" t="s">
        <v>23</v>
      </c>
      <c r="O28" s="2" t="s">
        <v>111</v>
      </c>
      <c r="P28" s="2" t="s">
        <v>113</v>
      </c>
      <c r="Q28" s="4" t="s">
        <v>112</v>
      </c>
      <c r="S28">
        <v>10</v>
      </c>
      <c r="T28" t="str">
        <f>L18</f>
        <v>TXA</v>
      </c>
    </row>
    <row r="29" spans="1:20" x14ac:dyDescent="0.3">
      <c r="A29" s="35"/>
      <c r="B29" s="3" t="s">
        <v>34</v>
      </c>
      <c r="C29" s="3" t="s">
        <v>35</v>
      </c>
      <c r="D29" s="5"/>
      <c r="E29" s="5" t="s">
        <v>36</v>
      </c>
      <c r="F29" s="5" t="s">
        <v>37</v>
      </c>
      <c r="G29" s="3" t="s">
        <v>37</v>
      </c>
      <c r="H29" s="3" t="s">
        <v>38</v>
      </c>
      <c r="I29" s="5" t="s">
        <v>38</v>
      </c>
      <c r="J29" s="3">
        <v>2</v>
      </c>
      <c r="K29" s="3" t="s">
        <v>40</v>
      </c>
      <c r="L29" s="5">
        <v>2</v>
      </c>
      <c r="M29" s="5" t="s">
        <v>41</v>
      </c>
      <c r="N29" s="5" t="s">
        <v>42</v>
      </c>
      <c r="O29" s="3" t="s">
        <v>42</v>
      </c>
      <c r="P29" s="3" t="s">
        <v>43</v>
      </c>
      <c r="Q29" s="5" t="s">
        <v>43</v>
      </c>
      <c r="S29">
        <v>11</v>
      </c>
      <c r="T29" t="str">
        <f>M18</f>
        <v>XAA</v>
      </c>
    </row>
    <row r="30" spans="1:20" x14ac:dyDescent="0.3">
      <c r="A30" s="34" t="s">
        <v>120</v>
      </c>
      <c r="B30" s="2" t="s">
        <v>121</v>
      </c>
      <c r="C30" s="2" t="s">
        <v>122</v>
      </c>
      <c r="D30" s="4" t="s">
        <v>23</v>
      </c>
      <c r="E30" s="4" t="s">
        <v>123</v>
      </c>
      <c r="F30" s="2" t="s">
        <v>121</v>
      </c>
      <c r="G30" s="2" t="s">
        <v>122</v>
      </c>
      <c r="H30" s="2" t="s">
        <v>124</v>
      </c>
      <c r="I30" s="4" t="s">
        <v>123</v>
      </c>
      <c r="J30" s="2" t="s">
        <v>125</v>
      </c>
      <c r="K30" s="2" t="s">
        <v>122</v>
      </c>
      <c r="L30" s="2" t="s">
        <v>23</v>
      </c>
      <c r="M30" s="4" t="s">
        <v>122</v>
      </c>
      <c r="N30" s="2" t="s">
        <v>121</v>
      </c>
      <c r="O30" s="2" t="s">
        <v>122</v>
      </c>
      <c r="P30" s="2" t="s">
        <v>124</v>
      </c>
      <c r="Q30" s="4" t="s">
        <v>123</v>
      </c>
      <c r="S30">
        <v>12</v>
      </c>
      <c r="T30" t="str">
        <f>N18</f>
        <v>STY</v>
      </c>
    </row>
    <row r="31" spans="1:20" x14ac:dyDescent="0.3">
      <c r="A31" s="35"/>
      <c r="B31" s="3" t="s">
        <v>28</v>
      </c>
      <c r="C31" s="3" t="s">
        <v>19</v>
      </c>
      <c r="D31" s="5" t="s">
        <v>28</v>
      </c>
      <c r="E31" s="5" t="s">
        <v>22</v>
      </c>
      <c r="F31" s="3" t="s">
        <v>24</v>
      </c>
      <c r="G31" s="3" t="s">
        <v>24</v>
      </c>
      <c r="H31" s="3" t="s">
        <v>26</v>
      </c>
      <c r="I31" s="5" t="s">
        <v>26</v>
      </c>
      <c r="J31" s="3">
        <v>2</v>
      </c>
      <c r="K31" s="3" t="s">
        <v>28</v>
      </c>
      <c r="L31" s="3">
        <v>2</v>
      </c>
      <c r="M31" s="5" t="s">
        <v>28</v>
      </c>
      <c r="N31" s="3" t="s">
        <v>30</v>
      </c>
      <c r="O31" s="3" t="s">
        <v>30</v>
      </c>
      <c r="P31" s="3" t="s">
        <v>31</v>
      </c>
      <c r="Q31" s="5" t="s">
        <v>31</v>
      </c>
      <c r="S31">
        <v>13</v>
      </c>
      <c r="T31" t="str">
        <f>O18</f>
        <v>STA</v>
      </c>
    </row>
    <row r="32" spans="1:20" x14ac:dyDescent="0.3">
      <c r="A32" s="34" t="s">
        <v>126</v>
      </c>
      <c r="B32" s="2" t="s">
        <v>127</v>
      </c>
      <c r="C32" s="2" t="s">
        <v>122</v>
      </c>
      <c r="D32" s="4" t="s">
        <v>20</v>
      </c>
      <c r="E32" s="4" t="s">
        <v>123</v>
      </c>
      <c r="F32" s="4" t="s">
        <v>23</v>
      </c>
      <c r="G32" s="2" t="s">
        <v>122</v>
      </c>
      <c r="H32" s="2" t="s">
        <v>124</v>
      </c>
      <c r="I32" s="4" t="s">
        <v>123</v>
      </c>
      <c r="J32" s="2" t="s">
        <v>128</v>
      </c>
      <c r="K32" s="2" t="s">
        <v>122</v>
      </c>
      <c r="L32" s="4" t="s">
        <v>23</v>
      </c>
      <c r="M32" s="4" t="s">
        <v>123</v>
      </c>
      <c r="N32" s="4" t="s">
        <v>23</v>
      </c>
      <c r="O32" s="2" t="s">
        <v>122</v>
      </c>
      <c r="P32" s="2" t="s">
        <v>124</v>
      </c>
      <c r="Q32" s="4" t="s">
        <v>123</v>
      </c>
      <c r="S32">
        <v>14</v>
      </c>
      <c r="T32" t="str">
        <f>P18</f>
        <v>STX</v>
      </c>
    </row>
    <row r="33" spans="1:20" x14ac:dyDescent="0.3">
      <c r="A33" s="35"/>
      <c r="B33" s="3" t="s">
        <v>34</v>
      </c>
      <c r="C33" s="3" t="s">
        <v>35</v>
      </c>
      <c r="D33" s="5"/>
      <c r="E33" s="5" t="s">
        <v>36</v>
      </c>
      <c r="F33" s="5" t="s">
        <v>37</v>
      </c>
      <c r="G33" s="3" t="s">
        <v>37</v>
      </c>
      <c r="H33" s="3" t="s">
        <v>38</v>
      </c>
      <c r="I33" s="5" t="s">
        <v>38</v>
      </c>
      <c r="J33" s="3">
        <v>2</v>
      </c>
      <c r="K33" s="3" t="s">
        <v>40</v>
      </c>
      <c r="L33" s="5">
        <v>2</v>
      </c>
      <c r="M33" s="5" t="s">
        <v>41</v>
      </c>
      <c r="N33" s="5" t="s">
        <v>42</v>
      </c>
      <c r="O33" s="3" t="s">
        <v>42</v>
      </c>
      <c r="P33" s="3" t="s">
        <v>43</v>
      </c>
      <c r="Q33" s="5" t="s">
        <v>43</v>
      </c>
      <c r="S33">
        <v>15</v>
      </c>
      <c r="T33" t="str">
        <f>Q18</f>
        <v>SAX</v>
      </c>
    </row>
  </sheetData>
  <mergeCells count="16">
    <mergeCell ref="A30:A31"/>
    <mergeCell ref="A32:A33"/>
    <mergeCell ref="A22:A23"/>
    <mergeCell ref="A24:A25"/>
    <mergeCell ref="A26:A27"/>
    <mergeCell ref="A28:A29"/>
    <mergeCell ref="A18:A19"/>
    <mergeCell ref="A20:A21"/>
    <mergeCell ref="A8:A9"/>
    <mergeCell ref="A10:A11"/>
    <mergeCell ref="A12:A13"/>
    <mergeCell ref="A2:A3"/>
    <mergeCell ref="A4:A5"/>
    <mergeCell ref="A6:A7"/>
    <mergeCell ref="A14:A15"/>
    <mergeCell ref="A16:A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4.4" x14ac:dyDescent="0.3"/>
  <cols>
    <col min="1" max="2" width="5.44140625" style="20" bestFit="1" customWidth="1"/>
    <col min="3" max="3" width="2.6640625" style="20" bestFit="1" customWidth="1"/>
    <col min="4" max="4" width="5.21875" style="20" bestFit="1" customWidth="1"/>
    <col min="5" max="5" width="8" style="20" customWidth="1"/>
    <col min="6" max="7" width="3.88671875" style="20" customWidth="1"/>
    <col min="8" max="8" width="10.33203125" style="20" bestFit="1" customWidth="1"/>
    <col min="9" max="9" width="7.5546875" style="20" customWidth="1"/>
    <col min="10" max="10" width="10.109375" style="20" bestFit="1" customWidth="1"/>
    <col min="11" max="16" width="44.33203125" style="21" customWidth="1"/>
    <col min="17" max="17" width="29.77734375" style="20" bestFit="1" customWidth="1"/>
  </cols>
  <sheetData>
    <row r="1" spans="1:17" s="13" customFormat="1" x14ac:dyDescent="0.3">
      <c r="A1" s="14" t="s">
        <v>204</v>
      </c>
      <c r="B1" s="14" t="s">
        <v>140</v>
      </c>
      <c r="C1" s="14" t="s">
        <v>205</v>
      </c>
      <c r="D1" s="14" t="s">
        <v>141</v>
      </c>
      <c r="E1" s="14" t="s">
        <v>178</v>
      </c>
      <c r="F1" s="14" t="s">
        <v>142</v>
      </c>
      <c r="G1" s="14" t="s">
        <v>143</v>
      </c>
      <c r="H1" s="14" t="s">
        <v>206</v>
      </c>
      <c r="I1" s="14" t="s">
        <v>203</v>
      </c>
      <c r="J1" s="14" t="s">
        <v>207</v>
      </c>
      <c r="K1" s="26" t="s">
        <v>209</v>
      </c>
      <c r="L1" s="26" t="s">
        <v>212</v>
      </c>
      <c r="M1" s="27" t="s">
        <v>213</v>
      </c>
      <c r="N1" s="26" t="s">
        <v>210</v>
      </c>
      <c r="O1" s="26" t="s">
        <v>237</v>
      </c>
      <c r="P1" s="26" t="s">
        <v>211</v>
      </c>
      <c r="Q1" s="14" t="s">
        <v>208</v>
      </c>
    </row>
    <row r="2" spans="1:17" ht="79.2" x14ac:dyDescent="0.3">
      <c r="A2" s="22">
        <v>0</v>
      </c>
      <c r="B2" s="22" t="s">
        <v>17</v>
      </c>
      <c r="C2" s="22">
        <v>0</v>
      </c>
      <c r="D2" s="22" t="s">
        <v>139</v>
      </c>
      <c r="E2" s="16" t="str">
        <f>_xlfn.IFNA(VLOOKUP(D2,AccessModes!$D$2:$E$13,2,FALSE),"AM_IMP")</f>
        <v>AM_IMP</v>
      </c>
      <c r="F2" s="22">
        <v>7</v>
      </c>
      <c r="G2" s="22">
        <v>0</v>
      </c>
      <c r="H2" s="28"/>
      <c r="I2" s="28"/>
      <c r="J2" s="28"/>
      <c r="K2" s="22" t="str">
        <f>IF(LEN(H2)&gt;0,indent&amp;H2&amp;" = "&amp;VLOOKUP($E2,AccessModes!$E$2:$I$13,4,FALSE),"")</f>
        <v/>
      </c>
      <c r="L2" s="29" t="str">
        <f>indent&amp;"memory_stackPushAddress(cpu.PC+1);"&amp;newline&amp;indent&amp;"cpu_statusPush();"&amp;newline&amp;indent&amp;"cpu.PS_B = true;"&amp;newline&amp;indent&amp;"cpu.PC = MEM_IRQ_BREAK;"</f>
        <v xml:space="preserve">            memory_stackPushAddress(cpu.PC+1);
            cpu_statusPush();
            cpu.PS_B = true;
            cpu.PC = MEM_IRQ_BREAK;</v>
      </c>
      <c r="M2" s="15" t="str">
        <f t="shared" ref="M2:M65" si="0">IF(LEN(I2)&gt;0,indent&amp;"cpu.PS_N =  (bool)("&amp;I2&amp;" &amp; 0x80);"&amp;newline&amp;indent&amp;"cpu.PS_Z = ("&amp;I2&amp;" == 0);","")</f>
        <v/>
      </c>
      <c r="N2" s="22" t="str">
        <f>IF(LEN(J2)&gt;0,indent&amp;IF(J2="LAST",AccessModes!$I$15&amp;H2,VLOOKUP($E2,AccessModes!$E$2:$I$13,5,FALSE)&amp;J2)&amp;");","")</f>
        <v/>
      </c>
      <c r="O2" s="22"/>
      <c r="P2" s="15" t="str">
        <f>IF(C2=0,indent0&amp;"case 0x"&amp;DEC2HEX(A2)&amp;": /* "&amp;B2&amp;" "&amp;VLOOKUP(E2,AccessModes!$E$2:$G$13,3,FALSE)&amp;" */"&amp;newline&amp;IF(LEN(K2)&gt;0,K2&amp;CHAR(10),"")&amp;IF(LEN(L2)&gt;0,L2&amp;newline,"")&amp;IF(LEN(M2)&gt;0,M2&amp;newline,"")&amp;IF(LEN(N2)&gt;0,N2&amp;newline,"")&amp;IF(LEN(O2)&gt;0,O2&amp;newline,"")&amp;indent&amp;"break;","")</f>
        <v xml:space="preserve">        case 0x0: /* BRK  */
            memory_stackPushAddress(cpu.PC+1);
            cpu_statusPush();
            cpu.PS_B = true;
            cpu.PC = MEM_IRQ_BREAK;
            break;</v>
      </c>
      <c r="Q2" s="22" t="str">
        <f t="shared" ref="Q2:Q27" si="1">"    {"&amp;CHAR(34)&amp;B2&amp;CHAR(34)&amp;", "&amp;IF(C2,"TRUE","FALSE")&amp;", "&amp;E2&amp;", "&amp;F2&amp;", "&amp;G2&amp;"},"</f>
        <v xml:space="preserve">    {"BRK", FALSE, AM_IMP, 7, 0},</v>
      </c>
    </row>
    <row r="3" spans="1:17" ht="79.2" x14ac:dyDescent="0.3">
      <c r="A3" s="22">
        <v>1</v>
      </c>
      <c r="B3" s="22" t="s">
        <v>18</v>
      </c>
      <c r="C3" s="22">
        <v>0</v>
      </c>
      <c r="D3" s="22" t="s">
        <v>129</v>
      </c>
      <c r="E3" s="16" t="str">
        <f>_xlfn.IFNA(VLOOKUP(D3,AccessModes!$D$2:$E$13,2,FALSE),"AM_IMP")</f>
        <v>AM_ZIX</v>
      </c>
      <c r="F3" s="22">
        <v>6</v>
      </c>
      <c r="G3" s="22">
        <v>0</v>
      </c>
      <c r="H3" s="28" t="s">
        <v>224</v>
      </c>
      <c r="I3" s="28" t="s">
        <v>215</v>
      </c>
      <c r="J3" s="28" t="str">
        <f>""</f>
        <v/>
      </c>
      <c r="K3" s="22" t="str">
        <f>IF(LEN(H3)&gt;0,indent&amp;H3&amp;" = "&amp;VLOOKUP($E3,AccessModes!$E$2:$I$13,4,FALSE),"")</f>
        <v xml:space="preserve">            value = memory_getZeroPageIndexedX();</v>
      </c>
      <c r="L3" s="29" t="str">
        <f>indent&amp;I3&amp;" |= value;"</f>
        <v xml:space="preserve">            cpu.A |= value;</v>
      </c>
      <c r="M3" s="15" t="str">
        <f t="shared" si="0"/>
        <v xml:space="preserve">            cpu.PS_N =  (bool)(cpu.A &amp; 0x80);
            cpu.PS_Z = (cpu.A == 0);</v>
      </c>
      <c r="N3" s="22" t="str">
        <f>IF(LEN(J3)&gt;0,indent&amp;IF(J3="LAST",AccessModes!$I$15&amp;H3,VLOOKUP($E3,AccessModes!$E$2:$I$13,5,FALSE)&amp;J3)&amp;");","")</f>
        <v/>
      </c>
      <c r="O3" s="22"/>
      <c r="P3" s="15" t="str">
        <f>IF(C3=0,indent0&amp;"case 0x"&amp;DEC2HEX(A3)&amp;": /* "&amp;B3&amp;" "&amp;VLOOKUP(E3,AccessModes!$E$2:$G$13,3,FALSE)&amp;" */"&amp;newline&amp;IF(LEN(K3)&gt;0,K3&amp;CHAR(10),"")&amp;IF(LEN(L3)&gt;0,L3&amp;newline,"")&amp;IF(LEN(M3)&gt;0,M3&amp;newline,"")&amp;IF(LEN(N3)&gt;0,N3&amp;newline,"")&amp;IF(LEN(O3)&gt;0,O3&amp;newline,"")&amp;indent&amp;"break;","")</f>
        <v xml:space="preserve">        case 0x1: /* ORA aa,X */
            value = memory_getZeroPageIndexedX();
            cpu.A |= value;
            cpu.PS_N =  (bool)(cpu.A &amp; 0x80);
            cpu.PS_Z = (cpu.A == 0);
            break;</v>
      </c>
      <c r="Q3" s="22" t="str">
        <f t="shared" si="1"/>
        <v xml:space="preserve">    {"ORA", FALSE, AM_ZIX, 6, 0},</v>
      </c>
    </row>
    <row r="4" spans="1:17" x14ac:dyDescent="0.3">
      <c r="A4" s="23">
        <v>2</v>
      </c>
      <c r="B4" s="23" t="s">
        <v>20</v>
      </c>
      <c r="C4" s="23">
        <v>-1</v>
      </c>
      <c r="D4" s="23"/>
      <c r="E4" s="23" t="str">
        <f>_xlfn.IFNA(VLOOKUP(D4,AccessModes!$D$2:$E$13,2,FALSE),"AM_IMP")</f>
        <v>AM_IMP</v>
      </c>
      <c r="F4" s="23">
        <v>0</v>
      </c>
      <c r="G4" s="23">
        <v>0</v>
      </c>
      <c r="H4" s="23"/>
      <c r="I4" s="23"/>
      <c r="J4" s="23"/>
      <c r="K4" s="23" t="str">
        <f>IF(LEN(H4)&gt;0,indent&amp;H4&amp;" = "&amp;VLOOKUP($E4,AccessModes!$E$2:$I$13,4,FALSE),"")</f>
        <v/>
      </c>
      <c r="L4" s="17" t="str">
        <f>indent&amp;"/* TODO: implementation of the action */"</f>
        <v xml:space="preserve">            /* TODO: implementation of the action */</v>
      </c>
      <c r="M4" s="17" t="str">
        <f t="shared" si="0"/>
        <v/>
      </c>
      <c r="N4" s="23" t="str">
        <f>IF(LEN(J4)&gt;0,indent&amp;IF(J4="LAST",AccessModes!$I$15&amp;H4,VLOOKUP($E4,AccessModes!$E$2:$I$13,5,FALSE)&amp;J4)&amp;");","")</f>
        <v/>
      </c>
      <c r="O4" s="23"/>
      <c r="P4" s="17" t="str">
        <f>IF(C4=0,indent0&amp;"case 0x"&amp;DEC2HEX(A4)&amp;": /* "&amp;B4&amp;" "&amp;VLOOKUP(E4,AccessModes!$E$2:$G$13,3,FALSE)&amp;" */"&amp;newline&amp;IF(LEN(K4)&gt;0,K4&amp;CHAR(10),"")&amp;IF(LEN(L4)&gt;0,L4&amp;newline,"")&amp;IF(LEN(M4)&gt;0,M4&amp;newline,"")&amp;IF(LEN(N4)&gt;0,N4&amp;newline,"")&amp;IF(LEN(O4)&gt;0,O4&amp;newline,"")&amp;indent&amp;"break;","")</f>
        <v/>
      </c>
      <c r="Q4" s="23" t="str">
        <f t="shared" si="1"/>
        <v xml:space="preserve">    {"KIL", TRUE, AM_IMP, 0, 0},</v>
      </c>
    </row>
    <row r="5" spans="1:17" x14ac:dyDescent="0.3">
      <c r="A5" s="23">
        <v>3</v>
      </c>
      <c r="B5" s="23" t="s">
        <v>21</v>
      </c>
      <c r="C5" s="23">
        <v>-1</v>
      </c>
      <c r="D5" s="23" t="s">
        <v>129</v>
      </c>
      <c r="E5" s="23" t="str">
        <f>_xlfn.IFNA(VLOOKUP(D5,AccessModes!$D$2:$E$13,2,FALSE),"AM_IMP")</f>
        <v>AM_ZIX</v>
      </c>
      <c r="F5" s="23">
        <v>8</v>
      </c>
      <c r="G5" s="23">
        <v>0</v>
      </c>
      <c r="H5" s="23"/>
      <c r="I5" s="23"/>
      <c r="J5" s="23"/>
      <c r="K5" s="23" t="str">
        <f>IF(LEN(H5)&gt;0,indent&amp;H5&amp;" = "&amp;VLOOKUP($E5,AccessModes!$E$2:$I$13,4,FALSE),"")</f>
        <v/>
      </c>
      <c r="L5" s="17" t="str">
        <f>indent&amp;"/* TODO: implementation of the action */"</f>
        <v xml:space="preserve">            /* TODO: implementation of the action */</v>
      </c>
      <c r="M5" s="17" t="str">
        <f t="shared" si="0"/>
        <v/>
      </c>
      <c r="N5" s="23" t="str">
        <f>IF(LEN(J5)&gt;0,indent&amp;IF(J5="LAST",AccessModes!$I$15&amp;H5,VLOOKUP($E5,AccessModes!$E$2:$I$13,5,FALSE)&amp;J5)&amp;");","")</f>
        <v/>
      </c>
      <c r="O5" s="23"/>
      <c r="P5" s="17" t="str">
        <f>IF(C5=0,indent0&amp;"case 0x"&amp;DEC2HEX(A5)&amp;": /* "&amp;B5&amp;" "&amp;VLOOKUP(E5,AccessModes!$E$2:$G$13,3,FALSE)&amp;" */"&amp;newline&amp;IF(LEN(K5)&gt;0,K5&amp;CHAR(10),"")&amp;IF(LEN(L5)&gt;0,L5&amp;newline,"")&amp;IF(LEN(M5)&gt;0,M5&amp;newline,"")&amp;IF(LEN(N5)&gt;0,N5&amp;newline,"")&amp;IF(LEN(O5)&gt;0,O5&amp;newline,"")&amp;indent&amp;"break;","")</f>
        <v/>
      </c>
      <c r="Q5" s="23" t="str">
        <f t="shared" si="1"/>
        <v xml:space="preserve">    {"SLO", TRUE, AM_ZIX, 8, 0},</v>
      </c>
    </row>
    <row r="6" spans="1:17" x14ac:dyDescent="0.3">
      <c r="A6" s="23">
        <v>4</v>
      </c>
      <c r="B6" s="23" t="s">
        <v>23</v>
      </c>
      <c r="C6" s="23">
        <v>-1</v>
      </c>
      <c r="D6" s="23" t="s">
        <v>144</v>
      </c>
      <c r="E6" s="23" t="str">
        <f>_xlfn.IFNA(VLOOKUP(D6,AccessModes!$D$2:$E$13,2,FALSE),"AM_IMP")</f>
        <v>AM_ZPG</v>
      </c>
      <c r="F6" s="23">
        <v>3</v>
      </c>
      <c r="G6" s="23">
        <v>0</v>
      </c>
      <c r="H6" s="23"/>
      <c r="I6" s="23"/>
      <c r="J6" s="23"/>
      <c r="K6" s="23" t="str">
        <f>IF(LEN(H6)&gt;0,indent&amp;H6&amp;" = "&amp;VLOOKUP($E6,AccessModes!$E$2:$I$13,4,FALSE),"")</f>
        <v/>
      </c>
      <c r="L6" s="17" t="str">
        <f>indent&amp;"/* TODO: implementation of the action */"</f>
        <v xml:space="preserve">            /* TODO: implementation of the action */</v>
      </c>
      <c r="M6" s="17" t="str">
        <f t="shared" si="0"/>
        <v/>
      </c>
      <c r="N6" s="23" t="str">
        <f>IF(LEN(J6)&gt;0,indent&amp;IF(J6="LAST",AccessModes!$I$15&amp;H6,VLOOKUP($E6,AccessModes!$E$2:$I$13,5,FALSE)&amp;J6)&amp;");","")</f>
        <v/>
      </c>
      <c r="O6" s="23"/>
      <c r="P6" s="17" t="str">
        <f>IF(C6=0,indent0&amp;"case 0x"&amp;DEC2HEX(A6)&amp;": /* "&amp;B6&amp;" "&amp;VLOOKUP(E6,AccessModes!$E$2:$G$13,3,FALSE)&amp;" */"&amp;newline&amp;IF(LEN(K6)&gt;0,K6&amp;CHAR(10),"")&amp;IF(LEN(L6)&gt;0,L6&amp;newline,"")&amp;IF(LEN(M6)&gt;0,M6&amp;newline,"")&amp;IF(LEN(N6)&gt;0,N6&amp;newline,"")&amp;IF(LEN(O6)&gt;0,O6&amp;newline,"")&amp;indent&amp;"break;","")</f>
        <v/>
      </c>
      <c r="Q6" s="23" t="str">
        <f t="shared" si="1"/>
        <v xml:space="preserve">    {"NOP", TRUE, AM_ZPG, 3, 0},</v>
      </c>
    </row>
    <row r="7" spans="1:17" ht="79.2" x14ac:dyDescent="0.3">
      <c r="A7" s="22">
        <v>5</v>
      </c>
      <c r="B7" s="22" t="s">
        <v>18</v>
      </c>
      <c r="C7" s="22">
        <v>0</v>
      </c>
      <c r="D7" s="22" t="s">
        <v>144</v>
      </c>
      <c r="E7" s="22" t="str">
        <f>_xlfn.IFNA(VLOOKUP(D7,AccessModes!$D$2:$E$13,2,FALSE),"AM_IMP")</f>
        <v>AM_ZPG</v>
      </c>
      <c r="F7" s="22">
        <v>3</v>
      </c>
      <c r="G7" s="22">
        <v>0</v>
      </c>
      <c r="H7" s="22" t="str">
        <f>$H$3</f>
        <v>value</v>
      </c>
      <c r="I7" s="22" t="str">
        <f>$I$3</f>
        <v>cpu.A</v>
      </c>
      <c r="J7" s="22" t="str">
        <f>$J$3</f>
        <v/>
      </c>
      <c r="K7" s="22" t="str">
        <f>IF(LEN(H7)&gt;0,indent&amp;H7&amp;" = "&amp;VLOOKUP($E7,AccessModes!$E$2:$I$13,4,FALSE),"")</f>
        <v xml:space="preserve">            value = memory_getZeroPage();</v>
      </c>
      <c r="L7" s="15" t="str">
        <f>$L$3</f>
        <v xml:space="preserve">            cpu.A |= value;</v>
      </c>
      <c r="M7" s="15" t="str">
        <f t="shared" si="0"/>
        <v xml:space="preserve">            cpu.PS_N =  (bool)(cpu.A &amp; 0x80);
            cpu.PS_Z = (cpu.A == 0);</v>
      </c>
      <c r="N7" s="22" t="str">
        <f>IF(LEN(J7)&gt;0,indent&amp;IF(J7="LAST",AccessModes!$I$15&amp;H7,VLOOKUP($E7,AccessModes!$E$2:$I$13,5,FALSE)&amp;J7)&amp;");","")</f>
        <v/>
      </c>
      <c r="O7" s="22"/>
      <c r="P7" s="15" t="str">
        <f>IF(C7=0,indent0&amp;"case 0x"&amp;DEC2HEX(A7)&amp;": /* "&amp;B7&amp;" "&amp;VLOOKUP(E7,AccessModes!$E$2:$G$13,3,FALSE)&amp;" */"&amp;newline&amp;IF(LEN(K7)&gt;0,K7&amp;CHAR(10),"")&amp;IF(LEN(L7)&gt;0,L7&amp;newline,"")&amp;IF(LEN(M7)&gt;0,M7&amp;newline,"")&amp;IF(LEN(N7)&gt;0,N7&amp;newline,"")&amp;IF(LEN(O7)&gt;0,O7&amp;newline,"")&amp;indent&amp;"break;","")</f>
        <v xml:space="preserve">        case 0x5: /* ORA aa */
            value = memory_getZeroPage();
            cpu.A |= value;
            cpu.PS_N =  (bool)(cpu.A &amp; 0x80);
            cpu.PS_Z = (cpu.A == 0);
            break;</v>
      </c>
      <c r="Q7" s="22" t="str">
        <f t="shared" si="1"/>
        <v xml:space="preserve">    {"ORA", FALSE, AM_ZPG, 3, 0},</v>
      </c>
    </row>
    <row r="8" spans="1:17" ht="105.6" x14ac:dyDescent="0.3">
      <c r="A8" s="22">
        <v>6</v>
      </c>
      <c r="B8" s="22" t="s">
        <v>25</v>
      </c>
      <c r="C8" s="22">
        <v>0</v>
      </c>
      <c r="D8" s="22" t="s">
        <v>144</v>
      </c>
      <c r="E8" s="22" t="str">
        <f>_xlfn.IFNA(VLOOKUP(D8,AccessModes!$D$2:$E$13,2,FALSE),"AM_IMP")</f>
        <v>AM_ZPG</v>
      </c>
      <c r="F8" s="22">
        <v>5</v>
      </c>
      <c r="G8" s="22">
        <v>0</v>
      </c>
      <c r="H8" s="28" t="str">
        <f>I8</f>
        <v>value</v>
      </c>
      <c r="I8" s="28" t="s">
        <v>224</v>
      </c>
      <c r="J8" s="28" t="s">
        <v>227</v>
      </c>
      <c r="K8" s="22" t="str">
        <f>IF(LEN(H8)&gt;0,indent&amp;H8&amp;" = "&amp;VLOOKUP($E8,AccessModes!$E$2:$I$13,4,FALSE),"")</f>
        <v xml:space="preserve">            value = memory_getZeroPage();</v>
      </c>
      <c r="L8" s="29" t="str">
        <f>indent&amp;"cpu.PS_C = (bool)("&amp; I8 &amp; " &amp; 0x80);"&amp; newline &amp; indent &amp; I8 &amp;" &lt;&lt;= 1;"</f>
        <v xml:space="preserve">            cpu.PS_C = (bool)(value &amp; 0x80);
            value &lt;&lt;= 1;</v>
      </c>
      <c r="M8" s="15" t="str">
        <f t="shared" si="0"/>
        <v xml:space="preserve">            cpu.PS_N =  (bool)(value &amp; 0x80);
            cpu.PS_Z = (value == 0);</v>
      </c>
      <c r="N8" s="22" t="str">
        <f>IF(LEN(J8)&gt;0,indent&amp;IF(J8="LAST",AccessModes!$I$15&amp;H8,VLOOKUP($E8,AccessModes!$E$2:$I$13,5,FALSE)&amp;J8)&amp;");","")</f>
        <v xml:space="preserve">            memory_setLast(value);</v>
      </c>
      <c r="O8" s="22"/>
      <c r="P8" s="15" t="str">
        <f>IF(C8=0,indent0&amp;"case 0x"&amp;DEC2HEX(A8)&amp;": /* "&amp;B8&amp;" "&amp;VLOOKUP(E8,AccessModes!$E$2:$G$13,3,FALSE)&amp;" */"&amp;newline&amp;IF(LEN(K8)&gt;0,K8&amp;CHAR(10),"")&amp;IF(LEN(L8)&gt;0,L8&amp;newline,"")&amp;IF(LEN(M8)&gt;0,M8&amp;newline,"")&amp;IF(LEN(N8)&gt;0,N8&amp;newline,"")&amp;IF(LEN(O8)&gt;0,O8&amp;newline,"")&amp;indent&amp;"break;","")</f>
        <v xml:space="preserve">        case 0x6: /* ASL aa */
            value = memory_getZeroPage();
            cpu.PS_C = (bool)(value &amp; 0x80);
            value &lt;&lt;= 1;
            cpu.PS_N =  (bool)(value &amp; 0x80);
            cpu.PS_Z = (value == 0);
            memory_setLast(value);
            break;</v>
      </c>
      <c r="Q8" s="22" t="str">
        <f t="shared" si="1"/>
        <v xml:space="preserve">    {"ASL", FALSE, AM_ZPG, 5, 0},</v>
      </c>
    </row>
    <row r="9" spans="1:17" x14ac:dyDescent="0.3">
      <c r="A9" s="23">
        <v>7</v>
      </c>
      <c r="B9" s="23" t="s">
        <v>21</v>
      </c>
      <c r="C9" s="23">
        <v>-1</v>
      </c>
      <c r="D9" s="23" t="s">
        <v>144</v>
      </c>
      <c r="E9" s="23" t="str">
        <f>_xlfn.IFNA(VLOOKUP(D9,AccessModes!$D$2:$E$13,2,FALSE),"AM_IMP")</f>
        <v>AM_ZPG</v>
      </c>
      <c r="F9" s="23">
        <v>5</v>
      </c>
      <c r="G9" s="23">
        <v>0</v>
      </c>
      <c r="H9" s="23"/>
      <c r="I9" s="23"/>
      <c r="J9" s="23"/>
      <c r="K9" s="23" t="str">
        <f>IF(LEN(H9)&gt;0,indent&amp;H9&amp;" = "&amp;VLOOKUP($E9,AccessModes!$E$2:$I$13,4,FALSE),"")</f>
        <v/>
      </c>
      <c r="L9" s="17" t="str">
        <f>indent&amp;"/* TODO: implementation of the action */"</f>
        <v xml:space="preserve">            /* TODO: implementation of the action */</v>
      </c>
      <c r="M9" s="17" t="str">
        <f t="shared" si="0"/>
        <v/>
      </c>
      <c r="N9" s="23" t="str">
        <f>IF(LEN(J9)&gt;0,indent&amp;IF(J9="LAST",AccessModes!$I$15&amp;H9,VLOOKUP($E9,AccessModes!$E$2:$I$13,5,FALSE)&amp;J9)&amp;");","")</f>
        <v/>
      </c>
      <c r="O9" s="23"/>
      <c r="P9" s="17" t="str">
        <f>IF(C9=0,indent0&amp;"case 0x"&amp;DEC2HEX(A9)&amp;": /* "&amp;B9&amp;" "&amp;VLOOKUP(E9,AccessModes!$E$2:$G$13,3,FALSE)&amp;" */"&amp;newline&amp;IF(LEN(K9)&gt;0,K9&amp;CHAR(10),"")&amp;IF(LEN(L9)&gt;0,L9&amp;newline,"")&amp;IF(LEN(M9)&gt;0,M9&amp;newline,"")&amp;IF(LEN(N9)&gt;0,N9&amp;newline,"")&amp;IF(LEN(O9)&gt;0,O9&amp;newline,"")&amp;indent&amp;"break;","")</f>
        <v/>
      </c>
      <c r="Q9" s="23" t="str">
        <f t="shared" si="1"/>
        <v xml:space="preserve">    {"SLO", TRUE, AM_ZPG, 5, 0},</v>
      </c>
    </row>
    <row r="10" spans="1:17" ht="39.6" x14ac:dyDescent="0.3">
      <c r="A10" s="22">
        <v>8</v>
      </c>
      <c r="B10" s="22" t="s">
        <v>27</v>
      </c>
      <c r="C10" s="22">
        <v>0</v>
      </c>
      <c r="D10" s="22" t="s">
        <v>139</v>
      </c>
      <c r="E10" s="16" t="str">
        <f>_xlfn.IFNA(VLOOKUP(D10,AccessModes!$D$2:$E$13,2,FALSE),"AM_IMP")</f>
        <v>AM_IMP</v>
      </c>
      <c r="F10" s="22">
        <v>3</v>
      </c>
      <c r="G10" s="22">
        <v>0</v>
      </c>
      <c r="H10" s="28"/>
      <c r="I10" s="28"/>
      <c r="J10" s="28"/>
      <c r="K10" s="22" t="str">
        <f>IF(LEN(H10)&gt;0,indent&amp;H10&amp;" = "&amp;VLOOKUP($E10,AccessModes!$E$2:$I$13,4,FALSE),"")</f>
        <v/>
      </c>
      <c r="L10" s="29" t="str">
        <f>indent&amp;"cpu_statusPush();"</f>
        <v xml:space="preserve">            cpu_statusPush();</v>
      </c>
      <c r="M10" s="15" t="str">
        <f t="shared" si="0"/>
        <v/>
      </c>
      <c r="N10" s="22" t="str">
        <f>IF(LEN(J10)&gt;0,indent&amp;IF(J10="LAST",AccessModes!$I$15&amp;H10,VLOOKUP($E10,AccessModes!$E$2:$I$13,5,FALSE)&amp;J10)&amp;");","")</f>
        <v/>
      </c>
      <c r="O10" s="22"/>
      <c r="P10" s="15" t="str">
        <f>IF(C10=0,indent0&amp;"case 0x"&amp;DEC2HEX(A10)&amp;": /* "&amp;B10&amp;" "&amp;VLOOKUP(E10,AccessModes!$E$2:$G$13,3,FALSE)&amp;" */"&amp;newline&amp;IF(LEN(K10)&gt;0,K10&amp;CHAR(10),"")&amp;IF(LEN(L10)&gt;0,L10&amp;newline,"")&amp;IF(LEN(M10)&gt;0,M10&amp;newline,"")&amp;IF(LEN(N10)&gt;0,N10&amp;newline,"")&amp;IF(LEN(O10)&gt;0,O10&amp;newline,"")&amp;indent&amp;"break;","")</f>
        <v xml:space="preserve">        case 0x8: /* PHP  */
            cpu_statusPush();
            break;</v>
      </c>
      <c r="Q10" s="22" t="str">
        <f t="shared" si="1"/>
        <v xml:space="preserve">    {"PHP", FALSE, AM_IMP, 3, 0},</v>
      </c>
    </row>
    <row r="11" spans="1:17" ht="79.2" x14ac:dyDescent="0.3">
      <c r="A11" s="22">
        <v>9</v>
      </c>
      <c r="B11" s="22" t="s">
        <v>18</v>
      </c>
      <c r="C11" s="22">
        <v>0</v>
      </c>
      <c r="D11" s="22" t="s">
        <v>130</v>
      </c>
      <c r="E11" s="22" t="str">
        <f>_xlfn.IFNA(VLOOKUP(D11,AccessModes!$D$2:$E$13,2,FALSE),"AM_IMP")</f>
        <v>AM_IMM</v>
      </c>
      <c r="F11" s="22">
        <v>2</v>
      </c>
      <c r="G11" s="22">
        <v>0</v>
      </c>
      <c r="H11" s="22" t="str">
        <f>$H$3</f>
        <v>value</v>
      </c>
      <c r="I11" s="22" t="str">
        <f>$I$3</f>
        <v>cpu.A</v>
      </c>
      <c r="J11" s="22" t="str">
        <f>$J$3</f>
        <v/>
      </c>
      <c r="K11" s="22" t="str">
        <f>IF(LEN(H11)&gt;0,indent&amp;H11&amp;" = "&amp;VLOOKUP($E11,AccessModes!$E$2:$I$13,4,FALSE),"")</f>
        <v xml:space="preserve">            value = memory_getImmediate();</v>
      </c>
      <c r="L11" s="15" t="str">
        <f>$L$3</f>
        <v xml:space="preserve">            cpu.A |= value;</v>
      </c>
      <c r="M11" s="15" t="str">
        <f t="shared" si="0"/>
        <v xml:space="preserve">            cpu.PS_N =  (bool)(cpu.A &amp; 0x80);
            cpu.PS_Z = (cpu.A == 0);</v>
      </c>
      <c r="N11" s="22" t="str">
        <f>IF(LEN(J11)&gt;0,indent&amp;IF(J11="LAST",AccessModes!$I$15&amp;H11,VLOOKUP($E11,AccessModes!$E$2:$I$13,5,FALSE)&amp;J11)&amp;");","")</f>
        <v/>
      </c>
      <c r="O11" s="22"/>
      <c r="P11" s="15" t="str">
        <f>IF(C11=0,indent0&amp;"case 0x"&amp;DEC2HEX(A11)&amp;": /* "&amp;B11&amp;" "&amp;VLOOKUP(E11,AccessModes!$E$2:$G$13,3,FALSE)&amp;" */"&amp;newline&amp;IF(LEN(K11)&gt;0,K11&amp;CHAR(10),"")&amp;IF(LEN(L11)&gt;0,L11&amp;newline,"")&amp;IF(LEN(M11)&gt;0,M11&amp;newline,"")&amp;IF(LEN(N11)&gt;0,N11&amp;newline,"")&amp;IF(LEN(O11)&gt;0,O11&amp;newline,"")&amp;indent&amp;"break;","")</f>
        <v xml:space="preserve">        case 0x9: /* ORA #aa */
            value = memory_getImmediate();
            cpu.A |= value;
            cpu.PS_N =  (bool)(cpu.A &amp; 0x80);
            cpu.PS_Z = (cpu.A == 0);
            break;</v>
      </c>
      <c r="Q11" s="22" t="str">
        <f t="shared" si="1"/>
        <v xml:space="preserve">    {"ORA", FALSE, AM_IMM, 2, 0},</v>
      </c>
    </row>
    <row r="12" spans="1:17" ht="79.2" x14ac:dyDescent="0.3">
      <c r="A12" s="22">
        <v>10</v>
      </c>
      <c r="B12" s="22" t="s">
        <v>25</v>
      </c>
      <c r="C12" s="22">
        <v>0</v>
      </c>
      <c r="D12" s="22" t="s">
        <v>139</v>
      </c>
      <c r="E12" s="16" t="str">
        <f>_xlfn.IFNA(VLOOKUP(D12,AccessModes!$D$2:$E$13,2,FALSE),"AM_IMP")</f>
        <v>AM_IMP</v>
      </c>
      <c r="F12" s="22">
        <v>2</v>
      </c>
      <c r="G12" s="22">
        <v>0</v>
      </c>
      <c r="H12" s="28" t="str">
        <f>""</f>
        <v/>
      </c>
      <c r="I12" s="28" t="s">
        <v>215</v>
      </c>
      <c r="J12" s="28" t="str">
        <f>""</f>
        <v/>
      </c>
      <c r="K12" s="22" t="str">
        <f>IF(LEN(H12)&gt;0,indent&amp;H12&amp;" = "&amp;VLOOKUP($E12,AccessModes!$E$2:$I$13,4,FALSE),"")</f>
        <v/>
      </c>
      <c r="L12" s="29" t="str">
        <f>indent&amp;"cpu.PS_C = (bool)("&amp; I12 &amp; " &amp; 0x80);"&amp; newline &amp; indent &amp; I12 &amp;" &lt;&lt;= 1;"</f>
        <v xml:space="preserve">            cpu.PS_C = (bool)(cpu.A &amp; 0x80);
            cpu.A &lt;&lt;= 1;</v>
      </c>
      <c r="M12" s="15" t="str">
        <f t="shared" si="0"/>
        <v xml:space="preserve">            cpu.PS_N =  (bool)(cpu.A &amp; 0x80);
            cpu.PS_Z = (cpu.A == 0);</v>
      </c>
      <c r="N12" s="22" t="str">
        <f>IF(LEN(J12)&gt;0,indent&amp;IF(J12="LAST",AccessModes!$I$15&amp;H12,VLOOKUP($E12,AccessModes!$E$2:$I$13,5,FALSE)&amp;J12)&amp;");","")</f>
        <v/>
      </c>
      <c r="O12" s="22"/>
      <c r="P12" s="15" t="str">
        <f>IF(C12=0,indent0&amp;"case 0x"&amp;DEC2HEX(A12)&amp;": /* "&amp;B12&amp;" "&amp;VLOOKUP(E12,AccessModes!$E$2:$G$13,3,FALSE)&amp;" */"&amp;newline&amp;IF(LEN(K12)&gt;0,K12&amp;CHAR(10),"")&amp;IF(LEN(L12)&gt;0,L12&amp;newline,"")&amp;IF(LEN(M12)&gt;0,M12&amp;newline,"")&amp;IF(LEN(N12)&gt;0,N12&amp;newline,"")&amp;IF(LEN(O12)&gt;0,O12&amp;newline,"")&amp;indent&amp;"break;","")</f>
        <v xml:space="preserve">        case 0xA: /* ASL  */
            cpu.PS_C = (bool)(cpu.A &amp; 0x80);
            cpu.A &lt;&lt;= 1;
            cpu.PS_N =  (bool)(cpu.A &amp; 0x80);
            cpu.PS_Z = (cpu.A == 0);
            break;</v>
      </c>
      <c r="Q12" s="22" t="str">
        <f t="shared" si="1"/>
        <v xml:space="preserve">    {"ASL", FALSE, AM_IMP, 2, 0},</v>
      </c>
    </row>
    <row r="13" spans="1:17" x14ac:dyDescent="0.3">
      <c r="A13" s="23">
        <v>11</v>
      </c>
      <c r="B13" s="23" t="s">
        <v>29</v>
      </c>
      <c r="C13" s="23">
        <v>-1</v>
      </c>
      <c r="D13" s="23" t="s">
        <v>130</v>
      </c>
      <c r="E13" s="23" t="str">
        <f>_xlfn.IFNA(VLOOKUP(D13,AccessModes!$D$2:$E$13,2,FALSE),"AM_IMP")</f>
        <v>AM_IMM</v>
      </c>
      <c r="F13" s="23">
        <v>2</v>
      </c>
      <c r="G13" s="23">
        <v>0</v>
      </c>
      <c r="H13" s="23"/>
      <c r="I13" s="23"/>
      <c r="J13" s="23"/>
      <c r="K13" s="23" t="str">
        <f>IF(LEN(H13)&gt;0,indent&amp;H13&amp;" = "&amp;VLOOKUP($E13,AccessModes!$E$2:$I$13,4,FALSE),"")</f>
        <v/>
      </c>
      <c r="L13" s="17" t="str">
        <f>indent&amp;"/* TODO: implementation of the action */"</f>
        <v xml:space="preserve">            /* TODO: implementation of the action */</v>
      </c>
      <c r="M13" s="17" t="str">
        <f t="shared" si="0"/>
        <v/>
      </c>
      <c r="N13" s="23" t="str">
        <f>IF(LEN(J13)&gt;0,indent&amp;IF(J13="LAST",AccessModes!$I$15&amp;H13,VLOOKUP($E13,AccessModes!$E$2:$I$13,5,FALSE)&amp;J13)&amp;");","")</f>
        <v/>
      </c>
      <c r="O13" s="23"/>
      <c r="P13" s="17" t="str">
        <f>IF(C13=0,indent0&amp;"case 0x"&amp;DEC2HEX(A13)&amp;": /* "&amp;B13&amp;" "&amp;VLOOKUP(E13,AccessModes!$E$2:$G$13,3,FALSE)&amp;" */"&amp;newline&amp;IF(LEN(K13)&gt;0,K13&amp;CHAR(10),"")&amp;IF(LEN(L13)&gt;0,L13&amp;newline,"")&amp;IF(LEN(M13)&gt;0,M13&amp;newline,"")&amp;IF(LEN(N13)&gt;0,N13&amp;newline,"")&amp;IF(LEN(O13)&gt;0,O13&amp;newline,"")&amp;indent&amp;"break;","")</f>
        <v/>
      </c>
      <c r="Q13" s="23" t="str">
        <f t="shared" si="1"/>
        <v xml:space="preserve">    {"ANC", TRUE, AM_IMM, 2, 0},</v>
      </c>
    </row>
    <row r="14" spans="1:17" x14ac:dyDescent="0.3">
      <c r="A14" s="23">
        <v>12</v>
      </c>
      <c r="B14" s="23" t="s">
        <v>23</v>
      </c>
      <c r="C14" s="23">
        <v>-1</v>
      </c>
      <c r="D14" s="23" t="s">
        <v>131</v>
      </c>
      <c r="E14" s="23" t="str">
        <f>_xlfn.IFNA(VLOOKUP(D14,AccessModes!$D$2:$E$13,2,FALSE),"AM_IMP")</f>
        <v>AM_ABS</v>
      </c>
      <c r="F14" s="23">
        <v>4</v>
      </c>
      <c r="G14" s="23">
        <v>0</v>
      </c>
      <c r="H14" s="23"/>
      <c r="I14" s="23"/>
      <c r="J14" s="23"/>
      <c r="K14" s="23" t="str">
        <f>IF(LEN(H14)&gt;0,indent&amp;H14&amp;" = "&amp;VLOOKUP($E14,AccessModes!$E$2:$I$13,4,FALSE),"")</f>
        <v/>
      </c>
      <c r="L14" s="17" t="str">
        <f>indent&amp;"/* TODO: implementation of the action */"</f>
        <v xml:space="preserve">            /* TODO: implementation of the action */</v>
      </c>
      <c r="M14" s="17" t="str">
        <f t="shared" si="0"/>
        <v/>
      </c>
      <c r="N14" s="23" t="str">
        <f>IF(LEN(J14)&gt;0,indent&amp;IF(J14="LAST",AccessModes!$I$15&amp;H14,VLOOKUP($E14,AccessModes!$E$2:$I$13,5,FALSE)&amp;J14)&amp;");","")</f>
        <v/>
      </c>
      <c r="O14" s="23"/>
      <c r="P14" s="17" t="str">
        <f>IF(C14=0,indent0&amp;"case 0x"&amp;DEC2HEX(A14)&amp;": /* "&amp;B14&amp;" "&amp;VLOOKUP(E14,AccessModes!$E$2:$G$13,3,FALSE)&amp;" */"&amp;newline&amp;IF(LEN(K14)&gt;0,K14&amp;CHAR(10),"")&amp;IF(LEN(L14)&gt;0,L14&amp;newline,"")&amp;IF(LEN(M14)&gt;0,M14&amp;newline,"")&amp;IF(LEN(N14)&gt;0,N14&amp;newline,"")&amp;IF(LEN(O14)&gt;0,O14&amp;newline,"")&amp;indent&amp;"break;","")</f>
        <v/>
      </c>
      <c r="Q14" s="23" t="str">
        <f t="shared" si="1"/>
        <v xml:space="preserve">    {"NOP", TRUE, AM_ABS, 4, 0},</v>
      </c>
    </row>
    <row r="15" spans="1:17" ht="79.2" x14ac:dyDescent="0.3">
      <c r="A15" s="22">
        <v>13</v>
      </c>
      <c r="B15" s="22" t="s">
        <v>18</v>
      </c>
      <c r="C15" s="22">
        <v>0</v>
      </c>
      <c r="D15" s="22" t="s">
        <v>131</v>
      </c>
      <c r="E15" s="22" t="str">
        <f>_xlfn.IFNA(VLOOKUP(D15,AccessModes!$D$2:$E$13,2,FALSE),"AM_IMP")</f>
        <v>AM_ABS</v>
      </c>
      <c r="F15" s="22">
        <v>4</v>
      </c>
      <c r="G15" s="22">
        <v>0</v>
      </c>
      <c r="H15" s="22" t="str">
        <f>$H$3</f>
        <v>value</v>
      </c>
      <c r="I15" s="22" t="str">
        <f>$I$3</f>
        <v>cpu.A</v>
      </c>
      <c r="J15" s="22" t="str">
        <f>$J$3</f>
        <v/>
      </c>
      <c r="K15" s="22" t="str">
        <f>IF(LEN(H15)&gt;0,indent&amp;H15&amp;" = "&amp;VLOOKUP($E15,AccessModes!$E$2:$I$13,4,FALSE),"")</f>
        <v xml:space="preserve">            value = memory_getAbsolute();</v>
      </c>
      <c r="L15" s="15" t="str">
        <f>$L$3</f>
        <v xml:space="preserve">            cpu.A |= value;</v>
      </c>
      <c r="M15" s="15" t="str">
        <f t="shared" si="0"/>
        <v xml:space="preserve">            cpu.PS_N =  (bool)(cpu.A &amp; 0x80);
            cpu.PS_Z = (cpu.A == 0);</v>
      </c>
      <c r="N15" s="22" t="str">
        <f>IF(LEN(J15)&gt;0,indent&amp;IF(J15="LAST",AccessModes!$I$15&amp;H15,VLOOKUP($E15,AccessModes!$E$2:$I$13,5,FALSE)&amp;J15)&amp;");","")</f>
        <v/>
      </c>
      <c r="O15" s="22"/>
      <c r="P15" s="15" t="str">
        <f>IF(C15=0,indent0&amp;"case 0x"&amp;DEC2HEX(A15)&amp;": /* "&amp;B15&amp;" "&amp;VLOOKUP(E15,AccessModes!$E$2:$G$13,3,FALSE)&amp;" */"&amp;newline&amp;IF(LEN(K15)&gt;0,K15&amp;CHAR(10),"")&amp;IF(LEN(L15)&gt;0,L15&amp;newline,"")&amp;IF(LEN(M15)&gt;0,M15&amp;newline,"")&amp;IF(LEN(N15)&gt;0,N15&amp;newline,"")&amp;IF(LEN(O15)&gt;0,O15&amp;newline,"")&amp;indent&amp;"break;","")</f>
        <v xml:space="preserve">        case 0xD: /* ORA aaaa */
            value = memory_getAbsolute();
            cpu.A |= value;
            cpu.PS_N =  (bool)(cpu.A &amp; 0x80);
            cpu.PS_Z = (cpu.A == 0);
            break;</v>
      </c>
      <c r="Q15" s="22" t="str">
        <f t="shared" si="1"/>
        <v xml:space="preserve">    {"ORA", FALSE, AM_ABS, 4, 0},</v>
      </c>
    </row>
    <row r="16" spans="1:17" ht="105.6" x14ac:dyDescent="0.3">
      <c r="A16" s="22">
        <v>14</v>
      </c>
      <c r="B16" s="22" t="s">
        <v>25</v>
      </c>
      <c r="C16" s="22">
        <v>0</v>
      </c>
      <c r="D16" s="22" t="s">
        <v>131</v>
      </c>
      <c r="E16" s="22" t="str">
        <f>_xlfn.IFNA(VLOOKUP(D16,AccessModes!$D$2:$E$13,2,FALSE),"AM_IMP")</f>
        <v>AM_ABS</v>
      </c>
      <c r="F16" s="22">
        <v>6</v>
      </c>
      <c r="G16" s="22">
        <v>0</v>
      </c>
      <c r="H16" s="22" t="str">
        <f>$H$8</f>
        <v>value</v>
      </c>
      <c r="I16" s="22" t="str">
        <f>$I$8</f>
        <v>value</v>
      </c>
      <c r="J16" s="22" t="str">
        <f>$J$8</f>
        <v>LAST</v>
      </c>
      <c r="K16" s="22" t="str">
        <f>IF(LEN(H16)&gt;0,indent&amp;H16&amp;" = "&amp;VLOOKUP($E16,AccessModes!$E$2:$I$13,4,FALSE),"")</f>
        <v xml:space="preserve">            value = memory_getAbsolute();</v>
      </c>
      <c r="L16" s="15" t="str">
        <f>$L$8</f>
        <v xml:space="preserve">            cpu.PS_C = (bool)(value &amp; 0x80);
            value &lt;&lt;= 1;</v>
      </c>
      <c r="M16" s="15" t="str">
        <f t="shared" si="0"/>
        <v xml:space="preserve">            cpu.PS_N =  (bool)(value &amp; 0x80);
            cpu.PS_Z = (value == 0);</v>
      </c>
      <c r="N16" s="22" t="str">
        <f>IF(LEN(J16)&gt;0,indent&amp;IF(J16="LAST",AccessModes!$I$15&amp;H16,VLOOKUP($E16,AccessModes!$E$2:$I$13,5,FALSE)&amp;J16)&amp;");","")</f>
        <v xml:space="preserve">            memory_setLast(value);</v>
      </c>
      <c r="O16" s="22"/>
      <c r="P16" s="15" t="str">
        <f>IF(C16=0,indent0&amp;"case 0x"&amp;DEC2HEX(A16)&amp;": /* "&amp;B16&amp;" "&amp;VLOOKUP(E16,AccessModes!$E$2:$G$13,3,FALSE)&amp;" */"&amp;newline&amp;IF(LEN(K16)&gt;0,K16&amp;CHAR(10),"")&amp;IF(LEN(L16)&gt;0,L16&amp;newline,"")&amp;IF(LEN(M16)&gt;0,M16&amp;newline,"")&amp;IF(LEN(N16)&gt;0,N16&amp;newline,"")&amp;IF(LEN(O16)&gt;0,O16&amp;newline,"")&amp;indent&amp;"break;","")</f>
        <v xml:space="preserve">        case 0xE: /* ASL aaaa */
            value = memory_getAbsolute();
            cpu.PS_C = (bool)(value &amp; 0x80);
            value &lt;&lt;= 1;
            cpu.PS_N =  (bool)(value &amp; 0x80);
            cpu.PS_Z = (value == 0);
            memory_setLast(value);
            break;</v>
      </c>
      <c r="Q16" s="22" t="str">
        <f t="shared" si="1"/>
        <v xml:space="preserve">    {"ASL", FALSE, AM_ABS, 6, 0},</v>
      </c>
    </row>
    <row r="17" spans="1:17" x14ac:dyDescent="0.3">
      <c r="A17" s="23">
        <v>15</v>
      </c>
      <c r="B17" s="23" t="s">
        <v>21</v>
      </c>
      <c r="C17" s="23">
        <v>-1</v>
      </c>
      <c r="D17" s="23" t="s">
        <v>131</v>
      </c>
      <c r="E17" s="23" t="str">
        <f>_xlfn.IFNA(VLOOKUP(D17,AccessModes!$D$2:$E$13,2,FALSE),"AM_IMP")</f>
        <v>AM_ABS</v>
      </c>
      <c r="F17" s="23">
        <v>6</v>
      </c>
      <c r="G17" s="23">
        <v>0</v>
      </c>
      <c r="H17" s="23"/>
      <c r="I17" s="23"/>
      <c r="J17" s="23"/>
      <c r="K17" s="23" t="str">
        <f>IF(LEN(H17)&gt;0,indent&amp;H17&amp;" = "&amp;VLOOKUP($E17,AccessModes!$E$2:$I$13,4,FALSE),"")</f>
        <v/>
      </c>
      <c r="L17" s="17" t="str">
        <f>indent&amp;"/* TODO: implementation of the action */"</f>
        <v xml:space="preserve">            /* TODO: implementation of the action */</v>
      </c>
      <c r="M17" s="17" t="str">
        <f t="shared" si="0"/>
        <v/>
      </c>
      <c r="N17" s="23" t="str">
        <f>IF(LEN(J17)&gt;0,indent&amp;IF(J17="LAST",AccessModes!$I$15&amp;H17,VLOOKUP($E17,AccessModes!$E$2:$I$13,5,FALSE)&amp;J17)&amp;");","")</f>
        <v/>
      </c>
      <c r="O17" s="23"/>
      <c r="P17" s="17" t="str">
        <f>IF(C17=0,indent0&amp;"case 0x"&amp;DEC2HEX(A17)&amp;": /* "&amp;B17&amp;" "&amp;VLOOKUP(E17,AccessModes!$E$2:$G$13,3,FALSE)&amp;" */"&amp;newline&amp;IF(LEN(K17)&gt;0,K17&amp;CHAR(10),"")&amp;IF(LEN(L17)&gt;0,L17&amp;newline,"")&amp;IF(LEN(M17)&gt;0,M17&amp;newline,"")&amp;IF(LEN(N17)&gt;0,N17&amp;newline,"")&amp;IF(LEN(O17)&gt;0,O17&amp;newline,"")&amp;indent&amp;"break;","")</f>
        <v/>
      </c>
      <c r="Q17" s="23" t="str">
        <f t="shared" si="1"/>
        <v xml:space="preserve">    {"SLO", TRUE, AM_ABS, 6, 0},</v>
      </c>
    </row>
    <row r="18" spans="1:17" ht="92.4" x14ac:dyDescent="0.3">
      <c r="A18" s="22">
        <v>16</v>
      </c>
      <c r="B18" s="22" t="s">
        <v>33</v>
      </c>
      <c r="C18" s="22">
        <v>0</v>
      </c>
      <c r="D18" s="22" t="s">
        <v>132</v>
      </c>
      <c r="E18" s="22" t="str">
        <f>_xlfn.IFNA(VLOOKUP(D18,AccessModes!$D$2:$E$13,2,FALSE),"AM_IMP")</f>
        <v>AM_REL</v>
      </c>
      <c r="F18" s="22">
        <v>2</v>
      </c>
      <c r="G18" s="22">
        <v>1</v>
      </c>
      <c r="H18" s="28" t="s">
        <v>240</v>
      </c>
      <c r="I18" s="28"/>
      <c r="J18" s="28"/>
      <c r="K18" s="22" t="str">
        <f>IF(LEN(H18)&gt;0,indent&amp;H18&amp;" = "&amp;VLOOKUP($E18,AccessModes!$E$2:$I$13,4,FALSE),"")</f>
        <v xml:space="preserve">            value_w = memory_getRelativeAddress();</v>
      </c>
      <c r="L18" s="29" t="str">
        <f>indent&amp;"if(!cpu.PS_N) {"&amp;newline&amp;indent2&amp;"++cycles;"&amp;newline&amp;indent2&amp;"cpu.PC = "&amp;H18&amp;";"&amp;newline&amp;indent&amp;"}"</f>
        <v xml:space="preserve">            if(!cpu.PS_N) {
                ++cycles;
                cpu.PC = value_w;
            }</v>
      </c>
      <c r="M18" s="15" t="str">
        <f t="shared" si="0"/>
        <v/>
      </c>
      <c r="N18" s="22" t="str">
        <f>IF(LEN(J18)&gt;0,indent&amp;IF(J18="LAST",AccessModes!$I$15&amp;H18,VLOOKUP($E18,AccessModes!$E$2:$I$13,5,FALSE)&amp;J18)&amp;");","")</f>
        <v/>
      </c>
      <c r="O18" s="22"/>
      <c r="P18" s="15" t="str">
        <f>IF(C18=0,indent0&amp;"case 0x"&amp;DEC2HEX(A18)&amp;": /* "&amp;B18&amp;" "&amp;VLOOKUP(E18,AccessModes!$E$2:$G$13,3,FALSE)&amp;" */"&amp;newline&amp;IF(LEN(K18)&gt;0,K18&amp;CHAR(10),"")&amp;IF(LEN(L18)&gt;0,L18&amp;newline,"")&amp;IF(LEN(M18)&gt;0,M18&amp;newline,"")&amp;IF(LEN(N18)&gt;0,N18&amp;newline,"")&amp;IF(LEN(O18)&gt;0,O18&amp;newline,"")&amp;indent&amp;"break;","")</f>
        <v xml:space="preserve">        case 0x10: /* BPL aaaa */
            value_w = memory_getRelativeAddress();
            if(!cpu.PS_N) {
                ++cycles;
                cpu.PC = value_w;
            }
            break;</v>
      </c>
      <c r="Q18" s="22" t="str">
        <f t="shared" si="1"/>
        <v xml:space="preserve">    {"BPL", FALSE, AM_REL, 2, 1},</v>
      </c>
    </row>
    <row r="19" spans="1:17" ht="79.2" x14ac:dyDescent="0.3">
      <c r="A19" s="22">
        <v>17</v>
      </c>
      <c r="B19" s="22" t="s">
        <v>18</v>
      </c>
      <c r="C19" s="22">
        <v>0</v>
      </c>
      <c r="D19" s="22" t="s">
        <v>133</v>
      </c>
      <c r="E19" s="22" t="str">
        <f>_xlfn.IFNA(VLOOKUP(D19,AccessModes!$D$2:$E$13,2,FALSE),"AM_IMP")</f>
        <v>AM_ZIY</v>
      </c>
      <c r="F19" s="22">
        <v>5</v>
      </c>
      <c r="G19" s="22">
        <v>1</v>
      </c>
      <c r="H19" s="22" t="str">
        <f>$H$3</f>
        <v>value</v>
      </c>
      <c r="I19" s="22" t="str">
        <f>$I$3</f>
        <v>cpu.A</v>
      </c>
      <c r="J19" s="22" t="str">
        <f>$J$3</f>
        <v/>
      </c>
      <c r="K19" s="22" t="str">
        <f>IF(LEN(H19)&gt;0,indent&amp;H19&amp;" = "&amp;VLOOKUP($E19,AccessModes!$E$2:$I$13,4,FALSE),"")</f>
        <v xml:space="preserve">            value = memory_getZeroPageIndexedY();</v>
      </c>
      <c r="L19" s="15" t="str">
        <f>$L$3</f>
        <v xml:space="preserve">            cpu.A |= value;</v>
      </c>
      <c r="M19" s="15" t="str">
        <f t="shared" si="0"/>
        <v xml:space="preserve">            cpu.PS_N =  (bool)(cpu.A &amp; 0x80);
            cpu.PS_Z = (cpu.A == 0);</v>
      </c>
      <c r="N19" s="22" t="str">
        <f>IF(LEN(J19)&gt;0,indent&amp;IF(J19="LAST",AccessModes!$I$15&amp;H19,VLOOKUP($E19,AccessModes!$E$2:$I$13,5,FALSE)&amp;J19)&amp;");","")</f>
        <v/>
      </c>
      <c r="O19" s="22"/>
      <c r="P19" s="15" t="str">
        <f>IF(C19=0,indent0&amp;"case 0x"&amp;DEC2HEX(A19)&amp;": /* "&amp;B19&amp;" "&amp;VLOOKUP(E19,AccessModes!$E$2:$G$13,3,FALSE)&amp;" */"&amp;newline&amp;IF(LEN(K19)&gt;0,K19&amp;CHAR(10),"")&amp;IF(LEN(L19)&gt;0,L19&amp;newline,"")&amp;IF(LEN(M19)&gt;0,M19&amp;newline,"")&amp;IF(LEN(N19)&gt;0,N19&amp;newline,"")&amp;IF(LEN(O19)&gt;0,O19&amp;newline,"")&amp;indent&amp;"break;","")</f>
        <v xml:space="preserve">        case 0x11: /* ORA aa,Y */
            value = memory_getZeroPageIndexedY();
            cpu.A |= value;
            cpu.PS_N =  (bool)(cpu.A &amp; 0x80);
            cpu.PS_Z = (cpu.A == 0);
            break;</v>
      </c>
      <c r="Q19" s="22" t="str">
        <f t="shared" si="1"/>
        <v xml:space="preserve">    {"ORA", FALSE, AM_ZIY, 5, 1},</v>
      </c>
    </row>
    <row r="20" spans="1:17" x14ac:dyDescent="0.3">
      <c r="A20" s="23">
        <v>18</v>
      </c>
      <c r="B20" s="23" t="s">
        <v>20</v>
      </c>
      <c r="C20" s="23">
        <v>-1</v>
      </c>
      <c r="D20" s="23"/>
      <c r="E20" s="23" t="str">
        <f>_xlfn.IFNA(VLOOKUP(D20,AccessModes!$D$2:$E$13,2,FALSE),"AM_IMP")</f>
        <v>AM_IMP</v>
      </c>
      <c r="F20" s="23">
        <v>0</v>
      </c>
      <c r="G20" s="23">
        <v>0</v>
      </c>
      <c r="H20" s="23"/>
      <c r="I20" s="23"/>
      <c r="J20" s="23"/>
      <c r="K20" s="23" t="str">
        <f>IF(LEN(H20)&gt;0,indent&amp;H20&amp;" = "&amp;VLOOKUP($E20,AccessModes!$E$2:$I$13,4,FALSE),"")</f>
        <v/>
      </c>
      <c r="L20" s="17" t="str">
        <f>indent&amp;"/* TODO: implementation of the action */"</f>
        <v xml:space="preserve">            /* TODO: implementation of the action */</v>
      </c>
      <c r="M20" s="17" t="str">
        <f t="shared" si="0"/>
        <v/>
      </c>
      <c r="N20" s="23" t="str">
        <f>IF(LEN(J20)&gt;0,indent&amp;IF(J20="LAST",AccessModes!$I$15&amp;H20,VLOOKUP($E20,AccessModes!$E$2:$I$13,5,FALSE)&amp;J20)&amp;");","")</f>
        <v/>
      </c>
      <c r="O20" s="23"/>
      <c r="P20" s="17" t="str">
        <f>IF(C20=0,indent0&amp;"case 0x"&amp;DEC2HEX(A20)&amp;": /* "&amp;B20&amp;" "&amp;VLOOKUP(E20,AccessModes!$E$2:$G$13,3,FALSE)&amp;" */"&amp;newline&amp;IF(LEN(K20)&gt;0,K20&amp;CHAR(10),"")&amp;IF(LEN(L20)&gt;0,L20&amp;newline,"")&amp;IF(LEN(M20)&gt;0,M20&amp;newline,"")&amp;IF(LEN(N20)&gt;0,N20&amp;newline,"")&amp;IF(LEN(O20)&gt;0,O20&amp;newline,"")&amp;indent&amp;"break;","")</f>
        <v/>
      </c>
      <c r="Q20" s="23" t="str">
        <f t="shared" si="1"/>
        <v xml:space="preserve">    {"KIL", TRUE, AM_IMP, 0, 0},</v>
      </c>
    </row>
    <row r="21" spans="1:17" x14ac:dyDescent="0.3">
      <c r="A21" s="23">
        <v>19</v>
      </c>
      <c r="B21" s="23" t="s">
        <v>21</v>
      </c>
      <c r="C21" s="23">
        <v>-1</v>
      </c>
      <c r="D21" s="23" t="s">
        <v>133</v>
      </c>
      <c r="E21" s="23" t="str">
        <f>_xlfn.IFNA(VLOOKUP(D21,AccessModes!$D$2:$E$13,2,FALSE),"AM_IMP")</f>
        <v>AM_ZIY</v>
      </c>
      <c r="F21" s="23">
        <v>8</v>
      </c>
      <c r="G21" s="23">
        <v>0</v>
      </c>
      <c r="H21" s="23"/>
      <c r="I21" s="23"/>
      <c r="J21" s="23"/>
      <c r="K21" s="23" t="str">
        <f>IF(LEN(H21)&gt;0,indent&amp;H21&amp;" = "&amp;VLOOKUP($E21,AccessModes!$E$2:$I$13,4,FALSE),"")</f>
        <v/>
      </c>
      <c r="L21" s="17" t="str">
        <f>indent&amp;"/* TODO: implementation of the action */"</f>
        <v xml:space="preserve">            /* TODO: implementation of the action */</v>
      </c>
      <c r="M21" s="17" t="str">
        <f t="shared" si="0"/>
        <v/>
      </c>
      <c r="N21" s="23" t="str">
        <f>IF(LEN(J21)&gt;0,indent&amp;IF(J21="LAST",AccessModes!$I$15&amp;H21,VLOOKUP($E21,AccessModes!$E$2:$I$13,5,FALSE)&amp;J21)&amp;");","")</f>
        <v/>
      </c>
      <c r="O21" s="23"/>
      <c r="P21" s="17" t="str">
        <f>IF(C21=0,indent0&amp;"case 0x"&amp;DEC2HEX(A21)&amp;": /* "&amp;B21&amp;" "&amp;VLOOKUP(E21,AccessModes!$E$2:$G$13,3,FALSE)&amp;" */"&amp;newline&amp;IF(LEN(K21)&gt;0,K21&amp;CHAR(10),"")&amp;IF(LEN(L21)&gt;0,L21&amp;newline,"")&amp;IF(LEN(M21)&gt;0,M21&amp;newline,"")&amp;IF(LEN(N21)&gt;0,N21&amp;newline,"")&amp;IF(LEN(O21)&gt;0,O21&amp;newline,"")&amp;indent&amp;"break;","")</f>
        <v/>
      </c>
      <c r="Q21" s="23" t="str">
        <f t="shared" si="1"/>
        <v xml:space="preserve">    {"SLO", TRUE, AM_ZIY, 8, 0},</v>
      </c>
    </row>
    <row r="22" spans="1:17" x14ac:dyDescent="0.3">
      <c r="A22" s="23">
        <v>20</v>
      </c>
      <c r="B22" s="23" t="s">
        <v>23</v>
      </c>
      <c r="C22" s="23">
        <v>-1</v>
      </c>
      <c r="D22" s="23" t="s">
        <v>134</v>
      </c>
      <c r="E22" s="23" t="str">
        <f>_xlfn.IFNA(VLOOKUP(D22,AccessModes!$D$2:$E$13,2,FALSE),"AM_IMP")</f>
        <v>AM_IIX</v>
      </c>
      <c r="F22" s="23">
        <v>4</v>
      </c>
      <c r="G22" s="23">
        <v>0</v>
      </c>
      <c r="H22" s="23"/>
      <c r="I22" s="23"/>
      <c r="J22" s="23"/>
      <c r="K22" s="23" t="str">
        <f>IF(LEN(H22)&gt;0,indent&amp;H22&amp;" = "&amp;VLOOKUP($E22,AccessModes!$E$2:$I$13,4,FALSE),"")</f>
        <v/>
      </c>
      <c r="L22" s="17" t="str">
        <f>indent&amp;"/* TODO: implementation of the action */"</f>
        <v xml:space="preserve">            /* TODO: implementation of the action */</v>
      </c>
      <c r="M22" s="17" t="str">
        <f t="shared" si="0"/>
        <v/>
      </c>
      <c r="N22" s="23" t="str">
        <f>IF(LEN(J22)&gt;0,indent&amp;IF(J22="LAST",AccessModes!$I$15&amp;H22,VLOOKUP($E22,AccessModes!$E$2:$I$13,5,FALSE)&amp;J22)&amp;");","")</f>
        <v/>
      </c>
      <c r="O22" s="23"/>
      <c r="P22" s="17" t="str">
        <f>IF(C22=0,indent0&amp;"case 0x"&amp;DEC2HEX(A22)&amp;": /* "&amp;B22&amp;" "&amp;VLOOKUP(E22,AccessModes!$E$2:$G$13,3,FALSE)&amp;" */"&amp;newline&amp;IF(LEN(K22)&gt;0,K22&amp;CHAR(10),"")&amp;IF(LEN(L22)&gt;0,L22&amp;newline,"")&amp;IF(LEN(M22)&gt;0,M22&amp;newline,"")&amp;IF(LEN(N22)&gt;0,N22&amp;newline,"")&amp;IF(LEN(O22)&gt;0,O22&amp;newline,"")&amp;indent&amp;"break;","")</f>
        <v/>
      </c>
      <c r="Q22" s="23" t="str">
        <f t="shared" si="1"/>
        <v xml:space="preserve">    {"NOP", TRUE, AM_IIX, 4, 0},</v>
      </c>
    </row>
    <row r="23" spans="1:17" ht="79.2" x14ac:dyDescent="0.3">
      <c r="A23" s="22">
        <v>21</v>
      </c>
      <c r="B23" s="22" t="s">
        <v>18</v>
      </c>
      <c r="C23" s="22">
        <v>0</v>
      </c>
      <c r="D23" s="22" t="s">
        <v>134</v>
      </c>
      <c r="E23" s="22" t="str">
        <f>_xlfn.IFNA(VLOOKUP(D23,AccessModes!$D$2:$E$13,2,FALSE),"AM_IMP")</f>
        <v>AM_IIX</v>
      </c>
      <c r="F23" s="22">
        <v>4</v>
      </c>
      <c r="G23" s="22">
        <v>0</v>
      </c>
      <c r="H23" s="22" t="str">
        <f>$H$3</f>
        <v>value</v>
      </c>
      <c r="I23" s="22" t="str">
        <f>$I$3</f>
        <v>cpu.A</v>
      </c>
      <c r="J23" s="22" t="str">
        <f>$J$3</f>
        <v/>
      </c>
      <c r="K23" s="22" t="str">
        <f>IF(LEN(H23)&gt;0,indent&amp;H23&amp;" = "&amp;VLOOKUP($E23,AccessModes!$E$2:$I$13,4,FALSE),"")</f>
        <v xml:space="preserve">            value = memory_getIndexedIndirectX();</v>
      </c>
      <c r="L23" s="15" t="str">
        <f>$L$3</f>
        <v xml:space="preserve">            cpu.A |= value;</v>
      </c>
      <c r="M23" s="15" t="str">
        <f t="shared" si="0"/>
        <v xml:space="preserve">            cpu.PS_N =  (bool)(cpu.A &amp; 0x80);
            cpu.PS_Z = (cpu.A == 0);</v>
      </c>
      <c r="N23" s="22" t="str">
        <f>IF(LEN(J23)&gt;0,indent&amp;IF(J23="LAST",AccessModes!$I$15&amp;H23,VLOOKUP($E23,AccessModes!$E$2:$I$13,5,FALSE)&amp;J23)&amp;");","")</f>
        <v/>
      </c>
      <c r="O23" s="22"/>
      <c r="P23" s="15" t="str">
        <f>IF(C23=0,indent0&amp;"case 0x"&amp;DEC2HEX(A23)&amp;": /* "&amp;B23&amp;" "&amp;VLOOKUP(E23,AccessModes!$E$2:$G$13,3,FALSE)&amp;" */"&amp;newline&amp;IF(LEN(K23)&gt;0,K23&amp;CHAR(10),"")&amp;IF(LEN(L23)&gt;0,L23&amp;newline,"")&amp;IF(LEN(M23)&gt;0,M23&amp;newline,"")&amp;IF(LEN(N23)&gt;0,N23&amp;newline,"")&amp;IF(LEN(O23)&gt;0,O23&amp;newline,"")&amp;indent&amp;"break;","")</f>
        <v xml:space="preserve">        case 0x15: /* ORA (aa,X) */
            value = memory_getIndexedIndirectX();
            cpu.A |= value;
            cpu.PS_N =  (bool)(cpu.A &amp; 0x80);
            cpu.PS_Z = (cpu.A == 0);
            break;</v>
      </c>
      <c r="Q23" s="22" t="str">
        <f t="shared" si="1"/>
        <v xml:space="preserve">    {"ORA", FALSE, AM_IIX, 4, 0},</v>
      </c>
    </row>
    <row r="24" spans="1:17" ht="105.6" x14ac:dyDescent="0.3">
      <c r="A24" s="22">
        <v>22</v>
      </c>
      <c r="B24" s="22" t="s">
        <v>25</v>
      </c>
      <c r="C24" s="22">
        <v>0</v>
      </c>
      <c r="D24" s="22" t="s">
        <v>134</v>
      </c>
      <c r="E24" s="22" t="str">
        <f>_xlfn.IFNA(VLOOKUP(D24,AccessModes!$D$2:$E$13,2,FALSE),"AM_IMP")</f>
        <v>AM_IIX</v>
      </c>
      <c r="F24" s="22">
        <v>6</v>
      </c>
      <c r="G24" s="22">
        <v>0</v>
      </c>
      <c r="H24" s="22" t="str">
        <f>$H$8</f>
        <v>value</v>
      </c>
      <c r="I24" s="22" t="str">
        <f>$I$8</f>
        <v>value</v>
      </c>
      <c r="J24" s="22" t="str">
        <f>$J$8</f>
        <v>LAST</v>
      </c>
      <c r="K24" s="22" t="str">
        <f>IF(LEN(H24)&gt;0,indent&amp;H24&amp;" = "&amp;VLOOKUP($E24,AccessModes!$E$2:$I$13,4,FALSE),"")</f>
        <v xml:space="preserve">            value = memory_getIndexedIndirectX();</v>
      </c>
      <c r="L24" s="15" t="str">
        <f>$L$8</f>
        <v xml:space="preserve">            cpu.PS_C = (bool)(value &amp; 0x80);
            value &lt;&lt;= 1;</v>
      </c>
      <c r="M24" s="15" t="str">
        <f t="shared" si="0"/>
        <v xml:space="preserve">            cpu.PS_N =  (bool)(value &amp; 0x80);
            cpu.PS_Z = (value == 0);</v>
      </c>
      <c r="N24" s="22" t="str">
        <f>IF(LEN(J24)&gt;0,indent&amp;IF(J24="LAST",AccessModes!$I$15&amp;H24,VLOOKUP($E24,AccessModes!$E$2:$I$13,5,FALSE)&amp;J24)&amp;");","")</f>
        <v xml:space="preserve">            memory_setLast(value);</v>
      </c>
      <c r="O24" s="22"/>
      <c r="P24" s="15" t="str">
        <f>IF(C24=0,indent0&amp;"case 0x"&amp;DEC2HEX(A24)&amp;": /* "&amp;B24&amp;" "&amp;VLOOKUP(E24,AccessModes!$E$2:$G$13,3,FALSE)&amp;" */"&amp;newline&amp;IF(LEN(K24)&gt;0,K24&amp;CHAR(10),"")&amp;IF(LEN(L24)&gt;0,L24&amp;newline,"")&amp;IF(LEN(M24)&gt;0,M24&amp;newline,"")&amp;IF(LEN(N24)&gt;0,N24&amp;newline,"")&amp;IF(LEN(O24)&gt;0,O24&amp;newline,"")&amp;indent&amp;"break;","")</f>
        <v xml:space="preserve">        case 0x16: /* ASL (aa,X) */
            value = memory_getIndexedIndirectX();
            cpu.PS_C = (bool)(value &amp; 0x80);
            value &lt;&lt;= 1;
            cpu.PS_N =  (bool)(value &amp; 0x80);
            cpu.PS_Z = (value == 0);
            memory_setLast(value);
            break;</v>
      </c>
      <c r="Q24" s="22" t="str">
        <f t="shared" si="1"/>
        <v xml:space="preserve">    {"ASL", FALSE, AM_IIX, 6, 0},</v>
      </c>
    </row>
    <row r="25" spans="1:17" x14ac:dyDescent="0.3">
      <c r="A25" s="23">
        <v>23</v>
      </c>
      <c r="B25" s="23" t="s">
        <v>21</v>
      </c>
      <c r="C25" s="23">
        <v>-1</v>
      </c>
      <c r="D25" s="23" t="s">
        <v>134</v>
      </c>
      <c r="E25" s="23" t="str">
        <f>_xlfn.IFNA(VLOOKUP(D25,AccessModes!$D$2:$E$13,2,FALSE),"AM_IMP")</f>
        <v>AM_IIX</v>
      </c>
      <c r="F25" s="23">
        <v>6</v>
      </c>
      <c r="G25" s="23">
        <v>0</v>
      </c>
      <c r="H25" s="23"/>
      <c r="I25" s="23"/>
      <c r="J25" s="23"/>
      <c r="K25" s="23" t="str">
        <f>IF(LEN(H25)&gt;0,indent&amp;H25&amp;" = "&amp;VLOOKUP($E25,AccessModes!$E$2:$I$13,4,FALSE),"")</f>
        <v/>
      </c>
      <c r="L25" s="17" t="str">
        <f>indent&amp;"/* TODO: implementation of the action */"</f>
        <v xml:space="preserve">            /* TODO: implementation of the action */</v>
      </c>
      <c r="M25" s="17" t="str">
        <f t="shared" si="0"/>
        <v/>
      </c>
      <c r="N25" s="23" t="str">
        <f>IF(LEN(J25)&gt;0,indent&amp;IF(J25="LAST",AccessModes!$I$15&amp;H25,VLOOKUP($E25,AccessModes!$E$2:$I$13,5,FALSE)&amp;J25)&amp;");","")</f>
        <v/>
      </c>
      <c r="O25" s="23"/>
      <c r="P25" s="17" t="str">
        <f>IF(C25=0,indent0&amp;"case 0x"&amp;DEC2HEX(A25)&amp;": /* "&amp;B25&amp;" "&amp;VLOOKUP(E25,AccessModes!$E$2:$G$13,3,FALSE)&amp;" */"&amp;newline&amp;IF(LEN(K25)&gt;0,K25&amp;CHAR(10),"")&amp;IF(LEN(L25)&gt;0,L25&amp;newline,"")&amp;IF(LEN(M25)&gt;0,M25&amp;newline,"")&amp;IF(LEN(N25)&gt;0,N25&amp;newline,"")&amp;IF(LEN(O25)&gt;0,O25&amp;newline,"")&amp;indent&amp;"break;","")</f>
        <v/>
      </c>
      <c r="Q25" s="23" t="str">
        <f t="shared" si="1"/>
        <v xml:space="preserve">    {"SLO", TRUE, AM_IIX, 6, 0},</v>
      </c>
    </row>
    <row r="26" spans="1:17" ht="39.6" x14ac:dyDescent="0.3">
      <c r="A26" s="22">
        <v>24</v>
      </c>
      <c r="B26" s="22" t="s">
        <v>39</v>
      </c>
      <c r="C26" s="22">
        <v>0</v>
      </c>
      <c r="D26" s="22" t="s">
        <v>139</v>
      </c>
      <c r="E26" s="22" t="str">
        <f>_xlfn.IFNA(VLOOKUP(D26,AccessModes!$D$2:$E$13,2,FALSE),"AM_IMP")</f>
        <v>AM_IMP</v>
      </c>
      <c r="F26" s="22">
        <v>2</v>
      </c>
      <c r="G26" s="22">
        <v>0</v>
      </c>
      <c r="H26" s="28"/>
      <c r="I26" s="28"/>
      <c r="J26" s="28"/>
      <c r="K26" s="22" t="str">
        <f>IF(LEN(H26)&gt;0,indent&amp;H26&amp;" = "&amp;VLOOKUP($E26,AccessModes!$E$2:$I$13,4,FALSE),"")</f>
        <v/>
      </c>
      <c r="L26" s="29" t="str">
        <f>indent&amp;"cpu.PS_C = false;"</f>
        <v xml:space="preserve">            cpu.PS_C = false;</v>
      </c>
      <c r="M26" s="15" t="str">
        <f t="shared" si="0"/>
        <v/>
      </c>
      <c r="N26" s="22" t="str">
        <f>IF(LEN(J26)&gt;0,indent&amp;IF(J26="LAST",AccessModes!$I$15&amp;H26,VLOOKUP($E26,AccessModes!$E$2:$I$13,5,FALSE)&amp;J26)&amp;");","")</f>
        <v/>
      </c>
      <c r="O26" s="22"/>
      <c r="P26" s="15" t="str">
        <f>IF(C26=0,indent0&amp;"case 0x"&amp;DEC2HEX(A26)&amp;": /* "&amp;B26&amp;" "&amp;VLOOKUP(E26,AccessModes!$E$2:$G$13,3,FALSE)&amp;" */"&amp;newline&amp;IF(LEN(K26)&gt;0,K26&amp;CHAR(10),"")&amp;IF(LEN(L26)&gt;0,L26&amp;newline,"")&amp;IF(LEN(M26)&gt;0,M26&amp;newline,"")&amp;IF(LEN(N26)&gt;0,N26&amp;newline,"")&amp;IF(LEN(O26)&gt;0,O26&amp;newline,"")&amp;indent&amp;"break;","")</f>
        <v xml:space="preserve">        case 0x18: /* CLC  */
            cpu.PS_C = false;
            break;</v>
      </c>
      <c r="Q26" s="22" t="str">
        <f t="shared" si="1"/>
        <v xml:space="preserve">    {"CLC", FALSE, AM_IMP, 2, 0},</v>
      </c>
    </row>
    <row r="27" spans="1:17" ht="79.2" x14ac:dyDescent="0.3">
      <c r="A27" s="22">
        <v>25</v>
      </c>
      <c r="B27" s="22" t="s">
        <v>18</v>
      </c>
      <c r="C27" s="22">
        <v>0</v>
      </c>
      <c r="D27" s="22" t="s">
        <v>135</v>
      </c>
      <c r="E27" s="22" t="str">
        <f>_xlfn.IFNA(VLOOKUP(D27,AccessModes!$D$2:$E$13,2,FALSE),"AM_IMP")</f>
        <v>AM_AIY</v>
      </c>
      <c r="F27" s="22">
        <v>4</v>
      </c>
      <c r="G27" s="22">
        <v>1</v>
      </c>
      <c r="H27" s="22" t="str">
        <f>$H$3</f>
        <v>value</v>
      </c>
      <c r="I27" s="22" t="str">
        <f>$I$3</f>
        <v>cpu.A</v>
      </c>
      <c r="J27" s="22" t="str">
        <f>$J$3</f>
        <v/>
      </c>
      <c r="K27" s="22" t="str">
        <f>IF(LEN(H27)&gt;0,indent&amp;H27&amp;" = "&amp;VLOOKUP($E27,AccessModes!$E$2:$I$13,4,FALSE),"")</f>
        <v xml:space="preserve">            value = memory_getAbsoluteIndexedY();</v>
      </c>
      <c r="L27" s="15" t="str">
        <f>$L$3</f>
        <v xml:space="preserve">            cpu.A |= value;</v>
      </c>
      <c r="M27" s="15" t="str">
        <f t="shared" si="0"/>
        <v xml:space="preserve">            cpu.PS_N =  (bool)(cpu.A &amp; 0x80);
            cpu.PS_Z = (cpu.A == 0);</v>
      </c>
      <c r="N27" s="22" t="str">
        <f>IF(LEN(J27)&gt;0,indent&amp;IF(J27="LAST",AccessModes!$I$15&amp;H27,VLOOKUP($E27,AccessModes!$E$2:$I$13,5,FALSE)&amp;J27)&amp;");","")</f>
        <v/>
      </c>
      <c r="O27" s="22"/>
      <c r="P27" s="15" t="str">
        <f>IF(C27=0,indent0&amp;"case 0x"&amp;DEC2HEX(A27)&amp;": /* "&amp;B27&amp;" "&amp;VLOOKUP(E27,AccessModes!$E$2:$G$13,3,FALSE)&amp;" */"&amp;newline&amp;IF(LEN(K27)&gt;0,K27&amp;CHAR(10),"")&amp;IF(LEN(L27)&gt;0,L27&amp;newline,"")&amp;IF(LEN(M27)&gt;0,M27&amp;newline,"")&amp;IF(LEN(N27)&gt;0,N27&amp;newline,"")&amp;IF(LEN(O27)&gt;0,O27&amp;newline,"")&amp;indent&amp;"break;","")</f>
        <v xml:space="preserve">        case 0x19: /* ORA aaaa,Y */
            value = memory_getAbsoluteIndexedY();
            cpu.A |= value;
            cpu.PS_N =  (bool)(cpu.A &amp; 0x80);
            cpu.PS_Z = (cpu.A == 0);
            break;</v>
      </c>
      <c r="Q27" s="22" t="str">
        <f t="shared" si="1"/>
        <v xml:space="preserve">    {"ORA", FALSE, AM_AIY, 4, 1},</v>
      </c>
    </row>
    <row r="28" spans="1:17" x14ac:dyDescent="0.3">
      <c r="A28" s="23">
        <v>26</v>
      </c>
      <c r="B28" s="23" t="s">
        <v>23</v>
      </c>
      <c r="C28" s="23">
        <v>-1</v>
      </c>
      <c r="D28" s="23" t="s">
        <v>139</v>
      </c>
      <c r="E28" s="23" t="str">
        <f>_xlfn.IFNA(VLOOKUP(D28,AccessModes!$D$2:$E$13,2,FALSE),"AM_IMP")</f>
        <v>AM_IMP</v>
      </c>
      <c r="F28" s="23">
        <v>2</v>
      </c>
      <c r="G28" s="23">
        <v>0</v>
      </c>
      <c r="H28" s="23"/>
      <c r="I28" s="23"/>
      <c r="J28" s="23"/>
      <c r="K28" s="23" t="str">
        <f>IF(LEN(H28)&gt;0,indent&amp;H28&amp;" = "&amp;VLOOKUP($E28,AccessModes!$E$2:$I$13,4,FALSE),"")</f>
        <v/>
      </c>
      <c r="L28" s="17" t="str">
        <f>indent&amp;"/* TODO: implementation of the action */"</f>
        <v xml:space="preserve">            /* TODO: implementation of the action */</v>
      </c>
      <c r="M28" s="17" t="str">
        <f t="shared" si="0"/>
        <v/>
      </c>
      <c r="N28" s="23" t="str">
        <f>IF(LEN(J28)&gt;0,indent&amp;IF(J28="LAST",AccessModes!$I$15&amp;H28,VLOOKUP($E28,AccessModes!$E$2:$I$13,5,FALSE)&amp;J28)&amp;");","")</f>
        <v/>
      </c>
      <c r="O28" s="23"/>
      <c r="P28" s="17" t="str">
        <f>IF(C28=0,indent0&amp;"case 0x"&amp;DEC2HEX(A28)&amp;": /* "&amp;B28&amp;" "&amp;VLOOKUP(E28,AccessModes!$E$2:$G$13,3,FALSE)&amp;" */"&amp;newline&amp;IF(LEN(K28)&gt;0,K28&amp;CHAR(10),"")&amp;IF(LEN(L28)&gt;0,L28&amp;newline,"")&amp;IF(LEN(M28)&gt;0,M28&amp;newline,"")&amp;IF(LEN(N28)&gt;0,N28&amp;newline,"")&amp;IF(LEN(O28)&gt;0,O28&amp;newline,"")&amp;indent&amp;"break;","")</f>
        <v/>
      </c>
      <c r="Q28" s="23" t="str">
        <f t="shared" ref="Q28:Q91" si="2">"    {"&amp;CHAR(34)&amp;B28&amp;CHAR(34)&amp;", "&amp;C28&amp;", "&amp;E28&amp;", "&amp;F28&amp;", "&amp;G28&amp;"},"</f>
        <v xml:space="preserve">    {"NOP", -1, AM_IMP, 2, 0},</v>
      </c>
    </row>
    <row r="29" spans="1:17" x14ac:dyDescent="0.3">
      <c r="A29" s="23">
        <v>27</v>
      </c>
      <c r="B29" s="23" t="s">
        <v>21</v>
      </c>
      <c r="C29" s="23">
        <v>-1</v>
      </c>
      <c r="D29" s="23" t="s">
        <v>135</v>
      </c>
      <c r="E29" s="23" t="str">
        <f>_xlfn.IFNA(VLOOKUP(D29,AccessModes!$D$2:$E$13,2,FALSE),"AM_IMP")</f>
        <v>AM_AIY</v>
      </c>
      <c r="F29" s="23">
        <v>7</v>
      </c>
      <c r="G29" s="23">
        <v>0</v>
      </c>
      <c r="H29" s="23"/>
      <c r="I29" s="23"/>
      <c r="J29" s="23"/>
      <c r="K29" s="23" t="str">
        <f>IF(LEN(H29)&gt;0,indent&amp;H29&amp;" = "&amp;VLOOKUP($E29,AccessModes!$E$2:$I$13,4,FALSE),"")</f>
        <v/>
      </c>
      <c r="L29" s="17" t="str">
        <f>indent&amp;"/* TODO: implementation of the action */"</f>
        <v xml:space="preserve">            /* TODO: implementation of the action */</v>
      </c>
      <c r="M29" s="17" t="str">
        <f t="shared" si="0"/>
        <v/>
      </c>
      <c r="N29" s="23" t="str">
        <f>IF(LEN(J29)&gt;0,indent&amp;IF(J29="LAST",AccessModes!$I$15&amp;H29,VLOOKUP($E29,AccessModes!$E$2:$I$13,5,FALSE)&amp;J29)&amp;");","")</f>
        <v/>
      </c>
      <c r="O29" s="23"/>
      <c r="P29" s="17" t="str">
        <f>IF(C29=0,indent0&amp;"case 0x"&amp;DEC2HEX(A29)&amp;": /* "&amp;B29&amp;" "&amp;VLOOKUP(E29,AccessModes!$E$2:$G$13,3,FALSE)&amp;" */"&amp;newline&amp;IF(LEN(K29)&gt;0,K29&amp;CHAR(10),"")&amp;IF(LEN(L29)&gt;0,L29&amp;newline,"")&amp;IF(LEN(M29)&gt;0,M29&amp;newline,"")&amp;IF(LEN(N29)&gt;0,N29&amp;newline,"")&amp;IF(LEN(O29)&gt;0,O29&amp;newline,"")&amp;indent&amp;"break;","")</f>
        <v/>
      </c>
      <c r="Q29" s="23" t="str">
        <f t="shared" si="2"/>
        <v xml:space="preserve">    {"SLO", -1, AM_AIY, 7, 0},</v>
      </c>
    </row>
    <row r="30" spans="1:17" x14ac:dyDescent="0.3">
      <c r="A30" s="23">
        <v>28</v>
      </c>
      <c r="B30" s="23" t="s">
        <v>23</v>
      </c>
      <c r="C30" s="23">
        <v>-1</v>
      </c>
      <c r="D30" s="23" t="s">
        <v>136</v>
      </c>
      <c r="E30" s="23" t="str">
        <f>_xlfn.IFNA(VLOOKUP(D30,AccessModes!$D$2:$E$13,2,FALSE),"AM_IMP")</f>
        <v>AM_AIX</v>
      </c>
      <c r="F30" s="23">
        <v>4</v>
      </c>
      <c r="G30" s="23">
        <v>1</v>
      </c>
      <c r="H30" s="23"/>
      <c r="I30" s="23"/>
      <c r="J30" s="23"/>
      <c r="K30" s="23" t="str">
        <f>IF(LEN(H30)&gt;0,indent&amp;H30&amp;" = "&amp;VLOOKUP($E30,AccessModes!$E$2:$I$13,4,FALSE),"")</f>
        <v/>
      </c>
      <c r="L30" s="17" t="str">
        <f>indent&amp;"/* TODO: implementation of the action */"</f>
        <v xml:space="preserve">            /* TODO: implementation of the action */</v>
      </c>
      <c r="M30" s="17" t="str">
        <f t="shared" si="0"/>
        <v/>
      </c>
      <c r="N30" s="23" t="str">
        <f>IF(LEN(J30)&gt;0,indent&amp;IF(J30="LAST",AccessModes!$I$15&amp;H30,VLOOKUP($E30,AccessModes!$E$2:$I$13,5,FALSE)&amp;J30)&amp;");","")</f>
        <v/>
      </c>
      <c r="O30" s="23"/>
      <c r="P30" s="17" t="str">
        <f>IF(C30=0,indent0&amp;"case 0x"&amp;DEC2HEX(A30)&amp;": /* "&amp;B30&amp;" "&amp;VLOOKUP(E30,AccessModes!$E$2:$G$13,3,FALSE)&amp;" */"&amp;newline&amp;IF(LEN(K30)&gt;0,K30&amp;CHAR(10),"")&amp;IF(LEN(L30)&gt;0,L30&amp;newline,"")&amp;IF(LEN(M30)&gt;0,M30&amp;newline,"")&amp;IF(LEN(N30)&gt;0,N30&amp;newline,"")&amp;IF(LEN(O30)&gt;0,O30&amp;newline,"")&amp;indent&amp;"break;","")</f>
        <v/>
      </c>
      <c r="Q30" s="23" t="str">
        <f t="shared" si="2"/>
        <v xml:space="preserve">    {"NOP", -1, AM_AIX, 4, 1},</v>
      </c>
    </row>
    <row r="31" spans="1:17" ht="79.2" x14ac:dyDescent="0.3">
      <c r="A31" s="22">
        <v>29</v>
      </c>
      <c r="B31" s="22" t="s">
        <v>18</v>
      </c>
      <c r="C31" s="22">
        <v>0</v>
      </c>
      <c r="D31" s="22" t="s">
        <v>136</v>
      </c>
      <c r="E31" s="22" t="str">
        <f>_xlfn.IFNA(VLOOKUP(D31,AccessModes!$D$2:$E$13,2,FALSE),"AM_IMP")</f>
        <v>AM_AIX</v>
      </c>
      <c r="F31" s="22">
        <v>4</v>
      </c>
      <c r="G31" s="22">
        <v>1</v>
      </c>
      <c r="H31" s="22" t="str">
        <f>$H$3</f>
        <v>value</v>
      </c>
      <c r="I31" s="22" t="str">
        <f>$I$3</f>
        <v>cpu.A</v>
      </c>
      <c r="J31" s="22" t="str">
        <f>$J$3</f>
        <v/>
      </c>
      <c r="K31" s="22" t="str">
        <f>IF(LEN(H31)&gt;0,indent&amp;H31&amp;" = "&amp;VLOOKUP($E31,AccessModes!$E$2:$I$13,4,FALSE),"")</f>
        <v xml:space="preserve">            value = memory_getAbsoluteIndexedX();</v>
      </c>
      <c r="L31" s="15" t="str">
        <f>$L$3</f>
        <v xml:space="preserve">            cpu.A |= value;</v>
      </c>
      <c r="M31" s="15" t="str">
        <f t="shared" si="0"/>
        <v xml:space="preserve">            cpu.PS_N =  (bool)(cpu.A &amp; 0x80);
            cpu.PS_Z = (cpu.A == 0);</v>
      </c>
      <c r="N31" s="22" t="str">
        <f>IF(LEN(J31)&gt;0,indent&amp;IF(J31="LAST",AccessModes!$I$15&amp;H31,VLOOKUP($E31,AccessModes!$E$2:$I$13,5,FALSE)&amp;J31)&amp;");","")</f>
        <v/>
      </c>
      <c r="O31" s="22"/>
      <c r="P31" s="15" t="str">
        <f>IF(C31=0,indent0&amp;"case 0x"&amp;DEC2HEX(A31)&amp;": /* "&amp;B31&amp;" "&amp;VLOOKUP(E31,AccessModes!$E$2:$G$13,3,FALSE)&amp;" */"&amp;newline&amp;IF(LEN(K31)&gt;0,K31&amp;CHAR(10),"")&amp;IF(LEN(L31)&gt;0,L31&amp;newline,"")&amp;IF(LEN(M31)&gt;0,M31&amp;newline,"")&amp;IF(LEN(N31)&gt;0,N31&amp;newline,"")&amp;IF(LEN(O31)&gt;0,O31&amp;newline,"")&amp;indent&amp;"break;","")</f>
        <v xml:space="preserve">        case 0x1D: /* ORA aaaa,X */
            value = memory_getAbsoluteIndexedX();
            cpu.A |= value;
            cpu.PS_N =  (bool)(cpu.A &amp; 0x80);
            cpu.PS_Z = (cpu.A == 0);
            break;</v>
      </c>
      <c r="Q31" s="22" t="str">
        <f t="shared" si="2"/>
        <v xml:space="preserve">    {"ORA", 0, AM_AIX, 4, 1},</v>
      </c>
    </row>
    <row r="32" spans="1:17" ht="105.6" x14ac:dyDescent="0.3">
      <c r="A32" s="22">
        <v>30</v>
      </c>
      <c r="B32" s="22" t="s">
        <v>25</v>
      </c>
      <c r="C32" s="22">
        <v>0</v>
      </c>
      <c r="D32" s="22" t="s">
        <v>136</v>
      </c>
      <c r="E32" s="22" t="str">
        <f>_xlfn.IFNA(VLOOKUP(D32,AccessModes!$D$2:$E$13,2,FALSE),"AM_IMP")</f>
        <v>AM_AIX</v>
      </c>
      <c r="F32" s="22">
        <v>7</v>
      </c>
      <c r="G32" s="22">
        <v>0</v>
      </c>
      <c r="H32" s="22" t="str">
        <f>$H$8</f>
        <v>value</v>
      </c>
      <c r="I32" s="22" t="str">
        <f>$I$8</f>
        <v>value</v>
      </c>
      <c r="J32" s="22" t="str">
        <f>$J$8</f>
        <v>LAST</v>
      </c>
      <c r="K32" s="22" t="str">
        <f>IF(LEN(H32)&gt;0,indent&amp;H32&amp;" = "&amp;VLOOKUP($E32,AccessModes!$E$2:$I$13,4,FALSE),"")</f>
        <v xml:space="preserve">            value = memory_getAbsoluteIndexedX();</v>
      </c>
      <c r="L32" s="15" t="str">
        <f>$L$8</f>
        <v xml:space="preserve">            cpu.PS_C = (bool)(value &amp; 0x80);
            value &lt;&lt;= 1;</v>
      </c>
      <c r="M32" s="15" t="str">
        <f t="shared" si="0"/>
        <v xml:space="preserve">            cpu.PS_N =  (bool)(value &amp; 0x80);
            cpu.PS_Z = (value == 0);</v>
      </c>
      <c r="N32" s="22" t="str">
        <f>IF(LEN(J32)&gt;0,indent&amp;IF(J32="LAST",AccessModes!$I$15&amp;H32,VLOOKUP($E32,AccessModes!$E$2:$I$13,5,FALSE)&amp;J32)&amp;");","")</f>
        <v xml:space="preserve">            memory_setLast(value);</v>
      </c>
      <c r="O32" s="22"/>
      <c r="P32" s="15" t="str">
        <f>IF(C32=0,indent0&amp;"case 0x"&amp;DEC2HEX(A32)&amp;": /* "&amp;B32&amp;" "&amp;VLOOKUP(E32,AccessModes!$E$2:$G$13,3,FALSE)&amp;" */"&amp;newline&amp;IF(LEN(K32)&gt;0,K32&amp;CHAR(10),"")&amp;IF(LEN(L32)&gt;0,L32&amp;newline,"")&amp;IF(LEN(M32)&gt;0,M32&amp;newline,"")&amp;IF(LEN(N32)&gt;0,N32&amp;newline,"")&amp;IF(LEN(O32)&gt;0,O32&amp;newline,"")&amp;indent&amp;"break;","")</f>
        <v xml:space="preserve">        case 0x1E: /* ASL aaaa,X */
            value = memory_getAbsoluteIndexedX();
            cpu.PS_C = (bool)(value &amp; 0x80);
            value &lt;&lt;= 1;
            cpu.PS_N =  (bool)(value &amp; 0x80);
            cpu.PS_Z = (value == 0);
            memory_setLast(value);
            break;</v>
      </c>
      <c r="Q32" s="22" t="str">
        <f t="shared" si="2"/>
        <v xml:space="preserve">    {"ASL", 0, AM_AIX, 7, 0},</v>
      </c>
    </row>
    <row r="33" spans="1:17" x14ac:dyDescent="0.3">
      <c r="A33" s="23">
        <v>31</v>
      </c>
      <c r="B33" s="23" t="s">
        <v>21</v>
      </c>
      <c r="C33" s="23">
        <v>-1</v>
      </c>
      <c r="D33" s="23" t="s">
        <v>136</v>
      </c>
      <c r="E33" s="23" t="str">
        <f>_xlfn.IFNA(VLOOKUP(D33,AccessModes!$D$2:$E$13,2,FALSE),"AM_IMP")</f>
        <v>AM_AIX</v>
      </c>
      <c r="F33" s="23">
        <v>7</v>
      </c>
      <c r="G33" s="23">
        <v>0</v>
      </c>
      <c r="H33" s="23"/>
      <c r="I33" s="23"/>
      <c r="J33" s="23"/>
      <c r="K33" s="23" t="str">
        <f>IF(LEN(H33)&gt;0,indent&amp;H33&amp;" = "&amp;VLOOKUP($E33,AccessModes!$E$2:$I$13,4,FALSE),"")</f>
        <v/>
      </c>
      <c r="L33" s="17" t="str">
        <f>indent&amp;"/* TODO: implementation of the action */"</f>
        <v xml:space="preserve">            /* TODO: implementation of the action */</v>
      </c>
      <c r="M33" s="17" t="str">
        <f t="shared" si="0"/>
        <v/>
      </c>
      <c r="N33" s="23" t="str">
        <f>IF(LEN(J33)&gt;0,indent&amp;IF(J33="LAST",AccessModes!$I$15&amp;H33,VLOOKUP($E33,AccessModes!$E$2:$I$13,5,FALSE)&amp;J33)&amp;");","")</f>
        <v/>
      </c>
      <c r="O33" s="23"/>
      <c r="P33" s="17" t="str">
        <f>IF(C33=0,indent0&amp;"case 0x"&amp;DEC2HEX(A33)&amp;": /* "&amp;B33&amp;" "&amp;VLOOKUP(E33,AccessModes!$E$2:$G$13,3,FALSE)&amp;" */"&amp;newline&amp;IF(LEN(K33)&gt;0,K33&amp;CHAR(10),"")&amp;IF(LEN(L33)&gt;0,L33&amp;newline,"")&amp;IF(LEN(M33)&gt;0,M33&amp;newline,"")&amp;IF(LEN(N33)&gt;0,N33&amp;newline,"")&amp;IF(LEN(O33)&gt;0,O33&amp;newline,"")&amp;indent&amp;"break;","")</f>
        <v/>
      </c>
      <c r="Q33" s="23" t="str">
        <f t="shared" si="2"/>
        <v xml:space="preserve">    {"SLO", -1, AM_AIX, 7, 0},</v>
      </c>
    </row>
    <row r="34" spans="1:17" ht="66" x14ac:dyDescent="0.3">
      <c r="A34" s="22">
        <v>32</v>
      </c>
      <c r="B34" s="22" t="s">
        <v>45</v>
      </c>
      <c r="C34" s="22">
        <v>0</v>
      </c>
      <c r="D34" s="22" t="s">
        <v>131</v>
      </c>
      <c r="E34" s="22" t="str">
        <f>_xlfn.IFNA(VLOOKUP(D34,AccessModes!$D$2:$E$13,2,FALSE),"AM_IMP")</f>
        <v>AM_ABS</v>
      </c>
      <c r="F34" s="22">
        <v>6</v>
      </c>
      <c r="G34" s="22">
        <v>0</v>
      </c>
      <c r="H34" s="28" t="s">
        <v>240</v>
      </c>
      <c r="I34" s="28"/>
      <c r="J34" s="28"/>
      <c r="K34" s="22" t="str">
        <f>IF(LEN(H34)&gt;0,indent&amp;H34&amp;" = "&amp;VLOOKUP($E34,AccessModes!$E$2:$I$13,4,FALSE),"")</f>
        <v xml:space="preserve">            value_w = memory_getAbsolute();</v>
      </c>
      <c r="L34" s="29" t="str">
        <f>indent&amp;"memory_stackPushAddress(cpu.PC - 1);"&amp;newline&amp;indent&amp;"cpu.PC = "&amp;H34&amp;";"</f>
        <v xml:space="preserve">            memory_stackPushAddress(cpu.PC - 1);
            cpu.PC = value_w;</v>
      </c>
      <c r="M34" s="15" t="str">
        <f t="shared" si="0"/>
        <v/>
      </c>
      <c r="N34" s="22" t="str">
        <f>IF(LEN(J34)&gt;0,indent&amp;IF(J34="LAST",AccessModes!$I$15&amp;H34,VLOOKUP($E34,AccessModes!$E$2:$I$13,5,FALSE)&amp;J34)&amp;");","")</f>
        <v/>
      </c>
      <c r="O34" s="22"/>
      <c r="P34" s="15" t="str">
        <f>IF(C34=0,indent0&amp;"case 0x"&amp;DEC2HEX(A34)&amp;": /* "&amp;B34&amp;" "&amp;VLOOKUP(E34,AccessModes!$E$2:$G$13,3,FALSE)&amp;" */"&amp;newline&amp;IF(LEN(K34)&gt;0,K34&amp;CHAR(10),"")&amp;IF(LEN(L34)&gt;0,L34&amp;newline,"")&amp;IF(LEN(M34)&gt;0,M34&amp;newline,"")&amp;IF(LEN(N34)&gt;0,N34&amp;newline,"")&amp;IF(LEN(O34)&gt;0,O34&amp;newline,"")&amp;indent&amp;"break;","")</f>
        <v xml:space="preserve">        case 0x20: /* JSR aaaa */
            value_w = memory_getAbsolute();
            memory_stackPushAddress(cpu.PC - 1);
            cpu.PC = value_w;
            break;</v>
      </c>
      <c r="Q34" s="22" t="str">
        <f t="shared" si="2"/>
        <v xml:space="preserve">    {"JSR", 0, AM_ABS, 6, 0},</v>
      </c>
    </row>
    <row r="35" spans="1:17" ht="79.2" x14ac:dyDescent="0.3">
      <c r="A35" s="22">
        <v>33</v>
      </c>
      <c r="B35" s="22" t="s">
        <v>46</v>
      </c>
      <c r="C35" s="22">
        <v>0</v>
      </c>
      <c r="D35" s="22" t="s">
        <v>129</v>
      </c>
      <c r="E35" s="22" t="str">
        <f>_xlfn.IFNA(VLOOKUP(D35,AccessModes!$D$2:$E$13,2,FALSE),"AM_IMP")</f>
        <v>AM_ZIX</v>
      </c>
      <c r="F35" s="22">
        <v>6</v>
      </c>
      <c r="G35" s="22">
        <v>0</v>
      </c>
      <c r="H35" s="28" t="s">
        <v>224</v>
      </c>
      <c r="I35" s="28" t="s">
        <v>215</v>
      </c>
      <c r="J35" s="28" t="str">
        <f>""</f>
        <v/>
      </c>
      <c r="K35" s="22" t="str">
        <f>IF(LEN(H35)&gt;0,indent&amp;H35&amp;" = "&amp;VLOOKUP($E35,AccessModes!$E$2:$I$13,4,FALSE),"")</f>
        <v xml:space="preserve">            value = memory_getZeroPageIndexedX();</v>
      </c>
      <c r="L35" s="29" t="str">
        <f>indent&amp;I35&amp;" &amp;= value;"</f>
        <v xml:space="preserve">            cpu.A &amp;= value;</v>
      </c>
      <c r="M35" s="15" t="str">
        <f t="shared" si="0"/>
        <v xml:space="preserve">            cpu.PS_N =  (bool)(cpu.A &amp; 0x80);
            cpu.PS_Z = (cpu.A == 0);</v>
      </c>
      <c r="N35" s="22" t="str">
        <f>IF(LEN(J35)&gt;0,indent&amp;IF(J35="LAST",AccessModes!$I$15&amp;H35,VLOOKUP($E35,AccessModes!$E$2:$I$13,5,FALSE)&amp;J35)&amp;");","")</f>
        <v/>
      </c>
      <c r="O35" s="22"/>
      <c r="P35" s="15" t="str">
        <f>IF(C35=0,indent0&amp;"case 0x"&amp;DEC2HEX(A35)&amp;": /* "&amp;B35&amp;" "&amp;VLOOKUP(E35,AccessModes!$E$2:$G$13,3,FALSE)&amp;" */"&amp;newline&amp;IF(LEN(K35)&gt;0,K35&amp;CHAR(10),"")&amp;IF(LEN(L35)&gt;0,L35&amp;newline,"")&amp;IF(LEN(M35)&gt;0,M35&amp;newline,"")&amp;IF(LEN(N35)&gt;0,N35&amp;newline,"")&amp;IF(LEN(O35)&gt;0,O35&amp;newline,"")&amp;indent&amp;"break;","")</f>
        <v xml:space="preserve">        case 0x21: /* AND aa,X */
            value = memory_getZeroPageIndexedX();
            cpu.A &amp;= value;
            cpu.PS_N =  (bool)(cpu.A &amp; 0x80);
            cpu.PS_Z = (cpu.A == 0);
            break;</v>
      </c>
      <c r="Q35" s="22" t="str">
        <f t="shared" si="2"/>
        <v xml:space="preserve">    {"AND", 0, AM_ZIX, 6, 0},</v>
      </c>
    </row>
    <row r="36" spans="1:17" x14ac:dyDescent="0.3">
      <c r="A36" s="23">
        <v>34</v>
      </c>
      <c r="B36" s="23" t="s">
        <v>20</v>
      </c>
      <c r="C36" s="23">
        <v>-1</v>
      </c>
      <c r="D36" s="23"/>
      <c r="E36" s="23" t="str">
        <f>_xlfn.IFNA(VLOOKUP(D36,AccessModes!$D$2:$E$13,2,FALSE),"AM_IMP")</f>
        <v>AM_IMP</v>
      </c>
      <c r="F36" s="23">
        <v>0</v>
      </c>
      <c r="G36" s="23">
        <v>0</v>
      </c>
      <c r="H36" s="23"/>
      <c r="I36" s="23"/>
      <c r="J36" s="23"/>
      <c r="K36" s="23" t="str">
        <f>IF(LEN(H36)&gt;0,indent&amp;H36&amp;" = "&amp;VLOOKUP($E36,AccessModes!$E$2:$I$13,4,FALSE),"")</f>
        <v/>
      </c>
      <c r="L36" s="17" t="str">
        <f>indent&amp;"/* TODO: implementation of the action */"</f>
        <v xml:space="preserve">            /* TODO: implementation of the action */</v>
      </c>
      <c r="M36" s="17" t="str">
        <f t="shared" si="0"/>
        <v/>
      </c>
      <c r="N36" s="23" t="str">
        <f>IF(LEN(J36)&gt;0,indent&amp;IF(J36="LAST",AccessModes!$I$15&amp;H36,VLOOKUP($E36,AccessModes!$E$2:$I$13,5,FALSE)&amp;J36)&amp;");","")</f>
        <v/>
      </c>
      <c r="O36" s="23"/>
      <c r="P36" s="17" t="str">
        <f>IF(C36=0,indent0&amp;"case 0x"&amp;DEC2HEX(A36)&amp;": /* "&amp;B36&amp;" "&amp;VLOOKUP(E36,AccessModes!$E$2:$G$13,3,FALSE)&amp;" */"&amp;newline&amp;IF(LEN(K36)&gt;0,K36&amp;CHAR(10),"")&amp;IF(LEN(L36)&gt;0,L36&amp;newline,"")&amp;IF(LEN(M36)&gt;0,M36&amp;newline,"")&amp;IF(LEN(N36)&gt;0,N36&amp;newline,"")&amp;IF(LEN(O36)&gt;0,O36&amp;newline,"")&amp;indent&amp;"break;","")</f>
        <v/>
      </c>
      <c r="Q36" s="23" t="str">
        <f t="shared" si="2"/>
        <v xml:space="preserve">    {"KIL", -1, AM_IMP, 0, 0},</v>
      </c>
    </row>
    <row r="37" spans="1:17" x14ac:dyDescent="0.3">
      <c r="A37" s="23">
        <v>35</v>
      </c>
      <c r="B37" s="23" t="s">
        <v>47</v>
      </c>
      <c r="C37" s="23">
        <v>-1</v>
      </c>
      <c r="D37" s="23" t="s">
        <v>129</v>
      </c>
      <c r="E37" s="23" t="str">
        <f>_xlfn.IFNA(VLOOKUP(D37,AccessModes!$D$2:$E$13,2,FALSE),"AM_IMP")</f>
        <v>AM_ZIX</v>
      </c>
      <c r="F37" s="23">
        <v>8</v>
      </c>
      <c r="G37" s="23">
        <v>0</v>
      </c>
      <c r="H37" s="23"/>
      <c r="I37" s="23"/>
      <c r="J37" s="23"/>
      <c r="K37" s="23" t="str">
        <f>IF(LEN(H37)&gt;0,indent&amp;H37&amp;" = "&amp;VLOOKUP($E37,AccessModes!$E$2:$I$13,4,FALSE),"")</f>
        <v/>
      </c>
      <c r="L37" s="17" t="str">
        <f>indent&amp;"/* TODO: implementation of the action */"</f>
        <v xml:space="preserve">            /* TODO: implementation of the action */</v>
      </c>
      <c r="M37" s="17" t="str">
        <f t="shared" si="0"/>
        <v/>
      </c>
      <c r="N37" s="23" t="str">
        <f>IF(LEN(J37)&gt;0,indent&amp;IF(J37="LAST",AccessModes!$I$15&amp;H37,VLOOKUP($E37,AccessModes!$E$2:$I$13,5,FALSE)&amp;J37)&amp;");","")</f>
        <v/>
      </c>
      <c r="O37" s="23"/>
      <c r="P37" s="17" t="str">
        <f>IF(C37=0,indent0&amp;"case 0x"&amp;DEC2HEX(A37)&amp;": /* "&amp;B37&amp;" "&amp;VLOOKUP(E37,AccessModes!$E$2:$G$13,3,FALSE)&amp;" */"&amp;newline&amp;IF(LEN(K37)&gt;0,K37&amp;CHAR(10),"")&amp;IF(LEN(L37)&gt;0,L37&amp;newline,"")&amp;IF(LEN(M37)&gt;0,M37&amp;newline,"")&amp;IF(LEN(N37)&gt;0,N37&amp;newline,"")&amp;IF(LEN(O37)&gt;0,O37&amp;newline,"")&amp;indent&amp;"break;","")</f>
        <v/>
      </c>
      <c r="Q37" s="23" t="str">
        <f t="shared" si="2"/>
        <v xml:space="preserve">    {"RLA", -1, AM_ZIX, 8, 0},</v>
      </c>
    </row>
    <row r="38" spans="1:17" ht="79.2" x14ac:dyDescent="0.3">
      <c r="A38" s="22">
        <v>36</v>
      </c>
      <c r="B38" s="22" t="s">
        <v>48</v>
      </c>
      <c r="C38" s="22">
        <v>0</v>
      </c>
      <c r="D38" s="22" t="s">
        <v>144</v>
      </c>
      <c r="E38" s="22" t="str">
        <f>_xlfn.IFNA(VLOOKUP(D38,AccessModes!$D$2:$E$13,2,FALSE),"AM_IMP")</f>
        <v>AM_ZPG</v>
      </c>
      <c r="F38" s="22">
        <v>3</v>
      </c>
      <c r="G38" s="22">
        <v>0</v>
      </c>
      <c r="H38" s="28" t="s">
        <v>224</v>
      </c>
      <c r="I38" s="28" t="str">
        <f>""</f>
        <v/>
      </c>
      <c r="J38" s="28" t="str">
        <f>""</f>
        <v/>
      </c>
      <c r="K38" s="22" t="str">
        <f>IF(LEN(H38)&gt;0,indent&amp;H38&amp;" = "&amp;VLOOKUP($E38,AccessModes!$E$2:$I$13,4,FALSE),"")</f>
        <v xml:space="preserve">            value = memory_getZeroPage();</v>
      </c>
      <c r="L38" s="29" t="str">
        <f>indent&amp;"cpu.PS_N = (bool)(value &amp; 0x80);"&amp;newline&amp;indent&amp;"cpu.PS_V = (bool)(value &amp; 0x40);"&amp;newline&amp;indent&amp;"cpu.PS_Z = !(bool)(value &amp; cpu.A);"</f>
        <v xml:space="preserve">            cpu.PS_N = (bool)(value &amp; 0x80);
            cpu.PS_V = (bool)(value &amp; 0x40);
            cpu.PS_Z = !(bool)(value &amp; cpu.A);</v>
      </c>
      <c r="M38" s="15" t="str">
        <f t="shared" si="0"/>
        <v/>
      </c>
      <c r="N38" s="22" t="str">
        <f>IF(LEN(J38)&gt;0,indent&amp;IF(J38="LAST",AccessModes!$I$15&amp;H38,VLOOKUP($E38,AccessModes!$E$2:$I$13,5,FALSE)&amp;J38)&amp;");","")</f>
        <v/>
      </c>
      <c r="O38" s="22"/>
      <c r="P38" s="15" t="str">
        <f>IF(C38=0,indent0&amp;"case 0x"&amp;DEC2HEX(A38)&amp;": /* "&amp;B38&amp;" "&amp;VLOOKUP(E38,AccessModes!$E$2:$G$13,3,FALSE)&amp;" */"&amp;newline&amp;IF(LEN(K38)&gt;0,K38&amp;CHAR(10),"")&amp;IF(LEN(L38)&gt;0,L38&amp;newline,"")&amp;IF(LEN(M38)&gt;0,M38&amp;newline,"")&amp;IF(LEN(N38)&gt;0,N38&amp;newline,"")&amp;IF(LEN(O38)&gt;0,O38&amp;newline,"")&amp;indent&amp;"break;","")</f>
        <v xml:space="preserve">        case 0x24: /* BIT aa */
            value = memory_getZeroPage();
            cpu.PS_N = (bool)(value &amp; 0x80);
            cpu.PS_V = (bool)(value &amp; 0x40);
            cpu.PS_Z = !(bool)(value &amp; cpu.A);
            break;</v>
      </c>
      <c r="Q38" s="22" t="str">
        <f t="shared" si="2"/>
        <v xml:space="preserve">    {"BIT", 0, AM_ZPG, 3, 0},</v>
      </c>
    </row>
    <row r="39" spans="1:17" ht="79.2" x14ac:dyDescent="0.3">
      <c r="A39" s="22">
        <v>37</v>
      </c>
      <c r="B39" s="22" t="s">
        <v>46</v>
      </c>
      <c r="C39" s="22">
        <v>0</v>
      </c>
      <c r="D39" s="22" t="s">
        <v>144</v>
      </c>
      <c r="E39" s="22" t="str">
        <f>_xlfn.IFNA(VLOOKUP(D39,AccessModes!$D$2:$E$13,2,FALSE),"AM_IMP")</f>
        <v>AM_ZPG</v>
      </c>
      <c r="F39" s="22">
        <v>3</v>
      </c>
      <c r="G39" s="22">
        <v>0</v>
      </c>
      <c r="H39" s="22" t="str">
        <f>$H$35</f>
        <v>value</v>
      </c>
      <c r="I39" s="22" t="str">
        <f>$I$35</f>
        <v>cpu.A</v>
      </c>
      <c r="J39" s="22" t="str">
        <f>$J$35</f>
        <v/>
      </c>
      <c r="K39" s="22" t="str">
        <f>IF(LEN(H39)&gt;0,indent&amp;H39&amp;" = "&amp;VLOOKUP($E39,AccessModes!$E$2:$I$13,4,FALSE),"")</f>
        <v xml:space="preserve">            value = memory_getZeroPage();</v>
      </c>
      <c r="L39" s="15" t="str">
        <f>$L$35</f>
        <v xml:space="preserve">            cpu.A &amp;= value;</v>
      </c>
      <c r="M39" s="15" t="str">
        <f t="shared" si="0"/>
        <v xml:space="preserve">            cpu.PS_N =  (bool)(cpu.A &amp; 0x80);
            cpu.PS_Z = (cpu.A == 0);</v>
      </c>
      <c r="N39" s="22" t="str">
        <f>IF(LEN(J39)&gt;0,indent&amp;IF(J39="LAST",AccessModes!$I$15&amp;H39,VLOOKUP($E39,AccessModes!$E$2:$I$13,5,FALSE)&amp;J39)&amp;");","")</f>
        <v/>
      </c>
      <c r="O39" s="22"/>
      <c r="P39" s="15" t="str">
        <f>IF(C39=0,indent0&amp;"case 0x"&amp;DEC2HEX(A39)&amp;": /* "&amp;B39&amp;" "&amp;VLOOKUP(E39,AccessModes!$E$2:$G$13,3,FALSE)&amp;" */"&amp;newline&amp;IF(LEN(K39)&gt;0,K39&amp;CHAR(10),"")&amp;IF(LEN(L39)&gt;0,L39&amp;newline,"")&amp;IF(LEN(M39)&gt;0,M39&amp;newline,"")&amp;IF(LEN(N39)&gt;0,N39&amp;newline,"")&amp;IF(LEN(O39)&gt;0,O39&amp;newline,"")&amp;indent&amp;"break;","")</f>
        <v xml:space="preserve">        case 0x25: /* AND aa */
            value = memory_getZeroPage();
            cpu.A &amp;= value;
            cpu.PS_N =  (bool)(cpu.A &amp; 0x80);
            cpu.PS_Z = (cpu.A == 0);
            break;</v>
      </c>
      <c r="Q39" s="22" t="str">
        <f t="shared" si="2"/>
        <v xml:space="preserve">    {"AND", 0, AM_ZPG, 3, 0},</v>
      </c>
    </row>
    <row r="40" spans="1:17" ht="118.8" x14ac:dyDescent="0.3">
      <c r="A40" s="22">
        <v>38</v>
      </c>
      <c r="B40" s="22" t="s">
        <v>49</v>
      </c>
      <c r="C40" s="22">
        <v>0</v>
      </c>
      <c r="D40" s="22" t="s">
        <v>144</v>
      </c>
      <c r="E40" s="22" t="str">
        <f>_xlfn.IFNA(VLOOKUP(D40,AccessModes!$D$2:$E$13,2,FALSE),"AM_IMP")</f>
        <v>AM_ZPG</v>
      </c>
      <c r="F40" s="22">
        <v>5</v>
      </c>
      <c r="G40" s="22">
        <v>0</v>
      </c>
      <c r="H40" s="28" t="str">
        <f>I40</f>
        <v>value</v>
      </c>
      <c r="I40" s="28" t="s">
        <v>224</v>
      </c>
      <c r="J40" s="28" t="s">
        <v>227</v>
      </c>
      <c r="K40" s="22" t="str">
        <f>IF(LEN(H40)&gt;0,indent&amp;H40&amp;" = "&amp;VLOOKUP($E40,AccessModes!$E$2:$I$13,4,FALSE),"")</f>
        <v xml:space="preserve">            value = memory_getZeroPage();</v>
      </c>
      <c r="L40" s="29" t="str">
        <f>indent&amp;"tmp_PS_C = cpu.PS_C;"&amp; newline &amp; indent&amp;"cpu.PS_C = (bool)("&amp; I40 &amp; " &amp; 0x80);"&amp; newline &amp; indent &amp; I40 &amp;" = (value &lt;&lt; 1) | (byte)tmp_PS_C;"</f>
        <v xml:space="preserve">            tmp_PS_C = cpu.PS_C;
            cpu.PS_C = (bool)(value &amp; 0x80);
            value = (value &lt;&lt; 1) | (byte)tmp_PS_C;</v>
      </c>
      <c r="M40" s="15" t="str">
        <f t="shared" si="0"/>
        <v xml:space="preserve">            cpu.PS_N =  (bool)(value &amp; 0x80);
            cpu.PS_Z = (value == 0);</v>
      </c>
      <c r="N40" s="22" t="str">
        <f>IF(LEN(J40)&gt;0,indent&amp;IF(J40="LAST",AccessModes!$I$15&amp;H40,VLOOKUP($E40,AccessModes!$E$2:$I$13,5,FALSE)&amp;J40)&amp;");","")</f>
        <v xml:space="preserve">            memory_setLast(value);</v>
      </c>
      <c r="O40" s="22"/>
      <c r="P40" s="15" t="str">
        <f>IF(C40=0,indent0&amp;"case 0x"&amp;DEC2HEX(A40)&amp;": /* "&amp;B40&amp;" "&amp;VLOOKUP(E40,AccessModes!$E$2:$G$13,3,FALSE)&amp;" */"&amp;newline&amp;IF(LEN(K40)&gt;0,K40&amp;CHAR(10),"")&amp;IF(LEN(L40)&gt;0,L40&amp;newline,"")&amp;IF(LEN(M40)&gt;0,M40&amp;newline,"")&amp;IF(LEN(N40)&gt;0,N40&amp;newline,"")&amp;IF(LEN(O40)&gt;0,O40&amp;newline,"")&amp;indent&amp;"break;","")</f>
        <v xml:space="preserve">        case 0x26: /* ROL aa */
            value = memory_getZeroPage();
            tmp_PS_C = cpu.PS_C;
            cpu.PS_C = (bool)(value &amp; 0x80);
            value = (value &lt;&lt; 1) | (byte)tmp_PS_C;
            cpu.PS_N =  (bool)(value &amp; 0x80);
            cpu.PS_Z = (value == 0);
            memory_setLast(value);
            break;</v>
      </c>
      <c r="Q40" s="22" t="str">
        <f t="shared" si="2"/>
        <v xml:space="preserve">    {"ROL", 0, AM_ZPG, 5, 0},</v>
      </c>
    </row>
    <row r="41" spans="1:17" x14ac:dyDescent="0.3">
      <c r="A41" s="23">
        <v>39</v>
      </c>
      <c r="B41" s="23" t="s">
        <v>47</v>
      </c>
      <c r="C41" s="23">
        <v>-1</v>
      </c>
      <c r="D41" s="23" t="s">
        <v>144</v>
      </c>
      <c r="E41" s="23" t="str">
        <f>_xlfn.IFNA(VLOOKUP(D41,AccessModes!$D$2:$E$13,2,FALSE),"AM_IMP")</f>
        <v>AM_ZPG</v>
      </c>
      <c r="F41" s="23">
        <v>5</v>
      </c>
      <c r="G41" s="23">
        <v>0</v>
      </c>
      <c r="H41" s="23"/>
      <c r="I41" s="23"/>
      <c r="J41" s="23"/>
      <c r="K41" s="23" t="str">
        <f>IF(LEN(H41)&gt;0,indent&amp;H41&amp;" = "&amp;VLOOKUP($E41,AccessModes!$E$2:$I$13,4,FALSE),"")</f>
        <v/>
      </c>
      <c r="L41" s="17" t="str">
        <f>indent&amp;"/* TODO: implementation of the action */"</f>
        <v xml:space="preserve">            /* TODO: implementation of the action */</v>
      </c>
      <c r="M41" s="17" t="str">
        <f t="shared" si="0"/>
        <v/>
      </c>
      <c r="N41" s="23" t="str">
        <f>IF(LEN(J41)&gt;0,indent&amp;IF(J41="LAST",AccessModes!$I$15&amp;H41,VLOOKUP($E41,AccessModes!$E$2:$I$13,5,FALSE)&amp;J41)&amp;");","")</f>
        <v/>
      </c>
      <c r="O41" s="23"/>
      <c r="P41" s="17" t="str">
        <f>IF(C41=0,indent0&amp;"case 0x"&amp;DEC2HEX(A41)&amp;": /* "&amp;B41&amp;" "&amp;VLOOKUP(E41,AccessModes!$E$2:$G$13,3,FALSE)&amp;" */"&amp;newline&amp;IF(LEN(K41)&gt;0,K41&amp;CHAR(10),"")&amp;IF(LEN(L41)&gt;0,L41&amp;newline,"")&amp;IF(LEN(M41)&gt;0,M41&amp;newline,"")&amp;IF(LEN(N41)&gt;0,N41&amp;newline,"")&amp;IF(LEN(O41)&gt;0,O41&amp;newline,"")&amp;indent&amp;"break;","")</f>
        <v/>
      </c>
      <c r="Q41" s="23" t="str">
        <f t="shared" si="2"/>
        <v xml:space="preserve">    {"RLA", -1, AM_ZPG, 5, 0},</v>
      </c>
    </row>
    <row r="42" spans="1:17" ht="39.6" x14ac:dyDescent="0.3">
      <c r="A42" s="22">
        <v>40</v>
      </c>
      <c r="B42" s="22" t="s">
        <v>50</v>
      </c>
      <c r="C42" s="22">
        <v>0</v>
      </c>
      <c r="D42" s="22" t="s">
        <v>139</v>
      </c>
      <c r="E42" s="22" t="str">
        <f>_xlfn.IFNA(VLOOKUP(D42,AccessModes!$D$2:$E$13,2,FALSE),"AM_IMP")</f>
        <v>AM_IMP</v>
      </c>
      <c r="F42" s="22">
        <v>4</v>
      </c>
      <c r="G42" s="22">
        <v>0</v>
      </c>
      <c r="H42" s="28"/>
      <c r="I42" s="28"/>
      <c r="J42" s="28"/>
      <c r="K42" s="22" t="str">
        <f>IF(LEN(H42)&gt;0,indent&amp;H42&amp;" = "&amp;VLOOKUP($E42,AccessModes!$E$2:$I$13,4,FALSE),"")</f>
        <v/>
      </c>
      <c r="L42" s="29" t="str">
        <f>indent&amp;"cpu_statusPull();"</f>
        <v xml:space="preserve">            cpu_statusPull();</v>
      </c>
      <c r="M42" s="15" t="str">
        <f t="shared" si="0"/>
        <v/>
      </c>
      <c r="N42" s="22" t="str">
        <f>IF(LEN(J42)&gt;0,indent&amp;IF(J42="LAST",AccessModes!$I$15&amp;H42,VLOOKUP($E42,AccessModes!$E$2:$I$13,5,FALSE)&amp;J42)&amp;");","")</f>
        <v/>
      </c>
      <c r="O42" s="22"/>
      <c r="P42" s="15" t="str">
        <f>IF(C42=0,indent0&amp;"case 0x"&amp;DEC2HEX(A42)&amp;": /* "&amp;B42&amp;" "&amp;VLOOKUP(E42,AccessModes!$E$2:$G$13,3,FALSE)&amp;" */"&amp;newline&amp;IF(LEN(K42)&gt;0,K42&amp;CHAR(10),"")&amp;IF(LEN(L42)&gt;0,L42&amp;newline,"")&amp;IF(LEN(M42)&gt;0,M42&amp;newline,"")&amp;IF(LEN(N42)&gt;0,N42&amp;newline,"")&amp;IF(LEN(O42)&gt;0,O42&amp;newline,"")&amp;indent&amp;"break;","")</f>
        <v xml:space="preserve">        case 0x28: /* PLP  */
            cpu_statusPull();
            break;</v>
      </c>
      <c r="Q42" s="22" t="str">
        <f t="shared" si="2"/>
        <v xml:space="preserve">    {"PLP", 0, AM_IMP, 4, 0},</v>
      </c>
    </row>
    <row r="43" spans="1:17" ht="79.2" x14ac:dyDescent="0.3">
      <c r="A43" s="22">
        <v>41</v>
      </c>
      <c r="B43" s="22" t="s">
        <v>46</v>
      </c>
      <c r="C43" s="22">
        <v>0</v>
      </c>
      <c r="D43" s="22" t="s">
        <v>130</v>
      </c>
      <c r="E43" s="22" t="str">
        <f>_xlfn.IFNA(VLOOKUP(D43,AccessModes!$D$2:$E$13,2,FALSE),"AM_IMP")</f>
        <v>AM_IMM</v>
      </c>
      <c r="F43" s="22">
        <v>2</v>
      </c>
      <c r="G43" s="22">
        <v>0</v>
      </c>
      <c r="H43" s="22" t="str">
        <f>$H$35</f>
        <v>value</v>
      </c>
      <c r="I43" s="22" t="str">
        <f>$I$35</f>
        <v>cpu.A</v>
      </c>
      <c r="J43" s="22" t="str">
        <f>$J$35</f>
        <v/>
      </c>
      <c r="K43" s="22" t="str">
        <f>IF(LEN(H43)&gt;0,indent&amp;H43&amp;" = "&amp;VLOOKUP($E43,AccessModes!$E$2:$I$13,4,FALSE),"")</f>
        <v xml:space="preserve">            value = memory_getImmediate();</v>
      </c>
      <c r="L43" s="15" t="str">
        <f>$L$35</f>
        <v xml:space="preserve">            cpu.A &amp;= value;</v>
      </c>
      <c r="M43" s="15" t="str">
        <f t="shared" si="0"/>
        <v xml:space="preserve">            cpu.PS_N =  (bool)(cpu.A &amp; 0x80);
            cpu.PS_Z = (cpu.A == 0);</v>
      </c>
      <c r="N43" s="22" t="str">
        <f>IF(LEN(J43)&gt;0,indent&amp;IF(J43="LAST",AccessModes!$I$15&amp;H43,VLOOKUP($E43,AccessModes!$E$2:$I$13,5,FALSE)&amp;J43)&amp;");","")</f>
        <v/>
      </c>
      <c r="O43" s="22"/>
      <c r="P43" s="15" t="str">
        <f>IF(C43=0,indent0&amp;"case 0x"&amp;DEC2HEX(A43)&amp;": /* "&amp;B43&amp;" "&amp;VLOOKUP(E43,AccessModes!$E$2:$G$13,3,FALSE)&amp;" */"&amp;newline&amp;IF(LEN(K43)&gt;0,K43&amp;CHAR(10),"")&amp;IF(LEN(L43)&gt;0,L43&amp;newline,"")&amp;IF(LEN(M43)&gt;0,M43&amp;newline,"")&amp;IF(LEN(N43)&gt;0,N43&amp;newline,"")&amp;IF(LEN(O43)&gt;0,O43&amp;newline,"")&amp;indent&amp;"break;","")</f>
        <v xml:space="preserve">        case 0x29: /* AND #aa */
            value = memory_getImmediate();
            cpu.A &amp;= value;
            cpu.PS_N =  (bool)(cpu.A &amp; 0x80);
            cpu.PS_Z = (cpu.A == 0);
            break;</v>
      </c>
      <c r="Q43" s="22" t="str">
        <f t="shared" si="2"/>
        <v xml:space="preserve">    {"AND", 0, AM_IMM, 2, 0},</v>
      </c>
    </row>
    <row r="44" spans="1:17" ht="92.4" x14ac:dyDescent="0.3">
      <c r="A44" s="22">
        <v>42</v>
      </c>
      <c r="B44" s="22" t="s">
        <v>49</v>
      </c>
      <c r="C44" s="22">
        <v>0</v>
      </c>
      <c r="D44" s="22" t="s">
        <v>139</v>
      </c>
      <c r="E44" s="22" t="str">
        <f>_xlfn.IFNA(VLOOKUP(D44,AccessModes!$D$2:$E$13,2,FALSE),"AM_IMP")</f>
        <v>AM_IMP</v>
      </c>
      <c r="F44" s="22">
        <v>2</v>
      </c>
      <c r="G44" s="22">
        <v>0</v>
      </c>
      <c r="H44" s="28" t="str">
        <f>""</f>
        <v/>
      </c>
      <c r="I44" s="28" t="s">
        <v>215</v>
      </c>
      <c r="J44" s="28" t="str">
        <f>""</f>
        <v/>
      </c>
      <c r="K44" s="22" t="str">
        <f>IF(LEN(H44)&gt;0,indent&amp;H44&amp;" = "&amp;VLOOKUP($E44,AccessModes!$E$2:$I$13,4,FALSE),"")</f>
        <v/>
      </c>
      <c r="L44" s="29" t="str">
        <f>indent&amp;"tmp_PS_C = cpu.PS_C;"&amp; newline &amp; indent&amp;"cpu.PS_C = (bool)("&amp; I44 &amp; " &amp; 0x80);"&amp; newline &amp; indent &amp; I44 &amp;" = (value &lt;&lt; 1) | (byte)tmp_PS_C;"</f>
        <v xml:space="preserve">            tmp_PS_C = cpu.PS_C;
            cpu.PS_C = (bool)(cpu.A &amp; 0x80);
            cpu.A = (value &lt;&lt; 1) | (byte)tmp_PS_C;</v>
      </c>
      <c r="M44" s="15" t="str">
        <f t="shared" si="0"/>
        <v xml:space="preserve">            cpu.PS_N =  (bool)(cpu.A &amp; 0x80);
            cpu.PS_Z = (cpu.A == 0);</v>
      </c>
      <c r="N44" s="22" t="str">
        <f>IF(LEN(J44)&gt;0,indent&amp;IF(J44="LAST",AccessModes!$I$15&amp;H44,VLOOKUP($E44,AccessModes!$E$2:$I$13,5,FALSE)&amp;J44)&amp;");","")</f>
        <v/>
      </c>
      <c r="O44" s="22"/>
      <c r="P44" s="15" t="str">
        <f>IF(C44=0,indent0&amp;"case 0x"&amp;DEC2HEX(A44)&amp;": /* "&amp;B44&amp;" "&amp;VLOOKUP(E44,AccessModes!$E$2:$G$13,3,FALSE)&amp;" */"&amp;newline&amp;IF(LEN(K44)&gt;0,K44&amp;CHAR(10),"")&amp;IF(LEN(L44)&gt;0,L44&amp;newline,"")&amp;IF(LEN(M44)&gt;0,M44&amp;newline,"")&amp;IF(LEN(N44)&gt;0,N44&amp;newline,"")&amp;IF(LEN(O44)&gt;0,O44&amp;newline,"")&amp;indent&amp;"break;","")</f>
        <v xml:space="preserve">        case 0x2A: /* ROL  */
            tmp_PS_C = cpu.PS_C;
            cpu.PS_C = (bool)(cpu.A &amp; 0x80);
            cpu.A = (value &lt;&lt; 1) | (byte)tmp_PS_C;
            cpu.PS_N =  (bool)(cpu.A &amp; 0x80);
            cpu.PS_Z = (cpu.A == 0);
            break;</v>
      </c>
      <c r="Q44" s="22" t="str">
        <f t="shared" si="2"/>
        <v xml:space="preserve">    {"ROL", 0, AM_IMP, 2, 0},</v>
      </c>
    </row>
    <row r="45" spans="1:17" x14ac:dyDescent="0.3">
      <c r="A45" s="23">
        <v>43</v>
      </c>
      <c r="B45" s="23" t="s">
        <v>29</v>
      </c>
      <c r="C45" s="23">
        <v>-1</v>
      </c>
      <c r="D45" s="23" t="s">
        <v>130</v>
      </c>
      <c r="E45" s="23" t="str">
        <f>_xlfn.IFNA(VLOOKUP(D45,AccessModes!$D$2:$E$13,2,FALSE),"AM_IMP")</f>
        <v>AM_IMM</v>
      </c>
      <c r="F45" s="23">
        <v>2</v>
      </c>
      <c r="G45" s="23">
        <v>0</v>
      </c>
      <c r="H45" s="23"/>
      <c r="I45" s="23"/>
      <c r="J45" s="23"/>
      <c r="K45" s="23" t="str">
        <f>IF(LEN(H45)&gt;0,indent&amp;H45&amp;" = "&amp;VLOOKUP($E45,AccessModes!$E$2:$I$13,4,FALSE),"")</f>
        <v/>
      </c>
      <c r="L45" s="17" t="str">
        <f>indent&amp;"/* TODO: implementation of the action */"</f>
        <v xml:space="preserve">            /* TODO: implementation of the action */</v>
      </c>
      <c r="M45" s="17" t="str">
        <f t="shared" si="0"/>
        <v/>
      </c>
      <c r="N45" s="23" t="str">
        <f>IF(LEN(J45)&gt;0,indent&amp;IF(J45="LAST",AccessModes!$I$15&amp;H45,VLOOKUP($E45,AccessModes!$E$2:$I$13,5,FALSE)&amp;J45)&amp;");","")</f>
        <v/>
      </c>
      <c r="O45" s="23"/>
      <c r="P45" s="17" t="str">
        <f>IF(C45=0,indent0&amp;"case 0x"&amp;DEC2HEX(A45)&amp;": /* "&amp;B45&amp;" "&amp;VLOOKUP(E45,AccessModes!$E$2:$G$13,3,FALSE)&amp;" */"&amp;newline&amp;IF(LEN(K45)&gt;0,K45&amp;CHAR(10),"")&amp;IF(LEN(L45)&gt;0,L45&amp;newline,"")&amp;IF(LEN(M45)&gt;0,M45&amp;newline,"")&amp;IF(LEN(N45)&gt;0,N45&amp;newline,"")&amp;IF(LEN(O45)&gt;0,O45&amp;newline,"")&amp;indent&amp;"break;","")</f>
        <v/>
      </c>
      <c r="Q45" s="23" t="str">
        <f t="shared" si="2"/>
        <v xml:space="preserve">    {"ANC", -1, AM_IMM, 2, 0},</v>
      </c>
    </row>
    <row r="46" spans="1:17" ht="79.2" x14ac:dyDescent="0.3">
      <c r="A46" s="22">
        <v>44</v>
      </c>
      <c r="B46" s="22" t="s">
        <v>48</v>
      </c>
      <c r="C46" s="22">
        <v>0</v>
      </c>
      <c r="D46" s="22" t="s">
        <v>131</v>
      </c>
      <c r="E46" s="22" t="str">
        <f>_xlfn.IFNA(VLOOKUP(D46,AccessModes!$D$2:$E$13,2,FALSE),"AM_IMP")</f>
        <v>AM_ABS</v>
      </c>
      <c r="F46" s="22">
        <v>4</v>
      </c>
      <c r="G46" s="22">
        <v>0</v>
      </c>
      <c r="H46" s="22" t="str">
        <f>$H$38</f>
        <v>value</v>
      </c>
      <c r="I46" s="22" t="str">
        <f>$I$38</f>
        <v/>
      </c>
      <c r="J46" s="22" t="str">
        <f>$J$38</f>
        <v/>
      </c>
      <c r="K46" s="22" t="str">
        <f>IF(LEN(H46)&gt;0,indent&amp;H46&amp;" = "&amp;VLOOKUP($E46,AccessModes!$E$2:$I$13,4,FALSE),"")</f>
        <v xml:space="preserve">            value = memory_getAbsolute();</v>
      </c>
      <c r="L46" s="15" t="str">
        <f>$L$38</f>
        <v xml:space="preserve">            cpu.PS_N = (bool)(value &amp; 0x80);
            cpu.PS_V = (bool)(value &amp; 0x40);
            cpu.PS_Z = !(bool)(value &amp; cpu.A);</v>
      </c>
      <c r="M46" s="15" t="str">
        <f t="shared" si="0"/>
        <v/>
      </c>
      <c r="N46" s="22" t="str">
        <f>IF(LEN(J46)&gt;0,indent&amp;IF(J46="LAST",AccessModes!$I$15&amp;H46,VLOOKUP($E46,AccessModes!$E$2:$I$13,5,FALSE)&amp;J46)&amp;");","")</f>
        <v/>
      </c>
      <c r="O46" s="22"/>
      <c r="P46" s="15" t="str">
        <f>IF(C46=0,indent0&amp;"case 0x"&amp;DEC2HEX(A46)&amp;": /* "&amp;B46&amp;" "&amp;VLOOKUP(E46,AccessModes!$E$2:$G$13,3,FALSE)&amp;" */"&amp;newline&amp;IF(LEN(K46)&gt;0,K46&amp;CHAR(10),"")&amp;IF(LEN(L46)&gt;0,L46&amp;newline,"")&amp;IF(LEN(M46)&gt;0,M46&amp;newline,"")&amp;IF(LEN(N46)&gt;0,N46&amp;newline,"")&amp;IF(LEN(O46)&gt;0,O46&amp;newline,"")&amp;indent&amp;"break;","")</f>
        <v xml:space="preserve">        case 0x2C: /* BIT aaaa */
            value = memory_getAbsolute();
            cpu.PS_N = (bool)(value &amp; 0x80);
            cpu.PS_V = (bool)(value &amp; 0x40);
            cpu.PS_Z = !(bool)(value &amp; cpu.A);
            break;</v>
      </c>
      <c r="Q46" s="22" t="str">
        <f t="shared" si="2"/>
        <v xml:space="preserve">    {"BIT", 0, AM_ABS, 4, 0},</v>
      </c>
    </row>
    <row r="47" spans="1:17" ht="79.2" x14ac:dyDescent="0.3">
      <c r="A47" s="22">
        <v>45</v>
      </c>
      <c r="B47" s="22" t="s">
        <v>46</v>
      </c>
      <c r="C47" s="22">
        <v>0</v>
      </c>
      <c r="D47" s="22" t="s">
        <v>131</v>
      </c>
      <c r="E47" s="22" t="str">
        <f>_xlfn.IFNA(VLOOKUP(D47,AccessModes!$D$2:$E$13,2,FALSE),"AM_IMP")</f>
        <v>AM_ABS</v>
      </c>
      <c r="F47" s="22">
        <v>4</v>
      </c>
      <c r="G47" s="22">
        <v>0</v>
      </c>
      <c r="H47" s="22" t="str">
        <f>$H$35</f>
        <v>value</v>
      </c>
      <c r="I47" s="22" t="str">
        <f>$I$35</f>
        <v>cpu.A</v>
      </c>
      <c r="J47" s="22" t="str">
        <f>$J$35</f>
        <v/>
      </c>
      <c r="K47" s="22" t="str">
        <f>IF(LEN(H47)&gt;0,indent&amp;H47&amp;" = "&amp;VLOOKUP($E47,AccessModes!$E$2:$I$13,4,FALSE),"")</f>
        <v xml:space="preserve">            value = memory_getAbsolute();</v>
      </c>
      <c r="L47" s="15" t="str">
        <f>$L$35</f>
        <v xml:space="preserve">            cpu.A &amp;= value;</v>
      </c>
      <c r="M47" s="15" t="str">
        <f t="shared" si="0"/>
        <v xml:space="preserve">            cpu.PS_N =  (bool)(cpu.A &amp; 0x80);
            cpu.PS_Z = (cpu.A == 0);</v>
      </c>
      <c r="N47" s="22" t="str">
        <f>IF(LEN(J47)&gt;0,indent&amp;IF(J47="LAST",AccessModes!$I$15&amp;H47,VLOOKUP($E47,AccessModes!$E$2:$I$13,5,FALSE)&amp;J47)&amp;");","")</f>
        <v/>
      </c>
      <c r="O47" s="22"/>
      <c r="P47" s="15" t="str">
        <f>IF(C47=0,indent0&amp;"case 0x"&amp;DEC2HEX(A47)&amp;": /* "&amp;B47&amp;" "&amp;VLOOKUP(E47,AccessModes!$E$2:$G$13,3,FALSE)&amp;" */"&amp;newline&amp;IF(LEN(K47)&gt;0,K47&amp;CHAR(10),"")&amp;IF(LEN(L47)&gt;0,L47&amp;newline,"")&amp;IF(LEN(M47)&gt;0,M47&amp;newline,"")&amp;IF(LEN(N47)&gt;0,N47&amp;newline,"")&amp;IF(LEN(O47)&gt;0,O47&amp;newline,"")&amp;indent&amp;"break;","")</f>
        <v xml:space="preserve">        case 0x2D: /* AND aaaa */
            value = memory_getAbsolute();
            cpu.A &amp;= value;
            cpu.PS_N =  (bool)(cpu.A &amp; 0x80);
            cpu.PS_Z = (cpu.A == 0);
            break;</v>
      </c>
      <c r="Q47" s="22" t="str">
        <f t="shared" si="2"/>
        <v xml:space="preserve">    {"AND", 0, AM_ABS, 4, 0},</v>
      </c>
    </row>
    <row r="48" spans="1:17" ht="118.8" x14ac:dyDescent="0.3">
      <c r="A48" s="22">
        <v>46</v>
      </c>
      <c r="B48" s="22" t="s">
        <v>49</v>
      </c>
      <c r="C48" s="22">
        <v>0</v>
      </c>
      <c r="D48" s="22" t="s">
        <v>131</v>
      </c>
      <c r="E48" s="22" t="str">
        <f>_xlfn.IFNA(VLOOKUP(D48,AccessModes!$D$2:$E$13,2,FALSE),"AM_IMP")</f>
        <v>AM_ABS</v>
      </c>
      <c r="F48" s="22">
        <v>6</v>
      </c>
      <c r="G48" s="22">
        <v>0</v>
      </c>
      <c r="H48" s="22" t="str">
        <f>$H$40</f>
        <v>value</v>
      </c>
      <c r="I48" s="22" t="str">
        <f>$I$40</f>
        <v>value</v>
      </c>
      <c r="J48" s="22" t="str">
        <f>$J$40</f>
        <v>LAST</v>
      </c>
      <c r="K48" s="22" t="str">
        <f>IF(LEN(H48)&gt;0,indent&amp;H48&amp;" = "&amp;VLOOKUP($E48,AccessModes!$E$2:$I$13,4,FALSE),"")</f>
        <v xml:space="preserve">            value = memory_getAbsolute();</v>
      </c>
      <c r="L48" s="15" t="str">
        <f>$L$40</f>
        <v xml:space="preserve">            tmp_PS_C = cpu.PS_C;
            cpu.PS_C = (bool)(value &amp; 0x80);
            value = (value &lt;&lt; 1) | (byte)tmp_PS_C;</v>
      </c>
      <c r="M48" s="15" t="str">
        <f t="shared" si="0"/>
        <v xml:space="preserve">            cpu.PS_N =  (bool)(value &amp; 0x80);
            cpu.PS_Z = (value == 0);</v>
      </c>
      <c r="N48" s="22" t="str">
        <f>IF(LEN(J48)&gt;0,indent&amp;IF(J48="LAST",AccessModes!$I$15&amp;H48,VLOOKUP($E48,AccessModes!$E$2:$I$13,5,FALSE)&amp;J48)&amp;");","")</f>
        <v xml:space="preserve">            memory_setLast(value);</v>
      </c>
      <c r="O48" s="22"/>
      <c r="P48" s="15" t="str">
        <f>IF(C48=0,indent0&amp;"case 0x"&amp;DEC2HEX(A48)&amp;": /* "&amp;B48&amp;" "&amp;VLOOKUP(E48,AccessModes!$E$2:$G$13,3,FALSE)&amp;" */"&amp;newline&amp;IF(LEN(K48)&gt;0,K48&amp;CHAR(10),"")&amp;IF(LEN(L48)&gt;0,L48&amp;newline,"")&amp;IF(LEN(M48)&gt;0,M48&amp;newline,"")&amp;IF(LEN(N48)&gt;0,N48&amp;newline,"")&amp;IF(LEN(O48)&gt;0,O48&amp;newline,"")&amp;indent&amp;"break;","")</f>
        <v xml:space="preserve">        case 0x2E: /* ROL aaaa */
            value = memory_getAbsolute();
            tmp_PS_C = cpu.PS_C;
            cpu.PS_C = (bool)(value &amp; 0x80);
            value = (value &lt;&lt; 1) | (byte)tmp_PS_C;
            cpu.PS_N =  (bool)(value &amp; 0x80);
            cpu.PS_Z = (value == 0);
            memory_setLast(value);
            break;</v>
      </c>
      <c r="Q48" s="22" t="str">
        <f t="shared" si="2"/>
        <v xml:space="preserve">    {"ROL", 0, AM_ABS, 6, 0},</v>
      </c>
    </row>
    <row r="49" spans="1:17" x14ac:dyDescent="0.3">
      <c r="A49" s="23">
        <v>47</v>
      </c>
      <c r="B49" s="23" t="s">
        <v>47</v>
      </c>
      <c r="C49" s="23">
        <v>-1</v>
      </c>
      <c r="D49" s="23" t="s">
        <v>131</v>
      </c>
      <c r="E49" s="23" t="str">
        <f>_xlfn.IFNA(VLOOKUP(D49,AccessModes!$D$2:$E$13,2,FALSE),"AM_IMP")</f>
        <v>AM_ABS</v>
      </c>
      <c r="F49" s="23">
        <v>6</v>
      </c>
      <c r="G49" s="23">
        <v>0</v>
      </c>
      <c r="H49" s="23"/>
      <c r="I49" s="23"/>
      <c r="J49" s="23"/>
      <c r="K49" s="23" t="str">
        <f>IF(LEN(H49)&gt;0,indent&amp;H49&amp;" = "&amp;VLOOKUP($E49,AccessModes!$E$2:$I$13,4,FALSE),"")</f>
        <v/>
      </c>
      <c r="L49" s="17" t="str">
        <f>indent&amp;"/* TODO: implementation of the action */"</f>
        <v xml:space="preserve">            /* TODO: implementation of the action */</v>
      </c>
      <c r="M49" s="17" t="str">
        <f t="shared" si="0"/>
        <v/>
      </c>
      <c r="N49" s="23" t="str">
        <f>IF(LEN(J49)&gt;0,indent&amp;IF(J49="LAST",AccessModes!$I$15&amp;H49,VLOOKUP($E49,AccessModes!$E$2:$I$13,5,FALSE)&amp;J49)&amp;");","")</f>
        <v/>
      </c>
      <c r="O49" s="23"/>
      <c r="P49" s="17" t="str">
        <f>IF(C49=0,indent0&amp;"case 0x"&amp;DEC2HEX(A49)&amp;": /* "&amp;B49&amp;" "&amp;VLOOKUP(E49,AccessModes!$E$2:$G$13,3,FALSE)&amp;" */"&amp;newline&amp;IF(LEN(K49)&gt;0,K49&amp;CHAR(10),"")&amp;IF(LEN(L49)&gt;0,L49&amp;newline,"")&amp;IF(LEN(M49)&gt;0,M49&amp;newline,"")&amp;IF(LEN(N49)&gt;0,N49&amp;newline,"")&amp;IF(LEN(O49)&gt;0,O49&amp;newline,"")&amp;indent&amp;"break;","")</f>
        <v/>
      </c>
      <c r="Q49" s="23" t="str">
        <f t="shared" si="2"/>
        <v xml:space="preserve">    {"RLA", -1, AM_ABS, 6, 0},</v>
      </c>
    </row>
    <row r="50" spans="1:17" ht="92.4" x14ac:dyDescent="0.3">
      <c r="A50" s="22">
        <v>48</v>
      </c>
      <c r="B50" s="22" t="s">
        <v>52</v>
      </c>
      <c r="C50" s="22">
        <v>0</v>
      </c>
      <c r="D50" s="22" t="s">
        <v>132</v>
      </c>
      <c r="E50" s="22" t="str">
        <f>_xlfn.IFNA(VLOOKUP(D50,AccessModes!$D$2:$E$13,2,FALSE),"AM_IMP")</f>
        <v>AM_REL</v>
      </c>
      <c r="F50" s="22">
        <v>2</v>
      </c>
      <c r="G50" s="22">
        <v>1</v>
      </c>
      <c r="H50" s="28" t="s">
        <v>240</v>
      </c>
      <c r="I50" s="28"/>
      <c r="J50" s="28"/>
      <c r="K50" s="22" t="str">
        <f>IF(LEN(H50)&gt;0,indent&amp;H50&amp;" = "&amp;VLOOKUP($E50,AccessModes!$E$2:$I$13,4,FALSE),"")</f>
        <v xml:space="preserve">            value_w = memory_getRelativeAddress();</v>
      </c>
      <c r="L50" s="29" t="str">
        <f>indent&amp;"if(cpu.PS_N) {"&amp;newline&amp;indent2&amp;"++cycles;"&amp;newline&amp;indent2&amp;"cpu.PC = "&amp;H50&amp;";"&amp;newline&amp;indent&amp;"}"</f>
        <v xml:space="preserve">            if(cpu.PS_N) {
                ++cycles;
                cpu.PC = value_w;
            }</v>
      </c>
      <c r="M50" s="15" t="str">
        <f t="shared" si="0"/>
        <v/>
      </c>
      <c r="N50" s="22" t="str">
        <f>IF(LEN(J50)&gt;0,indent&amp;IF(J50="LAST",AccessModes!$I$15&amp;H50,VLOOKUP($E50,AccessModes!$E$2:$I$13,5,FALSE)&amp;J50)&amp;");","")</f>
        <v/>
      </c>
      <c r="O50" s="22"/>
      <c r="P50" s="15" t="str">
        <f>IF(C50=0,indent0&amp;"case 0x"&amp;DEC2HEX(A50)&amp;": /* "&amp;B50&amp;" "&amp;VLOOKUP(E50,AccessModes!$E$2:$G$13,3,FALSE)&amp;" */"&amp;newline&amp;IF(LEN(K50)&gt;0,K50&amp;CHAR(10),"")&amp;IF(LEN(L50)&gt;0,L50&amp;newline,"")&amp;IF(LEN(M50)&gt;0,M50&amp;newline,"")&amp;IF(LEN(N50)&gt;0,N50&amp;newline,"")&amp;IF(LEN(O50)&gt;0,O50&amp;newline,"")&amp;indent&amp;"break;","")</f>
        <v xml:space="preserve">        case 0x30: /* BMI aaaa */
            value_w = memory_getRelativeAddress();
            if(cpu.PS_N) {
                ++cycles;
                cpu.PC = value_w;
            }
            break;</v>
      </c>
      <c r="Q50" s="22" t="str">
        <f t="shared" si="2"/>
        <v xml:space="preserve">    {"BMI", 0, AM_REL, 2, 1},</v>
      </c>
    </row>
    <row r="51" spans="1:17" ht="79.2" x14ac:dyDescent="0.3">
      <c r="A51" s="22">
        <v>49</v>
      </c>
      <c r="B51" s="22" t="s">
        <v>46</v>
      </c>
      <c r="C51" s="22">
        <v>0</v>
      </c>
      <c r="D51" s="22" t="s">
        <v>133</v>
      </c>
      <c r="E51" s="22" t="str">
        <f>_xlfn.IFNA(VLOOKUP(D51,AccessModes!$D$2:$E$13,2,FALSE),"AM_IMP")</f>
        <v>AM_ZIY</v>
      </c>
      <c r="F51" s="22">
        <v>5</v>
      </c>
      <c r="G51" s="22">
        <v>1</v>
      </c>
      <c r="H51" s="22" t="str">
        <f>$H$35</f>
        <v>value</v>
      </c>
      <c r="I51" s="22" t="str">
        <f>$I$35</f>
        <v>cpu.A</v>
      </c>
      <c r="J51" s="22" t="str">
        <f>$J$35</f>
        <v/>
      </c>
      <c r="K51" s="22" t="str">
        <f>IF(LEN(H51)&gt;0,indent&amp;H51&amp;" = "&amp;VLOOKUP($E51,AccessModes!$E$2:$I$13,4,FALSE),"")</f>
        <v xml:space="preserve">            value = memory_getZeroPageIndexedY();</v>
      </c>
      <c r="L51" s="15" t="str">
        <f>$L$35</f>
        <v xml:space="preserve">            cpu.A &amp;= value;</v>
      </c>
      <c r="M51" s="15" t="str">
        <f t="shared" si="0"/>
        <v xml:space="preserve">            cpu.PS_N =  (bool)(cpu.A &amp; 0x80);
            cpu.PS_Z = (cpu.A == 0);</v>
      </c>
      <c r="N51" s="22" t="str">
        <f>IF(LEN(J51)&gt;0,indent&amp;IF(J51="LAST",AccessModes!$I$15&amp;H51,VLOOKUP($E51,AccessModes!$E$2:$I$13,5,FALSE)&amp;J51)&amp;");","")</f>
        <v/>
      </c>
      <c r="O51" s="22"/>
      <c r="P51" s="15" t="str">
        <f>IF(C51=0,indent0&amp;"case 0x"&amp;DEC2HEX(A51)&amp;": /* "&amp;B51&amp;" "&amp;VLOOKUP(E51,AccessModes!$E$2:$G$13,3,FALSE)&amp;" */"&amp;newline&amp;IF(LEN(K51)&gt;0,K51&amp;CHAR(10),"")&amp;IF(LEN(L51)&gt;0,L51&amp;newline,"")&amp;IF(LEN(M51)&gt;0,M51&amp;newline,"")&amp;IF(LEN(N51)&gt;0,N51&amp;newline,"")&amp;IF(LEN(O51)&gt;0,O51&amp;newline,"")&amp;indent&amp;"break;","")</f>
        <v xml:space="preserve">        case 0x31: /* AND aa,Y */
            value = memory_getZeroPageIndexedY();
            cpu.A &amp;= value;
            cpu.PS_N =  (bool)(cpu.A &amp; 0x80);
            cpu.PS_Z = (cpu.A == 0);
            break;</v>
      </c>
      <c r="Q51" s="22" t="str">
        <f t="shared" si="2"/>
        <v xml:space="preserve">    {"AND", 0, AM_ZIY, 5, 1},</v>
      </c>
    </row>
    <row r="52" spans="1:17" x14ac:dyDescent="0.3">
      <c r="A52" s="23">
        <v>50</v>
      </c>
      <c r="B52" s="23" t="s">
        <v>20</v>
      </c>
      <c r="C52" s="23">
        <v>-1</v>
      </c>
      <c r="D52" s="23"/>
      <c r="E52" s="23" t="str">
        <f>_xlfn.IFNA(VLOOKUP(D52,AccessModes!$D$2:$E$13,2,FALSE),"AM_IMP")</f>
        <v>AM_IMP</v>
      </c>
      <c r="F52" s="23">
        <v>0</v>
      </c>
      <c r="G52" s="23">
        <v>0</v>
      </c>
      <c r="H52" s="23"/>
      <c r="I52" s="23"/>
      <c r="J52" s="23"/>
      <c r="K52" s="23" t="str">
        <f>IF(LEN(H52)&gt;0,indent&amp;H52&amp;" = "&amp;VLOOKUP($E52,AccessModes!$E$2:$I$13,4,FALSE),"")</f>
        <v/>
      </c>
      <c r="L52" s="17" t="str">
        <f>indent&amp;"/* TODO: implementation of the action */"</f>
        <v xml:space="preserve">            /* TODO: implementation of the action */</v>
      </c>
      <c r="M52" s="17" t="str">
        <f t="shared" si="0"/>
        <v/>
      </c>
      <c r="N52" s="23" t="str">
        <f>IF(LEN(J52)&gt;0,indent&amp;IF(J52="LAST",AccessModes!$I$15&amp;H52,VLOOKUP($E52,AccessModes!$E$2:$I$13,5,FALSE)&amp;J52)&amp;");","")</f>
        <v/>
      </c>
      <c r="O52" s="23"/>
      <c r="P52" s="17" t="str">
        <f>IF(C52=0,indent0&amp;"case 0x"&amp;DEC2HEX(A52)&amp;": /* "&amp;B52&amp;" "&amp;VLOOKUP(E52,AccessModes!$E$2:$G$13,3,FALSE)&amp;" */"&amp;newline&amp;IF(LEN(K52)&gt;0,K52&amp;CHAR(10),"")&amp;IF(LEN(L52)&gt;0,L52&amp;newline,"")&amp;IF(LEN(M52)&gt;0,M52&amp;newline,"")&amp;IF(LEN(N52)&gt;0,N52&amp;newline,"")&amp;IF(LEN(O52)&gt;0,O52&amp;newline,"")&amp;indent&amp;"break;","")</f>
        <v/>
      </c>
      <c r="Q52" s="23" t="str">
        <f t="shared" si="2"/>
        <v xml:space="preserve">    {"KIL", -1, AM_IMP, 0, 0},</v>
      </c>
    </row>
    <row r="53" spans="1:17" x14ac:dyDescent="0.3">
      <c r="A53" s="23">
        <v>51</v>
      </c>
      <c r="B53" s="23" t="s">
        <v>47</v>
      </c>
      <c r="C53" s="23">
        <v>-1</v>
      </c>
      <c r="D53" s="23" t="s">
        <v>133</v>
      </c>
      <c r="E53" s="23" t="str">
        <f>_xlfn.IFNA(VLOOKUP(D53,AccessModes!$D$2:$E$13,2,FALSE),"AM_IMP")</f>
        <v>AM_ZIY</v>
      </c>
      <c r="F53" s="23">
        <v>8</v>
      </c>
      <c r="G53" s="23">
        <v>0</v>
      </c>
      <c r="H53" s="23"/>
      <c r="I53" s="23"/>
      <c r="J53" s="23"/>
      <c r="K53" s="23" t="str">
        <f>IF(LEN(H53)&gt;0,indent&amp;H53&amp;" = "&amp;VLOOKUP($E53,AccessModes!$E$2:$I$13,4,FALSE),"")</f>
        <v/>
      </c>
      <c r="L53" s="17" t="str">
        <f>indent&amp;"/* TODO: implementation of the action */"</f>
        <v xml:space="preserve">            /* TODO: implementation of the action */</v>
      </c>
      <c r="M53" s="17" t="str">
        <f t="shared" si="0"/>
        <v/>
      </c>
      <c r="N53" s="23" t="str">
        <f>IF(LEN(J53)&gt;0,indent&amp;IF(J53="LAST",AccessModes!$I$15&amp;H53,VLOOKUP($E53,AccessModes!$E$2:$I$13,5,FALSE)&amp;J53)&amp;");","")</f>
        <v/>
      </c>
      <c r="O53" s="23"/>
      <c r="P53" s="17" t="str">
        <f>IF(C53=0,indent0&amp;"case 0x"&amp;DEC2HEX(A53)&amp;": /* "&amp;B53&amp;" "&amp;VLOOKUP(E53,AccessModes!$E$2:$G$13,3,FALSE)&amp;" */"&amp;newline&amp;IF(LEN(K53)&gt;0,K53&amp;CHAR(10),"")&amp;IF(LEN(L53)&gt;0,L53&amp;newline,"")&amp;IF(LEN(M53)&gt;0,M53&amp;newline,"")&amp;IF(LEN(N53)&gt;0,N53&amp;newline,"")&amp;IF(LEN(O53)&gt;0,O53&amp;newline,"")&amp;indent&amp;"break;","")</f>
        <v/>
      </c>
      <c r="Q53" s="23" t="str">
        <f t="shared" si="2"/>
        <v xml:space="preserve">    {"RLA", -1, AM_ZIY, 8, 0},</v>
      </c>
    </row>
    <row r="54" spans="1:17" x14ac:dyDescent="0.3">
      <c r="A54" s="23">
        <v>52</v>
      </c>
      <c r="B54" s="23" t="s">
        <v>23</v>
      </c>
      <c r="C54" s="23">
        <v>-1</v>
      </c>
      <c r="D54" s="23" t="s">
        <v>134</v>
      </c>
      <c r="E54" s="23" t="str">
        <f>_xlfn.IFNA(VLOOKUP(D54,AccessModes!$D$2:$E$13,2,FALSE),"AM_IMP")</f>
        <v>AM_IIX</v>
      </c>
      <c r="F54" s="23">
        <v>4</v>
      </c>
      <c r="G54" s="23">
        <v>0</v>
      </c>
      <c r="H54" s="23"/>
      <c r="I54" s="23"/>
      <c r="J54" s="23"/>
      <c r="K54" s="23" t="str">
        <f>IF(LEN(H54)&gt;0,indent&amp;H54&amp;" = "&amp;VLOOKUP($E54,AccessModes!$E$2:$I$13,4,FALSE),"")</f>
        <v/>
      </c>
      <c r="L54" s="17" t="str">
        <f>indent&amp;"/* TODO: implementation of the action */"</f>
        <v xml:space="preserve">            /* TODO: implementation of the action */</v>
      </c>
      <c r="M54" s="17" t="str">
        <f t="shared" si="0"/>
        <v/>
      </c>
      <c r="N54" s="23" t="str">
        <f>IF(LEN(J54)&gt;0,indent&amp;IF(J54="LAST",AccessModes!$I$15&amp;H54,VLOOKUP($E54,AccessModes!$E$2:$I$13,5,FALSE)&amp;J54)&amp;");","")</f>
        <v/>
      </c>
      <c r="O54" s="23"/>
      <c r="P54" s="17" t="str">
        <f>IF(C54=0,indent0&amp;"case 0x"&amp;DEC2HEX(A54)&amp;": /* "&amp;B54&amp;" "&amp;VLOOKUP(E54,AccessModes!$E$2:$G$13,3,FALSE)&amp;" */"&amp;newline&amp;IF(LEN(K54)&gt;0,K54&amp;CHAR(10),"")&amp;IF(LEN(L54)&gt;0,L54&amp;newline,"")&amp;IF(LEN(M54)&gt;0,M54&amp;newline,"")&amp;IF(LEN(N54)&gt;0,N54&amp;newline,"")&amp;IF(LEN(O54)&gt;0,O54&amp;newline,"")&amp;indent&amp;"break;","")</f>
        <v/>
      </c>
      <c r="Q54" s="23" t="str">
        <f t="shared" si="2"/>
        <v xml:space="preserve">    {"NOP", -1, AM_IIX, 4, 0},</v>
      </c>
    </row>
    <row r="55" spans="1:17" ht="79.2" x14ac:dyDescent="0.3">
      <c r="A55" s="22">
        <v>53</v>
      </c>
      <c r="B55" s="22" t="s">
        <v>46</v>
      </c>
      <c r="C55" s="22">
        <v>0</v>
      </c>
      <c r="D55" s="22" t="s">
        <v>134</v>
      </c>
      <c r="E55" s="22" t="str">
        <f>_xlfn.IFNA(VLOOKUP(D55,AccessModes!$D$2:$E$13,2,FALSE),"AM_IMP")</f>
        <v>AM_IIX</v>
      </c>
      <c r="F55" s="22">
        <v>4</v>
      </c>
      <c r="G55" s="22">
        <v>0</v>
      </c>
      <c r="H55" s="22" t="str">
        <f>$H$35</f>
        <v>value</v>
      </c>
      <c r="I55" s="22" t="str">
        <f>$I$35</f>
        <v>cpu.A</v>
      </c>
      <c r="J55" s="22" t="str">
        <f>$J$35</f>
        <v/>
      </c>
      <c r="K55" s="22" t="str">
        <f>IF(LEN(H55)&gt;0,indent&amp;H55&amp;" = "&amp;VLOOKUP($E55,AccessModes!$E$2:$I$13,4,FALSE),"")</f>
        <v xml:space="preserve">            value = memory_getIndexedIndirectX();</v>
      </c>
      <c r="L55" s="15" t="str">
        <f>$L$35</f>
        <v xml:space="preserve">            cpu.A &amp;= value;</v>
      </c>
      <c r="M55" s="15" t="str">
        <f t="shared" si="0"/>
        <v xml:space="preserve">            cpu.PS_N =  (bool)(cpu.A &amp; 0x80);
            cpu.PS_Z = (cpu.A == 0);</v>
      </c>
      <c r="N55" s="22" t="str">
        <f>IF(LEN(J55)&gt;0,indent&amp;IF(J55="LAST",AccessModes!$I$15&amp;H55,VLOOKUP($E55,AccessModes!$E$2:$I$13,5,FALSE)&amp;J55)&amp;");","")</f>
        <v/>
      </c>
      <c r="O55" s="22"/>
      <c r="P55" s="15" t="str">
        <f>IF(C55=0,indent0&amp;"case 0x"&amp;DEC2HEX(A55)&amp;": /* "&amp;B55&amp;" "&amp;VLOOKUP(E55,AccessModes!$E$2:$G$13,3,FALSE)&amp;" */"&amp;newline&amp;IF(LEN(K55)&gt;0,K55&amp;CHAR(10),"")&amp;IF(LEN(L55)&gt;0,L55&amp;newline,"")&amp;IF(LEN(M55)&gt;0,M55&amp;newline,"")&amp;IF(LEN(N55)&gt;0,N55&amp;newline,"")&amp;IF(LEN(O55)&gt;0,O55&amp;newline,"")&amp;indent&amp;"break;","")</f>
        <v xml:space="preserve">        case 0x35: /* AND (aa,X) */
            value = memory_getIndexedIndirectX();
            cpu.A &amp;= value;
            cpu.PS_N =  (bool)(cpu.A &amp; 0x80);
            cpu.PS_Z = (cpu.A == 0);
            break;</v>
      </c>
      <c r="Q55" s="22" t="str">
        <f t="shared" si="2"/>
        <v xml:space="preserve">    {"AND", 0, AM_IIX, 4, 0},</v>
      </c>
    </row>
    <row r="56" spans="1:17" ht="118.8" x14ac:dyDescent="0.3">
      <c r="A56" s="22">
        <v>54</v>
      </c>
      <c r="B56" s="22" t="s">
        <v>49</v>
      </c>
      <c r="C56" s="22">
        <v>0</v>
      </c>
      <c r="D56" s="22" t="s">
        <v>134</v>
      </c>
      <c r="E56" s="22" t="str">
        <f>_xlfn.IFNA(VLOOKUP(D56,AccessModes!$D$2:$E$13,2,FALSE),"AM_IMP")</f>
        <v>AM_IIX</v>
      </c>
      <c r="F56" s="22">
        <v>6</v>
      </c>
      <c r="G56" s="22">
        <v>0</v>
      </c>
      <c r="H56" s="22" t="str">
        <f>$H$40</f>
        <v>value</v>
      </c>
      <c r="I56" s="22" t="str">
        <f>$I$40</f>
        <v>value</v>
      </c>
      <c r="J56" s="22" t="str">
        <f>$J$40</f>
        <v>LAST</v>
      </c>
      <c r="K56" s="22" t="str">
        <f>IF(LEN(H56)&gt;0,indent&amp;H56&amp;" = "&amp;VLOOKUP($E56,AccessModes!$E$2:$I$13,4,FALSE),"")</f>
        <v xml:space="preserve">            value = memory_getIndexedIndirectX();</v>
      </c>
      <c r="L56" s="15" t="str">
        <f>$L$40</f>
        <v xml:space="preserve">            tmp_PS_C = cpu.PS_C;
            cpu.PS_C = (bool)(value &amp; 0x80);
            value = (value &lt;&lt; 1) | (byte)tmp_PS_C;</v>
      </c>
      <c r="M56" s="15" t="str">
        <f t="shared" si="0"/>
        <v xml:space="preserve">            cpu.PS_N =  (bool)(value &amp; 0x80);
            cpu.PS_Z = (value == 0);</v>
      </c>
      <c r="N56" s="22" t="str">
        <f>IF(LEN(J56)&gt;0,indent&amp;IF(J56="LAST",AccessModes!$I$15&amp;H56,VLOOKUP($E56,AccessModes!$E$2:$I$13,5,FALSE)&amp;J56)&amp;");","")</f>
        <v xml:space="preserve">            memory_setLast(value);</v>
      </c>
      <c r="O56" s="22"/>
      <c r="P56" s="15" t="str">
        <f>IF(C56=0,indent0&amp;"case 0x"&amp;DEC2HEX(A56)&amp;": /* "&amp;B56&amp;" "&amp;VLOOKUP(E56,AccessModes!$E$2:$G$13,3,FALSE)&amp;" */"&amp;newline&amp;IF(LEN(K56)&gt;0,K56&amp;CHAR(10),"")&amp;IF(LEN(L56)&gt;0,L56&amp;newline,"")&amp;IF(LEN(M56)&gt;0,M56&amp;newline,"")&amp;IF(LEN(N56)&gt;0,N56&amp;newline,"")&amp;IF(LEN(O56)&gt;0,O56&amp;newline,"")&amp;indent&amp;"break;","")</f>
        <v xml:space="preserve">        case 0x36: /* ROL (aa,X) */
            value = memory_getIndexedIndirectX();
            tmp_PS_C = cpu.PS_C;
            cpu.PS_C = (bool)(value &amp; 0x80);
            value = (value &lt;&lt; 1) | (byte)tmp_PS_C;
            cpu.PS_N =  (bool)(value &amp; 0x80);
            cpu.PS_Z = (value == 0);
            memory_setLast(value);
            break;</v>
      </c>
      <c r="Q56" s="22" t="str">
        <f t="shared" si="2"/>
        <v xml:space="preserve">    {"ROL", 0, AM_IIX, 6, 0},</v>
      </c>
    </row>
    <row r="57" spans="1:17" x14ac:dyDescent="0.3">
      <c r="A57" s="23">
        <v>55</v>
      </c>
      <c r="B57" s="23" t="s">
        <v>47</v>
      </c>
      <c r="C57" s="23">
        <v>-1</v>
      </c>
      <c r="D57" s="23" t="s">
        <v>134</v>
      </c>
      <c r="E57" s="23" t="str">
        <f>_xlfn.IFNA(VLOOKUP(D57,AccessModes!$D$2:$E$13,2,FALSE),"AM_IMP")</f>
        <v>AM_IIX</v>
      </c>
      <c r="F57" s="23">
        <v>6</v>
      </c>
      <c r="G57" s="23">
        <v>0</v>
      </c>
      <c r="H57" s="23"/>
      <c r="I57" s="23"/>
      <c r="J57" s="23"/>
      <c r="K57" s="23" t="str">
        <f>IF(LEN(H57)&gt;0,indent&amp;H57&amp;" = "&amp;VLOOKUP($E57,AccessModes!$E$2:$I$13,4,FALSE),"")</f>
        <v/>
      </c>
      <c r="L57" s="17" t="str">
        <f>indent&amp;"/* TODO: implementation of the action */"</f>
        <v xml:space="preserve">            /* TODO: implementation of the action */</v>
      </c>
      <c r="M57" s="17" t="str">
        <f t="shared" si="0"/>
        <v/>
      </c>
      <c r="N57" s="23" t="str">
        <f>IF(LEN(J57)&gt;0,indent&amp;IF(J57="LAST",AccessModes!$I$15&amp;H57,VLOOKUP($E57,AccessModes!$E$2:$I$13,5,FALSE)&amp;J57)&amp;");","")</f>
        <v/>
      </c>
      <c r="O57" s="23"/>
      <c r="P57" s="17" t="str">
        <f>IF(C57=0,indent0&amp;"case 0x"&amp;DEC2HEX(A57)&amp;": /* "&amp;B57&amp;" "&amp;VLOOKUP(E57,AccessModes!$E$2:$G$13,3,FALSE)&amp;" */"&amp;newline&amp;IF(LEN(K57)&gt;0,K57&amp;CHAR(10),"")&amp;IF(LEN(L57)&gt;0,L57&amp;newline,"")&amp;IF(LEN(M57)&gt;0,M57&amp;newline,"")&amp;IF(LEN(N57)&gt;0,N57&amp;newline,"")&amp;IF(LEN(O57)&gt;0,O57&amp;newline,"")&amp;indent&amp;"break;","")</f>
        <v/>
      </c>
      <c r="Q57" s="23" t="str">
        <f t="shared" si="2"/>
        <v xml:space="preserve">    {"RLA", -1, AM_IIX, 6, 0},</v>
      </c>
    </row>
    <row r="58" spans="1:17" ht="39.6" x14ac:dyDescent="0.3">
      <c r="A58" s="22">
        <v>56</v>
      </c>
      <c r="B58" s="22" t="s">
        <v>53</v>
      </c>
      <c r="C58" s="22">
        <v>0</v>
      </c>
      <c r="D58" s="22" t="s">
        <v>139</v>
      </c>
      <c r="E58" s="22" t="str">
        <f>_xlfn.IFNA(VLOOKUP(D58,AccessModes!$D$2:$E$13,2,FALSE),"AM_IMP")</f>
        <v>AM_IMP</v>
      </c>
      <c r="F58" s="22">
        <v>2</v>
      </c>
      <c r="G58" s="22">
        <v>0</v>
      </c>
      <c r="H58" s="28"/>
      <c r="I58" s="28"/>
      <c r="J58" s="28"/>
      <c r="K58" s="22" t="str">
        <f>IF(LEN(H58)&gt;0,indent&amp;H58&amp;" = "&amp;VLOOKUP($E58,AccessModes!$E$2:$I$13,4,FALSE),"")</f>
        <v/>
      </c>
      <c r="L58" s="29" t="str">
        <f>indent&amp;"cpu.PS_C = true;"</f>
        <v xml:space="preserve">            cpu.PS_C = true;</v>
      </c>
      <c r="M58" s="15" t="str">
        <f t="shared" si="0"/>
        <v/>
      </c>
      <c r="N58" s="22" t="str">
        <f>IF(LEN(J58)&gt;0,indent&amp;IF(J58="LAST",AccessModes!$I$15&amp;H58,VLOOKUP($E58,AccessModes!$E$2:$I$13,5,FALSE)&amp;J58)&amp;");","")</f>
        <v/>
      </c>
      <c r="O58" s="22"/>
      <c r="P58" s="15" t="str">
        <f>IF(C58=0,indent0&amp;"case 0x"&amp;DEC2HEX(A58)&amp;": /* "&amp;B58&amp;" "&amp;VLOOKUP(E58,AccessModes!$E$2:$G$13,3,FALSE)&amp;" */"&amp;newline&amp;IF(LEN(K58)&gt;0,K58&amp;CHAR(10),"")&amp;IF(LEN(L58)&gt;0,L58&amp;newline,"")&amp;IF(LEN(M58)&gt;0,M58&amp;newline,"")&amp;IF(LEN(N58)&gt;0,N58&amp;newline,"")&amp;IF(LEN(O58)&gt;0,O58&amp;newline,"")&amp;indent&amp;"break;","")</f>
        <v xml:space="preserve">        case 0x38: /* SEC  */
            cpu.PS_C = true;
            break;</v>
      </c>
      <c r="Q58" s="22" t="str">
        <f t="shared" si="2"/>
        <v xml:space="preserve">    {"SEC", 0, AM_IMP, 2, 0},</v>
      </c>
    </row>
    <row r="59" spans="1:17" ht="79.2" x14ac:dyDescent="0.3">
      <c r="A59" s="22">
        <v>57</v>
      </c>
      <c r="B59" s="22" t="s">
        <v>46</v>
      </c>
      <c r="C59" s="22">
        <v>0</v>
      </c>
      <c r="D59" s="22" t="s">
        <v>135</v>
      </c>
      <c r="E59" s="22" t="str">
        <f>_xlfn.IFNA(VLOOKUP(D59,AccessModes!$D$2:$E$13,2,FALSE),"AM_IMP")</f>
        <v>AM_AIY</v>
      </c>
      <c r="F59" s="22">
        <v>4</v>
      </c>
      <c r="G59" s="22">
        <v>1</v>
      </c>
      <c r="H59" s="22" t="str">
        <f>$H$35</f>
        <v>value</v>
      </c>
      <c r="I59" s="22" t="str">
        <f>$I$35</f>
        <v>cpu.A</v>
      </c>
      <c r="J59" s="22" t="str">
        <f>$J$35</f>
        <v/>
      </c>
      <c r="K59" s="22" t="str">
        <f>IF(LEN(H59)&gt;0,indent&amp;H59&amp;" = "&amp;VLOOKUP($E59,AccessModes!$E$2:$I$13,4,FALSE),"")</f>
        <v xml:space="preserve">            value = memory_getAbsoluteIndexedY();</v>
      </c>
      <c r="L59" s="15" t="str">
        <f>$L$35</f>
        <v xml:space="preserve">            cpu.A &amp;= value;</v>
      </c>
      <c r="M59" s="15" t="str">
        <f t="shared" si="0"/>
        <v xml:space="preserve">            cpu.PS_N =  (bool)(cpu.A &amp; 0x80);
            cpu.PS_Z = (cpu.A == 0);</v>
      </c>
      <c r="N59" s="22" t="str">
        <f>IF(LEN(J59)&gt;0,indent&amp;IF(J59="LAST",AccessModes!$I$15&amp;H59,VLOOKUP($E59,AccessModes!$E$2:$I$13,5,FALSE)&amp;J59)&amp;");","")</f>
        <v/>
      </c>
      <c r="O59" s="22"/>
      <c r="P59" s="15" t="str">
        <f>IF(C59=0,indent0&amp;"case 0x"&amp;DEC2HEX(A59)&amp;": /* "&amp;B59&amp;" "&amp;VLOOKUP(E59,AccessModes!$E$2:$G$13,3,FALSE)&amp;" */"&amp;newline&amp;IF(LEN(K59)&gt;0,K59&amp;CHAR(10),"")&amp;IF(LEN(L59)&gt;0,L59&amp;newline,"")&amp;IF(LEN(M59)&gt;0,M59&amp;newline,"")&amp;IF(LEN(N59)&gt;0,N59&amp;newline,"")&amp;IF(LEN(O59)&gt;0,O59&amp;newline,"")&amp;indent&amp;"break;","")</f>
        <v xml:space="preserve">        case 0x39: /* AND aaaa,Y */
            value = memory_getAbsoluteIndexedY();
            cpu.A &amp;= value;
            cpu.PS_N =  (bool)(cpu.A &amp; 0x80);
            cpu.PS_Z = (cpu.A == 0);
            break;</v>
      </c>
      <c r="Q59" s="22" t="str">
        <f t="shared" si="2"/>
        <v xml:space="preserve">    {"AND", 0, AM_AIY, 4, 1},</v>
      </c>
    </row>
    <row r="60" spans="1:17" x14ac:dyDescent="0.3">
      <c r="A60" s="23">
        <v>58</v>
      </c>
      <c r="B60" s="23" t="s">
        <v>23</v>
      </c>
      <c r="C60" s="23">
        <v>-1</v>
      </c>
      <c r="D60" s="23" t="s">
        <v>139</v>
      </c>
      <c r="E60" s="23" t="str">
        <f>_xlfn.IFNA(VLOOKUP(D60,AccessModes!$D$2:$E$13,2,FALSE),"AM_IMP")</f>
        <v>AM_IMP</v>
      </c>
      <c r="F60" s="23">
        <v>2</v>
      </c>
      <c r="G60" s="23">
        <v>0</v>
      </c>
      <c r="H60" s="23"/>
      <c r="I60" s="23"/>
      <c r="J60" s="23"/>
      <c r="K60" s="23" t="str">
        <f>IF(LEN(H60)&gt;0,indent&amp;H60&amp;" = "&amp;VLOOKUP($E60,AccessModes!$E$2:$I$13,4,FALSE),"")</f>
        <v/>
      </c>
      <c r="L60" s="17" t="str">
        <f>indent&amp;"/* TODO: implementation of the action */"</f>
        <v xml:space="preserve">            /* TODO: implementation of the action */</v>
      </c>
      <c r="M60" s="17" t="str">
        <f t="shared" si="0"/>
        <v/>
      </c>
      <c r="N60" s="23" t="str">
        <f>IF(LEN(J60)&gt;0,indent&amp;IF(J60="LAST",AccessModes!$I$15&amp;H60,VLOOKUP($E60,AccessModes!$E$2:$I$13,5,FALSE)&amp;J60)&amp;");","")</f>
        <v/>
      </c>
      <c r="O60" s="23"/>
      <c r="P60" s="17" t="str">
        <f>IF(C60=0,indent0&amp;"case 0x"&amp;DEC2HEX(A60)&amp;": /* "&amp;B60&amp;" "&amp;VLOOKUP(E60,AccessModes!$E$2:$G$13,3,FALSE)&amp;" */"&amp;newline&amp;IF(LEN(K60)&gt;0,K60&amp;CHAR(10),"")&amp;IF(LEN(L60)&gt;0,L60&amp;newline,"")&amp;IF(LEN(M60)&gt;0,M60&amp;newline,"")&amp;IF(LEN(N60)&gt;0,N60&amp;newline,"")&amp;IF(LEN(O60)&gt;0,O60&amp;newline,"")&amp;indent&amp;"break;","")</f>
        <v/>
      </c>
      <c r="Q60" s="23" t="str">
        <f t="shared" si="2"/>
        <v xml:space="preserve">    {"NOP", -1, AM_IMP, 2, 0},</v>
      </c>
    </row>
    <row r="61" spans="1:17" x14ac:dyDescent="0.3">
      <c r="A61" s="23">
        <v>59</v>
      </c>
      <c r="B61" s="23" t="s">
        <v>47</v>
      </c>
      <c r="C61" s="23">
        <v>-1</v>
      </c>
      <c r="D61" s="23" t="s">
        <v>135</v>
      </c>
      <c r="E61" s="23" t="str">
        <f>_xlfn.IFNA(VLOOKUP(D61,AccessModes!$D$2:$E$13,2,FALSE),"AM_IMP")</f>
        <v>AM_AIY</v>
      </c>
      <c r="F61" s="23">
        <v>7</v>
      </c>
      <c r="G61" s="23">
        <v>0</v>
      </c>
      <c r="H61" s="23"/>
      <c r="I61" s="23"/>
      <c r="J61" s="23"/>
      <c r="K61" s="23" t="str">
        <f>IF(LEN(H61)&gt;0,indent&amp;H61&amp;" = "&amp;VLOOKUP($E61,AccessModes!$E$2:$I$13,4,FALSE),"")</f>
        <v/>
      </c>
      <c r="L61" s="17" t="str">
        <f>indent&amp;"/* TODO: implementation of the action */"</f>
        <v xml:space="preserve">            /* TODO: implementation of the action */</v>
      </c>
      <c r="M61" s="17" t="str">
        <f t="shared" si="0"/>
        <v/>
      </c>
      <c r="N61" s="23" t="str">
        <f>IF(LEN(J61)&gt;0,indent&amp;IF(J61="LAST",AccessModes!$I$15&amp;H61,VLOOKUP($E61,AccessModes!$E$2:$I$13,5,FALSE)&amp;J61)&amp;");","")</f>
        <v/>
      </c>
      <c r="O61" s="23"/>
      <c r="P61" s="17" t="str">
        <f>IF(C61=0,indent0&amp;"case 0x"&amp;DEC2HEX(A61)&amp;": /* "&amp;B61&amp;" "&amp;VLOOKUP(E61,AccessModes!$E$2:$G$13,3,FALSE)&amp;" */"&amp;newline&amp;IF(LEN(K61)&gt;0,K61&amp;CHAR(10),"")&amp;IF(LEN(L61)&gt;0,L61&amp;newline,"")&amp;IF(LEN(M61)&gt;0,M61&amp;newline,"")&amp;IF(LEN(N61)&gt;0,N61&amp;newline,"")&amp;IF(LEN(O61)&gt;0,O61&amp;newline,"")&amp;indent&amp;"break;","")</f>
        <v/>
      </c>
      <c r="Q61" s="23" t="str">
        <f t="shared" si="2"/>
        <v xml:space="preserve">    {"RLA", -1, AM_AIY, 7, 0},</v>
      </c>
    </row>
    <row r="62" spans="1:17" x14ac:dyDescent="0.3">
      <c r="A62" s="23">
        <v>60</v>
      </c>
      <c r="B62" s="23" t="s">
        <v>23</v>
      </c>
      <c r="C62" s="23">
        <v>-1</v>
      </c>
      <c r="D62" s="23" t="s">
        <v>136</v>
      </c>
      <c r="E62" s="23" t="str">
        <f>_xlfn.IFNA(VLOOKUP(D62,AccessModes!$D$2:$E$13,2,FALSE),"AM_IMP")</f>
        <v>AM_AIX</v>
      </c>
      <c r="F62" s="23">
        <v>4</v>
      </c>
      <c r="G62" s="23">
        <v>1</v>
      </c>
      <c r="H62" s="23"/>
      <c r="I62" s="23"/>
      <c r="J62" s="23"/>
      <c r="K62" s="23" t="str">
        <f>IF(LEN(H62)&gt;0,indent&amp;H62&amp;" = "&amp;VLOOKUP($E62,AccessModes!$E$2:$I$13,4,FALSE),"")</f>
        <v/>
      </c>
      <c r="L62" s="17" t="str">
        <f>indent&amp;"/* TODO: implementation of the action */"</f>
        <v xml:space="preserve">            /* TODO: implementation of the action */</v>
      </c>
      <c r="M62" s="17" t="str">
        <f t="shared" si="0"/>
        <v/>
      </c>
      <c r="N62" s="23" t="str">
        <f>IF(LEN(J62)&gt;0,indent&amp;IF(J62="LAST",AccessModes!$I$15&amp;H62,VLOOKUP($E62,AccessModes!$E$2:$I$13,5,FALSE)&amp;J62)&amp;");","")</f>
        <v/>
      </c>
      <c r="O62" s="23"/>
      <c r="P62" s="17" t="str">
        <f>IF(C62=0,indent0&amp;"case 0x"&amp;DEC2HEX(A62)&amp;": /* "&amp;B62&amp;" "&amp;VLOOKUP(E62,AccessModes!$E$2:$G$13,3,FALSE)&amp;" */"&amp;newline&amp;IF(LEN(K62)&gt;0,K62&amp;CHAR(10),"")&amp;IF(LEN(L62)&gt;0,L62&amp;newline,"")&amp;IF(LEN(M62)&gt;0,M62&amp;newline,"")&amp;IF(LEN(N62)&gt;0,N62&amp;newline,"")&amp;IF(LEN(O62)&gt;0,O62&amp;newline,"")&amp;indent&amp;"break;","")</f>
        <v/>
      </c>
      <c r="Q62" s="23" t="str">
        <f t="shared" si="2"/>
        <v xml:space="preserve">    {"NOP", -1, AM_AIX, 4, 1},</v>
      </c>
    </row>
    <row r="63" spans="1:17" ht="79.2" x14ac:dyDescent="0.3">
      <c r="A63" s="22">
        <v>61</v>
      </c>
      <c r="B63" s="22" t="s">
        <v>46</v>
      </c>
      <c r="C63" s="22">
        <v>0</v>
      </c>
      <c r="D63" s="22" t="s">
        <v>136</v>
      </c>
      <c r="E63" s="22" t="str">
        <f>_xlfn.IFNA(VLOOKUP(D63,AccessModes!$D$2:$E$13,2,FALSE),"AM_IMP")</f>
        <v>AM_AIX</v>
      </c>
      <c r="F63" s="22">
        <v>4</v>
      </c>
      <c r="G63" s="22">
        <v>1</v>
      </c>
      <c r="H63" s="22" t="str">
        <f>$H$35</f>
        <v>value</v>
      </c>
      <c r="I63" s="22" t="str">
        <f>$I$35</f>
        <v>cpu.A</v>
      </c>
      <c r="J63" s="22" t="str">
        <f>$J$35</f>
        <v/>
      </c>
      <c r="K63" s="22" t="str">
        <f>IF(LEN(H63)&gt;0,indent&amp;H63&amp;" = "&amp;VLOOKUP($E63,AccessModes!$E$2:$I$13,4,FALSE),"")</f>
        <v xml:space="preserve">            value = memory_getAbsoluteIndexedX();</v>
      </c>
      <c r="L63" s="15" t="str">
        <f>$L$35</f>
        <v xml:space="preserve">            cpu.A &amp;= value;</v>
      </c>
      <c r="M63" s="15" t="str">
        <f t="shared" si="0"/>
        <v xml:space="preserve">            cpu.PS_N =  (bool)(cpu.A &amp; 0x80);
            cpu.PS_Z = (cpu.A == 0);</v>
      </c>
      <c r="N63" s="22" t="str">
        <f>IF(LEN(J63)&gt;0,indent&amp;IF(J63="LAST",AccessModes!$I$15&amp;H63,VLOOKUP($E63,AccessModes!$E$2:$I$13,5,FALSE)&amp;J63)&amp;");","")</f>
        <v/>
      </c>
      <c r="O63" s="22"/>
      <c r="P63" s="15" t="str">
        <f>IF(C63=0,indent0&amp;"case 0x"&amp;DEC2HEX(A63)&amp;": /* "&amp;B63&amp;" "&amp;VLOOKUP(E63,AccessModes!$E$2:$G$13,3,FALSE)&amp;" */"&amp;newline&amp;IF(LEN(K63)&gt;0,K63&amp;CHAR(10),"")&amp;IF(LEN(L63)&gt;0,L63&amp;newline,"")&amp;IF(LEN(M63)&gt;0,M63&amp;newline,"")&amp;IF(LEN(N63)&gt;0,N63&amp;newline,"")&amp;IF(LEN(O63)&gt;0,O63&amp;newline,"")&amp;indent&amp;"break;","")</f>
        <v xml:space="preserve">        case 0x3D: /* AND aaaa,X */
            value = memory_getAbsoluteIndexedX();
            cpu.A &amp;= value;
            cpu.PS_N =  (bool)(cpu.A &amp; 0x80);
            cpu.PS_Z = (cpu.A == 0);
            break;</v>
      </c>
      <c r="Q63" s="22" t="str">
        <f t="shared" si="2"/>
        <v xml:space="preserve">    {"AND", 0, AM_AIX, 4, 1},</v>
      </c>
    </row>
    <row r="64" spans="1:17" ht="118.8" x14ac:dyDescent="0.3">
      <c r="A64" s="22">
        <v>62</v>
      </c>
      <c r="B64" s="22" t="s">
        <v>49</v>
      </c>
      <c r="C64" s="22">
        <v>0</v>
      </c>
      <c r="D64" s="22" t="s">
        <v>136</v>
      </c>
      <c r="E64" s="22" t="str">
        <f>_xlfn.IFNA(VLOOKUP(D64,AccessModes!$D$2:$E$13,2,FALSE),"AM_IMP")</f>
        <v>AM_AIX</v>
      </c>
      <c r="F64" s="22">
        <v>7</v>
      </c>
      <c r="G64" s="22">
        <v>0</v>
      </c>
      <c r="H64" s="22" t="str">
        <f>$H$40</f>
        <v>value</v>
      </c>
      <c r="I64" s="22" t="str">
        <f>$I$40</f>
        <v>value</v>
      </c>
      <c r="J64" s="22" t="str">
        <f>$J$40</f>
        <v>LAST</v>
      </c>
      <c r="K64" s="22" t="str">
        <f>IF(LEN(H64)&gt;0,indent&amp;H64&amp;" = "&amp;VLOOKUP($E64,AccessModes!$E$2:$I$13,4,FALSE),"")</f>
        <v xml:space="preserve">            value = memory_getAbsoluteIndexedX();</v>
      </c>
      <c r="L64" s="15" t="str">
        <f>$L$40</f>
        <v xml:space="preserve">            tmp_PS_C = cpu.PS_C;
            cpu.PS_C = (bool)(value &amp; 0x80);
            value = (value &lt;&lt; 1) | (byte)tmp_PS_C;</v>
      </c>
      <c r="M64" s="15" t="str">
        <f t="shared" si="0"/>
        <v xml:space="preserve">            cpu.PS_N =  (bool)(value &amp; 0x80);
            cpu.PS_Z = (value == 0);</v>
      </c>
      <c r="N64" s="22" t="str">
        <f>IF(LEN(J64)&gt;0,indent&amp;IF(J64="LAST",AccessModes!$I$15&amp;H64,VLOOKUP($E64,AccessModes!$E$2:$I$13,5,FALSE)&amp;J64)&amp;");","")</f>
        <v xml:space="preserve">            memory_setLast(value);</v>
      </c>
      <c r="O64" s="22"/>
      <c r="P64" s="15" t="str">
        <f>IF(C64=0,indent0&amp;"case 0x"&amp;DEC2HEX(A64)&amp;": /* "&amp;B64&amp;" "&amp;VLOOKUP(E64,AccessModes!$E$2:$G$13,3,FALSE)&amp;" */"&amp;newline&amp;IF(LEN(K64)&gt;0,K64&amp;CHAR(10),"")&amp;IF(LEN(L64)&gt;0,L64&amp;newline,"")&amp;IF(LEN(M64)&gt;0,M64&amp;newline,"")&amp;IF(LEN(N64)&gt;0,N64&amp;newline,"")&amp;IF(LEN(O64)&gt;0,O64&amp;newline,"")&amp;indent&amp;"break;","")</f>
        <v xml:space="preserve">        case 0x3E: /* ROL aaaa,X */
            value = memory_getAbsoluteIndexedX();
            tmp_PS_C = cpu.PS_C;
            cpu.PS_C = (bool)(value &amp; 0x80);
            value = (value &lt;&lt; 1) | (byte)tmp_PS_C;
            cpu.PS_N =  (bool)(value &amp; 0x80);
            cpu.PS_Z = (value == 0);
            memory_setLast(value);
            break;</v>
      </c>
      <c r="Q64" s="22" t="str">
        <f t="shared" si="2"/>
        <v xml:space="preserve">    {"ROL", 0, AM_AIX, 7, 0},</v>
      </c>
    </row>
    <row r="65" spans="1:17" x14ac:dyDescent="0.3">
      <c r="A65" s="23">
        <v>63</v>
      </c>
      <c r="B65" s="23" t="s">
        <v>47</v>
      </c>
      <c r="C65" s="23">
        <v>-1</v>
      </c>
      <c r="D65" s="23" t="s">
        <v>136</v>
      </c>
      <c r="E65" s="23" t="str">
        <f>_xlfn.IFNA(VLOOKUP(D65,AccessModes!$D$2:$E$13,2,FALSE),"AM_IMP")</f>
        <v>AM_AIX</v>
      </c>
      <c r="F65" s="23">
        <v>7</v>
      </c>
      <c r="G65" s="23">
        <v>0</v>
      </c>
      <c r="H65" s="23"/>
      <c r="I65" s="23"/>
      <c r="J65" s="23"/>
      <c r="K65" s="23" t="str">
        <f>IF(LEN(H65)&gt;0,indent&amp;H65&amp;" = "&amp;VLOOKUP($E65,AccessModes!$E$2:$I$13,4,FALSE),"")</f>
        <v/>
      </c>
      <c r="L65" s="17" t="str">
        <f>indent&amp;"/* TODO: implementation of the action */"</f>
        <v xml:space="preserve">            /* TODO: implementation of the action */</v>
      </c>
      <c r="M65" s="17" t="str">
        <f t="shared" si="0"/>
        <v/>
      </c>
      <c r="N65" s="23" t="str">
        <f>IF(LEN(J65)&gt;0,indent&amp;IF(J65="LAST",AccessModes!$I$15&amp;H65,VLOOKUP($E65,AccessModes!$E$2:$I$13,5,FALSE)&amp;J65)&amp;");","")</f>
        <v/>
      </c>
      <c r="O65" s="23"/>
      <c r="P65" s="17" t="str">
        <f>IF(C65=0,indent0&amp;"case 0x"&amp;DEC2HEX(A65)&amp;": /* "&amp;B65&amp;" "&amp;VLOOKUP(E65,AccessModes!$E$2:$G$13,3,FALSE)&amp;" */"&amp;newline&amp;IF(LEN(K65)&gt;0,K65&amp;CHAR(10),"")&amp;IF(LEN(L65)&gt;0,L65&amp;newline,"")&amp;IF(LEN(M65)&gt;0,M65&amp;newline,"")&amp;IF(LEN(N65)&gt;0,N65&amp;newline,"")&amp;IF(LEN(O65)&gt;0,O65&amp;newline,"")&amp;indent&amp;"break;","")</f>
        <v/>
      </c>
      <c r="Q65" s="23" t="str">
        <f t="shared" si="2"/>
        <v xml:space="preserve">    {"RLA", -1, AM_AIX, 7, 0},</v>
      </c>
    </row>
    <row r="66" spans="1:17" ht="52.8" x14ac:dyDescent="0.3">
      <c r="A66" s="22">
        <v>64</v>
      </c>
      <c r="B66" s="22" t="s">
        <v>55</v>
      </c>
      <c r="C66" s="22">
        <v>0</v>
      </c>
      <c r="D66" s="22" t="s">
        <v>139</v>
      </c>
      <c r="E66" s="22" t="str">
        <f>_xlfn.IFNA(VLOOKUP(D66,AccessModes!$D$2:$E$13,2,FALSE),"AM_IMP")</f>
        <v>AM_IMP</v>
      </c>
      <c r="F66" s="22">
        <v>6</v>
      </c>
      <c r="G66" s="22">
        <v>0</v>
      </c>
      <c r="H66" s="28"/>
      <c r="I66" s="28"/>
      <c r="J66" s="28"/>
      <c r="K66" s="22" t="str">
        <f>IF(LEN(H66)&gt;0,indent&amp;H66&amp;" = "&amp;VLOOKUP($E66,AccessModes!$E$2:$I$13,4,FALSE),"")</f>
        <v/>
      </c>
      <c r="L66" s="29" t="str">
        <f>indent&amp;"cpu_statusPull();"&amp;newline&amp;indent&amp;"cpu.PC = memory_stackPullAddress();"</f>
        <v xml:space="preserve">            cpu_statusPull();
            cpu.PC = memory_stackPullAddress();</v>
      </c>
      <c r="M66" s="15" t="str">
        <f t="shared" ref="M66:M129" si="3">IF(LEN(I66)&gt;0,indent&amp;"cpu.PS_N =  (bool)("&amp;I66&amp;" &amp; 0x80);"&amp;newline&amp;indent&amp;"cpu.PS_Z = ("&amp;I66&amp;" == 0);","")</f>
        <v/>
      </c>
      <c r="N66" s="22" t="str">
        <f>IF(LEN(J66)&gt;0,indent&amp;IF(J66="LAST",AccessModes!$I$15&amp;H66,VLOOKUP($E66,AccessModes!$E$2:$I$13,5,FALSE)&amp;J66)&amp;");","")</f>
        <v/>
      </c>
      <c r="O66" s="22"/>
      <c r="P66" s="15" t="str">
        <f>IF(C66=0,indent0&amp;"case 0x"&amp;DEC2HEX(A66)&amp;": /* "&amp;B66&amp;" "&amp;VLOOKUP(E66,AccessModes!$E$2:$G$13,3,FALSE)&amp;" */"&amp;newline&amp;IF(LEN(K66)&gt;0,K66&amp;CHAR(10),"")&amp;IF(LEN(L66)&gt;0,L66&amp;newline,"")&amp;IF(LEN(M66)&gt;0,M66&amp;newline,"")&amp;IF(LEN(N66)&gt;0,N66&amp;newline,"")&amp;IF(LEN(O66)&gt;0,O66&amp;newline,"")&amp;indent&amp;"break;","")</f>
        <v xml:space="preserve">        case 0x40: /* RTI  */
            cpu_statusPull();
            cpu.PC = memory_stackPullAddress();
            break;</v>
      </c>
      <c r="Q66" s="22" t="str">
        <f t="shared" si="2"/>
        <v xml:space="preserve">    {"RTI", 0, AM_IMP, 6, 0},</v>
      </c>
    </row>
    <row r="67" spans="1:17" ht="79.2" x14ac:dyDescent="0.3">
      <c r="A67" s="22">
        <v>65</v>
      </c>
      <c r="B67" s="22" t="s">
        <v>56</v>
      </c>
      <c r="C67" s="22">
        <v>0</v>
      </c>
      <c r="D67" s="22" t="s">
        <v>129</v>
      </c>
      <c r="E67" s="22" t="str">
        <f>_xlfn.IFNA(VLOOKUP(D67,AccessModes!$D$2:$E$13,2,FALSE),"AM_IMP")</f>
        <v>AM_ZIX</v>
      </c>
      <c r="F67" s="22">
        <v>6</v>
      </c>
      <c r="G67" s="22">
        <v>0</v>
      </c>
      <c r="H67" s="28" t="s">
        <v>224</v>
      </c>
      <c r="I67" s="28" t="s">
        <v>215</v>
      </c>
      <c r="J67" s="28" t="str">
        <f>""</f>
        <v/>
      </c>
      <c r="K67" s="22" t="str">
        <f>IF(LEN(H67)&gt;0,indent&amp;H67&amp;" = "&amp;VLOOKUP($E67,AccessModes!$E$2:$I$13,4,FALSE),"")</f>
        <v xml:space="preserve">            value = memory_getZeroPageIndexedX();</v>
      </c>
      <c r="L67" s="29" t="str">
        <f>indent&amp;I67&amp;" ^= value;"</f>
        <v xml:space="preserve">            cpu.A ^= value;</v>
      </c>
      <c r="M67" s="15" t="str">
        <f t="shared" si="3"/>
        <v xml:space="preserve">            cpu.PS_N =  (bool)(cpu.A &amp; 0x80);
            cpu.PS_Z = (cpu.A == 0);</v>
      </c>
      <c r="N67" s="22" t="str">
        <f>IF(LEN(J67)&gt;0,indent&amp;IF(J67="LAST",AccessModes!$I$15&amp;H67,VLOOKUP($E67,AccessModes!$E$2:$I$13,5,FALSE)&amp;J67)&amp;");","")</f>
        <v/>
      </c>
      <c r="O67" s="22"/>
      <c r="P67" s="15" t="str">
        <f>IF(C67=0,indent0&amp;"case 0x"&amp;DEC2HEX(A67)&amp;": /* "&amp;B67&amp;" "&amp;VLOOKUP(E67,AccessModes!$E$2:$G$13,3,FALSE)&amp;" */"&amp;newline&amp;IF(LEN(K67)&gt;0,K67&amp;CHAR(10),"")&amp;IF(LEN(L67)&gt;0,L67&amp;newline,"")&amp;IF(LEN(M67)&gt;0,M67&amp;newline,"")&amp;IF(LEN(N67)&gt;0,N67&amp;newline,"")&amp;IF(LEN(O67)&gt;0,O67&amp;newline,"")&amp;indent&amp;"break;","")</f>
        <v xml:space="preserve">        case 0x41: /* EOR aa,X */
            value = memory_getZeroPageIndexedX();
            cpu.A ^= value;
            cpu.PS_N =  (bool)(cpu.A &amp; 0x80);
            cpu.PS_Z = (cpu.A == 0);
            break;</v>
      </c>
      <c r="Q67" s="22" t="str">
        <f t="shared" si="2"/>
        <v xml:space="preserve">    {"EOR", 0, AM_ZIX, 6, 0},</v>
      </c>
    </row>
    <row r="68" spans="1:17" x14ac:dyDescent="0.3">
      <c r="A68" s="23">
        <v>66</v>
      </c>
      <c r="B68" s="23" t="s">
        <v>20</v>
      </c>
      <c r="C68" s="23">
        <v>-1</v>
      </c>
      <c r="D68" s="23"/>
      <c r="E68" s="23" t="str">
        <f>_xlfn.IFNA(VLOOKUP(D68,AccessModes!$D$2:$E$13,2,FALSE),"AM_IMP")</f>
        <v>AM_IMP</v>
      </c>
      <c r="F68" s="23">
        <v>0</v>
      </c>
      <c r="G68" s="23">
        <v>0</v>
      </c>
      <c r="H68" s="23"/>
      <c r="I68" s="23"/>
      <c r="J68" s="23"/>
      <c r="K68" s="23" t="str">
        <f>IF(LEN(H68)&gt;0,indent&amp;H68&amp;" = "&amp;VLOOKUP($E68,AccessModes!$E$2:$I$13,4,FALSE),"")</f>
        <v/>
      </c>
      <c r="L68" s="17" t="str">
        <f>indent&amp;"/* TODO: implementation of the action */"</f>
        <v xml:space="preserve">            /* TODO: implementation of the action */</v>
      </c>
      <c r="M68" s="17" t="str">
        <f t="shared" si="3"/>
        <v/>
      </c>
      <c r="N68" s="23" t="str">
        <f>IF(LEN(J68)&gt;0,indent&amp;IF(J68="LAST",AccessModes!$I$15&amp;H68,VLOOKUP($E68,AccessModes!$E$2:$I$13,5,FALSE)&amp;J68)&amp;");","")</f>
        <v/>
      </c>
      <c r="O68" s="23"/>
      <c r="P68" s="17" t="str">
        <f>IF(C68=0,indent0&amp;"case 0x"&amp;DEC2HEX(A68)&amp;": /* "&amp;B68&amp;" "&amp;VLOOKUP(E68,AccessModes!$E$2:$G$13,3,FALSE)&amp;" */"&amp;newline&amp;IF(LEN(K68)&gt;0,K68&amp;CHAR(10),"")&amp;IF(LEN(L68)&gt;0,L68&amp;newline,"")&amp;IF(LEN(M68)&gt;0,M68&amp;newline,"")&amp;IF(LEN(N68)&gt;0,N68&amp;newline,"")&amp;IF(LEN(O68)&gt;0,O68&amp;newline,"")&amp;indent&amp;"break;","")</f>
        <v/>
      </c>
      <c r="Q68" s="23" t="str">
        <f t="shared" si="2"/>
        <v xml:space="preserve">    {"KIL", -1, AM_IMP, 0, 0},</v>
      </c>
    </row>
    <row r="69" spans="1:17" x14ac:dyDescent="0.3">
      <c r="A69" s="23">
        <v>67</v>
      </c>
      <c r="B69" s="23" t="s">
        <v>57</v>
      </c>
      <c r="C69" s="23">
        <v>-1</v>
      </c>
      <c r="D69" s="23" t="s">
        <v>129</v>
      </c>
      <c r="E69" s="23" t="str">
        <f>_xlfn.IFNA(VLOOKUP(D69,AccessModes!$D$2:$E$13,2,FALSE),"AM_IMP")</f>
        <v>AM_ZIX</v>
      </c>
      <c r="F69" s="23">
        <v>8</v>
      </c>
      <c r="G69" s="23">
        <v>0</v>
      </c>
      <c r="H69" s="23"/>
      <c r="I69" s="23"/>
      <c r="J69" s="23"/>
      <c r="K69" s="23" t="str">
        <f>IF(LEN(H69)&gt;0,indent&amp;H69&amp;" = "&amp;VLOOKUP($E69,AccessModes!$E$2:$I$13,4,FALSE),"")</f>
        <v/>
      </c>
      <c r="L69" s="17" t="str">
        <f>indent&amp;"/* TODO: implementation of the action */"</f>
        <v xml:space="preserve">            /* TODO: implementation of the action */</v>
      </c>
      <c r="M69" s="17" t="str">
        <f t="shared" si="3"/>
        <v/>
      </c>
      <c r="N69" s="23" t="str">
        <f>IF(LEN(J69)&gt;0,indent&amp;IF(J69="LAST",AccessModes!$I$15&amp;H69,VLOOKUP($E69,AccessModes!$E$2:$I$13,5,FALSE)&amp;J69)&amp;");","")</f>
        <v/>
      </c>
      <c r="O69" s="23"/>
      <c r="P69" s="17" t="str">
        <f>IF(C69=0,indent0&amp;"case 0x"&amp;DEC2HEX(A69)&amp;": /* "&amp;B69&amp;" "&amp;VLOOKUP(E69,AccessModes!$E$2:$G$13,3,FALSE)&amp;" */"&amp;newline&amp;IF(LEN(K69)&gt;0,K69&amp;CHAR(10),"")&amp;IF(LEN(L69)&gt;0,L69&amp;newline,"")&amp;IF(LEN(M69)&gt;0,M69&amp;newline,"")&amp;IF(LEN(N69)&gt;0,N69&amp;newline,"")&amp;IF(LEN(O69)&gt;0,O69&amp;newline,"")&amp;indent&amp;"break;","")</f>
        <v/>
      </c>
      <c r="Q69" s="23" t="str">
        <f t="shared" si="2"/>
        <v xml:space="preserve">    {"SRE", -1, AM_ZIX, 8, 0},</v>
      </c>
    </row>
    <row r="70" spans="1:17" x14ac:dyDescent="0.3">
      <c r="A70" s="23">
        <v>68</v>
      </c>
      <c r="B70" s="23" t="s">
        <v>23</v>
      </c>
      <c r="C70" s="23">
        <v>-1</v>
      </c>
      <c r="D70" s="23" t="s">
        <v>144</v>
      </c>
      <c r="E70" s="23" t="str">
        <f>_xlfn.IFNA(VLOOKUP(D70,AccessModes!$D$2:$E$13,2,FALSE),"AM_IMP")</f>
        <v>AM_ZPG</v>
      </c>
      <c r="F70" s="23">
        <v>3</v>
      </c>
      <c r="G70" s="23">
        <v>0</v>
      </c>
      <c r="H70" s="23"/>
      <c r="I70" s="23"/>
      <c r="J70" s="23"/>
      <c r="K70" s="23" t="str">
        <f>IF(LEN(H70)&gt;0,indent&amp;H70&amp;" = "&amp;VLOOKUP($E70,AccessModes!$E$2:$I$13,4,FALSE),"")</f>
        <v/>
      </c>
      <c r="L70" s="17" t="str">
        <f>indent&amp;"/* TODO: implementation of the action */"</f>
        <v xml:space="preserve">            /* TODO: implementation of the action */</v>
      </c>
      <c r="M70" s="17" t="str">
        <f t="shared" si="3"/>
        <v/>
      </c>
      <c r="N70" s="23" t="str">
        <f>IF(LEN(J70)&gt;0,indent&amp;IF(J70="LAST",AccessModes!$I$15&amp;H70,VLOOKUP($E70,AccessModes!$E$2:$I$13,5,FALSE)&amp;J70)&amp;");","")</f>
        <v/>
      </c>
      <c r="O70" s="23"/>
      <c r="P70" s="17" t="str">
        <f>IF(C70=0,indent0&amp;"case 0x"&amp;DEC2HEX(A70)&amp;": /* "&amp;B70&amp;" "&amp;VLOOKUP(E70,AccessModes!$E$2:$G$13,3,FALSE)&amp;" */"&amp;newline&amp;IF(LEN(K70)&gt;0,K70&amp;CHAR(10),"")&amp;IF(LEN(L70)&gt;0,L70&amp;newline,"")&amp;IF(LEN(M70)&gt;0,M70&amp;newline,"")&amp;IF(LEN(N70)&gt;0,N70&amp;newline,"")&amp;IF(LEN(O70)&gt;0,O70&amp;newline,"")&amp;indent&amp;"break;","")</f>
        <v/>
      </c>
      <c r="Q70" s="23" t="str">
        <f t="shared" si="2"/>
        <v xml:space="preserve">    {"NOP", -1, AM_ZPG, 3, 0},</v>
      </c>
    </row>
    <row r="71" spans="1:17" ht="79.2" x14ac:dyDescent="0.3">
      <c r="A71" s="22">
        <v>69</v>
      </c>
      <c r="B71" s="22" t="s">
        <v>56</v>
      </c>
      <c r="C71" s="22">
        <v>0</v>
      </c>
      <c r="D71" s="22" t="s">
        <v>144</v>
      </c>
      <c r="E71" s="22" t="str">
        <f>_xlfn.IFNA(VLOOKUP(D71,AccessModes!$D$2:$E$13,2,FALSE),"AM_IMP")</f>
        <v>AM_ZPG</v>
      </c>
      <c r="F71" s="22">
        <v>3</v>
      </c>
      <c r="G71" s="22">
        <v>0</v>
      </c>
      <c r="H71" s="22" t="str">
        <f>$H$67</f>
        <v>value</v>
      </c>
      <c r="I71" s="22" t="str">
        <f>$I$67</f>
        <v>cpu.A</v>
      </c>
      <c r="J71" s="22" t="str">
        <f>$J$67</f>
        <v/>
      </c>
      <c r="K71" s="22" t="str">
        <f>IF(LEN(H71)&gt;0,indent&amp;H71&amp;" = "&amp;VLOOKUP($E71,AccessModes!$E$2:$I$13,4,FALSE),"")</f>
        <v xml:space="preserve">            value = memory_getZeroPage();</v>
      </c>
      <c r="L71" s="15" t="str">
        <f>$L$67</f>
        <v xml:space="preserve">            cpu.A ^= value;</v>
      </c>
      <c r="M71" s="15" t="str">
        <f t="shared" si="3"/>
        <v xml:space="preserve">            cpu.PS_N =  (bool)(cpu.A &amp; 0x80);
            cpu.PS_Z = (cpu.A == 0);</v>
      </c>
      <c r="N71" s="22" t="str">
        <f>IF(LEN(J71)&gt;0,indent&amp;IF(J71="LAST",AccessModes!$I$15&amp;H71,VLOOKUP($E71,AccessModes!$E$2:$I$13,5,FALSE)&amp;J71)&amp;");","")</f>
        <v/>
      </c>
      <c r="O71" s="22"/>
      <c r="P71" s="15" t="str">
        <f>IF(C71=0,indent0&amp;"case 0x"&amp;DEC2HEX(A71)&amp;": /* "&amp;B71&amp;" "&amp;VLOOKUP(E71,AccessModes!$E$2:$G$13,3,FALSE)&amp;" */"&amp;newline&amp;IF(LEN(K71)&gt;0,K71&amp;CHAR(10),"")&amp;IF(LEN(L71)&gt;0,L71&amp;newline,"")&amp;IF(LEN(M71)&gt;0,M71&amp;newline,"")&amp;IF(LEN(N71)&gt;0,N71&amp;newline,"")&amp;IF(LEN(O71)&gt;0,O71&amp;newline,"")&amp;indent&amp;"break;","")</f>
        <v xml:space="preserve">        case 0x45: /* EOR aa */
            value = memory_getZeroPage();
            cpu.A ^= value;
            cpu.PS_N =  (bool)(cpu.A &amp; 0x80);
            cpu.PS_Z = (cpu.A == 0);
            break;</v>
      </c>
      <c r="Q71" s="22" t="str">
        <f t="shared" si="2"/>
        <v xml:space="preserve">    {"EOR", 0, AM_ZPG, 3, 0},</v>
      </c>
    </row>
    <row r="72" spans="1:17" ht="105.6" x14ac:dyDescent="0.3">
      <c r="A72" s="22">
        <v>70</v>
      </c>
      <c r="B72" s="22" t="s">
        <v>58</v>
      </c>
      <c r="C72" s="22">
        <v>0</v>
      </c>
      <c r="D72" s="22" t="s">
        <v>144</v>
      </c>
      <c r="E72" s="22" t="str">
        <f>_xlfn.IFNA(VLOOKUP(D72,AccessModes!$D$2:$E$13,2,FALSE),"AM_IMP")</f>
        <v>AM_ZPG</v>
      </c>
      <c r="F72" s="22">
        <v>5</v>
      </c>
      <c r="G72" s="22">
        <v>0</v>
      </c>
      <c r="H72" s="28" t="s">
        <v>224</v>
      </c>
      <c r="I72" s="28" t="s">
        <v>224</v>
      </c>
      <c r="J72" s="28" t="s">
        <v>227</v>
      </c>
      <c r="K72" s="22" t="str">
        <f>IF(LEN(H72)&gt;0,indent&amp;H72&amp;" = "&amp;VLOOKUP($E72,AccessModes!$E$2:$I$13,4,FALSE),"")</f>
        <v xml:space="preserve">            value = memory_getZeroPage();</v>
      </c>
      <c r="L72" s="29" t="str">
        <f>indent&amp;"cpu.PS_C = (bool)("&amp; I72 &amp; " &amp; 0x01);"&amp; newline &amp; indent &amp; I72 &amp;" &gt;&gt;= 1;"</f>
        <v xml:space="preserve">            cpu.PS_C = (bool)(value &amp; 0x01);
            value &gt;&gt;= 1;</v>
      </c>
      <c r="M72" s="15" t="str">
        <f t="shared" si="3"/>
        <v xml:space="preserve">            cpu.PS_N =  (bool)(value &amp; 0x80);
            cpu.PS_Z = (value == 0);</v>
      </c>
      <c r="N72" s="22" t="str">
        <f>IF(LEN(J72)&gt;0,indent&amp;IF(J72="LAST",AccessModes!$I$15&amp;H72,VLOOKUP($E72,AccessModes!$E$2:$I$13,5,FALSE)&amp;J72)&amp;");","")</f>
        <v xml:space="preserve">            memory_setLast(value);</v>
      </c>
      <c r="O72" s="22"/>
      <c r="P72" s="15" t="str">
        <f>IF(C72=0,indent0&amp;"case 0x"&amp;DEC2HEX(A72)&amp;": /* "&amp;B72&amp;" "&amp;VLOOKUP(E72,AccessModes!$E$2:$G$13,3,FALSE)&amp;" */"&amp;newline&amp;IF(LEN(K72)&gt;0,K72&amp;CHAR(10),"")&amp;IF(LEN(L72)&gt;0,L72&amp;newline,"")&amp;IF(LEN(M72)&gt;0,M72&amp;newline,"")&amp;IF(LEN(N72)&gt;0,N72&amp;newline,"")&amp;IF(LEN(O72)&gt;0,O72&amp;newline,"")&amp;indent&amp;"break;","")</f>
        <v xml:space="preserve">        case 0x46: /* LSR aa */
            value = memory_getZeroPage();
            cpu.PS_C = (bool)(value &amp; 0x01);
            value &gt;&gt;= 1;
            cpu.PS_N =  (bool)(value &amp; 0x80);
            cpu.PS_Z = (value == 0);
            memory_setLast(value);
            break;</v>
      </c>
      <c r="Q72" s="22" t="str">
        <f t="shared" si="2"/>
        <v xml:space="preserve">    {"LSR", 0, AM_ZPG, 5, 0},</v>
      </c>
    </row>
    <row r="73" spans="1:17" x14ac:dyDescent="0.3">
      <c r="A73" s="23">
        <v>71</v>
      </c>
      <c r="B73" s="23" t="s">
        <v>57</v>
      </c>
      <c r="C73" s="23">
        <v>-1</v>
      </c>
      <c r="D73" s="23" t="s">
        <v>144</v>
      </c>
      <c r="E73" s="23" t="str">
        <f>_xlfn.IFNA(VLOOKUP(D73,AccessModes!$D$2:$E$13,2,FALSE),"AM_IMP")</f>
        <v>AM_ZPG</v>
      </c>
      <c r="F73" s="23">
        <v>5</v>
      </c>
      <c r="G73" s="23">
        <v>0</v>
      </c>
      <c r="H73" s="23"/>
      <c r="I73" s="23"/>
      <c r="J73" s="23"/>
      <c r="K73" s="23" t="str">
        <f>IF(LEN(H73)&gt;0,indent&amp;H73&amp;" = "&amp;VLOOKUP($E73,AccessModes!$E$2:$I$13,4,FALSE),"")</f>
        <v/>
      </c>
      <c r="L73" s="17" t="str">
        <f>indent&amp;"/* TODO: implementation of the action */"</f>
        <v xml:space="preserve">            /* TODO: implementation of the action */</v>
      </c>
      <c r="M73" s="17" t="str">
        <f t="shared" si="3"/>
        <v/>
      </c>
      <c r="N73" s="23" t="str">
        <f>IF(LEN(J73)&gt;0,indent&amp;IF(J73="LAST",AccessModes!$I$15&amp;H73,VLOOKUP($E73,AccessModes!$E$2:$I$13,5,FALSE)&amp;J73)&amp;");","")</f>
        <v/>
      </c>
      <c r="O73" s="23"/>
      <c r="P73" s="17" t="str">
        <f>IF(C73=0,indent0&amp;"case 0x"&amp;DEC2HEX(A73)&amp;": /* "&amp;B73&amp;" "&amp;VLOOKUP(E73,AccessModes!$E$2:$G$13,3,FALSE)&amp;" */"&amp;newline&amp;IF(LEN(K73)&gt;0,K73&amp;CHAR(10),"")&amp;IF(LEN(L73)&gt;0,L73&amp;newline,"")&amp;IF(LEN(M73)&gt;0,M73&amp;newline,"")&amp;IF(LEN(N73)&gt;0,N73&amp;newline,"")&amp;IF(LEN(O73)&gt;0,O73&amp;newline,"")&amp;indent&amp;"break;","")</f>
        <v/>
      </c>
      <c r="Q73" s="23" t="str">
        <f t="shared" si="2"/>
        <v xml:space="preserve">    {"SRE", -1, AM_ZPG, 5, 0},</v>
      </c>
    </row>
    <row r="74" spans="1:17" ht="39.6" x14ac:dyDescent="0.3">
      <c r="A74" s="22">
        <v>72</v>
      </c>
      <c r="B74" s="22" t="s">
        <v>59</v>
      </c>
      <c r="C74" s="22">
        <v>0</v>
      </c>
      <c r="D74" s="22" t="s">
        <v>139</v>
      </c>
      <c r="E74" s="16" t="str">
        <f>_xlfn.IFNA(VLOOKUP(D74,AccessModes!$D$2:$E$13,2,FALSE),"AM_IMP")</f>
        <v>AM_IMP</v>
      </c>
      <c r="F74" s="22">
        <v>3</v>
      </c>
      <c r="G74" s="22">
        <v>0</v>
      </c>
      <c r="H74" s="28"/>
      <c r="I74" s="28"/>
      <c r="J74" s="28"/>
      <c r="K74" s="22" t="str">
        <f>IF(LEN(H74)&gt;0,indent&amp;H74&amp;" = "&amp;VLOOKUP($E74,AccessModes!$E$2:$I$13,4,FALSE),"")</f>
        <v/>
      </c>
      <c r="L74" s="29" t="str">
        <f>indent&amp;"memory_stackPush(cpu.A);"</f>
        <v xml:space="preserve">            memory_stackPush(cpu.A);</v>
      </c>
      <c r="M74" s="15" t="str">
        <f t="shared" si="3"/>
        <v/>
      </c>
      <c r="N74" s="22" t="str">
        <f>IF(LEN(J74)&gt;0,indent&amp;IF(J74="LAST",AccessModes!$I$15&amp;H74,VLOOKUP($E74,AccessModes!$E$2:$I$13,5,FALSE)&amp;J74)&amp;");","")</f>
        <v/>
      </c>
      <c r="O74" s="22"/>
      <c r="P74" s="15" t="str">
        <f>IF(C74=0,indent0&amp;"case 0x"&amp;DEC2HEX(A74)&amp;": /* "&amp;B74&amp;" "&amp;VLOOKUP(E74,AccessModes!$E$2:$G$13,3,FALSE)&amp;" */"&amp;newline&amp;IF(LEN(K74)&gt;0,K74&amp;CHAR(10),"")&amp;IF(LEN(L74)&gt;0,L74&amp;newline,"")&amp;IF(LEN(M74)&gt;0,M74&amp;newline,"")&amp;IF(LEN(N74)&gt;0,N74&amp;newline,"")&amp;IF(LEN(O74)&gt;0,O74&amp;newline,"")&amp;indent&amp;"break;","")</f>
        <v xml:space="preserve">        case 0x48: /* PHA  */
            memory_stackPush(cpu.A);
            break;</v>
      </c>
      <c r="Q74" s="22" t="str">
        <f t="shared" si="2"/>
        <v xml:space="preserve">    {"PHA", 0, AM_IMP, 3, 0},</v>
      </c>
    </row>
    <row r="75" spans="1:17" ht="79.2" x14ac:dyDescent="0.3">
      <c r="A75" s="22">
        <v>73</v>
      </c>
      <c r="B75" s="22" t="s">
        <v>56</v>
      </c>
      <c r="C75" s="22">
        <v>0</v>
      </c>
      <c r="D75" s="22" t="s">
        <v>130</v>
      </c>
      <c r="E75" s="22" t="str">
        <f>_xlfn.IFNA(VLOOKUP(D75,AccessModes!$D$2:$E$13,2,FALSE),"AM_IMP")</f>
        <v>AM_IMM</v>
      </c>
      <c r="F75" s="22">
        <v>2</v>
      </c>
      <c r="G75" s="22">
        <v>0</v>
      </c>
      <c r="H75" s="22" t="str">
        <f>$H$67</f>
        <v>value</v>
      </c>
      <c r="I75" s="22" t="str">
        <f>$I$67</f>
        <v>cpu.A</v>
      </c>
      <c r="J75" s="22" t="str">
        <f>$J$67</f>
        <v/>
      </c>
      <c r="K75" s="22" t="str">
        <f>IF(LEN(H75)&gt;0,indent&amp;H75&amp;" = "&amp;VLOOKUP($E75,AccessModes!$E$2:$I$13,4,FALSE),"")</f>
        <v xml:space="preserve">            value = memory_getImmediate();</v>
      </c>
      <c r="L75" s="15" t="str">
        <f>$L$67</f>
        <v xml:space="preserve">            cpu.A ^= value;</v>
      </c>
      <c r="M75" s="15" t="str">
        <f t="shared" si="3"/>
        <v xml:space="preserve">            cpu.PS_N =  (bool)(cpu.A &amp; 0x80);
            cpu.PS_Z = (cpu.A == 0);</v>
      </c>
      <c r="N75" s="22" t="str">
        <f>IF(LEN(J75)&gt;0,indent&amp;IF(J75="LAST",AccessModes!$I$15&amp;H75,VLOOKUP($E75,AccessModes!$E$2:$I$13,5,FALSE)&amp;J75)&amp;");","")</f>
        <v/>
      </c>
      <c r="O75" s="22"/>
      <c r="P75" s="15" t="str">
        <f>IF(C75=0,indent0&amp;"case 0x"&amp;DEC2HEX(A75)&amp;": /* "&amp;B75&amp;" "&amp;VLOOKUP(E75,AccessModes!$E$2:$G$13,3,FALSE)&amp;" */"&amp;newline&amp;IF(LEN(K75)&gt;0,K75&amp;CHAR(10),"")&amp;IF(LEN(L75)&gt;0,L75&amp;newline,"")&amp;IF(LEN(M75)&gt;0,M75&amp;newline,"")&amp;IF(LEN(N75)&gt;0,N75&amp;newline,"")&amp;IF(LEN(O75)&gt;0,O75&amp;newline,"")&amp;indent&amp;"break;","")</f>
        <v xml:space="preserve">        case 0x49: /* EOR #aa */
            value = memory_getImmediate();
            cpu.A ^= value;
            cpu.PS_N =  (bool)(cpu.A &amp; 0x80);
            cpu.PS_Z = (cpu.A == 0);
            break;</v>
      </c>
      <c r="Q75" s="22" t="str">
        <f t="shared" si="2"/>
        <v xml:space="preserve">    {"EOR", 0, AM_IMM, 2, 0},</v>
      </c>
    </row>
    <row r="76" spans="1:17" ht="79.2" x14ac:dyDescent="0.3">
      <c r="A76" s="22">
        <v>74</v>
      </c>
      <c r="B76" s="22" t="s">
        <v>58</v>
      </c>
      <c r="C76" s="22">
        <v>0</v>
      </c>
      <c r="D76" s="22" t="s">
        <v>139</v>
      </c>
      <c r="E76" s="22" t="str">
        <f>_xlfn.IFNA(VLOOKUP(D76,AccessModes!$D$2:$E$13,2,FALSE),"AM_IMP")</f>
        <v>AM_IMP</v>
      </c>
      <c r="F76" s="22">
        <v>2</v>
      </c>
      <c r="G76" s="22">
        <v>0</v>
      </c>
      <c r="H76" s="28" t="str">
        <f>""</f>
        <v/>
      </c>
      <c r="I76" s="28" t="s">
        <v>215</v>
      </c>
      <c r="J76" s="28" t="str">
        <f>""</f>
        <v/>
      </c>
      <c r="K76" s="22" t="str">
        <f>IF(LEN(H76)&gt;0,indent&amp;H76&amp;" = "&amp;VLOOKUP($E76,AccessModes!$E$2:$I$13,4,FALSE),"")</f>
        <v/>
      </c>
      <c r="L76" s="29" t="str">
        <f>indent&amp;"cpu.PS_C = (bool)("&amp; I76 &amp; " &amp; 0x01);"&amp; newline &amp; indent &amp; I76 &amp;" &gt;&gt;= 1;"</f>
        <v xml:space="preserve">            cpu.PS_C = (bool)(cpu.A &amp; 0x01);
            cpu.A &gt;&gt;= 1;</v>
      </c>
      <c r="M76" s="15" t="str">
        <f t="shared" si="3"/>
        <v xml:space="preserve">            cpu.PS_N =  (bool)(cpu.A &amp; 0x80);
            cpu.PS_Z = (cpu.A == 0);</v>
      </c>
      <c r="N76" s="22" t="str">
        <f>IF(LEN(J76)&gt;0,indent&amp;IF(J76="LAST",AccessModes!$I$15&amp;H76,VLOOKUP($E76,AccessModes!$E$2:$I$13,5,FALSE)&amp;J76)&amp;");","")</f>
        <v/>
      </c>
      <c r="O76" s="22"/>
      <c r="P76" s="15" t="str">
        <f>IF(C76=0,indent0&amp;"case 0x"&amp;DEC2HEX(A76)&amp;": /* "&amp;B76&amp;" "&amp;VLOOKUP(E76,AccessModes!$E$2:$G$13,3,FALSE)&amp;" */"&amp;newline&amp;IF(LEN(K76)&gt;0,K76&amp;CHAR(10),"")&amp;IF(LEN(L76)&gt;0,L76&amp;newline,"")&amp;IF(LEN(M76)&gt;0,M76&amp;newline,"")&amp;IF(LEN(N76)&gt;0,N76&amp;newline,"")&amp;IF(LEN(O76)&gt;0,O76&amp;newline,"")&amp;indent&amp;"break;","")</f>
        <v xml:space="preserve">        case 0x4A: /* LSR  */
            cpu.PS_C = (bool)(cpu.A &amp; 0x01);
            cpu.A &gt;&gt;= 1;
            cpu.PS_N =  (bool)(cpu.A &amp; 0x80);
            cpu.PS_Z = (cpu.A == 0);
            break;</v>
      </c>
      <c r="Q76" s="22" t="str">
        <f t="shared" si="2"/>
        <v xml:space="preserve">    {"LSR", 0, AM_IMP, 2, 0},</v>
      </c>
    </row>
    <row r="77" spans="1:17" x14ac:dyDescent="0.3">
      <c r="A77" s="23">
        <v>75</v>
      </c>
      <c r="B77" s="23" t="s">
        <v>60</v>
      </c>
      <c r="C77" s="23">
        <v>-1</v>
      </c>
      <c r="D77" s="23" t="s">
        <v>130</v>
      </c>
      <c r="E77" s="23" t="str">
        <f>_xlfn.IFNA(VLOOKUP(D77,AccessModes!$D$2:$E$13,2,FALSE),"AM_IMP")</f>
        <v>AM_IMM</v>
      </c>
      <c r="F77" s="23">
        <v>2</v>
      </c>
      <c r="G77" s="23">
        <v>0</v>
      </c>
      <c r="H77" s="23"/>
      <c r="I77" s="23"/>
      <c r="J77" s="23"/>
      <c r="K77" s="23" t="str">
        <f>IF(LEN(H77)&gt;0,indent&amp;H77&amp;" = "&amp;VLOOKUP($E77,AccessModes!$E$2:$I$13,4,FALSE),"")</f>
        <v/>
      </c>
      <c r="L77" s="17" t="str">
        <f>indent&amp;"/* TODO: implementation of the action */"</f>
        <v xml:space="preserve">            /* TODO: implementation of the action */</v>
      </c>
      <c r="M77" s="17" t="str">
        <f t="shared" si="3"/>
        <v/>
      </c>
      <c r="N77" s="23" t="str">
        <f>IF(LEN(J77)&gt;0,indent&amp;IF(J77="LAST",AccessModes!$I$15&amp;H77,VLOOKUP($E77,AccessModes!$E$2:$I$13,5,FALSE)&amp;J77)&amp;");","")</f>
        <v/>
      </c>
      <c r="O77" s="23"/>
      <c r="P77" s="17" t="str">
        <f>IF(C77=0,indent0&amp;"case 0x"&amp;DEC2HEX(A77)&amp;": /* "&amp;B77&amp;" "&amp;VLOOKUP(E77,AccessModes!$E$2:$G$13,3,FALSE)&amp;" */"&amp;newline&amp;IF(LEN(K77)&gt;0,K77&amp;CHAR(10),"")&amp;IF(LEN(L77)&gt;0,L77&amp;newline,"")&amp;IF(LEN(M77)&gt;0,M77&amp;newline,"")&amp;IF(LEN(N77)&gt;0,N77&amp;newline,"")&amp;IF(LEN(O77)&gt;0,O77&amp;newline,"")&amp;indent&amp;"break;","")</f>
        <v/>
      </c>
      <c r="Q77" s="23" t="str">
        <f t="shared" si="2"/>
        <v xml:space="preserve">    {"ALR", -1, AM_IMM, 2, 0},</v>
      </c>
    </row>
    <row r="78" spans="1:17" ht="39.6" x14ac:dyDescent="0.3">
      <c r="A78" s="22">
        <v>76</v>
      </c>
      <c r="B78" s="22" t="s">
        <v>61</v>
      </c>
      <c r="C78" s="22">
        <v>0</v>
      </c>
      <c r="D78" s="22" t="s">
        <v>131</v>
      </c>
      <c r="E78" s="22" t="str">
        <f>_xlfn.IFNA(VLOOKUP(D78,AccessModes!$D$2:$E$13,2,FALSE),"AM_IMP")</f>
        <v>AM_ABS</v>
      </c>
      <c r="F78" s="22">
        <v>3</v>
      </c>
      <c r="G78" s="22">
        <v>0</v>
      </c>
      <c r="H78" s="28" t="s">
        <v>241</v>
      </c>
      <c r="I78" s="28" t="str">
        <f>""</f>
        <v/>
      </c>
      <c r="J78" s="28" t="str">
        <f>""</f>
        <v/>
      </c>
      <c r="K78" s="22" t="str">
        <f>IF(LEN(H78)&gt;0,indent&amp;H78&amp;" = "&amp;VLOOKUP($E78,AccessModes!$E$2:$I$13,4,FALSE),"")</f>
        <v xml:space="preserve">            cpu.PC = memory_getAbsolute();</v>
      </c>
      <c r="L78" s="29" t="str">
        <f>""</f>
        <v/>
      </c>
      <c r="M78" s="15" t="str">
        <f t="shared" si="3"/>
        <v/>
      </c>
      <c r="N78" s="22" t="str">
        <f>IF(LEN(J78)&gt;0,indent&amp;IF(J78="LAST",AccessModes!$I$15&amp;H78,VLOOKUP($E78,AccessModes!$E$2:$I$13,5,FALSE)&amp;J78)&amp;");","")</f>
        <v/>
      </c>
      <c r="O78" s="22"/>
      <c r="P78" s="15" t="str">
        <f>IF(C78=0,indent0&amp;"case 0x"&amp;DEC2HEX(A78)&amp;": /* "&amp;B78&amp;" "&amp;VLOOKUP(E78,AccessModes!$E$2:$G$13,3,FALSE)&amp;" */"&amp;newline&amp;IF(LEN(K78)&gt;0,K78&amp;CHAR(10),"")&amp;IF(LEN(L78)&gt;0,L78&amp;newline,"")&amp;IF(LEN(M78)&gt;0,M78&amp;newline,"")&amp;IF(LEN(N78)&gt;0,N78&amp;newline,"")&amp;IF(LEN(O78)&gt;0,O78&amp;newline,"")&amp;indent&amp;"break;","")</f>
        <v xml:space="preserve">        case 0x4C: /* JMP aaaa */
            cpu.PC = memory_getAbsolute();
            break;</v>
      </c>
      <c r="Q78" s="22" t="str">
        <f t="shared" si="2"/>
        <v xml:space="preserve">    {"JMP", 0, AM_ABS, 3, 0},</v>
      </c>
    </row>
    <row r="79" spans="1:17" ht="79.2" x14ac:dyDescent="0.3">
      <c r="A79" s="22">
        <v>77</v>
      </c>
      <c r="B79" s="22" t="s">
        <v>56</v>
      </c>
      <c r="C79" s="22">
        <v>0</v>
      </c>
      <c r="D79" s="22" t="s">
        <v>131</v>
      </c>
      <c r="E79" s="22" t="str">
        <f>_xlfn.IFNA(VLOOKUP(D79,AccessModes!$D$2:$E$13,2,FALSE),"AM_IMP")</f>
        <v>AM_ABS</v>
      </c>
      <c r="F79" s="22">
        <v>4</v>
      </c>
      <c r="G79" s="22">
        <v>0</v>
      </c>
      <c r="H79" s="22" t="str">
        <f>$H$67</f>
        <v>value</v>
      </c>
      <c r="I79" s="22" t="str">
        <f>$I$67</f>
        <v>cpu.A</v>
      </c>
      <c r="J79" s="22" t="str">
        <f>$J$67</f>
        <v/>
      </c>
      <c r="K79" s="22" t="str">
        <f>IF(LEN(H79)&gt;0,indent&amp;H79&amp;" = "&amp;VLOOKUP($E79,AccessModes!$E$2:$I$13,4,FALSE),"")</f>
        <v xml:space="preserve">            value = memory_getAbsolute();</v>
      </c>
      <c r="L79" s="15" t="str">
        <f>$L$67</f>
        <v xml:space="preserve">            cpu.A ^= value;</v>
      </c>
      <c r="M79" s="15" t="str">
        <f t="shared" si="3"/>
        <v xml:space="preserve">            cpu.PS_N =  (bool)(cpu.A &amp; 0x80);
            cpu.PS_Z = (cpu.A == 0);</v>
      </c>
      <c r="N79" s="22" t="str">
        <f>IF(LEN(J79)&gt;0,indent&amp;IF(J79="LAST",AccessModes!$I$15&amp;H79,VLOOKUP($E79,AccessModes!$E$2:$I$13,5,FALSE)&amp;J79)&amp;");","")</f>
        <v/>
      </c>
      <c r="O79" s="22"/>
      <c r="P79" s="15" t="str">
        <f>IF(C79=0,indent0&amp;"case 0x"&amp;DEC2HEX(A79)&amp;": /* "&amp;B79&amp;" "&amp;VLOOKUP(E79,AccessModes!$E$2:$G$13,3,FALSE)&amp;" */"&amp;newline&amp;IF(LEN(K79)&gt;0,K79&amp;CHAR(10),"")&amp;IF(LEN(L79)&gt;0,L79&amp;newline,"")&amp;IF(LEN(M79)&gt;0,M79&amp;newline,"")&amp;IF(LEN(N79)&gt;0,N79&amp;newline,"")&amp;IF(LEN(O79)&gt;0,O79&amp;newline,"")&amp;indent&amp;"break;","")</f>
        <v xml:space="preserve">        case 0x4D: /* EOR aaaa */
            value = memory_getAbsolute();
            cpu.A ^= value;
            cpu.PS_N =  (bool)(cpu.A &amp; 0x80);
            cpu.PS_Z = (cpu.A == 0);
            break;</v>
      </c>
      <c r="Q79" s="22" t="str">
        <f t="shared" si="2"/>
        <v xml:space="preserve">    {"EOR", 0, AM_ABS, 4, 0},</v>
      </c>
    </row>
    <row r="80" spans="1:17" ht="105.6" x14ac:dyDescent="0.3">
      <c r="A80" s="22">
        <v>78</v>
      </c>
      <c r="B80" s="22" t="s">
        <v>58</v>
      </c>
      <c r="C80" s="22">
        <v>0</v>
      </c>
      <c r="D80" s="22" t="s">
        <v>131</v>
      </c>
      <c r="E80" s="22" t="str">
        <f>_xlfn.IFNA(VLOOKUP(D80,AccessModes!$D$2:$E$13,2,FALSE),"AM_IMP")</f>
        <v>AM_ABS</v>
      </c>
      <c r="F80" s="22">
        <v>6</v>
      </c>
      <c r="G80" s="22">
        <v>0</v>
      </c>
      <c r="H80" s="22" t="str">
        <f>$H$8</f>
        <v>value</v>
      </c>
      <c r="I80" s="22" t="str">
        <f>$I$8</f>
        <v>value</v>
      </c>
      <c r="J80" s="22" t="str">
        <f>$J$8</f>
        <v>LAST</v>
      </c>
      <c r="K80" s="22" t="str">
        <f>IF(LEN(H80)&gt;0,indent&amp;H80&amp;" = "&amp;VLOOKUP($E80,AccessModes!$E$2:$I$13,4,FALSE),"")</f>
        <v xml:space="preserve">            value = memory_getAbsolute();</v>
      </c>
      <c r="L80" s="15" t="str">
        <f>$L$72</f>
        <v xml:space="preserve">            cpu.PS_C = (bool)(value &amp; 0x01);
            value &gt;&gt;= 1;</v>
      </c>
      <c r="M80" s="15" t="str">
        <f t="shared" si="3"/>
        <v xml:space="preserve">            cpu.PS_N =  (bool)(value &amp; 0x80);
            cpu.PS_Z = (value == 0);</v>
      </c>
      <c r="N80" s="22" t="str">
        <f>IF(LEN(J80)&gt;0,indent&amp;IF(J80="LAST",AccessModes!$I$15&amp;H80,VLOOKUP($E80,AccessModes!$E$2:$I$13,5,FALSE)&amp;J80)&amp;");","")</f>
        <v xml:space="preserve">            memory_setLast(value);</v>
      </c>
      <c r="O80" s="22"/>
      <c r="P80" s="15" t="str">
        <f>IF(C80=0,indent0&amp;"case 0x"&amp;DEC2HEX(A80)&amp;": /* "&amp;B80&amp;" "&amp;VLOOKUP(E80,AccessModes!$E$2:$G$13,3,FALSE)&amp;" */"&amp;newline&amp;IF(LEN(K80)&gt;0,K80&amp;CHAR(10),"")&amp;IF(LEN(L80)&gt;0,L80&amp;newline,"")&amp;IF(LEN(M80)&gt;0,M80&amp;newline,"")&amp;IF(LEN(N80)&gt;0,N80&amp;newline,"")&amp;IF(LEN(O80)&gt;0,O80&amp;newline,"")&amp;indent&amp;"break;","")</f>
        <v xml:space="preserve">        case 0x4E: /* LSR aaaa */
            value = memory_getAbsolute();
            cpu.PS_C = (bool)(value &amp; 0x01);
            value &gt;&gt;= 1;
            cpu.PS_N =  (bool)(value &amp; 0x80);
            cpu.PS_Z = (value == 0);
            memory_setLast(value);
            break;</v>
      </c>
      <c r="Q80" s="22" t="str">
        <f t="shared" si="2"/>
        <v xml:space="preserve">    {"LSR", 0, AM_ABS, 6, 0},</v>
      </c>
    </row>
    <row r="81" spans="1:17" x14ac:dyDescent="0.3">
      <c r="A81" s="23">
        <v>79</v>
      </c>
      <c r="B81" s="23" t="s">
        <v>57</v>
      </c>
      <c r="C81" s="23">
        <v>-1</v>
      </c>
      <c r="D81" s="23" t="s">
        <v>131</v>
      </c>
      <c r="E81" s="23" t="str">
        <f>_xlfn.IFNA(VLOOKUP(D81,AccessModes!$D$2:$E$13,2,FALSE),"AM_IMP")</f>
        <v>AM_ABS</v>
      </c>
      <c r="F81" s="23">
        <v>6</v>
      </c>
      <c r="G81" s="23">
        <v>0</v>
      </c>
      <c r="H81" s="23"/>
      <c r="I81" s="23"/>
      <c r="J81" s="23"/>
      <c r="K81" s="23" t="str">
        <f>IF(LEN(H81)&gt;0,indent&amp;H81&amp;" = "&amp;VLOOKUP($E81,AccessModes!$E$2:$I$13,4,FALSE),"")</f>
        <v/>
      </c>
      <c r="L81" s="17" t="str">
        <f>indent&amp;"/* TODO: implementation of the action */"</f>
        <v xml:space="preserve">            /* TODO: implementation of the action */</v>
      </c>
      <c r="M81" s="17" t="str">
        <f t="shared" si="3"/>
        <v/>
      </c>
      <c r="N81" s="23" t="str">
        <f>IF(LEN(J81)&gt;0,indent&amp;IF(J81="LAST",AccessModes!$I$15&amp;H81,VLOOKUP($E81,AccessModes!$E$2:$I$13,5,FALSE)&amp;J81)&amp;");","")</f>
        <v/>
      </c>
      <c r="O81" s="23"/>
      <c r="P81" s="17" t="str">
        <f>IF(C81=0,indent0&amp;"case 0x"&amp;DEC2HEX(A81)&amp;": /* "&amp;B81&amp;" "&amp;VLOOKUP(E81,AccessModes!$E$2:$G$13,3,FALSE)&amp;" */"&amp;newline&amp;IF(LEN(K81)&gt;0,K81&amp;CHAR(10),"")&amp;IF(LEN(L81)&gt;0,L81&amp;newline,"")&amp;IF(LEN(M81)&gt;0,M81&amp;newline,"")&amp;IF(LEN(N81)&gt;0,N81&amp;newline,"")&amp;IF(LEN(O81)&gt;0,O81&amp;newline,"")&amp;indent&amp;"break;","")</f>
        <v/>
      </c>
      <c r="Q81" s="23" t="str">
        <f t="shared" si="2"/>
        <v xml:space="preserve">    {"SRE", -1, AM_ABS, 6, 0},</v>
      </c>
    </row>
    <row r="82" spans="1:17" ht="92.4" x14ac:dyDescent="0.3">
      <c r="A82" s="22">
        <v>80</v>
      </c>
      <c r="B82" s="22" t="s">
        <v>64</v>
      </c>
      <c r="C82" s="22">
        <v>0</v>
      </c>
      <c r="D82" s="22" t="s">
        <v>132</v>
      </c>
      <c r="E82" s="22" t="str">
        <f>_xlfn.IFNA(VLOOKUP(D82,AccessModes!$D$2:$E$13,2,FALSE),"AM_IMP")</f>
        <v>AM_REL</v>
      </c>
      <c r="F82" s="22">
        <v>2</v>
      </c>
      <c r="G82" s="22">
        <v>1</v>
      </c>
      <c r="H82" s="28" t="s">
        <v>240</v>
      </c>
      <c r="I82" s="28"/>
      <c r="J82" s="28"/>
      <c r="K82" s="22" t="str">
        <f>IF(LEN(H82)&gt;0,indent&amp;H82&amp;" = "&amp;VLOOKUP($E82,AccessModes!$E$2:$I$13,4,FALSE),"")</f>
        <v xml:space="preserve">            value_w = memory_getRelativeAddress();</v>
      </c>
      <c r="L82" s="29" t="str">
        <f>indent&amp;"if(!cpu.PS_V) {"&amp;newline&amp;indent2&amp;"++cycles;"&amp;newline&amp;indent2&amp;"cpu.PC = "&amp;H82&amp;";"&amp;newline&amp;indent&amp;"}"</f>
        <v xml:space="preserve">            if(!cpu.PS_V) {
                ++cycles;
                cpu.PC = value_w;
            }</v>
      </c>
      <c r="M82" s="15" t="str">
        <f t="shared" si="3"/>
        <v/>
      </c>
      <c r="N82" s="22" t="str">
        <f>IF(LEN(J82)&gt;0,indent&amp;IF(J82="LAST",AccessModes!$I$15&amp;H82,VLOOKUP($E82,AccessModes!$E$2:$I$13,5,FALSE)&amp;J82)&amp;");","")</f>
        <v/>
      </c>
      <c r="O82" s="22"/>
      <c r="P82" s="15" t="str">
        <f>IF(C82=0,indent0&amp;"case 0x"&amp;DEC2HEX(A82)&amp;": /* "&amp;B82&amp;" "&amp;VLOOKUP(E82,AccessModes!$E$2:$G$13,3,FALSE)&amp;" */"&amp;newline&amp;IF(LEN(K82)&gt;0,K82&amp;CHAR(10),"")&amp;IF(LEN(L82)&gt;0,L82&amp;newline,"")&amp;IF(LEN(M82)&gt;0,M82&amp;newline,"")&amp;IF(LEN(N82)&gt;0,N82&amp;newline,"")&amp;IF(LEN(O82)&gt;0,O82&amp;newline,"")&amp;indent&amp;"break;","")</f>
        <v xml:space="preserve">        case 0x50: /* BVC aaaa */
            value_w = memory_getRelativeAddress();
            if(!cpu.PS_V) {
                ++cycles;
                cpu.PC = value_w;
            }
            break;</v>
      </c>
      <c r="Q82" s="22" t="str">
        <f t="shared" si="2"/>
        <v xml:space="preserve">    {"BVC", 0, AM_REL, 2, 1},</v>
      </c>
    </row>
    <row r="83" spans="1:17" ht="79.2" x14ac:dyDescent="0.3">
      <c r="A83" s="22">
        <v>81</v>
      </c>
      <c r="B83" s="22" t="s">
        <v>56</v>
      </c>
      <c r="C83" s="22">
        <v>0</v>
      </c>
      <c r="D83" s="22" t="s">
        <v>133</v>
      </c>
      <c r="E83" s="22" t="str">
        <f>_xlfn.IFNA(VLOOKUP(D83,AccessModes!$D$2:$E$13,2,FALSE),"AM_IMP")</f>
        <v>AM_ZIY</v>
      </c>
      <c r="F83" s="22">
        <v>5</v>
      </c>
      <c r="G83" s="22">
        <v>1</v>
      </c>
      <c r="H83" s="22" t="str">
        <f>$H$67</f>
        <v>value</v>
      </c>
      <c r="I83" s="22" t="str">
        <f>$I$67</f>
        <v>cpu.A</v>
      </c>
      <c r="J83" s="22" t="str">
        <f>$J$67</f>
        <v/>
      </c>
      <c r="K83" s="22" t="str">
        <f>IF(LEN(H83)&gt;0,indent&amp;H83&amp;" = "&amp;VLOOKUP($E83,AccessModes!$E$2:$I$13,4,FALSE),"")</f>
        <v xml:space="preserve">            value = memory_getZeroPageIndexedY();</v>
      </c>
      <c r="L83" s="15" t="str">
        <f>$L$67</f>
        <v xml:space="preserve">            cpu.A ^= value;</v>
      </c>
      <c r="M83" s="15" t="str">
        <f t="shared" si="3"/>
        <v xml:space="preserve">            cpu.PS_N =  (bool)(cpu.A &amp; 0x80);
            cpu.PS_Z = (cpu.A == 0);</v>
      </c>
      <c r="N83" s="22" t="str">
        <f>IF(LEN(J83)&gt;0,indent&amp;IF(J83="LAST",AccessModes!$I$15&amp;H83,VLOOKUP($E83,AccessModes!$E$2:$I$13,5,FALSE)&amp;J83)&amp;");","")</f>
        <v/>
      </c>
      <c r="O83" s="22"/>
      <c r="P83" s="15" t="str">
        <f>IF(C83=0,indent0&amp;"case 0x"&amp;DEC2HEX(A83)&amp;": /* "&amp;B83&amp;" "&amp;VLOOKUP(E83,AccessModes!$E$2:$G$13,3,FALSE)&amp;" */"&amp;newline&amp;IF(LEN(K83)&gt;0,K83&amp;CHAR(10),"")&amp;IF(LEN(L83)&gt;0,L83&amp;newline,"")&amp;IF(LEN(M83)&gt;0,M83&amp;newline,"")&amp;IF(LEN(N83)&gt;0,N83&amp;newline,"")&amp;IF(LEN(O83)&gt;0,O83&amp;newline,"")&amp;indent&amp;"break;","")</f>
        <v xml:space="preserve">        case 0x51: /* EOR aa,Y */
            value = memory_getZeroPageIndexedY();
            cpu.A ^= value;
            cpu.PS_N =  (bool)(cpu.A &amp; 0x80);
            cpu.PS_Z = (cpu.A == 0);
            break;</v>
      </c>
      <c r="Q83" s="22" t="str">
        <f t="shared" si="2"/>
        <v xml:space="preserve">    {"EOR", 0, AM_ZIY, 5, 1},</v>
      </c>
    </row>
    <row r="84" spans="1:17" x14ac:dyDescent="0.3">
      <c r="A84" s="23">
        <v>82</v>
      </c>
      <c r="B84" s="23" t="s">
        <v>20</v>
      </c>
      <c r="C84" s="23">
        <v>-1</v>
      </c>
      <c r="D84" s="23"/>
      <c r="E84" s="23" t="str">
        <f>_xlfn.IFNA(VLOOKUP(D84,AccessModes!$D$2:$E$13,2,FALSE),"AM_IMP")</f>
        <v>AM_IMP</v>
      </c>
      <c r="F84" s="23">
        <v>0</v>
      </c>
      <c r="G84" s="23">
        <v>0</v>
      </c>
      <c r="H84" s="23"/>
      <c r="I84" s="23"/>
      <c r="J84" s="23"/>
      <c r="K84" s="23" t="str">
        <f>IF(LEN(H84)&gt;0,indent&amp;H84&amp;" = "&amp;VLOOKUP($E84,AccessModes!$E$2:$I$13,4,FALSE),"")</f>
        <v/>
      </c>
      <c r="L84" s="17" t="str">
        <f>indent&amp;"/* TODO: implementation of the action */"</f>
        <v xml:space="preserve">            /* TODO: implementation of the action */</v>
      </c>
      <c r="M84" s="17" t="str">
        <f t="shared" si="3"/>
        <v/>
      </c>
      <c r="N84" s="23" t="str">
        <f>IF(LEN(J84)&gt;0,indent&amp;IF(J84="LAST",AccessModes!$I$15&amp;H84,VLOOKUP($E84,AccessModes!$E$2:$I$13,5,FALSE)&amp;J84)&amp;");","")</f>
        <v/>
      </c>
      <c r="O84" s="23"/>
      <c r="P84" s="17" t="str">
        <f>IF(C84=0,indent0&amp;"case 0x"&amp;DEC2HEX(A84)&amp;": /* "&amp;B84&amp;" "&amp;VLOOKUP(E84,AccessModes!$E$2:$G$13,3,FALSE)&amp;" */"&amp;newline&amp;IF(LEN(K84)&gt;0,K84&amp;CHAR(10),"")&amp;IF(LEN(L84)&gt;0,L84&amp;newline,"")&amp;IF(LEN(M84)&gt;0,M84&amp;newline,"")&amp;IF(LEN(N84)&gt;0,N84&amp;newline,"")&amp;IF(LEN(O84)&gt;0,O84&amp;newline,"")&amp;indent&amp;"break;","")</f>
        <v/>
      </c>
      <c r="Q84" s="23" t="str">
        <f t="shared" si="2"/>
        <v xml:space="preserve">    {"KIL", -1, AM_IMP, 0, 0},</v>
      </c>
    </row>
    <row r="85" spans="1:17" x14ac:dyDescent="0.3">
      <c r="A85" s="23">
        <v>83</v>
      </c>
      <c r="B85" s="23" t="s">
        <v>57</v>
      </c>
      <c r="C85" s="23">
        <v>-1</v>
      </c>
      <c r="D85" s="23" t="s">
        <v>133</v>
      </c>
      <c r="E85" s="23" t="str">
        <f>_xlfn.IFNA(VLOOKUP(D85,AccessModes!$D$2:$E$13,2,FALSE),"AM_IMP")</f>
        <v>AM_ZIY</v>
      </c>
      <c r="F85" s="23">
        <v>8</v>
      </c>
      <c r="G85" s="23">
        <v>0</v>
      </c>
      <c r="H85" s="23"/>
      <c r="I85" s="23"/>
      <c r="J85" s="23"/>
      <c r="K85" s="23" t="str">
        <f>IF(LEN(H85)&gt;0,indent&amp;H85&amp;" = "&amp;VLOOKUP($E85,AccessModes!$E$2:$I$13,4,FALSE),"")</f>
        <v/>
      </c>
      <c r="L85" s="17" t="str">
        <f>indent&amp;"/* TODO: implementation of the action */"</f>
        <v xml:space="preserve">            /* TODO: implementation of the action */</v>
      </c>
      <c r="M85" s="17" t="str">
        <f t="shared" si="3"/>
        <v/>
      </c>
      <c r="N85" s="23" t="str">
        <f>IF(LEN(J85)&gt;0,indent&amp;IF(J85="LAST",AccessModes!$I$15&amp;H85,VLOOKUP($E85,AccessModes!$E$2:$I$13,5,FALSE)&amp;J85)&amp;");","")</f>
        <v/>
      </c>
      <c r="O85" s="23"/>
      <c r="P85" s="17" t="str">
        <f>IF(C85=0,indent0&amp;"case 0x"&amp;DEC2HEX(A85)&amp;": /* "&amp;B85&amp;" "&amp;VLOOKUP(E85,AccessModes!$E$2:$G$13,3,FALSE)&amp;" */"&amp;newline&amp;IF(LEN(K85)&gt;0,K85&amp;CHAR(10),"")&amp;IF(LEN(L85)&gt;0,L85&amp;newline,"")&amp;IF(LEN(M85)&gt;0,M85&amp;newline,"")&amp;IF(LEN(N85)&gt;0,N85&amp;newline,"")&amp;IF(LEN(O85)&gt;0,O85&amp;newline,"")&amp;indent&amp;"break;","")</f>
        <v/>
      </c>
      <c r="Q85" s="23" t="str">
        <f t="shared" si="2"/>
        <v xml:space="preserve">    {"SRE", -1, AM_ZIY, 8, 0},</v>
      </c>
    </row>
    <row r="86" spans="1:17" x14ac:dyDescent="0.3">
      <c r="A86" s="23">
        <v>84</v>
      </c>
      <c r="B86" s="23" t="s">
        <v>23</v>
      </c>
      <c r="C86" s="23">
        <v>-1</v>
      </c>
      <c r="D86" s="23" t="s">
        <v>134</v>
      </c>
      <c r="E86" s="23" t="str">
        <f>_xlfn.IFNA(VLOOKUP(D86,AccessModes!$D$2:$E$13,2,FALSE),"AM_IMP")</f>
        <v>AM_IIX</v>
      </c>
      <c r="F86" s="23">
        <v>4</v>
      </c>
      <c r="G86" s="23">
        <v>0</v>
      </c>
      <c r="H86" s="23"/>
      <c r="I86" s="23"/>
      <c r="J86" s="23"/>
      <c r="K86" s="23" t="str">
        <f>IF(LEN(H86)&gt;0,indent&amp;H86&amp;" = "&amp;VLOOKUP($E86,AccessModes!$E$2:$I$13,4,FALSE),"")</f>
        <v/>
      </c>
      <c r="L86" s="17" t="str">
        <f>indent&amp;"/* TODO: implementation of the action */"</f>
        <v xml:space="preserve">            /* TODO: implementation of the action */</v>
      </c>
      <c r="M86" s="17" t="str">
        <f t="shared" si="3"/>
        <v/>
      </c>
      <c r="N86" s="23" t="str">
        <f>IF(LEN(J86)&gt;0,indent&amp;IF(J86="LAST",AccessModes!$I$15&amp;H86,VLOOKUP($E86,AccessModes!$E$2:$I$13,5,FALSE)&amp;J86)&amp;");","")</f>
        <v/>
      </c>
      <c r="O86" s="23"/>
      <c r="P86" s="17" t="str">
        <f>IF(C86=0,indent0&amp;"case 0x"&amp;DEC2HEX(A86)&amp;": /* "&amp;B86&amp;" "&amp;VLOOKUP(E86,AccessModes!$E$2:$G$13,3,FALSE)&amp;" */"&amp;newline&amp;IF(LEN(K86)&gt;0,K86&amp;CHAR(10),"")&amp;IF(LEN(L86)&gt;0,L86&amp;newline,"")&amp;IF(LEN(M86)&gt;0,M86&amp;newline,"")&amp;IF(LEN(N86)&gt;0,N86&amp;newline,"")&amp;IF(LEN(O86)&gt;0,O86&amp;newline,"")&amp;indent&amp;"break;","")</f>
        <v/>
      </c>
      <c r="Q86" s="23" t="str">
        <f t="shared" si="2"/>
        <v xml:space="preserve">    {"NOP", -1, AM_IIX, 4, 0},</v>
      </c>
    </row>
    <row r="87" spans="1:17" ht="79.2" x14ac:dyDescent="0.3">
      <c r="A87" s="22">
        <v>85</v>
      </c>
      <c r="B87" s="22" t="s">
        <v>56</v>
      </c>
      <c r="C87" s="22">
        <v>0</v>
      </c>
      <c r="D87" s="22" t="s">
        <v>134</v>
      </c>
      <c r="E87" s="22" t="str">
        <f>_xlfn.IFNA(VLOOKUP(D87,AccessModes!$D$2:$E$13,2,FALSE),"AM_IMP")</f>
        <v>AM_IIX</v>
      </c>
      <c r="F87" s="22">
        <v>4</v>
      </c>
      <c r="G87" s="22">
        <v>0</v>
      </c>
      <c r="H87" s="22" t="str">
        <f>$H$67</f>
        <v>value</v>
      </c>
      <c r="I87" s="22" t="str">
        <f>$I$67</f>
        <v>cpu.A</v>
      </c>
      <c r="J87" s="22" t="str">
        <f>$J$67</f>
        <v/>
      </c>
      <c r="K87" s="22" t="str">
        <f>IF(LEN(H87)&gt;0,indent&amp;H87&amp;" = "&amp;VLOOKUP($E87,AccessModes!$E$2:$I$13,4,FALSE),"")</f>
        <v xml:space="preserve">            value = memory_getIndexedIndirectX();</v>
      </c>
      <c r="L87" s="15" t="str">
        <f>$L$67</f>
        <v xml:space="preserve">            cpu.A ^= value;</v>
      </c>
      <c r="M87" s="15" t="str">
        <f t="shared" si="3"/>
        <v xml:space="preserve">            cpu.PS_N =  (bool)(cpu.A &amp; 0x80);
            cpu.PS_Z = (cpu.A == 0);</v>
      </c>
      <c r="N87" s="22" t="str">
        <f>IF(LEN(J87)&gt;0,indent&amp;IF(J87="LAST",AccessModes!$I$15&amp;H87,VLOOKUP($E87,AccessModes!$E$2:$I$13,5,FALSE)&amp;J87)&amp;");","")</f>
        <v/>
      </c>
      <c r="O87" s="22"/>
      <c r="P87" s="15" t="str">
        <f>IF(C87=0,indent0&amp;"case 0x"&amp;DEC2HEX(A87)&amp;": /* "&amp;B87&amp;" "&amp;VLOOKUP(E87,AccessModes!$E$2:$G$13,3,FALSE)&amp;" */"&amp;newline&amp;IF(LEN(K87)&gt;0,K87&amp;CHAR(10),"")&amp;IF(LEN(L87)&gt;0,L87&amp;newline,"")&amp;IF(LEN(M87)&gt;0,M87&amp;newline,"")&amp;IF(LEN(N87)&gt;0,N87&amp;newline,"")&amp;IF(LEN(O87)&gt;0,O87&amp;newline,"")&amp;indent&amp;"break;","")</f>
        <v xml:space="preserve">        case 0x55: /* EOR (aa,X) */
            value = memory_getIndexedIndirectX();
            cpu.A ^= value;
            cpu.PS_N =  (bool)(cpu.A &amp; 0x80);
            cpu.PS_Z = (cpu.A == 0);
            break;</v>
      </c>
      <c r="Q87" s="22" t="str">
        <f t="shared" si="2"/>
        <v xml:space="preserve">    {"EOR", 0, AM_IIX, 4, 0},</v>
      </c>
    </row>
    <row r="88" spans="1:17" ht="105.6" x14ac:dyDescent="0.3">
      <c r="A88" s="22">
        <v>86</v>
      </c>
      <c r="B88" s="22" t="s">
        <v>58</v>
      </c>
      <c r="C88" s="22">
        <v>0</v>
      </c>
      <c r="D88" s="22" t="s">
        <v>134</v>
      </c>
      <c r="E88" s="22" t="str">
        <f>_xlfn.IFNA(VLOOKUP(D88,AccessModes!$D$2:$E$13,2,FALSE),"AM_IMP")</f>
        <v>AM_IIX</v>
      </c>
      <c r="F88" s="22">
        <v>6</v>
      </c>
      <c r="G88" s="22">
        <v>0</v>
      </c>
      <c r="H88" s="22" t="str">
        <f>$H$8</f>
        <v>value</v>
      </c>
      <c r="I88" s="22" t="str">
        <f>$I$8</f>
        <v>value</v>
      </c>
      <c r="J88" s="22" t="str">
        <f>$J$8</f>
        <v>LAST</v>
      </c>
      <c r="K88" s="22" t="str">
        <f>IF(LEN(H88)&gt;0,indent&amp;H88&amp;" = "&amp;VLOOKUP($E88,AccessModes!$E$2:$I$13,4,FALSE),"")</f>
        <v xml:space="preserve">            value = memory_getIndexedIndirectX();</v>
      </c>
      <c r="L88" s="15" t="str">
        <f>$L$72</f>
        <v xml:space="preserve">            cpu.PS_C = (bool)(value &amp; 0x01);
            value &gt;&gt;= 1;</v>
      </c>
      <c r="M88" s="15" t="str">
        <f t="shared" si="3"/>
        <v xml:space="preserve">            cpu.PS_N =  (bool)(value &amp; 0x80);
            cpu.PS_Z = (value == 0);</v>
      </c>
      <c r="N88" s="22" t="str">
        <f>IF(LEN(J88)&gt;0,indent&amp;IF(J88="LAST",AccessModes!$I$15&amp;H88,VLOOKUP($E88,AccessModes!$E$2:$I$13,5,FALSE)&amp;J88)&amp;");","")</f>
        <v xml:space="preserve">            memory_setLast(value);</v>
      </c>
      <c r="O88" s="22"/>
      <c r="P88" s="15" t="str">
        <f>IF(C88=0,indent0&amp;"case 0x"&amp;DEC2HEX(A88)&amp;": /* "&amp;B88&amp;" "&amp;VLOOKUP(E88,AccessModes!$E$2:$G$13,3,FALSE)&amp;" */"&amp;newline&amp;IF(LEN(K88)&gt;0,K88&amp;CHAR(10),"")&amp;IF(LEN(L88)&gt;0,L88&amp;newline,"")&amp;IF(LEN(M88)&gt;0,M88&amp;newline,"")&amp;IF(LEN(N88)&gt;0,N88&amp;newline,"")&amp;IF(LEN(O88)&gt;0,O88&amp;newline,"")&amp;indent&amp;"break;","")</f>
        <v xml:space="preserve">        case 0x56: /* LSR (aa,X) */
            value = memory_getIndexedIndirectX();
            cpu.PS_C = (bool)(value &amp; 0x01);
            value &gt;&gt;= 1;
            cpu.PS_N =  (bool)(value &amp; 0x80);
            cpu.PS_Z = (value == 0);
            memory_setLast(value);
            break;</v>
      </c>
      <c r="Q88" s="22" t="str">
        <f t="shared" si="2"/>
        <v xml:space="preserve">    {"LSR", 0, AM_IIX, 6, 0},</v>
      </c>
    </row>
    <row r="89" spans="1:17" x14ac:dyDescent="0.3">
      <c r="A89" s="23">
        <v>87</v>
      </c>
      <c r="B89" s="23" t="s">
        <v>57</v>
      </c>
      <c r="C89" s="23">
        <v>-1</v>
      </c>
      <c r="D89" s="23" t="s">
        <v>134</v>
      </c>
      <c r="E89" s="23" t="str">
        <f>_xlfn.IFNA(VLOOKUP(D89,AccessModes!$D$2:$E$13,2,FALSE),"AM_IMP")</f>
        <v>AM_IIX</v>
      </c>
      <c r="F89" s="23">
        <v>6</v>
      </c>
      <c r="G89" s="23">
        <v>0</v>
      </c>
      <c r="H89" s="23"/>
      <c r="I89" s="23"/>
      <c r="J89" s="23"/>
      <c r="K89" s="23" t="str">
        <f>IF(LEN(H89)&gt;0,indent&amp;H89&amp;" = "&amp;VLOOKUP($E89,AccessModes!$E$2:$I$13,4,FALSE),"")</f>
        <v/>
      </c>
      <c r="L89" s="17" t="str">
        <f>indent&amp;"/* TODO: implementation of the action */"</f>
        <v xml:space="preserve">            /* TODO: implementation of the action */</v>
      </c>
      <c r="M89" s="17" t="str">
        <f t="shared" si="3"/>
        <v/>
      </c>
      <c r="N89" s="23" t="str">
        <f>IF(LEN(J89)&gt;0,indent&amp;IF(J89="LAST",AccessModes!$I$15&amp;H89,VLOOKUP($E89,AccessModes!$E$2:$I$13,5,FALSE)&amp;J89)&amp;");","")</f>
        <v/>
      </c>
      <c r="O89" s="23"/>
      <c r="P89" s="17" t="str">
        <f>IF(C89=0,indent0&amp;"case 0x"&amp;DEC2HEX(A89)&amp;": /* "&amp;B89&amp;" "&amp;VLOOKUP(E89,AccessModes!$E$2:$G$13,3,FALSE)&amp;" */"&amp;newline&amp;IF(LEN(K89)&gt;0,K89&amp;CHAR(10),"")&amp;IF(LEN(L89)&gt;0,L89&amp;newline,"")&amp;IF(LEN(M89)&gt;0,M89&amp;newline,"")&amp;IF(LEN(N89)&gt;0,N89&amp;newline,"")&amp;IF(LEN(O89)&gt;0,O89&amp;newline,"")&amp;indent&amp;"break;","")</f>
        <v/>
      </c>
      <c r="Q89" s="23" t="str">
        <f t="shared" si="2"/>
        <v xml:space="preserve">    {"SRE", -1, AM_IIX, 6, 0},</v>
      </c>
    </row>
    <row r="90" spans="1:17" ht="39.6" x14ac:dyDescent="0.3">
      <c r="A90" s="22">
        <v>88</v>
      </c>
      <c r="B90" s="22" t="s">
        <v>65</v>
      </c>
      <c r="C90" s="22">
        <v>0</v>
      </c>
      <c r="D90" s="22" t="s">
        <v>139</v>
      </c>
      <c r="E90" s="22" t="str">
        <f>_xlfn.IFNA(VLOOKUP(D90,AccessModes!$D$2:$E$13,2,FALSE),"AM_IMP")</f>
        <v>AM_IMP</v>
      </c>
      <c r="F90" s="22">
        <v>2</v>
      </c>
      <c r="G90" s="22">
        <v>0</v>
      </c>
      <c r="H90" s="28"/>
      <c r="I90" s="28"/>
      <c r="J90" s="28"/>
      <c r="K90" s="22" t="str">
        <f>IF(LEN(H90)&gt;0,indent&amp;H90&amp;" = "&amp;VLOOKUP($E90,AccessModes!$E$2:$I$13,4,FALSE),"")</f>
        <v/>
      </c>
      <c r="L90" s="29" t="str">
        <f>indent&amp;"cpu.PS_I = false;"</f>
        <v xml:space="preserve">            cpu.PS_I = false;</v>
      </c>
      <c r="M90" s="15" t="str">
        <f t="shared" si="3"/>
        <v/>
      </c>
      <c r="N90" s="22" t="str">
        <f>IF(LEN(J90)&gt;0,indent&amp;IF(J90="LAST",AccessModes!$I$15&amp;H90,VLOOKUP($E90,AccessModes!$E$2:$I$13,5,FALSE)&amp;J90)&amp;");","")</f>
        <v/>
      </c>
      <c r="O90" s="22"/>
      <c r="P90" s="15" t="str">
        <f>IF(C90=0,indent0&amp;"case 0x"&amp;DEC2HEX(A90)&amp;": /* "&amp;B90&amp;" "&amp;VLOOKUP(E90,AccessModes!$E$2:$G$13,3,FALSE)&amp;" */"&amp;newline&amp;IF(LEN(K90)&gt;0,K90&amp;CHAR(10),"")&amp;IF(LEN(L90)&gt;0,L90&amp;newline,"")&amp;IF(LEN(M90)&gt;0,M90&amp;newline,"")&amp;IF(LEN(N90)&gt;0,N90&amp;newline,"")&amp;IF(LEN(O90)&gt;0,O90&amp;newline,"")&amp;indent&amp;"break;","")</f>
        <v xml:space="preserve">        case 0x58: /* CLI  */
            cpu.PS_I = false;
            break;</v>
      </c>
      <c r="Q90" s="22" t="str">
        <f t="shared" si="2"/>
        <v xml:space="preserve">    {"CLI", 0, AM_IMP, 2, 0},</v>
      </c>
    </row>
    <row r="91" spans="1:17" ht="79.2" x14ac:dyDescent="0.3">
      <c r="A91" s="22">
        <v>89</v>
      </c>
      <c r="B91" s="22" t="s">
        <v>56</v>
      </c>
      <c r="C91" s="22">
        <v>0</v>
      </c>
      <c r="D91" s="22" t="s">
        <v>135</v>
      </c>
      <c r="E91" s="22" t="str">
        <f>_xlfn.IFNA(VLOOKUP(D91,AccessModes!$D$2:$E$13,2,FALSE),"AM_IMP")</f>
        <v>AM_AIY</v>
      </c>
      <c r="F91" s="22">
        <v>4</v>
      </c>
      <c r="G91" s="22">
        <v>1</v>
      </c>
      <c r="H91" s="22" t="str">
        <f>$H$67</f>
        <v>value</v>
      </c>
      <c r="I91" s="22" t="str">
        <f>$I$67</f>
        <v>cpu.A</v>
      </c>
      <c r="J91" s="22" t="str">
        <f>$J$67</f>
        <v/>
      </c>
      <c r="K91" s="22" t="str">
        <f>IF(LEN(H91)&gt;0,indent&amp;H91&amp;" = "&amp;VLOOKUP($E91,AccessModes!$E$2:$I$13,4,FALSE),"")</f>
        <v xml:space="preserve">            value = memory_getAbsoluteIndexedY();</v>
      </c>
      <c r="L91" s="15" t="str">
        <f>$L$67</f>
        <v xml:space="preserve">            cpu.A ^= value;</v>
      </c>
      <c r="M91" s="15" t="str">
        <f t="shared" si="3"/>
        <v xml:space="preserve">            cpu.PS_N =  (bool)(cpu.A &amp; 0x80);
            cpu.PS_Z = (cpu.A == 0);</v>
      </c>
      <c r="N91" s="22" t="str">
        <f>IF(LEN(J91)&gt;0,indent&amp;IF(J91="LAST",AccessModes!$I$15&amp;H91,VLOOKUP($E91,AccessModes!$E$2:$I$13,5,FALSE)&amp;J91)&amp;");","")</f>
        <v/>
      </c>
      <c r="O91" s="22"/>
      <c r="P91" s="15" t="str">
        <f>IF(C91=0,indent0&amp;"case 0x"&amp;DEC2HEX(A91)&amp;": /* "&amp;B91&amp;" "&amp;VLOOKUP(E91,AccessModes!$E$2:$G$13,3,FALSE)&amp;" */"&amp;newline&amp;IF(LEN(K91)&gt;0,K91&amp;CHAR(10),"")&amp;IF(LEN(L91)&gt;0,L91&amp;newline,"")&amp;IF(LEN(M91)&gt;0,M91&amp;newline,"")&amp;IF(LEN(N91)&gt;0,N91&amp;newline,"")&amp;IF(LEN(O91)&gt;0,O91&amp;newline,"")&amp;indent&amp;"break;","")</f>
        <v xml:space="preserve">        case 0x59: /* EOR aaaa,Y */
            value = memory_getAbsoluteIndexedY();
            cpu.A ^= value;
            cpu.PS_N =  (bool)(cpu.A &amp; 0x80);
            cpu.PS_Z = (cpu.A == 0);
            break;</v>
      </c>
      <c r="Q91" s="22" t="str">
        <f t="shared" si="2"/>
        <v xml:space="preserve">    {"EOR", 0, AM_AIY, 4, 1},</v>
      </c>
    </row>
    <row r="92" spans="1:17" x14ac:dyDescent="0.3">
      <c r="A92" s="23">
        <v>90</v>
      </c>
      <c r="B92" s="23" t="s">
        <v>23</v>
      </c>
      <c r="C92" s="23">
        <v>-1</v>
      </c>
      <c r="D92" s="23" t="s">
        <v>139</v>
      </c>
      <c r="E92" s="23" t="str">
        <f>_xlfn.IFNA(VLOOKUP(D92,AccessModes!$D$2:$E$13,2,FALSE),"AM_IMP")</f>
        <v>AM_IMP</v>
      </c>
      <c r="F92" s="23">
        <v>2</v>
      </c>
      <c r="G92" s="23">
        <v>0</v>
      </c>
      <c r="H92" s="23"/>
      <c r="I92" s="23"/>
      <c r="J92" s="23"/>
      <c r="K92" s="23" t="str">
        <f>IF(LEN(H92)&gt;0,indent&amp;H92&amp;" = "&amp;VLOOKUP($E92,AccessModes!$E$2:$I$13,4,FALSE),"")</f>
        <v/>
      </c>
      <c r="L92" s="17" t="str">
        <f>indent&amp;"/* TODO: implementation of the action */"</f>
        <v xml:space="preserve">            /* TODO: implementation of the action */</v>
      </c>
      <c r="M92" s="17" t="str">
        <f t="shared" si="3"/>
        <v/>
      </c>
      <c r="N92" s="23" t="str">
        <f>IF(LEN(J92)&gt;0,indent&amp;IF(J92="LAST",AccessModes!$I$15&amp;H92,VLOOKUP($E92,AccessModes!$E$2:$I$13,5,FALSE)&amp;J92)&amp;");","")</f>
        <v/>
      </c>
      <c r="O92" s="23"/>
      <c r="P92" s="17" t="str">
        <f>IF(C92=0,indent0&amp;"case 0x"&amp;DEC2HEX(A92)&amp;": /* "&amp;B92&amp;" "&amp;VLOOKUP(E92,AccessModes!$E$2:$G$13,3,FALSE)&amp;" */"&amp;newline&amp;IF(LEN(K92)&gt;0,K92&amp;CHAR(10),"")&amp;IF(LEN(L92)&gt;0,L92&amp;newline,"")&amp;IF(LEN(M92)&gt;0,M92&amp;newline,"")&amp;IF(LEN(N92)&gt;0,N92&amp;newline,"")&amp;IF(LEN(O92)&gt;0,O92&amp;newline,"")&amp;indent&amp;"break;","")</f>
        <v/>
      </c>
      <c r="Q92" s="23" t="str">
        <f t="shared" ref="Q92:Q155" si="4">"    {"&amp;CHAR(34)&amp;B92&amp;CHAR(34)&amp;", "&amp;C92&amp;", "&amp;E92&amp;", "&amp;F92&amp;", "&amp;G92&amp;"},"</f>
        <v xml:space="preserve">    {"NOP", -1, AM_IMP, 2, 0},</v>
      </c>
    </row>
    <row r="93" spans="1:17" x14ac:dyDescent="0.3">
      <c r="A93" s="23">
        <v>91</v>
      </c>
      <c r="B93" s="23" t="s">
        <v>57</v>
      </c>
      <c r="C93" s="23">
        <v>-1</v>
      </c>
      <c r="D93" s="23" t="s">
        <v>135</v>
      </c>
      <c r="E93" s="23" t="str">
        <f>_xlfn.IFNA(VLOOKUP(D93,AccessModes!$D$2:$E$13,2,FALSE),"AM_IMP")</f>
        <v>AM_AIY</v>
      </c>
      <c r="F93" s="23">
        <v>7</v>
      </c>
      <c r="G93" s="23">
        <v>0</v>
      </c>
      <c r="H93" s="23"/>
      <c r="I93" s="23"/>
      <c r="J93" s="23"/>
      <c r="K93" s="23" t="str">
        <f>IF(LEN(H93)&gt;0,indent&amp;H93&amp;" = "&amp;VLOOKUP($E93,AccessModes!$E$2:$I$13,4,FALSE),"")</f>
        <v/>
      </c>
      <c r="L93" s="17" t="str">
        <f>indent&amp;"/* TODO: implementation of the action */"</f>
        <v xml:space="preserve">            /* TODO: implementation of the action */</v>
      </c>
      <c r="M93" s="17" t="str">
        <f t="shared" si="3"/>
        <v/>
      </c>
      <c r="N93" s="23" t="str">
        <f>IF(LEN(J93)&gt;0,indent&amp;IF(J93="LAST",AccessModes!$I$15&amp;H93,VLOOKUP($E93,AccessModes!$E$2:$I$13,5,FALSE)&amp;J93)&amp;");","")</f>
        <v/>
      </c>
      <c r="O93" s="23"/>
      <c r="P93" s="17" t="str">
        <f>IF(C93=0,indent0&amp;"case 0x"&amp;DEC2HEX(A93)&amp;": /* "&amp;B93&amp;" "&amp;VLOOKUP(E93,AccessModes!$E$2:$G$13,3,FALSE)&amp;" */"&amp;newline&amp;IF(LEN(K93)&gt;0,K93&amp;CHAR(10),"")&amp;IF(LEN(L93)&gt;0,L93&amp;newline,"")&amp;IF(LEN(M93)&gt;0,M93&amp;newline,"")&amp;IF(LEN(N93)&gt;0,N93&amp;newline,"")&amp;IF(LEN(O93)&gt;0,O93&amp;newline,"")&amp;indent&amp;"break;","")</f>
        <v/>
      </c>
      <c r="Q93" s="23" t="str">
        <f t="shared" si="4"/>
        <v xml:space="preserve">    {"SRE", -1, AM_AIY, 7, 0},</v>
      </c>
    </row>
    <row r="94" spans="1:17" x14ac:dyDescent="0.3">
      <c r="A94" s="23">
        <v>92</v>
      </c>
      <c r="B94" s="23" t="s">
        <v>23</v>
      </c>
      <c r="C94" s="23">
        <v>-1</v>
      </c>
      <c r="D94" s="23" t="s">
        <v>136</v>
      </c>
      <c r="E94" s="23" t="str">
        <f>_xlfn.IFNA(VLOOKUP(D94,AccessModes!$D$2:$E$13,2,FALSE),"AM_IMP")</f>
        <v>AM_AIX</v>
      </c>
      <c r="F94" s="23">
        <v>4</v>
      </c>
      <c r="G94" s="23">
        <v>1</v>
      </c>
      <c r="H94" s="23"/>
      <c r="I94" s="23"/>
      <c r="J94" s="23"/>
      <c r="K94" s="23" t="str">
        <f>IF(LEN(H94)&gt;0,indent&amp;H94&amp;" = "&amp;VLOOKUP($E94,AccessModes!$E$2:$I$13,4,FALSE),"")</f>
        <v/>
      </c>
      <c r="L94" s="17" t="str">
        <f>indent&amp;"/* TODO: implementation of the action */"</f>
        <v xml:space="preserve">            /* TODO: implementation of the action */</v>
      </c>
      <c r="M94" s="17" t="str">
        <f t="shared" si="3"/>
        <v/>
      </c>
      <c r="N94" s="23" t="str">
        <f>IF(LEN(J94)&gt;0,indent&amp;IF(J94="LAST",AccessModes!$I$15&amp;H94,VLOOKUP($E94,AccessModes!$E$2:$I$13,5,FALSE)&amp;J94)&amp;");","")</f>
        <v/>
      </c>
      <c r="O94" s="23"/>
      <c r="P94" s="17" t="str">
        <f>IF(C94=0,indent0&amp;"case 0x"&amp;DEC2HEX(A94)&amp;": /* "&amp;B94&amp;" "&amp;VLOOKUP(E94,AccessModes!$E$2:$G$13,3,FALSE)&amp;" */"&amp;newline&amp;IF(LEN(K94)&gt;0,K94&amp;CHAR(10),"")&amp;IF(LEN(L94)&gt;0,L94&amp;newline,"")&amp;IF(LEN(M94)&gt;0,M94&amp;newline,"")&amp;IF(LEN(N94)&gt;0,N94&amp;newline,"")&amp;IF(LEN(O94)&gt;0,O94&amp;newline,"")&amp;indent&amp;"break;","")</f>
        <v/>
      </c>
      <c r="Q94" s="23" t="str">
        <f t="shared" si="4"/>
        <v xml:space="preserve">    {"NOP", -1, AM_AIX, 4, 1},</v>
      </c>
    </row>
    <row r="95" spans="1:17" ht="79.2" x14ac:dyDescent="0.3">
      <c r="A95" s="22">
        <v>93</v>
      </c>
      <c r="B95" s="22" t="s">
        <v>56</v>
      </c>
      <c r="C95" s="22">
        <v>0</v>
      </c>
      <c r="D95" s="22" t="s">
        <v>136</v>
      </c>
      <c r="E95" s="22" t="str">
        <f>_xlfn.IFNA(VLOOKUP(D95,AccessModes!$D$2:$E$13,2,FALSE),"AM_IMP")</f>
        <v>AM_AIX</v>
      </c>
      <c r="F95" s="22">
        <v>4</v>
      </c>
      <c r="G95" s="22">
        <v>1</v>
      </c>
      <c r="H95" s="22" t="str">
        <f>$H$67</f>
        <v>value</v>
      </c>
      <c r="I95" s="22" t="str">
        <f>$I$67</f>
        <v>cpu.A</v>
      </c>
      <c r="J95" s="22" t="str">
        <f>$J$67</f>
        <v/>
      </c>
      <c r="K95" s="22" t="str">
        <f>IF(LEN(H95)&gt;0,indent&amp;H95&amp;" = "&amp;VLOOKUP($E95,AccessModes!$E$2:$I$13,4,FALSE),"")</f>
        <v xml:space="preserve">            value = memory_getAbsoluteIndexedX();</v>
      </c>
      <c r="L95" s="15" t="str">
        <f>$L$67</f>
        <v xml:space="preserve">            cpu.A ^= value;</v>
      </c>
      <c r="M95" s="15" t="str">
        <f t="shared" si="3"/>
        <v xml:space="preserve">            cpu.PS_N =  (bool)(cpu.A &amp; 0x80);
            cpu.PS_Z = (cpu.A == 0);</v>
      </c>
      <c r="N95" s="22" t="str">
        <f>IF(LEN(J95)&gt;0,indent&amp;IF(J95="LAST",AccessModes!$I$15&amp;H95,VLOOKUP($E95,AccessModes!$E$2:$I$13,5,FALSE)&amp;J95)&amp;");","")</f>
        <v/>
      </c>
      <c r="O95" s="22"/>
      <c r="P95" s="15" t="str">
        <f>IF(C95=0,indent0&amp;"case 0x"&amp;DEC2HEX(A95)&amp;": /* "&amp;B95&amp;" "&amp;VLOOKUP(E95,AccessModes!$E$2:$G$13,3,FALSE)&amp;" */"&amp;newline&amp;IF(LEN(K95)&gt;0,K95&amp;CHAR(10),"")&amp;IF(LEN(L95)&gt;0,L95&amp;newline,"")&amp;IF(LEN(M95)&gt;0,M95&amp;newline,"")&amp;IF(LEN(N95)&gt;0,N95&amp;newline,"")&amp;IF(LEN(O95)&gt;0,O95&amp;newline,"")&amp;indent&amp;"break;","")</f>
        <v xml:space="preserve">        case 0x5D: /* EOR aaaa,X */
            value = memory_getAbsoluteIndexedX();
            cpu.A ^= value;
            cpu.PS_N =  (bool)(cpu.A &amp; 0x80);
            cpu.PS_Z = (cpu.A == 0);
            break;</v>
      </c>
      <c r="Q95" s="22" t="str">
        <f t="shared" si="4"/>
        <v xml:space="preserve">    {"EOR", 0, AM_AIX, 4, 1},</v>
      </c>
    </row>
    <row r="96" spans="1:17" ht="105.6" x14ac:dyDescent="0.3">
      <c r="A96" s="22">
        <v>94</v>
      </c>
      <c r="B96" s="22" t="s">
        <v>58</v>
      </c>
      <c r="C96" s="22">
        <v>0</v>
      </c>
      <c r="D96" s="22" t="s">
        <v>136</v>
      </c>
      <c r="E96" s="22" t="str">
        <f>_xlfn.IFNA(VLOOKUP(D96,AccessModes!$D$2:$E$13,2,FALSE),"AM_IMP")</f>
        <v>AM_AIX</v>
      </c>
      <c r="F96" s="22">
        <v>7</v>
      </c>
      <c r="G96" s="22">
        <v>0</v>
      </c>
      <c r="H96" s="22" t="str">
        <f>$H$8</f>
        <v>value</v>
      </c>
      <c r="I96" s="22" t="str">
        <f>$I$8</f>
        <v>value</v>
      </c>
      <c r="J96" s="22" t="str">
        <f>$J$8</f>
        <v>LAST</v>
      </c>
      <c r="K96" s="22" t="str">
        <f>IF(LEN(H96)&gt;0,indent&amp;H96&amp;" = "&amp;VLOOKUP($E96,AccessModes!$E$2:$I$13,4,FALSE),"")</f>
        <v xml:space="preserve">            value = memory_getAbsoluteIndexedX();</v>
      </c>
      <c r="L96" s="15" t="str">
        <f>$L$72</f>
        <v xml:space="preserve">            cpu.PS_C = (bool)(value &amp; 0x01);
            value &gt;&gt;= 1;</v>
      </c>
      <c r="M96" s="15" t="str">
        <f t="shared" si="3"/>
        <v xml:space="preserve">            cpu.PS_N =  (bool)(value &amp; 0x80);
            cpu.PS_Z = (value == 0);</v>
      </c>
      <c r="N96" s="22" t="str">
        <f>IF(LEN(J96)&gt;0,indent&amp;IF(J96="LAST",AccessModes!$I$15&amp;H96,VLOOKUP($E96,AccessModes!$E$2:$I$13,5,FALSE)&amp;J96)&amp;");","")</f>
        <v xml:space="preserve">            memory_setLast(value);</v>
      </c>
      <c r="O96" s="22"/>
      <c r="P96" s="15" t="str">
        <f>IF(C96=0,indent0&amp;"case 0x"&amp;DEC2HEX(A96)&amp;": /* "&amp;B96&amp;" "&amp;VLOOKUP(E96,AccessModes!$E$2:$G$13,3,FALSE)&amp;" */"&amp;newline&amp;IF(LEN(K96)&gt;0,K96&amp;CHAR(10),"")&amp;IF(LEN(L96)&gt;0,L96&amp;newline,"")&amp;IF(LEN(M96)&gt;0,M96&amp;newline,"")&amp;IF(LEN(N96)&gt;0,N96&amp;newline,"")&amp;IF(LEN(O96)&gt;0,O96&amp;newline,"")&amp;indent&amp;"break;","")</f>
        <v xml:space="preserve">        case 0x5E: /* LSR aaaa,X */
            value = memory_getAbsoluteIndexedX();
            cpu.PS_C = (bool)(value &amp; 0x01);
            value &gt;&gt;= 1;
            cpu.PS_N =  (bool)(value &amp; 0x80);
            cpu.PS_Z = (value == 0);
            memory_setLast(value);
            break;</v>
      </c>
      <c r="Q96" s="22" t="str">
        <f t="shared" si="4"/>
        <v xml:space="preserve">    {"LSR", 0, AM_AIX, 7, 0},</v>
      </c>
    </row>
    <row r="97" spans="1:17" x14ac:dyDescent="0.3">
      <c r="A97" s="23">
        <v>95</v>
      </c>
      <c r="B97" s="23" t="s">
        <v>57</v>
      </c>
      <c r="C97" s="23">
        <v>-1</v>
      </c>
      <c r="D97" s="23" t="s">
        <v>136</v>
      </c>
      <c r="E97" s="23" t="str">
        <f>_xlfn.IFNA(VLOOKUP(D97,AccessModes!$D$2:$E$13,2,FALSE),"AM_IMP")</f>
        <v>AM_AIX</v>
      </c>
      <c r="F97" s="23">
        <v>7</v>
      </c>
      <c r="G97" s="23">
        <v>0</v>
      </c>
      <c r="H97" s="23"/>
      <c r="I97" s="23"/>
      <c r="J97" s="23"/>
      <c r="K97" s="23" t="str">
        <f>IF(LEN(H97)&gt;0,indent&amp;H97&amp;" = "&amp;VLOOKUP($E97,AccessModes!$E$2:$I$13,4,FALSE),"")</f>
        <v/>
      </c>
      <c r="L97" s="17" t="str">
        <f>indent&amp;"/* TODO: implementation of the action */"</f>
        <v xml:space="preserve">            /* TODO: implementation of the action */</v>
      </c>
      <c r="M97" s="17" t="str">
        <f t="shared" si="3"/>
        <v/>
      </c>
      <c r="N97" s="23" t="str">
        <f>IF(LEN(J97)&gt;0,indent&amp;IF(J97="LAST",AccessModes!$I$15&amp;H97,VLOOKUP($E97,AccessModes!$E$2:$I$13,5,FALSE)&amp;J97)&amp;");","")</f>
        <v/>
      </c>
      <c r="O97" s="23"/>
      <c r="P97" s="17" t="str">
        <f>IF(C97=0,indent0&amp;"case 0x"&amp;DEC2HEX(A97)&amp;": /* "&amp;B97&amp;" "&amp;VLOOKUP(E97,AccessModes!$E$2:$G$13,3,FALSE)&amp;" */"&amp;newline&amp;IF(LEN(K97)&gt;0,K97&amp;CHAR(10),"")&amp;IF(LEN(L97)&gt;0,L97&amp;newline,"")&amp;IF(LEN(M97)&gt;0,M97&amp;newline,"")&amp;IF(LEN(N97)&gt;0,N97&amp;newline,"")&amp;IF(LEN(O97)&gt;0,O97&amp;newline,"")&amp;indent&amp;"break;","")</f>
        <v/>
      </c>
      <c r="Q97" s="23" t="str">
        <f t="shared" si="4"/>
        <v xml:space="preserve">    {"SRE", -1, AM_AIX, 7, 0},</v>
      </c>
    </row>
    <row r="98" spans="1:17" ht="39.6" x14ac:dyDescent="0.3">
      <c r="A98" s="22">
        <v>96</v>
      </c>
      <c r="B98" s="22" t="s">
        <v>67</v>
      </c>
      <c r="C98" s="22">
        <v>0</v>
      </c>
      <c r="D98" s="22" t="s">
        <v>139</v>
      </c>
      <c r="E98" s="22" t="str">
        <f>_xlfn.IFNA(VLOOKUP(D98,AccessModes!$D$2:$E$13,2,FALSE),"AM_IMP")</f>
        <v>AM_IMP</v>
      </c>
      <c r="F98" s="22">
        <v>6</v>
      </c>
      <c r="G98" s="22">
        <v>0</v>
      </c>
      <c r="H98" s="28"/>
      <c r="I98" s="28"/>
      <c r="J98" s="28"/>
      <c r="K98" s="22" t="str">
        <f>IF(LEN(H98)&gt;0,indent&amp;H98&amp;" = "&amp;VLOOKUP($E98,AccessModes!$E$2:$I$13,4,FALSE),"")</f>
        <v/>
      </c>
      <c r="L98" s="29" t="str">
        <f>indent&amp;"cpu.PC = memory_stackPullAddress() + 1;"</f>
        <v xml:space="preserve">            cpu.PC = memory_stackPullAddress() + 1;</v>
      </c>
      <c r="M98" s="15" t="str">
        <f t="shared" si="3"/>
        <v/>
      </c>
      <c r="N98" s="22" t="str">
        <f>IF(LEN(J98)&gt;0,indent&amp;IF(J98="LAST",AccessModes!$I$15&amp;H98,VLOOKUP($E98,AccessModes!$E$2:$I$13,5,FALSE)&amp;J98)&amp;");","")</f>
        <v/>
      </c>
      <c r="O98" s="22"/>
      <c r="P98" s="15" t="str">
        <f>IF(C98=0,indent0&amp;"case 0x"&amp;DEC2HEX(A98)&amp;": /* "&amp;B98&amp;" "&amp;VLOOKUP(E98,AccessModes!$E$2:$G$13,3,FALSE)&amp;" */"&amp;newline&amp;IF(LEN(K98)&gt;0,K98&amp;CHAR(10),"")&amp;IF(LEN(L98)&gt;0,L98&amp;newline,"")&amp;IF(LEN(M98)&gt;0,M98&amp;newline,"")&amp;IF(LEN(N98)&gt;0,N98&amp;newline,"")&amp;IF(LEN(O98)&gt;0,O98&amp;newline,"")&amp;indent&amp;"break;","")</f>
        <v xml:space="preserve">        case 0x60: /* RTS  */
            cpu.PC = memory_stackPullAddress() + 1;
            break;</v>
      </c>
      <c r="Q98" s="22" t="str">
        <f t="shared" si="4"/>
        <v xml:space="preserve">    {"RTS", 0, AM_IMP, 6, 0},</v>
      </c>
    </row>
    <row r="99" spans="1:17" ht="211.2" x14ac:dyDescent="0.3">
      <c r="A99" s="22">
        <v>97</v>
      </c>
      <c r="B99" s="22" t="s">
        <v>68</v>
      </c>
      <c r="C99" s="22">
        <v>0</v>
      </c>
      <c r="D99" s="22" t="s">
        <v>129</v>
      </c>
      <c r="E99" s="22" t="str">
        <f>_xlfn.IFNA(VLOOKUP(D99,AccessModes!$D$2:$E$13,2,FALSE),"AM_IMP")</f>
        <v>AM_ZIX</v>
      </c>
      <c r="F99" s="22">
        <v>6</v>
      </c>
      <c r="G99" s="22">
        <v>0</v>
      </c>
      <c r="H99" s="28" t="s">
        <v>224</v>
      </c>
      <c r="I99" s="28" t="str">
        <f>""</f>
        <v/>
      </c>
      <c r="J99" s="28" t="str">
        <f>""</f>
        <v/>
      </c>
      <c r="K99" s="22" t="str">
        <f>IF(LEN(H99)&gt;0,indent&amp;H99&amp;" = "&amp;VLOOKUP($E99,AccessModes!$E$2:$I$13,4,FALSE),"")</f>
        <v xml:space="preserve">            value = memory_getZeroPageIndexedX();</v>
      </c>
      <c r="L99" s="29" t="str">
        <f>indent&amp;"if(cpu.PS_D) {"&amp;newline&amp;indent&amp;"} else {"&amp;newline&amp;indent2&amp;"s1 =  (bool)(cpu.A &amp; 0x80);"&amp;newline&amp;indent2&amp;"s2 =  (bool)(value &amp; 0x80);"&amp;newline&amp;indent2&amp;"value_w = (word)cpu.A + (word)value + (word)cpu.PS_C;"&amp;newline&amp;indent2&amp;"cpu.A = (byte)(value_w &amp; 0xFF);"&amp;newline&amp;indent2&amp;"cpu.PS_C =  (bool)(cpu.A &amp; 0xFF00);"&amp;newline&amp;indent2&amp;"cpu.PS_Z = (bool)value_w;"&amp;newline&amp;indent2&amp;"cpu.PS_N =  (bool)(cpu.A &amp; 0x80);"&amp;newline&amp;indent2&amp;"cpu.PS_V =  (s1 &amp;&amp; s2 &amp;&amp; !cpu.PS_N) || (!s1 &amp;&amp; !s2 &amp;&amp; cpu.PS_N);"&amp;newline&amp;indent&amp;"}"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99" s="15" t="str">
        <f t="shared" si="3"/>
        <v/>
      </c>
      <c r="N99" s="22" t="str">
        <f>IF(LEN(J99)&gt;0,indent&amp;IF(J99="LAST",AccessModes!$I$15&amp;H99,VLOOKUP($E99,AccessModes!$E$2:$I$13,5,FALSE)&amp;J99)&amp;");","")</f>
        <v/>
      </c>
      <c r="O99" s="22"/>
      <c r="P99" s="15" t="str">
        <f>IF(C99=0,indent0&amp;"case 0x"&amp;DEC2HEX(A99)&amp;": /* "&amp;B99&amp;" "&amp;VLOOKUP(E99,AccessModes!$E$2:$G$13,3,FALSE)&amp;" */"&amp;newline&amp;IF(LEN(K99)&gt;0,K99&amp;CHAR(10),"")&amp;IF(LEN(L99)&gt;0,L99&amp;newline,"")&amp;IF(LEN(M99)&gt;0,M99&amp;newline,"")&amp;IF(LEN(N99)&gt;0,N99&amp;newline,"")&amp;IF(LEN(O99)&gt;0,O99&amp;newline,"")&amp;indent&amp;"break;","")</f>
        <v xml:space="preserve">        case 0x61: /* ADC aa,X */
            value = memory_getZeroPageIndexedX();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99" s="22" t="str">
        <f t="shared" si="4"/>
        <v xml:space="preserve">    {"ADC", 0, AM_ZIX, 6, 0},</v>
      </c>
    </row>
    <row r="100" spans="1:17" x14ac:dyDescent="0.3">
      <c r="A100" s="23">
        <v>98</v>
      </c>
      <c r="B100" s="23" t="s">
        <v>20</v>
      </c>
      <c r="C100" s="23">
        <v>-1</v>
      </c>
      <c r="D100" s="23"/>
      <c r="E100" s="23" t="str">
        <f>_xlfn.IFNA(VLOOKUP(D100,AccessModes!$D$2:$E$13,2,FALSE),"AM_IMP")</f>
        <v>AM_IMP</v>
      </c>
      <c r="F100" s="23">
        <v>0</v>
      </c>
      <c r="G100" s="23">
        <v>0</v>
      </c>
      <c r="H100" s="23"/>
      <c r="I100" s="23"/>
      <c r="J100" s="23"/>
      <c r="K100" s="23" t="str">
        <f>IF(LEN(H100)&gt;0,indent&amp;H100&amp;" = "&amp;VLOOKUP($E100,AccessModes!$E$2:$I$13,4,FALSE),"")</f>
        <v/>
      </c>
      <c r="L100" s="17" t="str">
        <f>indent&amp;"/* TODO: implementation of the action */"</f>
        <v xml:space="preserve">            /* TODO: implementation of the action */</v>
      </c>
      <c r="M100" s="17" t="str">
        <f t="shared" si="3"/>
        <v/>
      </c>
      <c r="N100" s="23" t="str">
        <f>IF(LEN(J100)&gt;0,indent&amp;IF(J100="LAST",AccessModes!$I$15&amp;H100,VLOOKUP($E100,AccessModes!$E$2:$I$13,5,FALSE)&amp;J100)&amp;");","")</f>
        <v/>
      </c>
      <c r="O100" s="23"/>
      <c r="P100" s="17" t="str">
        <f>IF(C100=0,indent0&amp;"case 0x"&amp;DEC2HEX(A100)&amp;": /* "&amp;B100&amp;" "&amp;VLOOKUP(E100,AccessModes!$E$2:$G$13,3,FALSE)&amp;" */"&amp;newline&amp;IF(LEN(K100)&gt;0,K100&amp;CHAR(10),"")&amp;IF(LEN(L100)&gt;0,L100&amp;newline,"")&amp;IF(LEN(M100)&gt;0,M100&amp;newline,"")&amp;IF(LEN(N100)&gt;0,N100&amp;newline,"")&amp;IF(LEN(O100)&gt;0,O100&amp;newline,"")&amp;indent&amp;"break;","")</f>
        <v/>
      </c>
      <c r="Q100" s="23" t="str">
        <f t="shared" si="4"/>
        <v xml:space="preserve">    {"KIL", -1, AM_IMP, 0, 0},</v>
      </c>
    </row>
    <row r="101" spans="1:17" x14ac:dyDescent="0.3">
      <c r="A101" s="23">
        <v>99</v>
      </c>
      <c r="B101" s="23" t="s">
        <v>69</v>
      </c>
      <c r="C101" s="23">
        <v>-1</v>
      </c>
      <c r="D101" s="23" t="s">
        <v>129</v>
      </c>
      <c r="E101" s="23" t="str">
        <f>_xlfn.IFNA(VLOOKUP(D101,AccessModes!$D$2:$E$13,2,FALSE),"AM_IMP")</f>
        <v>AM_ZIX</v>
      </c>
      <c r="F101" s="23">
        <v>8</v>
      </c>
      <c r="G101" s="23">
        <v>0</v>
      </c>
      <c r="H101" s="23"/>
      <c r="I101" s="23"/>
      <c r="J101" s="23"/>
      <c r="K101" s="23" t="str">
        <f>IF(LEN(H101)&gt;0,indent&amp;H101&amp;" = "&amp;VLOOKUP($E101,AccessModes!$E$2:$I$13,4,FALSE),"")</f>
        <v/>
      </c>
      <c r="L101" s="17" t="str">
        <f>indent&amp;"/* TODO: implementation of the action */"</f>
        <v xml:space="preserve">            /* TODO: implementation of the action */</v>
      </c>
      <c r="M101" s="17" t="str">
        <f t="shared" si="3"/>
        <v/>
      </c>
      <c r="N101" s="23" t="str">
        <f>IF(LEN(J101)&gt;0,indent&amp;IF(J101="LAST",AccessModes!$I$15&amp;H101,VLOOKUP($E101,AccessModes!$E$2:$I$13,5,FALSE)&amp;J101)&amp;");","")</f>
        <v/>
      </c>
      <c r="O101" s="23"/>
      <c r="P101" s="17" t="str">
        <f>IF(C101=0,indent0&amp;"case 0x"&amp;DEC2HEX(A101)&amp;": /* "&amp;B101&amp;" "&amp;VLOOKUP(E101,AccessModes!$E$2:$G$13,3,FALSE)&amp;" */"&amp;newline&amp;IF(LEN(K101)&gt;0,K101&amp;CHAR(10),"")&amp;IF(LEN(L101)&gt;0,L101&amp;newline,"")&amp;IF(LEN(M101)&gt;0,M101&amp;newline,"")&amp;IF(LEN(N101)&gt;0,N101&amp;newline,"")&amp;IF(LEN(O101)&gt;0,O101&amp;newline,"")&amp;indent&amp;"break;","")</f>
        <v/>
      </c>
      <c r="Q101" s="23" t="str">
        <f t="shared" si="4"/>
        <v xml:space="preserve">    {"RRA", -1, AM_ZIX, 8, 0},</v>
      </c>
    </row>
    <row r="102" spans="1:17" x14ac:dyDescent="0.3">
      <c r="A102" s="23">
        <v>100</v>
      </c>
      <c r="B102" s="23" t="s">
        <v>23</v>
      </c>
      <c r="C102" s="23">
        <v>-1</v>
      </c>
      <c r="D102" s="23" t="s">
        <v>144</v>
      </c>
      <c r="E102" s="23" t="str">
        <f>_xlfn.IFNA(VLOOKUP(D102,AccessModes!$D$2:$E$13,2,FALSE),"AM_IMP")</f>
        <v>AM_ZPG</v>
      </c>
      <c r="F102" s="23">
        <v>3</v>
      </c>
      <c r="G102" s="23">
        <v>0</v>
      </c>
      <c r="H102" s="23"/>
      <c r="I102" s="23"/>
      <c r="J102" s="23"/>
      <c r="K102" s="23" t="str">
        <f>IF(LEN(H102)&gt;0,indent&amp;H102&amp;" = "&amp;VLOOKUP($E102,AccessModes!$E$2:$I$13,4,FALSE),"")</f>
        <v/>
      </c>
      <c r="L102" s="17" t="str">
        <f>indent&amp;"/* TODO: implementation of the action */"</f>
        <v xml:space="preserve">            /* TODO: implementation of the action */</v>
      </c>
      <c r="M102" s="17" t="str">
        <f t="shared" si="3"/>
        <v/>
      </c>
      <c r="N102" s="23" t="str">
        <f>IF(LEN(J102)&gt;0,indent&amp;IF(J102="LAST",AccessModes!$I$15&amp;H102,VLOOKUP($E102,AccessModes!$E$2:$I$13,5,FALSE)&amp;J102)&amp;");","")</f>
        <v/>
      </c>
      <c r="O102" s="23"/>
      <c r="P102" s="17" t="str">
        <f>IF(C102=0,indent0&amp;"case 0x"&amp;DEC2HEX(A102)&amp;": /* "&amp;B102&amp;" "&amp;VLOOKUP(E102,AccessModes!$E$2:$G$13,3,FALSE)&amp;" */"&amp;newline&amp;IF(LEN(K102)&gt;0,K102&amp;CHAR(10),"")&amp;IF(LEN(L102)&gt;0,L102&amp;newline,"")&amp;IF(LEN(M102)&gt;0,M102&amp;newline,"")&amp;IF(LEN(N102)&gt;0,N102&amp;newline,"")&amp;IF(LEN(O102)&gt;0,O102&amp;newline,"")&amp;indent&amp;"break;","")</f>
        <v/>
      </c>
      <c r="Q102" s="23" t="str">
        <f t="shared" si="4"/>
        <v xml:space="preserve">    {"NOP", -1, AM_ZPG, 3, 0},</v>
      </c>
    </row>
    <row r="103" spans="1:17" ht="211.2" x14ac:dyDescent="0.3">
      <c r="A103" s="22">
        <v>101</v>
      </c>
      <c r="B103" s="22" t="s">
        <v>68</v>
      </c>
      <c r="C103" s="22">
        <v>0</v>
      </c>
      <c r="D103" s="22" t="s">
        <v>144</v>
      </c>
      <c r="E103" s="22" t="str">
        <f>_xlfn.IFNA(VLOOKUP(D103,AccessModes!$D$2:$E$13,2,FALSE),"AM_IMP")</f>
        <v>AM_ZPG</v>
      </c>
      <c r="F103" s="22">
        <v>3</v>
      </c>
      <c r="G103" s="22">
        <v>0</v>
      </c>
      <c r="H103" s="22" t="str">
        <f>$H$99</f>
        <v>value</v>
      </c>
      <c r="I103" s="22" t="str">
        <f>$I$99</f>
        <v/>
      </c>
      <c r="J103" s="22" t="str">
        <f>$J$99</f>
        <v/>
      </c>
      <c r="K103" s="22" t="str">
        <f>IF(LEN(H103)&gt;0,indent&amp;H103&amp;" = "&amp;VLOOKUP($E103,AccessModes!$E$2:$I$13,4,FALSE),"")</f>
        <v xml:space="preserve">            value = memory_getZeroPage();</v>
      </c>
      <c r="L103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03" s="15" t="str">
        <f t="shared" si="3"/>
        <v/>
      </c>
      <c r="N103" s="22" t="str">
        <f>IF(LEN(J103)&gt;0,indent&amp;IF(J103="LAST",AccessModes!$I$15&amp;H103,VLOOKUP($E103,AccessModes!$E$2:$I$13,5,FALSE)&amp;J103)&amp;");","")</f>
        <v/>
      </c>
      <c r="O103" s="22"/>
      <c r="P103" s="15" t="str">
        <f>IF(C103=0,indent0&amp;"case 0x"&amp;DEC2HEX(A103)&amp;": /* "&amp;B103&amp;" "&amp;VLOOKUP(E103,AccessModes!$E$2:$G$13,3,FALSE)&amp;" */"&amp;newline&amp;IF(LEN(K103)&gt;0,K103&amp;CHAR(10),"")&amp;IF(LEN(L103)&gt;0,L103&amp;newline,"")&amp;IF(LEN(M103)&gt;0,M103&amp;newline,"")&amp;IF(LEN(N103)&gt;0,N103&amp;newline,"")&amp;IF(LEN(O103)&gt;0,O103&amp;newline,"")&amp;indent&amp;"break;","")</f>
        <v xml:space="preserve">        case 0x65: /* ADC aa */
            value = memory_getZeroPage();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03" s="22" t="str">
        <f t="shared" si="4"/>
        <v xml:space="preserve">    {"ADC", 0, AM_ZPG, 3, 0},</v>
      </c>
    </row>
    <row r="104" spans="1:17" ht="132" x14ac:dyDescent="0.3">
      <c r="A104" s="22">
        <v>102</v>
      </c>
      <c r="B104" s="22" t="s">
        <v>70</v>
      </c>
      <c r="C104" s="22">
        <v>0</v>
      </c>
      <c r="D104" s="22" t="s">
        <v>144</v>
      </c>
      <c r="E104" s="22" t="str">
        <f>_xlfn.IFNA(VLOOKUP(D104,AccessModes!$D$2:$E$13,2,FALSE),"AM_IMP")</f>
        <v>AM_ZPG</v>
      </c>
      <c r="F104" s="22">
        <v>5</v>
      </c>
      <c r="G104" s="22">
        <v>0</v>
      </c>
      <c r="H104" s="28" t="str">
        <f>I104</f>
        <v>value</v>
      </c>
      <c r="I104" s="28" t="s">
        <v>224</v>
      </c>
      <c r="J104" s="28" t="s">
        <v>227</v>
      </c>
      <c r="K104" s="22" t="str">
        <f>IF(LEN(H104)&gt;0,indent&amp;H104&amp;" = "&amp;VLOOKUP($E104,AccessModes!$E$2:$I$13,4,FALSE),"")</f>
        <v xml:space="preserve">            value = memory_getZeroPage();</v>
      </c>
      <c r="L104" s="29" t="str">
        <f>indent&amp;"tmp_PS_C = cpu.PS_C;"&amp; newline &amp; indent&amp;"cpu.PS_C = (bool)("&amp; I104 &amp; " &amp; 0x01);"&amp; newline &amp; indent &amp; I104 &amp;" = (value &gt;&gt; 1) | (((byte)tmp_PS_C) &lt;&lt; 7);"</f>
        <v xml:space="preserve">            tmp_PS_C = cpu.PS_C;
            cpu.PS_C = (bool)(value &amp; 0x01);
            value = (value &gt;&gt; 1) | (((byte)tmp_PS_C) &lt;&lt; 7);</v>
      </c>
      <c r="M104" s="15" t="str">
        <f t="shared" si="3"/>
        <v xml:space="preserve">            cpu.PS_N =  (bool)(value &amp; 0x80);
            cpu.PS_Z = (value == 0);</v>
      </c>
      <c r="N104" s="22" t="str">
        <f>IF(LEN(J104)&gt;0,indent&amp;IF(J104="LAST",AccessModes!$I$15&amp;H104,VLOOKUP($E104,AccessModes!$E$2:$I$13,5,FALSE)&amp;J104)&amp;");","")</f>
        <v xml:space="preserve">            memory_setLast(value);</v>
      </c>
      <c r="O104" s="22"/>
      <c r="P104" s="15" t="str">
        <f>IF(C104=0,indent0&amp;"case 0x"&amp;DEC2HEX(A104)&amp;": /* "&amp;B104&amp;" "&amp;VLOOKUP(E104,AccessModes!$E$2:$G$13,3,FALSE)&amp;" */"&amp;newline&amp;IF(LEN(K104)&gt;0,K104&amp;CHAR(10),"")&amp;IF(LEN(L104)&gt;0,L104&amp;newline,"")&amp;IF(LEN(M104)&gt;0,M104&amp;newline,"")&amp;IF(LEN(N104)&gt;0,N104&amp;newline,"")&amp;IF(LEN(O104)&gt;0,O104&amp;newline,"")&amp;indent&amp;"break;","")</f>
        <v xml:space="preserve">        case 0x66: /* ROR aa */
            value = memory_getZeroPage();
            tmp_PS_C = cpu.PS_C;
            cpu.PS_C = (bool)(value &amp; 0x01);
            value = (value &gt;&gt; 1) | (((byte)tmp_PS_C) &lt;&lt; 7);
            cpu.PS_N =  (bool)(value &amp; 0x80);
            cpu.PS_Z = (value == 0);
            memory_setLast(value);
            break;</v>
      </c>
      <c r="Q104" s="22" t="str">
        <f t="shared" si="4"/>
        <v xml:space="preserve">    {"ROR", 0, AM_ZPG, 5, 0},</v>
      </c>
    </row>
    <row r="105" spans="1:17" x14ac:dyDescent="0.3">
      <c r="A105" s="23">
        <v>103</v>
      </c>
      <c r="B105" s="23" t="s">
        <v>69</v>
      </c>
      <c r="C105" s="23">
        <v>-1</v>
      </c>
      <c r="D105" s="23" t="s">
        <v>144</v>
      </c>
      <c r="E105" s="23" t="str">
        <f>_xlfn.IFNA(VLOOKUP(D105,AccessModes!$D$2:$E$13,2,FALSE),"AM_IMP")</f>
        <v>AM_ZPG</v>
      </c>
      <c r="F105" s="23">
        <v>5</v>
      </c>
      <c r="G105" s="23">
        <v>0</v>
      </c>
      <c r="H105" s="23"/>
      <c r="I105" s="23"/>
      <c r="J105" s="23"/>
      <c r="K105" s="23" t="str">
        <f>IF(LEN(H105)&gt;0,indent&amp;H105&amp;" = "&amp;VLOOKUP($E105,AccessModes!$E$2:$I$13,4,FALSE),"")</f>
        <v/>
      </c>
      <c r="L105" s="17" t="str">
        <f>indent&amp;"/* TODO: implementation of the action */"</f>
        <v xml:space="preserve">            /* TODO: implementation of the action */</v>
      </c>
      <c r="M105" s="17" t="str">
        <f t="shared" si="3"/>
        <v/>
      </c>
      <c r="N105" s="23" t="str">
        <f>IF(LEN(J105)&gt;0,indent&amp;IF(J105="LAST",AccessModes!$I$15&amp;H105,VLOOKUP($E105,AccessModes!$E$2:$I$13,5,FALSE)&amp;J105)&amp;");","")</f>
        <v/>
      </c>
      <c r="O105" s="23"/>
      <c r="P105" s="17" t="str">
        <f>IF(C105=0,indent0&amp;"case 0x"&amp;DEC2HEX(A105)&amp;": /* "&amp;B105&amp;" "&amp;VLOOKUP(E105,AccessModes!$E$2:$G$13,3,FALSE)&amp;" */"&amp;newline&amp;IF(LEN(K105)&gt;0,K105&amp;CHAR(10),"")&amp;IF(LEN(L105)&gt;0,L105&amp;newline,"")&amp;IF(LEN(M105)&gt;0,M105&amp;newline,"")&amp;IF(LEN(N105)&gt;0,N105&amp;newline,"")&amp;IF(LEN(O105)&gt;0,O105&amp;newline,"")&amp;indent&amp;"break;","")</f>
        <v/>
      </c>
      <c r="Q105" s="23" t="str">
        <f t="shared" si="4"/>
        <v xml:space="preserve">    {"RRA", -1, AM_ZPG, 5, 0},</v>
      </c>
    </row>
    <row r="106" spans="1:17" ht="66" x14ac:dyDescent="0.3">
      <c r="A106" s="22">
        <v>104</v>
      </c>
      <c r="B106" s="22" t="s">
        <v>71</v>
      </c>
      <c r="C106" s="22">
        <v>0</v>
      </c>
      <c r="D106" s="22" t="s">
        <v>139</v>
      </c>
      <c r="E106" s="22" t="str">
        <f>_xlfn.IFNA(VLOOKUP(D106,AccessModes!$D$2:$E$13,2,FALSE),"AM_IMP")</f>
        <v>AM_IMP</v>
      </c>
      <c r="F106" s="22">
        <v>4</v>
      </c>
      <c r="G106" s="22">
        <v>0</v>
      </c>
      <c r="H106" s="28"/>
      <c r="I106" s="28" t="s">
        <v>215</v>
      </c>
      <c r="J106" s="28"/>
      <c r="K106" s="22" t="str">
        <f>IF(LEN(H106)&gt;0,indent&amp;H106&amp;" = "&amp;VLOOKUP($E106,AccessModes!$E$2:$I$13,4,FALSE),"")</f>
        <v/>
      </c>
      <c r="L106" s="29" t="str">
        <f>indent&amp;"cpu.A = memory_stackPull();"</f>
        <v xml:space="preserve">            cpu.A = memory_stackPull();</v>
      </c>
      <c r="M106" s="15" t="str">
        <f t="shared" si="3"/>
        <v xml:space="preserve">            cpu.PS_N =  (bool)(cpu.A &amp; 0x80);
            cpu.PS_Z = (cpu.A == 0);</v>
      </c>
      <c r="N106" s="22" t="str">
        <f>IF(LEN(J106)&gt;0,indent&amp;IF(J106="LAST",AccessModes!$I$15&amp;H106,VLOOKUP($E106,AccessModes!$E$2:$I$13,5,FALSE)&amp;J106)&amp;");","")</f>
        <v/>
      </c>
      <c r="O106" s="22"/>
      <c r="P106" s="15" t="str">
        <f>IF(C106=0,indent0&amp;"case 0x"&amp;DEC2HEX(A106)&amp;": /* "&amp;B106&amp;" "&amp;VLOOKUP(E106,AccessModes!$E$2:$G$13,3,FALSE)&amp;" */"&amp;newline&amp;IF(LEN(K106)&gt;0,K106&amp;CHAR(10),"")&amp;IF(LEN(L106)&gt;0,L106&amp;newline,"")&amp;IF(LEN(M106)&gt;0,M106&amp;newline,"")&amp;IF(LEN(N106)&gt;0,N106&amp;newline,"")&amp;IF(LEN(O106)&gt;0,O106&amp;newline,"")&amp;indent&amp;"break;","")</f>
        <v xml:space="preserve">        case 0x68: /* PLA  */
            cpu.A = memory_stackPull();
            cpu.PS_N =  (bool)(cpu.A &amp; 0x80);
            cpu.PS_Z = (cpu.A == 0);
            break;</v>
      </c>
      <c r="Q106" s="22" t="str">
        <f t="shared" si="4"/>
        <v xml:space="preserve">    {"PLA", 0, AM_IMP, 4, 0},</v>
      </c>
    </row>
    <row r="107" spans="1:17" ht="211.2" x14ac:dyDescent="0.3">
      <c r="A107" s="22">
        <v>105</v>
      </c>
      <c r="B107" s="22" t="s">
        <v>68</v>
      </c>
      <c r="C107" s="22">
        <v>0</v>
      </c>
      <c r="D107" s="22" t="s">
        <v>130</v>
      </c>
      <c r="E107" s="22" t="str">
        <f>_xlfn.IFNA(VLOOKUP(D107,AccessModes!$D$2:$E$13,2,FALSE),"AM_IMP")</f>
        <v>AM_IMM</v>
      </c>
      <c r="F107" s="22">
        <v>2</v>
      </c>
      <c r="G107" s="22">
        <v>0</v>
      </c>
      <c r="H107" s="22" t="str">
        <f>$H$99</f>
        <v>value</v>
      </c>
      <c r="I107" s="22" t="str">
        <f>$I$99</f>
        <v/>
      </c>
      <c r="J107" s="22" t="str">
        <f>$J$99</f>
        <v/>
      </c>
      <c r="K107" s="22" t="str">
        <f>IF(LEN(H107)&gt;0,indent&amp;H107&amp;" = "&amp;VLOOKUP($E107,AccessModes!$E$2:$I$13,4,FALSE),"")</f>
        <v xml:space="preserve">            value = memory_getImmediate();</v>
      </c>
      <c r="L107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07" s="15" t="str">
        <f t="shared" si="3"/>
        <v/>
      </c>
      <c r="N107" s="22" t="str">
        <f>IF(LEN(J107)&gt;0,indent&amp;IF(J107="LAST",AccessModes!$I$15&amp;H107,VLOOKUP($E107,AccessModes!$E$2:$I$13,5,FALSE)&amp;J107)&amp;");","")</f>
        <v/>
      </c>
      <c r="O107" s="22"/>
      <c r="P107" s="15" t="str">
        <f>IF(C107=0,indent0&amp;"case 0x"&amp;DEC2HEX(A107)&amp;": /* "&amp;B107&amp;" "&amp;VLOOKUP(E107,AccessModes!$E$2:$G$13,3,FALSE)&amp;" */"&amp;newline&amp;IF(LEN(K107)&gt;0,K107&amp;CHAR(10),"")&amp;IF(LEN(L107)&gt;0,L107&amp;newline,"")&amp;IF(LEN(M107)&gt;0,M107&amp;newline,"")&amp;IF(LEN(N107)&gt;0,N107&amp;newline,"")&amp;IF(LEN(O107)&gt;0,O107&amp;newline,"")&amp;indent&amp;"break;","")</f>
        <v xml:space="preserve">        case 0x69: /* ADC #aa */
            value = memory_getImmediate();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07" s="22" t="str">
        <f t="shared" si="4"/>
        <v xml:space="preserve">    {"ADC", 0, AM_IMM, 2, 0},</v>
      </c>
    </row>
    <row r="108" spans="1:17" ht="105.6" x14ac:dyDescent="0.3">
      <c r="A108" s="22">
        <v>106</v>
      </c>
      <c r="B108" s="22" t="s">
        <v>70</v>
      </c>
      <c r="C108" s="22">
        <v>0</v>
      </c>
      <c r="D108" s="22" t="s">
        <v>139</v>
      </c>
      <c r="E108" s="22" t="str">
        <f>_xlfn.IFNA(VLOOKUP(D108,AccessModes!$D$2:$E$13,2,FALSE),"AM_IMP")</f>
        <v>AM_IMP</v>
      </c>
      <c r="F108" s="22">
        <v>2</v>
      </c>
      <c r="G108" s="22">
        <v>0</v>
      </c>
      <c r="H108" s="28"/>
      <c r="I108" s="28" t="s">
        <v>215</v>
      </c>
      <c r="J108" s="28"/>
      <c r="K108" s="22" t="str">
        <f>IF(LEN(H108)&gt;0,indent&amp;H108&amp;" = "&amp;VLOOKUP($E108,AccessModes!$E$2:$I$13,4,FALSE),"")</f>
        <v/>
      </c>
      <c r="L108" s="29" t="str">
        <f>indent&amp;"tmp_PS_C = cpu.PS_C;"&amp; newline &amp; indent&amp;"cpu.PS_C = (bool)("&amp; I108 &amp; " &amp; 0x01);"&amp; newline &amp; indent &amp; I108 &amp;" = (value &gt;&gt; 1) | (((byte)tmp_PS_C) &lt;&lt; 7);"</f>
        <v xml:space="preserve">            tmp_PS_C = cpu.PS_C;
            cpu.PS_C = (bool)(cpu.A &amp; 0x01);
            cpu.A = (value &gt;&gt; 1) | (((byte)tmp_PS_C) &lt;&lt; 7);</v>
      </c>
      <c r="M108" s="15" t="str">
        <f t="shared" si="3"/>
        <v xml:space="preserve">            cpu.PS_N =  (bool)(cpu.A &amp; 0x80);
            cpu.PS_Z = (cpu.A == 0);</v>
      </c>
      <c r="N108" s="22" t="str">
        <f>IF(LEN(J108)&gt;0,indent&amp;IF(J108="LAST",AccessModes!$I$15&amp;H108,VLOOKUP($E108,AccessModes!$E$2:$I$13,5,FALSE)&amp;J108)&amp;");","")</f>
        <v/>
      </c>
      <c r="O108" s="22"/>
      <c r="P108" s="15" t="str">
        <f>IF(C108=0,indent0&amp;"case 0x"&amp;DEC2HEX(A108)&amp;": /* "&amp;B108&amp;" "&amp;VLOOKUP(E108,AccessModes!$E$2:$G$13,3,FALSE)&amp;" */"&amp;newline&amp;IF(LEN(K108)&gt;0,K108&amp;CHAR(10),"")&amp;IF(LEN(L108)&gt;0,L108&amp;newline,"")&amp;IF(LEN(M108)&gt;0,M108&amp;newline,"")&amp;IF(LEN(N108)&gt;0,N108&amp;newline,"")&amp;IF(LEN(O108)&gt;0,O108&amp;newline,"")&amp;indent&amp;"break;","")</f>
        <v xml:space="preserve">        case 0x6A: /* ROR  */
            tmp_PS_C = cpu.PS_C;
            cpu.PS_C = (bool)(cpu.A &amp; 0x01);
            cpu.A = (value &gt;&gt; 1) | (((byte)tmp_PS_C) &lt;&lt; 7);
            cpu.PS_N =  (bool)(cpu.A &amp; 0x80);
            cpu.PS_Z = (cpu.A == 0);
            break;</v>
      </c>
      <c r="Q108" s="22" t="str">
        <f t="shared" si="4"/>
        <v xml:space="preserve">    {"ROR", 0, AM_IMP, 2, 0},</v>
      </c>
    </row>
    <row r="109" spans="1:17" x14ac:dyDescent="0.3">
      <c r="A109" s="23">
        <v>107</v>
      </c>
      <c r="B109" s="23" t="s">
        <v>72</v>
      </c>
      <c r="C109" s="23">
        <v>-1</v>
      </c>
      <c r="D109" s="23" t="s">
        <v>130</v>
      </c>
      <c r="E109" s="23" t="str">
        <f>_xlfn.IFNA(VLOOKUP(D109,AccessModes!$D$2:$E$13,2,FALSE),"AM_IMP")</f>
        <v>AM_IMM</v>
      </c>
      <c r="F109" s="23">
        <v>2</v>
      </c>
      <c r="G109" s="23">
        <v>0</v>
      </c>
      <c r="H109" s="23"/>
      <c r="I109" s="23"/>
      <c r="J109" s="23"/>
      <c r="K109" s="23" t="str">
        <f>IF(LEN(H109)&gt;0,indent&amp;H109&amp;" = "&amp;VLOOKUP($E109,AccessModes!$E$2:$I$13,4,FALSE),"")</f>
        <v/>
      </c>
      <c r="L109" s="17" t="str">
        <f>indent&amp;"/* TODO: implementation of the action */"</f>
        <v xml:space="preserve">            /* TODO: implementation of the action */</v>
      </c>
      <c r="M109" s="17" t="str">
        <f t="shared" si="3"/>
        <v/>
      </c>
      <c r="N109" s="23" t="str">
        <f>IF(LEN(J109)&gt;0,indent&amp;IF(J109="LAST",AccessModes!$I$15&amp;H109,VLOOKUP($E109,AccessModes!$E$2:$I$13,5,FALSE)&amp;J109)&amp;");","")</f>
        <v/>
      </c>
      <c r="O109" s="23"/>
      <c r="P109" s="17" t="str">
        <f>IF(C109=0,indent0&amp;"case 0x"&amp;DEC2HEX(A109)&amp;": /* "&amp;B109&amp;" "&amp;VLOOKUP(E109,AccessModes!$E$2:$G$13,3,FALSE)&amp;" */"&amp;newline&amp;IF(LEN(K109)&gt;0,K109&amp;CHAR(10),"")&amp;IF(LEN(L109)&gt;0,L109&amp;newline,"")&amp;IF(LEN(M109)&gt;0,M109&amp;newline,"")&amp;IF(LEN(N109)&gt;0,N109&amp;newline,"")&amp;IF(LEN(O109)&gt;0,O109&amp;newline,"")&amp;indent&amp;"break;","")</f>
        <v/>
      </c>
      <c r="Q109" s="23" t="str">
        <f t="shared" si="4"/>
        <v xml:space="preserve">    {"ARR", -1, AM_IMM, 2, 0},</v>
      </c>
    </row>
    <row r="110" spans="1:17" ht="52.8" x14ac:dyDescent="0.3">
      <c r="A110" s="22">
        <v>108</v>
      </c>
      <c r="B110" s="22" t="s">
        <v>61</v>
      </c>
      <c r="C110" s="22">
        <v>0</v>
      </c>
      <c r="D110" s="22" t="s">
        <v>137</v>
      </c>
      <c r="E110" s="22" t="str">
        <f>_xlfn.IFNA(VLOOKUP(D110,AccessModes!$D$2:$E$13,2,FALSE),"AM_IMP")</f>
        <v>AM_IND</v>
      </c>
      <c r="F110" s="22">
        <v>5</v>
      </c>
      <c r="G110" s="22">
        <v>0</v>
      </c>
      <c r="H110" s="22" t="str">
        <f>$H$78</f>
        <v>cpu.PC</v>
      </c>
      <c r="I110" s="22" t="str">
        <f>$I$78</f>
        <v/>
      </c>
      <c r="J110" s="22" t="str">
        <f>$J$78</f>
        <v/>
      </c>
      <c r="K110" s="22" t="str">
        <f>IF(LEN(H110)&gt;0,indent&amp;H110&amp;" = "&amp;VLOOKUP($E110,AccessModes!$E$2:$I$13,4,FALSE),"")</f>
        <v xml:space="preserve">            cpu.PC = memory_getIndirectAbsoluteAddress();</v>
      </c>
      <c r="L110" s="15" t="str">
        <f>L78</f>
        <v/>
      </c>
      <c r="M110" s="15" t="str">
        <f t="shared" si="3"/>
        <v/>
      </c>
      <c r="N110" s="22" t="str">
        <f>IF(LEN(J110)&gt;0,indent&amp;IF(J110="LAST",AccessModes!$I$15&amp;H110,VLOOKUP($E110,AccessModes!$E$2:$I$13,5,FALSE)&amp;J110)&amp;");","")</f>
        <v/>
      </c>
      <c r="O110" s="22"/>
      <c r="P110" s="15" t="str">
        <f>IF(C110=0,indent0&amp;"case 0x"&amp;DEC2HEX(A110)&amp;": /* "&amp;B110&amp;" "&amp;VLOOKUP(E110,AccessModes!$E$2:$G$13,3,FALSE)&amp;" */"&amp;newline&amp;IF(LEN(K110)&gt;0,K110&amp;CHAR(10),"")&amp;IF(LEN(L110)&gt;0,L110&amp;newline,"")&amp;IF(LEN(M110)&gt;0,M110&amp;newline,"")&amp;IF(LEN(N110)&gt;0,N110&amp;newline,"")&amp;IF(LEN(O110)&gt;0,O110&amp;newline,"")&amp;indent&amp;"break;","")</f>
        <v xml:space="preserve">        case 0x6C: /* JMP (aaaa) */
            cpu.PC = memory_getIndirectAbsoluteAddress();
            break;</v>
      </c>
      <c r="Q110" s="22" t="str">
        <f t="shared" si="4"/>
        <v xml:space="preserve">    {"JMP", 0, AM_IND, 5, 0},</v>
      </c>
    </row>
    <row r="111" spans="1:17" ht="211.2" x14ac:dyDescent="0.3">
      <c r="A111" s="22">
        <v>109</v>
      </c>
      <c r="B111" s="22" t="s">
        <v>68</v>
      </c>
      <c r="C111" s="22">
        <v>0</v>
      </c>
      <c r="D111" s="22" t="s">
        <v>131</v>
      </c>
      <c r="E111" s="22" t="str">
        <f>_xlfn.IFNA(VLOOKUP(D111,AccessModes!$D$2:$E$13,2,FALSE),"AM_IMP")</f>
        <v>AM_ABS</v>
      </c>
      <c r="F111" s="22">
        <v>4</v>
      </c>
      <c r="G111" s="22">
        <v>0</v>
      </c>
      <c r="H111" s="22" t="str">
        <f>$H$99</f>
        <v>value</v>
      </c>
      <c r="I111" s="22" t="str">
        <f>$I$99</f>
        <v/>
      </c>
      <c r="J111" s="22" t="str">
        <f>$J$99</f>
        <v/>
      </c>
      <c r="K111" s="22" t="str">
        <f>IF(LEN(H111)&gt;0,indent&amp;H111&amp;" = "&amp;VLOOKUP($E111,AccessModes!$E$2:$I$13,4,FALSE),"")</f>
        <v xml:space="preserve">            value = memory_getAbsolute();</v>
      </c>
      <c r="L111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11" s="15" t="str">
        <f t="shared" si="3"/>
        <v/>
      </c>
      <c r="N111" s="22" t="str">
        <f>IF(LEN(J111)&gt;0,indent&amp;IF(J111="LAST",AccessModes!$I$15&amp;H111,VLOOKUP($E111,AccessModes!$E$2:$I$13,5,FALSE)&amp;J111)&amp;");","")</f>
        <v/>
      </c>
      <c r="O111" s="22"/>
      <c r="P111" s="15" t="str">
        <f>IF(C111=0,indent0&amp;"case 0x"&amp;DEC2HEX(A111)&amp;": /* "&amp;B111&amp;" "&amp;VLOOKUP(E111,AccessModes!$E$2:$G$13,3,FALSE)&amp;" */"&amp;newline&amp;IF(LEN(K111)&gt;0,K111&amp;CHAR(10),"")&amp;IF(LEN(L111)&gt;0,L111&amp;newline,"")&amp;IF(LEN(M111)&gt;0,M111&amp;newline,"")&amp;IF(LEN(N111)&gt;0,N111&amp;newline,"")&amp;IF(LEN(O111)&gt;0,O111&amp;newline,"")&amp;indent&amp;"break;","")</f>
        <v xml:space="preserve">        case 0x6D: /* ADC aaaa */
            value = memory_getAbsolute();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11" s="22" t="str">
        <f t="shared" si="4"/>
        <v xml:space="preserve">    {"ADC", 0, AM_ABS, 4, 0},</v>
      </c>
    </row>
    <row r="112" spans="1:17" ht="132" x14ac:dyDescent="0.3">
      <c r="A112" s="22">
        <v>110</v>
      </c>
      <c r="B112" s="22" t="s">
        <v>70</v>
      </c>
      <c r="C112" s="22">
        <v>0</v>
      </c>
      <c r="D112" s="22" t="s">
        <v>131</v>
      </c>
      <c r="E112" s="22" t="str">
        <f>_xlfn.IFNA(VLOOKUP(D112,AccessModes!$D$2:$E$13,2,FALSE),"AM_IMP")</f>
        <v>AM_ABS</v>
      </c>
      <c r="F112" s="22">
        <v>6</v>
      </c>
      <c r="G112" s="22">
        <v>0</v>
      </c>
      <c r="H112" s="22" t="str">
        <f>$H$104</f>
        <v>value</v>
      </c>
      <c r="I112" s="22" t="str">
        <f>$I$104</f>
        <v>value</v>
      </c>
      <c r="J112" s="22" t="str">
        <f>$J$104</f>
        <v>LAST</v>
      </c>
      <c r="K112" s="22" t="str">
        <f>IF(LEN(H112)&gt;0,indent&amp;H112&amp;" = "&amp;VLOOKUP($E112,AccessModes!$E$2:$I$13,4,FALSE),"")</f>
        <v xml:space="preserve">            value = memory_getAbsolute();</v>
      </c>
      <c r="L112" s="15" t="str">
        <f>$L$104</f>
        <v xml:space="preserve">            tmp_PS_C = cpu.PS_C;
            cpu.PS_C = (bool)(value &amp; 0x01);
            value = (value &gt;&gt; 1) | (((byte)tmp_PS_C) &lt;&lt; 7);</v>
      </c>
      <c r="M112" s="15" t="str">
        <f t="shared" si="3"/>
        <v xml:space="preserve">            cpu.PS_N =  (bool)(value &amp; 0x80);
            cpu.PS_Z = (value == 0);</v>
      </c>
      <c r="N112" s="22" t="str">
        <f>IF(LEN(J112)&gt;0,indent&amp;IF(J112="LAST",AccessModes!$I$15&amp;H112,VLOOKUP($E112,AccessModes!$E$2:$I$13,5,FALSE)&amp;J112)&amp;");","")</f>
        <v xml:space="preserve">            memory_setLast(value);</v>
      </c>
      <c r="O112" s="22"/>
      <c r="P112" s="15" t="str">
        <f>IF(C112=0,indent0&amp;"case 0x"&amp;DEC2HEX(A112)&amp;": /* "&amp;B112&amp;" "&amp;VLOOKUP(E112,AccessModes!$E$2:$G$13,3,FALSE)&amp;" */"&amp;newline&amp;IF(LEN(K112)&gt;0,K112&amp;CHAR(10),"")&amp;IF(LEN(L112)&gt;0,L112&amp;newline,"")&amp;IF(LEN(M112)&gt;0,M112&amp;newline,"")&amp;IF(LEN(N112)&gt;0,N112&amp;newline,"")&amp;IF(LEN(O112)&gt;0,O112&amp;newline,"")&amp;indent&amp;"break;","")</f>
        <v xml:space="preserve">        case 0x6E: /* ROR aaaa */
            value = memory_getAbsolute();
            tmp_PS_C = cpu.PS_C;
            cpu.PS_C = (bool)(value &amp; 0x01);
            value = (value &gt;&gt; 1) | (((byte)tmp_PS_C) &lt;&lt; 7);
            cpu.PS_N =  (bool)(value &amp; 0x80);
            cpu.PS_Z = (value == 0);
            memory_setLast(value);
            break;</v>
      </c>
      <c r="Q112" s="22" t="str">
        <f t="shared" si="4"/>
        <v xml:space="preserve">    {"ROR", 0, AM_ABS, 6, 0},</v>
      </c>
    </row>
    <row r="113" spans="1:17" x14ac:dyDescent="0.3">
      <c r="A113" s="23">
        <v>111</v>
      </c>
      <c r="B113" s="23" t="s">
        <v>69</v>
      </c>
      <c r="C113" s="23">
        <v>-1</v>
      </c>
      <c r="D113" s="23" t="s">
        <v>131</v>
      </c>
      <c r="E113" s="23" t="str">
        <f>_xlfn.IFNA(VLOOKUP(D113,AccessModes!$D$2:$E$13,2,FALSE),"AM_IMP")</f>
        <v>AM_ABS</v>
      </c>
      <c r="F113" s="23">
        <v>6</v>
      </c>
      <c r="G113" s="23">
        <v>0</v>
      </c>
      <c r="H113" s="23"/>
      <c r="I113" s="23"/>
      <c r="J113" s="23"/>
      <c r="K113" s="23" t="str">
        <f>IF(LEN(H113)&gt;0,indent&amp;H113&amp;" = "&amp;VLOOKUP($E113,AccessModes!$E$2:$I$13,4,FALSE),"")</f>
        <v/>
      </c>
      <c r="L113" s="17" t="str">
        <f>indent&amp;"/* TODO: implementation of the action */"</f>
        <v xml:space="preserve">            /* TODO: implementation of the action */</v>
      </c>
      <c r="M113" s="17" t="str">
        <f t="shared" si="3"/>
        <v/>
      </c>
      <c r="N113" s="23" t="str">
        <f>IF(LEN(J113)&gt;0,indent&amp;IF(J113="LAST",AccessModes!$I$15&amp;H113,VLOOKUP($E113,AccessModes!$E$2:$I$13,5,FALSE)&amp;J113)&amp;");","")</f>
        <v/>
      </c>
      <c r="O113" s="23"/>
      <c r="P113" s="17" t="str">
        <f>IF(C113=0,indent0&amp;"case 0x"&amp;DEC2HEX(A113)&amp;": /* "&amp;B113&amp;" "&amp;VLOOKUP(E113,AccessModes!$E$2:$G$13,3,FALSE)&amp;" */"&amp;newline&amp;IF(LEN(K113)&gt;0,K113&amp;CHAR(10),"")&amp;IF(LEN(L113)&gt;0,L113&amp;newline,"")&amp;IF(LEN(M113)&gt;0,M113&amp;newline,"")&amp;IF(LEN(N113)&gt;0,N113&amp;newline,"")&amp;IF(LEN(O113)&gt;0,O113&amp;newline,"")&amp;indent&amp;"break;","")</f>
        <v/>
      </c>
      <c r="Q113" s="23" t="str">
        <f t="shared" si="4"/>
        <v xml:space="preserve">    {"RRA", -1, AM_ABS, 6, 0},</v>
      </c>
    </row>
    <row r="114" spans="1:17" ht="92.4" x14ac:dyDescent="0.3">
      <c r="A114" s="22">
        <v>112</v>
      </c>
      <c r="B114" s="22" t="s">
        <v>75</v>
      </c>
      <c r="C114" s="22">
        <v>0</v>
      </c>
      <c r="D114" s="22" t="s">
        <v>132</v>
      </c>
      <c r="E114" s="22" t="str">
        <f>_xlfn.IFNA(VLOOKUP(D114,AccessModes!$D$2:$E$13,2,FALSE),"AM_IMP")</f>
        <v>AM_REL</v>
      </c>
      <c r="F114" s="22">
        <v>2</v>
      </c>
      <c r="G114" s="22">
        <v>1</v>
      </c>
      <c r="H114" s="28" t="s">
        <v>240</v>
      </c>
      <c r="I114" s="28"/>
      <c r="J114" s="28"/>
      <c r="K114" s="22" t="str">
        <f>IF(LEN(H114)&gt;0,indent&amp;H114&amp;" = "&amp;VLOOKUP($E114,AccessModes!$E$2:$I$13,4,FALSE),"")</f>
        <v xml:space="preserve">            value_w = memory_getRelativeAddress();</v>
      </c>
      <c r="L114" s="29" t="str">
        <f>indent&amp;"if(cpu.PS_V) {"&amp;newline&amp;indent2&amp;"++cycles;"&amp;newline&amp;indent2&amp;"cpu.PC = "&amp;H114&amp;";"&amp;newline&amp;indent&amp;"}"</f>
        <v xml:space="preserve">            if(cpu.PS_V) {
                ++cycles;
                cpu.PC = value_w;
            }</v>
      </c>
      <c r="M114" s="15" t="str">
        <f t="shared" si="3"/>
        <v/>
      </c>
      <c r="N114" s="22" t="str">
        <f>IF(LEN(J114)&gt;0,indent&amp;IF(J114="LAST",AccessModes!$I$15&amp;H114,VLOOKUP($E114,AccessModes!$E$2:$I$13,5,FALSE)&amp;J114)&amp;");","")</f>
        <v/>
      </c>
      <c r="O114" s="22"/>
      <c r="P114" s="15" t="str">
        <f>IF(C114=0,indent0&amp;"case 0x"&amp;DEC2HEX(A114)&amp;": /* "&amp;B114&amp;" "&amp;VLOOKUP(E114,AccessModes!$E$2:$G$13,3,FALSE)&amp;" */"&amp;newline&amp;IF(LEN(K114)&gt;0,K114&amp;CHAR(10),"")&amp;IF(LEN(L114)&gt;0,L114&amp;newline,"")&amp;IF(LEN(M114)&gt;0,M114&amp;newline,"")&amp;IF(LEN(N114)&gt;0,N114&amp;newline,"")&amp;IF(LEN(O114)&gt;0,O114&amp;newline,"")&amp;indent&amp;"break;","")</f>
        <v xml:space="preserve">        case 0x70: /* BVS aaaa */
            value_w = memory_getRelativeAddress();
            if(cpu.PS_V) {
                ++cycles;
                cpu.PC = value_w;
            }
            break;</v>
      </c>
      <c r="Q114" s="22" t="str">
        <f t="shared" si="4"/>
        <v xml:space="preserve">    {"BVS", 0, AM_REL, 2, 1},</v>
      </c>
    </row>
    <row r="115" spans="1:17" ht="211.2" x14ac:dyDescent="0.3">
      <c r="A115" s="22">
        <v>113</v>
      </c>
      <c r="B115" s="22" t="s">
        <v>68</v>
      </c>
      <c r="C115" s="22">
        <v>0</v>
      </c>
      <c r="D115" s="22" t="s">
        <v>133</v>
      </c>
      <c r="E115" s="22" t="str">
        <f>_xlfn.IFNA(VLOOKUP(D115,AccessModes!$D$2:$E$13,2,FALSE),"AM_IMP")</f>
        <v>AM_ZIY</v>
      </c>
      <c r="F115" s="22">
        <v>5</v>
      </c>
      <c r="G115" s="22">
        <v>1</v>
      </c>
      <c r="H115" s="22" t="str">
        <f>$H$99</f>
        <v>value</v>
      </c>
      <c r="I115" s="22" t="str">
        <f>$I$99</f>
        <v/>
      </c>
      <c r="J115" s="22" t="str">
        <f>$J$99</f>
        <v/>
      </c>
      <c r="K115" s="22" t="str">
        <f>IF(LEN(H115)&gt;0,indent&amp;H115&amp;" = "&amp;VLOOKUP($E115,AccessModes!$E$2:$I$13,4,FALSE),"")</f>
        <v xml:space="preserve">            value = memory_getZeroPageIndexedY();</v>
      </c>
      <c r="L115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15" s="15" t="str">
        <f t="shared" si="3"/>
        <v/>
      </c>
      <c r="N115" s="22" t="str">
        <f>IF(LEN(J115)&gt;0,indent&amp;IF(J115="LAST",AccessModes!$I$15&amp;H115,VLOOKUP($E115,AccessModes!$E$2:$I$13,5,FALSE)&amp;J115)&amp;");","")</f>
        <v/>
      </c>
      <c r="O115" s="22"/>
      <c r="P115" s="15" t="str">
        <f>IF(C115=0,indent0&amp;"case 0x"&amp;DEC2HEX(A115)&amp;": /* "&amp;B115&amp;" "&amp;VLOOKUP(E115,AccessModes!$E$2:$G$13,3,FALSE)&amp;" */"&amp;newline&amp;IF(LEN(K115)&gt;0,K115&amp;CHAR(10),"")&amp;IF(LEN(L115)&gt;0,L115&amp;newline,"")&amp;IF(LEN(M115)&gt;0,M115&amp;newline,"")&amp;IF(LEN(N115)&gt;0,N115&amp;newline,"")&amp;IF(LEN(O115)&gt;0,O115&amp;newline,"")&amp;indent&amp;"break;","")</f>
        <v xml:space="preserve">        case 0x71: /* ADC aa,Y */
            value = memory_getZeroPageIndexedY();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15" s="22" t="str">
        <f t="shared" si="4"/>
        <v xml:space="preserve">    {"ADC", 0, AM_ZIY, 5, 1},</v>
      </c>
    </row>
    <row r="116" spans="1:17" x14ac:dyDescent="0.3">
      <c r="A116" s="23">
        <v>114</v>
      </c>
      <c r="B116" s="23" t="s">
        <v>20</v>
      </c>
      <c r="C116" s="23">
        <v>-1</v>
      </c>
      <c r="D116" s="23"/>
      <c r="E116" s="23" t="str">
        <f>_xlfn.IFNA(VLOOKUP(D116,AccessModes!$D$2:$E$13,2,FALSE),"AM_IMP")</f>
        <v>AM_IMP</v>
      </c>
      <c r="F116" s="23">
        <v>0</v>
      </c>
      <c r="G116" s="23">
        <v>0</v>
      </c>
      <c r="H116" s="23"/>
      <c r="I116" s="23"/>
      <c r="J116" s="23"/>
      <c r="K116" s="23" t="str">
        <f>IF(LEN(H116)&gt;0,indent&amp;H116&amp;" = "&amp;VLOOKUP($E116,AccessModes!$E$2:$I$13,4,FALSE),"")</f>
        <v/>
      </c>
      <c r="L116" s="17" t="str">
        <f>indent&amp;"/* TODO: implementation of the action */"</f>
        <v xml:space="preserve">            /* TODO: implementation of the action */</v>
      </c>
      <c r="M116" s="17" t="str">
        <f t="shared" si="3"/>
        <v/>
      </c>
      <c r="N116" s="23" t="str">
        <f>IF(LEN(J116)&gt;0,indent&amp;IF(J116="LAST",AccessModes!$I$15&amp;H116,VLOOKUP($E116,AccessModes!$E$2:$I$13,5,FALSE)&amp;J116)&amp;");","")</f>
        <v/>
      </c>
      <c r="O116" s="23"/>
      <c r="P116" s="17" t="str">
        <f>IF(C116=0,indent0&amp;"case 0x"&amp;DEC2HEX(A116)&amp;": /* "&amp;B116&amp;" "&amp;VLOOKUP(E116,AccessModes!$E$2:$G$13,3,FALSE)&amp;" */"&amp;newline&amp;IF(LEN(K116)&gt;0,K116&amp;CHAR(10),"")&amp;IF(LEN(L116)&gt;0,L116&amp;newline,"")&amp;IF(LEN(M116)&gt;0,M116&amp;newline,"")&amp;IF(LEN(N116)&gt;0,N116&amp;newline,"")&amp;IF(LEN(O116)&gt;0,O116&amp;newline,"")&amp;indent&amp;"break;","")</f>
        <v/>
      </c>
      <c r="Q116" s="23" t="str">
        <f t="shared" si="4"/>
        <v xml:space="preserve">    {"KIL", -1, AM_IMP, 0, 0},</v>
      </c>
    </row>
    <row r="117" spans="1:17" x14ac:dyDescent="0.3">
      <c r="A117" s="23">
        <v>115</v>
      </c>
      <c r="B117" s="23" t="s">
        <v>69</v>
      </c>
      <c r="C117" s="23">
        <v>-1</v>
      </c>
      <c r="D117" s="23" t="s">
        <v>133</v>
      </c>
      <c r="E117" s="23" t="str">
        <f>_xlfn.IFNA(VLOOKUP(D117,AccessModes!$D$2:$E$13,2,FALSE),"AM_IMP")</f>
        <v>AM_ZIY</v>
      </c>
      <c r="F117" s="23">
        <v>8</v>
      </c>
      <c r="G117" s="23">
        <v>0</v>
      </c>
      <c r="H117" s="23"/>
      <c r="I117" s="23"/>
      <c r="J117" s="23"/>
      <c r="K117" s="23" t="str">
        <f>IF(LEN(H117)&gt;0,indent&amp;H117&amp;" = "&amp;VLOOKUP($E117,AccessModes!$E$2:$I$13,4,FALSE),"")</f>
        <v/>
      </c>
      <c r="L117" s="17" t="str">
        <f>indent&amp;"/* TODO: implementation of the action */"</f>
        <v xml:space="preserve">            /* TODO: implementation of the action */</v>
      </c>
      <c r="M117" s="17" t="str">
        <f t="shared" si="3"/>
        <v/>
      </c>
      <c r="N117" s="23" t="str">
        <f>IF(LEN(J117)&gt;0,indent&amp;IF(J117="LAST",AccessModes!$I$15&amp;H117,VLOOKUP($E117,AccessModes!$E$2:$I$13,5,FALSE)&amp;J117)&amp;");","")</f>
        <v/>
      </c>
      <c r="O117" s="23"/>
      <c r="P117" s="17" t="str">
        <f>IF(C117=0,indent0&amp;"case 0x"&amp;DEC2HEX(A117)&amp;": /* "&amp;B117&amp;" "&amp;VLOOKUP(E117,AccessModes!$E$2:$G$13,3,FALSE)&amp;" */"&amp;newline&amp;IF(LEN(K117)&gt;0,K117&amp;CHAR(10),"")&amp;IF(LEN(L117)&gt;0,L117&amp;newline,"")&amp;IF(LEN(M117)&gt;0,M117&amp;newline,"")&amp;IF(LEN(N117)&gt;0,N117&amp;newline,"")&amp;IF(LEN(O117)&gt;0,O117&amp;newline,"")&amp;indent&amp;"break;","")</f>
        <v/>
      </c>
      <c r="Q117" s="23" t="str">
        <f t="shared" si="4"/>
        <v xml:space="preserve">    {"RRA", -1, AM_ZIY, 8, 0},</v>
      </c>
    </row>
    <row r="118" spans="1:17" x14ac:dyDescent="0.3">
      <c r="A118" s="23">
        <v>116</v>
      </c>
      <c r="B118" s="23" t="s">
        <v>23</v>
      </c>
      <c r="C118" s="23">
        <v>-1</v>
      </c>
      <c r="D118" s="23" t="s">
        <v>134</v>
      </c>
      <c r="E118" s="23" t="str">
        <f>_xlfn.IFNA(VLOOKUP(D118,AccessModes!$D$2:$E$13,2,FALSE),"AM_IMP")</f>
        <v>AM_IIX</v>
      </c>
      <c r="F118" s="23">
        <v>4</v>
      </c>
      <c r="G118" s="23">
        <v>0</v>
      </c>
      <c r="H118" s="23"/>
      <c r="I118" s="23"/>
      <c r="J118" s="23"/>
      <c r="K118" s="23" t="str">
        <f>IF(LEN(H118)&gt;0,indent&amp;H118&amp;" = "&amp;VLOOKUP($E118,AccessModes!$E$2:$I$13,4,FALSE),"")</f>
        <v/>
      </c>
      <c r="L118" s="17" t="str">
        <f>indent&amp;"/* TODO: implementation of the action */"</f>
        <v xml:space="preserve">            /* TODO: implementation of the action */</v>
      </c>
      <c r="M118" s="17" t="str">
        <f t="shared" si="3"/>
        <v/>
      </c>
      <c r="N118" s="23" t="str">
        <f>IF(LEN(J118)&gt;0,indent&amp;IF(J118="LAST",AccessModes!$I$15&amp;H118,VLOOKUP($E118,AccessModes!$E$2:$I$13,5,FALSE)&amp;J118)&amp;");","")</f>
        <v/>
      </c>
      <c r="O118" s="23"/>
      <c r="P118" s="17" t="str">
        <f>IF(C118=0,indent0&amp;"case 0x"&amp;DEC2HEX(A118)&amp;": /* "&amp;B118&amp;" "&amp;VLOOKUP(E118,AccessModes!$E$2:$G$13,3,FALSE)&amp;" */"&amp;newline&amp;IF(LEN(K118)&gt;0,K118&amp;CHAR(10),"")&amp;IF(LEN(L118)&gt;0,L118&amp;newline,"")&amp;IF(LEN(M118)&gt;0,M118&amp;newline,"")&amp;IF(LEN(N118)&gt;0,N118&amp;newline,"")&amp;IF(LEN(O118)&gt;0,O118&amp;newline,"")&amp;indent&amp;"break;","")</f>
        <v/>
      </c>
      <c r="Q118" s="23" t="str">
        <f t="shared" si="4"/>
        <v xml:space="preserve">    {"NOP", -1, AM_IIX, 4, 0},</v>
      </c>
    </row>
    <row r="119" spans="1:17" ht="211.2" x14ac:dyDescent="0.3">
      <c r="A119" s="22">
        <v>117</v>
      </c>
      <c r="B119" s="22" t="s">
        <v>68</v>
      </c>
      <c r="C119" s="22">
        <v>0</v>
      </c>
      <c r="D119" s="22" t="s">
        <v>134</v>
      </c>
      <c r="E119" s="22" t="str">
        <f>_xlfn.IFNA(VLOOKUP(D119,AccessModes!$D$2:$E$13,2,FALSE),"AM_IMP")</f>
        <v>AM_IIX</v>
      </c>
      <c r="F119" s="22">
        <v>4</v>
      </c>
      <c r="G119" s="22">
        <v>0</v>
      </c>
      <c r="H119" s="22" t="str">
        <f>$H$99</f>
        <v>value</v>
      </c>
      <c r="I119" s="22" t="str">
        <f>$I$99</f>
        <v/>
      </c>
      <c r="J119" s="22" t="str">
        <f>$J$99</f>
        <v/>
      </c>
      <c r="K119" s="22" t="str">
        <f>IF(LEN(H119)&gt;0,indent&amp;H119&amp;" = "&amp;VLOOKUP($E119,AccessModes!$E$2:$I$13,4,FALSE),"")</f>
        <v xml:space="preserve">            value = memory_getIndexedIndirectX();</v>
      </c>
      <c r="L119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19" s="15" t="str">
        <f t="shared" si="3"/>
        <v/>
      </c>
      <c r="N119" s="22" t="str">
        <f>IF(LEN(J119)&gt;0,indent&amp;IF(J119="LAST",AccessModes!$I$15&amp;H119,VLOOKUP($E119,AccessModes!$E$2:$I$13,5,FALSE)&amp;J119)&amp;");","")</f>
        <v/>
      </c>
      <c r="O119" s="22"/>
      <c r="P119" s="15" t="str">
        <f>IF(C119=0,indent0&amp;"case 0x"&amp;DEC2HEX(A119)&amp;": /* "&amp;B119&amp;" "&amp;VLOOKUP(E119,AccessModes!$E$2:$G$13,3,FALSE)&amp;" */"&amp;newline&amp;IF(LEN(K119)&gt;0,K119&amp;CHAR(10),"")&amp;IF(LEN(L119)&gt;0,L119&amp;newline,"")&amp;IF(LEN(M119)&gt;0,M119&amp;newline,"")&amp;IF(LEN(N119)&gt;0,N119&amp;newline,"")&amp;IF(LEN(O119)&gt;0,O119&amp;newline,"")&amp;indent&amp;"break;","")</f>
        <v xml:space="preserve">        case 0x75: /* ADC (aa,X) */
            value = memory_getIndexedIndirectX();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19" s="22" t="str">
        <f t="shared" si="4"/>
        <v xml:space="preserve">    {"ADC", 0, AM_IIX, 4, 0},</v>
      </c>
    </row>
    <row r="120" spans="1:17" ht="132" x14ac:dyDescent="0.3">
      <c r="A120" s="22">
        <v>118</v>
      </c>
      <c r="B120" s="22" t="s">
        <v>70</v>
      </c>
      <c r="C120" s="22">
        <v>0</v>
      </c>
      <c r="D120" s="22" t="s">
        <v>134</v>
      </c>
      <c r="E120" s="22" t="str">
        <f>_xlfn.IFNA(VLOOKUP(D120,AccessModes!$D$2:$E$13,2,FALSE),"AM_IMP")</f>
        <v>AM_IIX</v>
      </c>
      <c r="F120" s="22">
        <v>6</v>
      </c>
      <c r="G120" s="22">
        <v>0</v>
      </c>
      <c r="H120" s="22" t="str">
        <f>$H$104</f>
        <v>value</v>
      </c>
      <c r="I120" s="22" t="str">
        <f>$I$104</f>
        <v>value</v>
      </c>
      <c r="J120" s="22" t="str">
        <f>$J$104</f>
        <v>LAST</v>
      </c>
      <c r="K120" s="22" t="str">
        <f>IF(LEN(H120)&gt;0,indent&amp;H120&amp;" = "&amp;VLOOKUP($E120,AccessModes!$E$2:$I$13,4,FALSE),"")</f>
        <v xml:space="preserve">            value = memory_getIndexedIndirectX();</v>
      </c>
      <c r="L120" s="15" t="str">
        <f>$L$104</f>
        <v xml:space="preserve">            tmp_PS_C = cpu.PS_C;
            cpu.PS_C = (bool)(value &amp; 0x01);
            value = (value &gt;&gt; 1) | (((byte)tmp_PS_C) &lt;&lt; 7);</v>
      </c>
      <c r="M120" s="15" t="str">
        <f t="shared" si="3"/>
        <v xml:space="preserve">            cpu.PS_N =  (bool)(value &amp; 0x80);
            cpu.PS_Z = (value == 0);</v>
      </c>
      <c r="N120" s="22" t="str">
        <f>IF(LEN(J120)&gt;0,indent&amp;IF(J120="LAST",AccessModes!$I$15&amp;H120,VLOOKUP($E120,AccessModes!$E$2:$I$13,5,FALSE)&amp;J120)&amp;");","")</f>
        <v xml:space="preserve">            memory_setLast(value);</v>
      </c>
      <c r="O120" s="22"/>
      <c r="P120" s="15" t="str">
        <f>IF(C120=0,indent0&amp;"case 0x"&amp;DEC2HEX(A120)&amp;": /* "&amp;B120&amp;" "&amp;VLOOKUP(E120,AccessModes!$E$2:$G$13,3,FALSE)&amp;" */"&amp;newline&amp;IF(LEN(K120)&gt;0,K120&amp;CHAR(10),"")&amp;IF(LEN(L120)&gt;0,L120&amp;newline,"")&amp;IF(LEN(M120)&gt;0,M120&amp;newline,"")&amp;IF(LEN(N120)&gt;0,N120&amp;newline,"")&amp;IF(LEN(O120)&gt;0,O120&amp;newline,"")&amp;indent&amp;"break;","")</f>
        <v xml:space="preserve">        case 0x76: /* ROR (aa,X) */
            value = memory_getIndexedIndirectX();
            tmp_PS_C = cpu.PS_C;
            cpu.PS_C = (bool)(value &amp; 0x01);
            value = (value &gt;&gt; 1) | (((byte)tmp_PS_C) &lt;&lt; 7);
            cpu.PS_N =  (bool)(value &amp; 0x80);
            cpu.PS_Z = (value == 0);
            memory_setLast(value);
            break;</v>
      </c>
      <c r="Q120" s="22" t="str">
        <f t="shared" si="4"/>
        <v xml:space="preserve">    {"ROR", 0, AM_IIX, 6, 0},</v>
      </c>
    </row>
    <row r="121" spans="1:17" x14ac:dyDescent="0.3">
      <c r="A121" s="23">
        <v>119</v>
      </c>
      <c r="B121" s="23" t="s">
        <v>69</v>
      </c>
      <c r="C121" s="23">
        <v>-1</v>
      </c>
      <c r="D121" s="23" t="s">
        <v>134</v>
      </c>
      <c r="E121" s="23" t="str">
        <f>_xlfn.IFNA(VLOOKUP(D121,AccessModes!$D$2:$E$13,2,FALSE),"AM_IMP")</f>
        <v>AM_IIX</v>
      </c>
      <c r="F121" s="23">
        <v>6</v>
      </c>
      <c r="G121" s="23">
        <v>0</v>
      </c>
      <c r="H121" s="23"/>
      <c r="I121" s="23"/>
      <c r="J121" s="23"/>
      <c r="K121" s="23" t="str">
        <f>IF(LEN(H121)&gt;0,indent&amp;H121&amp;" = "&amp;VLOOKUP($E121,AccessModes!$E$2:$I$13,4,FALSE),"")</f>
        <v/>
      </c>
      <c r="L121" s="17" t="str">
        <f>indent&amp;"/* TODO: implementation of the action */"</f>
        <v xml:space="preserve">            /* TODO: implementation of the action */</v>
      </c>
      <c r="M121" s="17" t="str">
        <f t="shared" si="3"/>
        <v/>
      </c>
      <c r="N121" s="23" t="str">
        <f>IF(LEN(J121)&gt;0,indent&amp;IF(J121="LAST",AccessModes!$I$15&amp;H121,VLOOKUP($E121,AccessModes!$E$2:$I$13,5,FALSE)&amp;J121)&amp;");","")</f>
        <v/>
      </c>
      <c r="O121" s="23"/>
      <c r="P121" s="17" t="str">
        <f>IF(C121=0,indent0&amp;"case 0x"&amp;DEC2HEX(A121)&amp;": /* "&amp;B121&amp;" "&amp;VLOOKUP(E121,AccessModes!$E$2:$G$13,3,FALSE)&amp;" */"&amp;newline&amp;IF(LEN(K121)&gt;0,K121&amp;CHAR(10),"")&amp;IF(LEN(L121)&gt;0,L121&amp;newline,"")&amp;IF(LEN(M121)&gt;0,M121&amp;newline,"")&amp;IF(LEN(N121)&gt;0,N121&amp;newline,"")&amp;IF(LEN(O121)&gt;0,O121&amp;newline,"")&amp;indent&amp;"break;","")</f>
        <v/>
      </c>
      <c r="Q121" s="23" t="str">
        <f t="shared" si="4"/>
        <v xml:space="preserve">    {"RRA", -1, AM_IIX, 6, 0},</v>
      </c>
    </row>
    <row r="122" spans="1:17" ht="39.6" x14ac:dyDescent="0.3">
      <c r="A122" s="22">
        <v>120</v>
      </c>
      <c r="B122" s="22" t="s">
        <v>76</v>
      </c>
      <c r="C122" s="22">
        <v>0</v>
      </c>
      <c r="D122" s="22" t="s">
        <v>139</v>
      </c>
      <c r="E122" s="22" t="str">
        <f>_xlfn.IFNA(VLOOKUP(D122,AccessModes!$D$2:$E$13,2,FALSE),"AM_IMP")</f>
        <v>AM_IMP</v>
      </c>
      <c r="F122" s="22">
        <v>2</v>
      </c>
      <c r="G122" s="22">
        <v>0</v>
      </c>
      <c r="H122" s="28"/>
      <c r="I122" s="28"/>
      <c r="J122" s="28"/>
      <c r="K122" s="22" t="str">
        <f>IF(LEN(H122)&gt;0,indent&amp;H122&amp;" = "&amp;VLOOKUP($E122,AccessModes!$E$2:$I$13,4,FALSE),"")</f>
        <v/>
      </c>
      <c r="L122" s="29" t="str">
        <f>indent&amp;"cpu.PS_I = true;"</f>
        <v xml:space="preserve">            cpu.PS_I = true;</v>
      </c>
      <c r="M122" s="15" t="str">
        <f t="shared" si="3"/>
        <v/>
      </c>
      <c r="N122" s="22" t="str">
        <f>IF(LEN(J122)&gt;0,indent&amp;IF(J122="LAST",AccessModes!$I$15&amp;H122,VLOOKUP($E122,AccessModes!$E$2:$I$13,5,FALSE)&amp;J122)&amp;");","")</f>
        <v/>
      </c>
      <c r="O122" s="22"/>
      <c r="P122" s="15" t="str">
        <f>IF(C122=0,indent0&amp;"case 0x"&amp;DEC2HEX(A122)&amp;": /* "&amp;B122&amp;" "&amp;VLOOKUP(E122,AccessModes!$E$2:$G$13,3,FALSE)&amp;" */"&amp;newline&amp;IF(LEN(K122)&gt;0,K122&amp;CHAR(10),"")&amp;IF(LEN(L122)&gt;0,L122&amp;newline,"")&amp;IF(LEN(M122)&gt;0,M122&amp;newline,"")&amp;IF(LEN(N122)&gt;0,N122&amp;newline,"")&amp;IF(LEN(O122)&gt;0,O122&amp;newline,"")&amp;indent&amp;"break;","")</f>
        <v xml:space="preserve">        case 0x78: /* SEI  */
            cpu.PS_I = true;
            break;</v>
      </c>
      <c r="Q122" s="22" t="str">
        <f t="shared" si="4"/>
        <v xml:space="preserve">    {"SEI", 0, AM_IMP, 2, 0},</v>
      </c>
    </row>
    <row r="123" spans="1:17" ht="211.2" x14ac:dyDescent="0.3">
      <c r="A123" s="22">
        <v>121</v>
      </c>
      <c r="B123" s="22" t="s">
        <v>68</v>
      </c>
      <c r="C123" s="22">
        <v>0</v>
      </c>
      <c r="D123" s="22" t="s">
        <v>135</v>
      </c>
      <c r="E123" s="22" t="str">
        <f>_xlfn.IFNA(VLOOKUP(D123,AccessModes!$D$2:$E$13,2,FALSE),"AM_IMP")</f>
        <v>AM_AIY</v>
      </c>
      <c r="F123" s="22">
        <v>4</v>
      </c>
      <c r="G123" s="22">
        <v>1</v>
      </c>
      <c r="H123" s="22" t="str">
        <f>$H$99</f>
        <v>value</v>
      </c>
      <c r="I123" s="22" t="str">
        <f>$I$99</f>
        <v/>
      </c>
      <c r="J123" s="22" t="str">
        <f>$J$99</f>
        <v/>
      </c>
      <c r="K123" s="22" t="str">
        <f>IF(LEN(H123)&gt;0,indent&amp;H123&amp;" = "&amp;VLOOKUP($E123,AccessModes!$E$2:$I$13,4,FALSE),"")</f>
        <v xml:space="preserve">            value = memory_getAbsoluteIndexedY();</v>
      </c>
      <c r="L123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23" s="15" t="str">
        <f t="shared" si="3"/>
        <v/>
      </c>
      <c r="N123" s="22" t="str">
        <f>IF(LEN(J123)&gt;0,indent&amp;IF(J123="LAST",AccessModes!$I$15&amp;H123,VLOOKUP($E123,AccessModes!$E$2:$I$13,5,FALSE)&amp;J123)&amp;");","")</f>
        <v/>
      </c>
      <c r="O123" s="22"/>
      <c r="P123" s="15" t="str">
        <f>IF(C123=0,indent0&amp;"case 0x"&amp;DEC2HEX(A123)&amp;": /* "&amp;B123&amp;" "&amp;VLOOKUP(E123,AccessModes!$E$2:$G$13,3,FALSE)&amp;" */"&amp;newline&amp;IF(LEN(K123)&gt;0,K123&amp;CHAR(10),"")&amp;IF(LEN(L123)&gt;0,L123&amp;newline,"")&amp;IF(LEN(M123)&gt;0,M123&amp;newline,"")&amp;IF(LEN(N123)&gt;0,N123&amp;newline,"")&amp;IF(LEN(O123)&gt;0,O123&amp;newline,"")&amp;indent&amp;"break;","")</f>
        <v xml:space="preserve">        case 0x79: /* ADC aaaa,Y */
            value = memory_getAbsoluteIndexedY();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23" s="22" t="str">
        <f t="shared" si="4"/>
        <v xml:space="preserve">    {"ADC", 0, AM_AIY, 4, 1},</v>
      </c>
    </row>
    <row r="124" spans="1:17" x14ac:dyDescent="0.3">
      <c r="A124" s="23">
        <v>122</v>
      </c>
      <c r="B124" s="23" t="s">
        <v>23</v>
      </c>
      <c r="C124" s="23">
        <v>-1</v>
      </c>
      <c r="D124" s="23" t="s">
        <v>139</v>
      </c>
      <c r="E124" s="23" t="str">
        <f>_xlfn.IFNA(VLOOKUP(D124,AccessModes!$D$2:$E$13,2,FALSE),"AM_IMP")</f>
        <v>AM_IMP</v>
      </c>
      <c r="F124" s="23">
        <v>2</v>
      </c>
      <c r="G124" s="23">
        <v>0</v>
      </c>
      <c r="H124" s="23"/>
      <c r="I124" s="23"/>
      <c r="J124" s="23"/>
      <c r="K124" s="23" t="str">
        <f>IF(LEN(H124)&gt;0,indent&amp;H124&amp;" = "&amp;VLOOKUP($E124,AccessModes!$E$2:$I$13,4,FALSE),"")</f>
        <v/>
      </c>
      <c r="L124" s="17" t="str">
        <f>indent&amp;"/* TODO: implementation of the action */"</f>
        <v xml:space="preserve">            /* TODO: implementation of the action */</v>
      </c>
      <c r="M124" s="17" t="str">
        <f t="shared" si="3"/>
        <v/>
      </c>
      <c r="N124" s="23" t="str">
        <f>IF(LEN(J124)&gt;0,indent&amp;IF(J124="LAST",AccessModes!$I$15&amp;H124,VLOOKUP($E124,AccessModes!$E$2:$I$13,5,FALSE)&amp;J124)&amp;");","")</f>
        <v/>
      </c>
      <c r="O124" s="23"/>
      <c r="P124" s="17" t="str">
        <f>IF(C124=0,indent0&amp;"case 0x"&amp;DEC2HEX(A124)&amp;": /* "&amp;B124&amp;" "&amp;VLOOKUP(E124,AccessModes!$E$2:$G$13,3,FALSE)&amp;" */"&amp;newline&amp;IF(LEN(K124)&gt;0,K124&amp;CHAR(10),"")&amp;IF(LEN(L124)&gt;0,L124&amp;newline,"")&amp;IF(LEN(M124)&gt;0,M124&amp;newline,"")&amp;IF(LEN(N124)&gt;0,N124&amp;newline,"")&amp;IF(LEN(O124)&gt;0,O124&amp;newline,"")&amp;indent&amp;"break;","")</f>
        <v/>
      </c>
      <c r="Q124" s="23" t="str">
        <f t="shared" si="4"/>
        <v xml:space="preserve">    {"NOP", -1, AM_IMP, 2, 0},</v>
      </c>
    </row>
    <row r="125" spans="1:17" x14ac:dyDescent="0.3">
      <c r="A125" s="23">
        <v>123</v>
      </c>
      <c r="B125" s="23" t="s">
        <v>69</v>
      </c>
      <c r="C125" s="23">
        <v>-1</v>
      </c>
      <c r="D125" s="23" t="s">
        <v>135</v>
      </c>
      <c r="E125" s="23" t="str">
        <f>_xlfn.IFNA(VLOOKUP(D125,AccessModes!$D$2:$E$13,2,FALSE),"AM_IMP")</f>
        <v>AM_AIY</v>
      </c>
      <c r="F125" s="23">
        <v>7</v>
      </c>
      <c r="G125" s="23">
        <v>0</v>
      </c>
      <c r="H125" s="23"/>
      <c r="I125" s="23"/>
      <c r="J125" s="23"/>
      <c r="K125" s="23" t="str">
        <f>IF(LEN(H125)&gt;0,indent&amp;H125&amp;" = "&amp;VLOOKUP($E125,AccessModes!$E$2:$I$13,4,FALSE),"")</f>
        <v/>
      </c>
      <c r="L125" s="17" t="str">
        <f>indent&amp;"/* TODO: implementation of the action */"</f>
        <v xml:space="preserve">            /* TODO: implementation of the action */</v>
      </c>
      <c r="M125" s="17" t="str">
        <f t="shared" si="3"/>
        <v/>
      </c>
      <c r="N125" s="23" t="str">
        <f>IF(LEN(J125)&gt;0,indent&amp;IF(J125="LAST",AccessModes!$I$15&amp;H125,VLOOKUP($E125,AccessModes!$E$2:$I$13,5,FALSE)&amp;J125)&amp;");","")</f>
        <v/>
      </c>
      <c r="O125" s="23"/>
      <c r="P125" s="17" t="str">
        <f>IF(C125=0,indent0&amp;"case 0x"&amp;DEC2HEX(A125)&amp;": /* "&amp;B125&amp;" "&amp;VLOOKUP(E125,AccessModes!$E$2:$G$13,3,FALSE)&amp;" */"&amp;newline&amp;IF(LEN(K125)&gt;0,K125&amp;CHAR(10),"")&amp;IF(LEN(L125)&gt;0,L125&amp;newline,"")&amp;IF(LEN(M125)&gt;0,M125&amp;newline,"")&amp;IF(LEN(N125)&gt;0,N125&amp;newline,"")&amp;IF(LEN(O125)&gt;0,O125&amp;newline,"")&amp;indent&amp;"break;","")</f>
        <v/>
      </c>
      <c r="Q125" s="23" t="str">
        <f t="shared" si="4"/>
        <v xml:space="preserve">    {"RRA", -1, AM_AIY, 7, 0},</v>
      </c>
    </row>
    <row r="126" spans="1:17" x14ac:dyDescent="0.3">
      <c r="A126" s="23">
        <v>124</v>
      </c>
      <c r="B126" s="23" t="s">
        <v>23</v>
      </c>
      <c r="C126" s="23">
        <v>-1</v>
      </c>
      <c r="D126" s="23" t="s">
        <v>136</v>
      </c>
      <c r="E126" s="23" t="str">
        <f>_xlfn.IFNA(VLOOKUP(D126,AccessModes!$D$2:$E$13,2,FALSE),"AM_IMP")</f>
        <v>AM_AIX</v>
      </c>
      <c r="F126" s="23">
        <v>4</v>
      </c>
      <c r="G126" s="23">
        <v>1</v>
      </c>
      <c r="H126" s="23"/>
      <c r="I126" s="23"/>
      <c r="J126" s="23"/>
      <c r="K126" s="23" t="str">
        <f>IF(LEN(H126)&gt;0,indent&amp;H126&amp;" = "&amp;VLOOKUP($E126,AccessModes!$E$2:$I$13,4,FALSE),"")</f>
        <v/>
      </c>
      <c r="L126" s="17" t="str">
        <f>indent&amp;"/* TODO: implementation of the action */"</f>
        <v xml:space="preserve">            /* TODO: implementation of the action */</v>
      </c>
      <c r="M126" s="17" t="str">
        <f t="shared" si="3"/>
        <v/>
      </c>
      <c r="N126" s="23" t="str">
        <f>IF(LEN(J126)&gt;0,indent&amp;IF(J126="LAST",AccessModes!$I$15&amp;H126,VLOOKUP($E126,AccessModes!$E$2:$I$13,5,FALSE)&amp;J126)&amp;");","")</f>
        <v/>
      </c>
      <c r="O126" s="23"/>
      <c r="P126" s="17" t="str">
        <f>IF(C126=0,indent0&amp;"case 0x"&amp;DEC2HEX(A126)&amp;": /* "&amp;B126&amp;" "&amp;VLOOKUP(E126,AccessModes!$E$2:$G$13,3,FALSE)&amp;" */"&amp;newline&amp;IF(LEN(K126)&gt;0,K126&amp;CHAR(10),"")&amp;IF(LEN(L126)&gt;0,L126&amp;newline,"")&amp;IF(LEN(M126)&gt;0,M126&amp;newline,"")&amp;IF(LEN(N126)&gt;0,N126&amp;newline,"")&amp;IF(LEN(O126)&gt;0,O126&amp;newline,"")&amp;indent&amp;"break;","")</f>
        <v/>
      </c>
      <c r="Q126" s="23" t="str">
        <f t="shared" si="4"/>
        <v xml:space="preserve">    {"NOP", -1, AM_AIX, 4, 1},</v>
      </c>
    </row>
    <row r="127" spans="1:17" ht="211.2" x14ac:dyDescent="0.3">
      <c r="A127" s="22">
        <v>125</v>
      </c>
      <c r="B127" s="22" t="s">
        <v>68</v>
      </c>
      <c r="C127" s="22">
        <v>0</v>
      </c>
      <c r="D127" s="22" t="s">
        <v>136</v>
      </c>
      <c r="E127" s="22" t="str">
        <f>_xlfn.IFNA(VLOOKUP(D127,AccessModes!$D$2:$E$13,2,FALSE),"AM_IMP")</f>
        <v>AM_AIX</v>
      </c>
      <c r="F127" s="22">
        <v>4</v>
      </c>
      <c r="G127" s="22">
        <v>1</v>
      </c>
      <c r="H127" s="22" t="str">
        <f>$H$99</f>
        <v>value</v>
      </c>
      <c r="I127" s="22" t="str">
        <f>$I$99</f>
        <v/>
      </c>
      <c r="J127" s="22" t="str">
        <f>$J$99</f>
        <v/>
      </c>
      <c r="K127" s="22" t="str">
        <f>IF(LEN(H127)&gt;0,indent&amp;H127&amp;" = "&amp;VLOOKUP($E127,AccessModes!$E$2:$I$13,4,FALSE),"")</f>
        <v xml:space="preserve">            value = memory_getAbsoluteIndexedX();</v>
      </c>
      <c r="L127" s="15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127" s="15" t="str">
        <f t="shared" si="3"/>
        <v/>
      </c>
      <c r="N127" s="22" t="str">
        <f>IF(LEN(J127)&gt;0,indent&amp;IF(J127="LAST",AccessModes!$I$15&amp;H127,VLOOKUP($E127,AccessModes!$E$2:$I$13,5,FALSE)&amp;J127)&amp;");","")</f>
        <v/>
      </c>
      <c r="O127" s="22"/>
      <c r="P127" s="15" t="str">
        <f>IF(C127=0,indent0&amp;"case 0x"&amp;DEC2HEX(A127)&amp;": /* "&amp;B127&amp;" "&amp;VLOOKUP(E127,AccessModes!$E$2:$G$13,3,FALSE)&amp;" */"&amp;newline&amp;IF(LEN(K127)&gt;0,K127&amp;CHAR(10),"")&amp;IF(LEN(L127)&gt;0,L127&amp;newline,"")&amp;IF(LEN(M127)&gt;0,M127&amp;newline,"")&amp;IF(LEN(N127)&gt;0,N127&amp;newline,"")&amp;IF(LEN(O127)&gt;0,O127&amp;newline,"")&amp;indent&amp;"break;","")</f>
        <v xml:space="preserve">        case 0x7D: /* ADC aaaa,X */
            value = memory_getAbsoluteIndexedX();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127" s="22" t="str">
        <f t="shared" si="4"/>
        <v xml:space="preserve">    {"ADC", 0, AM_AIX, 4, 1},</v>
      </c>
    </row>
    <row r="128" spans="1:17" ht="132" x14ac:dyDescent="0.3">
      <c r="A128" s="22">
        <v>126</v>
      </c>
      <c r="B128" s="22" t="s">
        <v>70</v>
      </c>
      <c r="C128" s="22">
        <v>0</v>
      </c>
      <c r="D128" s="22" t="s">
        <v>136</v>
      </c>
      <c r="E128" s="22" t="str">
        <f>_xlfn.IFNA(VLOOKUP(D128,AccessModes!$D$2:$E$13,2,FALSE),"AM_IMP")</f>
        <v>AM_AIX</v>
      </c>
      <c r="F128" s="22">
        <v>7</v>
      </c>
      <c r="G128" s="22">
        <v>0</v>
      </c>
      <c r="H128" s="22" t="str">
        <f>$H$104</f>
        <v>value</v>
      </c>
      <c r="I128" s="22" t="str">
        <f>$I$104</f>
        <v>value</v>
      </c>
      <c r="J128" s="22" t="str">
        <f>$J$104</f>
        <v>LAST</v>
      </c>
      <c r="K128" s="22" t="str">
        <f>IF(LEN(H128)&gt;0,indent&amp;H128&amp;" = "&amp;VLOOKUP($E128,AccessModes!$E$2:$I$13,4,FALSE),"")</f>
        <v xml:space="preserve">            value = memory_getAbsoluteIndexedX();</v>
      </c>
      <c r="L128" s="15" t="str">
        <f>$L$104</f>
        <v xml:space="preserve">            tmp_PS_C = cpu.PS_C;
            cpu.PS_C = (bool)(value &amp; 0x01);
            value = (value &gt;&gt; 1) | (((byte)tmp_PS_C) &lt;&lt; 7);</v>
      </c>
      <c r="M128" s="15" t="str">
        <f t="shared" si="3"/>
        <v xml:space="preserve">            cpu.PS_N =  (bool)(value &amp; 0x80);
            cpu.PS_Z = (value == 0);</v>
      </c>
      <c r="N128" s="22" t="str">
        <f>IF(LEN(J128)&gt;0,indent&amp;IF(J128="LAST",AccessModes!$I$15&amp;H128,VLOOKUP($E128,AccessModes!$E$2:$I$13,5,FALSE)&amp;J128)&amp;");","")</f>
        <v xml:space="preserve">            memory_setLast(value);</v>
      </c>
      <c r="O128" s="22"/>
      <c r="P128" s="15" t="str">
        <f>IF(C128=0,indent0&amp;"case 0x"&amp;DEC2HEX(A128)&amp;": /* "&amp;B128&amp;" "&amp;VLOOKUP(E128,AccessModes!$E$2:$G$13,3,FALSE)&amp;" */"&amp;newline&amp;IF(LEN(K128)&gt;0,K128&amp;CHAR(10),"")&amp;IF(LEN(L128)&gt;0,L128&amp;newline,"")&amp;IF(LEN(M128)&gt;0,M128&amp;newline,"")&amp;IF(LEN(N128)&gt;0,N128&amp;newline,"")&amp;IF(LEN(O128)&gt;0,O128&amp;newline,"")&amp;indent&amp;"break;","")</f>
        <v xml:space="preserve">        case 0x7E: /* ROR aaaa,X */
            value = memory_getAbsoluteIndexedX();
            tmp_PS_C = cpu.PS_C;
            cpu.PS_C = (bool)(value &amp; 0x01);
            value = (value &gt;&gt; 1) | (((byte)tmp_PS_C) &lt;&lt; 7);
            cpu.PS_N =  (bool)(value &amp; 0x80);
            cpu.PS_Z = (value == 0);
            memory_setLast(value);
            break;</v>
      </c>
      <c r="Q128" s="22" t="str">
        <f t="shared" si="4"/>
        <v xml:space="preserve">    {"ROR", 0, AM_AIX, 7, 0},</v>
      </c>
    </row>
    <row r="129" spans="1:17" x14ac:dyDescent="0.3">
      <c r="A129" s="23">
        <v>127</v>
      </c>
      <c r="B129" s="23" t="s">
        <v>69</v>
      </c>
      <c r="C129" s="23">
        <v>-1</v>
      </c>
      <c r="D129" s="23" t="s">
        <v>136</v>
      </c>
      <c r="E129" s="23" t="str">
        <f>_xlfn.IFNA(VLOOKUP(D129,AccessModes!$D$2:$E$13,2,FALSE),"AM_IMP")</f>
        <v>AM_AIX</v>
      </c>
      <c r="F129" s="23">
        <v>7</v>
      </c>
      <c r="G129" s="23">
        <v>0</v>
      </c>
      <c r="H129" s="23"/>
      <c r="I129" s="23"/>
      <c r="J129" s="23"/>
      <c r="K129" s="23" t="str">
        <f>IF(LEN(H129)&gt;0,indent&amp;H129&amp;" = "&amp;VLOOKUP($E129,AccessModes!$E$2:$I$13,4,FALSE),"")</f>
        <v/>
      </c>
      <c r="L129" s="17" t="str">
        <f>indent&amp;"/* TODO: implementation of the action */"</f>
        <v xml:space="preserve">            /* TODO: implementation of the action */</v>
      </c>
      <c r="M129" s="17" t="str">
        <f t="shared" si="3"/>
        <v/>
      </c>
      <c r="N129" s="23" t="str">
        <f>IF(LEN(J129)&gt;0,indent&amp;IF(J129="LAST",AccessModes!$I$15&amp;H129,VLOOKUP($E129,AccessModes!$E$2:$I$13,5,FALSE)&amp;J129)&amp;");","")</f>
        <v/>
      </c>
      <c r="O129" s="23"/>
      <c r="P129" s="17" t="str">
        <f>IF(C129=0,indent0&amp;"case 0x"&amp;DEC2HEX(A129)&amp;": /* "&amp;B129&amp;" "&amp;VLOOKUP(E129,AccessModes!$E$2:$G$13,3,FALSE)&amp;" */"&amp;newline&amp;IF(LEN(K129)&gt;0,K129&amp;CHAR(10),"")&amp;IF(LEN(L129)&gt;0,L129&amp;newline,"")&amp;IF(LEN(M129)&gt;0,M129&amp;newline,"")&amp;IF(LEN(N129)&gt;0,N129&amp;newline,"")&amp;IF(LEN(O129)&gt;0,O129&amp;newline,"")&amp;indent&amp;"break;","")</f>
        <v/>
      </c>
      <c r="Q129" s="23" t="str">
        <f t="shared" si="4"/>
        <v xml:space="preserve">    {"RRA", -1, AM_AIX, 7, 0},</v>
      </c>
    </row>
    <row r="130" spans="1:17" x14ac:dyDescent="0.3">
      <c r="A130" s="23">
        <v>128</v>
      </c>
      <c r="B130" s="23" t="s">
        <v>23</v>
      </c>
      <c r="C130" s="23">
        <v>-1</v>
      </c>
      <c r="D130" s="23" t="s">
        <v>130</v>
      </c>
      <c r="E130" s="23" t="str">
        <f>_xlfn.IFNA(VLOOKUP(D130,AccessModes!$D$2:$E$13,2,FALSE),"AM_IMP")</f>
        <v>AM_IMM</v>
      </c>
      <c r="F130" s="23">
        <v>2</v>
      </c>
      <c r="G130" s="23">
        <v>0</v>
      </c>
      <c r="H130" s="23"/>
      <c r="I130" s="23"/>
      <c r="J130" s="23"/>
      <c r="K130" s="23" t="str">
        <f>IF(LEN(H130)&gt;0,indent&amp;H130&amp;" = "&amp;VLOOKUP($E130,AccessModes!$E$2:$I$13,4,FALSE),"")</f>
        <v/>
      </c>
      <c r="L130" s="17" t="str">
        <f>indent&amp;"/* TODO: implementation of the action */"</f>
        <v xml:space="preserve">            /* TODO: implementation of the action */</v>
      </c>
      <c r="M130" s="17" t="str">
        <f t="shared" ref="M130:M193" si="5">IF(LEN(I130)&gt;0,indent&amp;"cpu.PS_N =  (bool)("&amp;I130&amp;" &amp; 0x80);"&amp;newline&amp;indent&amp;"cpu.PS_Z = ("&amp;I130&amp;" == 0);","")</f>
        <v/>
      </c>
      <c r="N130" s="23" t="str">
        <f>IF(LEN(J130)&gt;0,indent&amp;IF(J130="LAST",AccessModes!$I$15&amp;H130,VLOOKUP($E130,AccessModes!$E$2:$I$13,5,FALSE)&amp;J130)&amp;");","")</f>
        <v/>
      </c>
      <c r="O130" s="23"/>
      <c r="P130" s="17" t="str">
        <f>IF(C130=0,indent0&amp;"case 0x"&amp;DEC2HEX(A130)&amp;": /* "&amp;B130&amp;" "&amp;VLOOKUP(E130,AccessModes!$E$2:$G$13,3,FALSE)&amp;" */"&amp;newline&amp;IF(LEN(K130)&gt;0,K130&amp;CHAR(10),"")&amp;IF(LEN(L130)&gt;0,L130&amp;newline,"")&amp;IF(LEN(M130)&gt;0,M130&amp;newline,"")&amp;IF(LEN(N130)&gt;0,N130&amp;newline,"")&amp;IF(LEN(O130)&gt;0,O130&amp;newline,"")&amp;indent&amp;"break;","")</f>
        <v/>
      </c>
      <c r="Q130" s="23" t="str">
        <f t="shared" si="4"/>
        <v xml:space="preserve">    {"NOP", -1, AM_IMM, 2, 0},</v>
      </c>
    </row>
    <row r="131" spans="1:17" ht="39.6" x14ac:dyDescent="0.3">
      <c r="A131" s="22">
        <v>129</v>
      </c>
      <c r="B131" s="22" t="s">
        <v>78</v>
      </c>
      <c r="C131" s="22">
        <v>0</v>
      </c>
      <c r="D131" s="22" t="s">
        <v>129</v>
      </c>
      <c r="E131" s="22" t="str">
        <f>_xlfn.IFNA(VLOOKUP(D131,AccessModes!$D$2:$E$13,2,FALSE),"AM_IMP")</f>
        <v>AM_ZIX</v>
      </c>
      <c r="F131" s="22">
        <v>6</v>
      </c>
      <c r="G131" s="22">
        <v>0</v>
      </c>
      <c r="H131" s="28" t="str">
        <f>""</f>
        <v/>
      </c>
      <c r="I131" s="28" t="str">
        <f>""</f>
        <v/>
      </c>
      <c r="J131" s="28" t="s">
        <v>215</v>
      </c>
      <c r="K131" s="22" t="str">
        <f>IF(LEN(H131)&gt;0,indent&amp;H131&amp;" = "&amp;VLOOKUP($E131,AccessModes!$E$2:$I$13,4,FALSE),"")</f>
        <v/>
      </c>
      <c r="L131" s="29" t="str">
        <f>""</f>
        <v/>
      </c>
      <c r="M131" s="15" t="str">
        <f t="shared" si="5"/>
        <v/>
      </c>
      <c r="N131" s="22" t="str">
        <f>IF(LEN(J131)&gt;0,indent&amp;IF(J131="LAST",AccessModes!$I$15&amp;H131,VLOOKUP($E131,AccessModes!$E$2:$I$13,5,FALSE)&amp;J131)&amp;");","")</f>
        <v xml:space="preserve">            memory_setZeroPageIndexedX(cpu.A);</v>
      </c>
      <c r="O131" s="22"/>
      <c r="P131" s="15" t="str">
        <f>IF(C131=0,indent0&amp;"case 0x"&amp;DEC2HEX(A131)&amp;": /* "&amp;B131&amp;" "&amp;VLOOKUP(E131,AccessModes!$E$2:$G$13,3,FALSE)&amp;" */"&amp;newline&amp;IF(LEN(K131)&gt;0,K131&amp;CHAR(10),"")&amp;IF(LEN(L131)&gt;0,L131&amp;newline,"")&amp;IF(LEN(M131)&gt;0,M131&amp;newline,"")&amp;IF(LEN(N131)&gt;0,N131&amp;newline,"")&amp;IF(LEN(O131)&gt;0,O131&amp;newline,"")&amp;indent&amp;"break;","")</f>
        <v xml:space="preserve">        case 0x81: /* STA aa,X */
            memory_setZeroPageIndexedX(cpu.A);
            break;</v>
      </c>
      <c r="Q131" s="22" t="str">
        <f t="shared" si="4"/>
        <v xml:space="preserve">    {"STA", 0, AM_ZIX, 6, 0},</v>
      </c>
    </row>
    <row r="132" spans="1:17" x14ac:dyDescent="0.3">
      <c r="A132" s="23">
        <v>130</v>
      </c>
      <c r="B132" s="23" t="s">
        <v>23</v>
      </c>
      <c r="C132" s="23">
        <v>-1</v>
      </c>
      <c r="D132" s="23" t="s">
        <v>130</v>
      </c>
      <c r="E132" s="23" t="str">
        <f>_xlfn.IFNA(VLOOKUP(D132,AccessModes!$D$2:$E$13,2,FALSE),"AM_IMP")</f>
        <v>AM_IMM</v>
      </c>
      <c r="F132" s="23">
        <v>2</v>
      </c>
      <c r="G132" s="23">
        <v>0</v>
      </c>
      <c r="H132" s="23"/>
      <c r="I132" s="23"/>
      <c r="J132" s="23"/>
      <c r="K132" s="23" t="str">
        <f>IF(LEN(H132)&gt;0,indent&amp;H132&amp;" = "&amp;VLOOKUP($E132,AccessModes!$E$2:$I$13,4,FALSE),"")</f>
        <v/>
      </c>
      <c r="L132" s="17" t="str">
        <f>indent&amp;"/* TODO: implementation of the action */"</f>
        <v xml:space="preserve">            /* TODO: implementation of the action */</v>
      </c>
      <c r="M132" s="17" t="str">
        <f t="shared" si="5"/>
        <v/>
      </c>
      <c r="N132" s="23" t="str">
        <f>IF(LEN(J132)&gt;0,indent&amp;IF(J132="LAST",AccessModes!$I$15&amp;H132,VLOOKUP($E132,AccessModes!$E$2:$I$13,5,FALSE)&amp;J132)&amp;");","")</f>
        <v/>
      </c>
      <c r="O132" s="23"/>
      <c r="P132" s="17" t="str">
        <f>IF(C132=0,indent0&amp;"case 0x"&amp;DEC2HEX(A132)&amp;": /* "&amp;B132&amp;" "&amp;VLOOKUP(E132,AccessModes!$E$2:$G$13,3,FALSE)&amp;" */"&amp;newline&amp;IF(LEN(K132)&gt;0,K132&amp;CHAR(10),"")&amp;IF(LEN(L132)&gt;0,L132&amp;newline,"")&amp;IF(LEN(M132)&gt;0,M132&amp;newline,"")&amp;IF(LEN(N132)&gt;0,N132&amp;newline,"")&amp;IF(LEN(O132)&gt;0,O132&amp;newline,"")&amp;indent&amp;"break;","")</f>
        <v/>
      </c>
      <c r="Q132" s="23" t="str">
        <f t="shared" si="4"/>
        <v xml:space="preserve">    {"NOP", -1, AM_IMM, 2, 0},</v>
      </c>
    </row>
    <row r="133" spans="1:17" x14ac:dyDescent="0.3">
      <c r="A133" s="23">
        <v>131</v>
      </c>
      <c r="B133" s="23" t="s">
        <v>79</v>
      </c>
      <c r="C133" s="23">
        <v>-1</v>
      </c>
      <c r="D133" s="23" t="s">
        <v>129</v>
      </c>
      <c r="E133" s="23" t="str">
        <f>_xlfn.IFNA(VLOOKUP(D133,AccessModes!$D$2:$E$13,2,FALSE),"AM_IMP")</f>
        <v>AM_ZIX</v>
      </c>
      <c r="F133" s="23">
        <v>6</v>
      </c>
      <c r="G133" s="23">
        <v>0</v>
      </c>
      <c r="H133" s="23"/>
      <c r="I133" s="23"/>
      <c r="J133" s="23"/>
      <c r="K133" s="23" t="str">
        <f>IF(LEN(H133)&gt;0,indent&amp;H133&amp;" = "&amp;VLOOKUP($E133,AccessModes!$E$2:$I$13,4,FALSE),"")</f>
        <v/>
      </c>
      <c r="L133" s="17" t="str">
        <f>indent&amp;"/* TODO: implementation of the action */"</f>
        <v xml:space="preserve">            /* TODO: implementation of the action */</v>
      </c>
      <c r="M133" s="17" t="str">
        <f t="shared" si="5"/>
        <v/>
      </c>
      <c r="N133" s="23" t="str">
        <f>IF(LEN(J133)&gt;0,indent&amp;IF(J133="LAST",AccessModes!$I$15&amp;H133,VLOOKUP($E133,AccessModes!$E$2:$I$13,5,FALSE)&amp;J133)&amp;");","")</f>
        <v/>
      </c>
      <c r="O133" s="23"/>
      <c r="P133" s="17" t="str">
        <f>IF(C133=0,indent0&amp;"case 0x"&amp;DEC2HEX(A133)&amp;": /* "&amp;B133&amp;" "&amp;VLOOKUP(E133,AccessModes!$E$2:$G$13,3,FALSE)&amp;" */"&amp;newline&amp;IF(LEN(K133)&gt;0,K133&amp;CHAR(10),"")&amp;IF(LEN(L133)&gt;0,L133&amp;newline,"")&amp;IF(LEN(M133)&gt;0,M133&amp;newline,"")&amp;IF(LEN(N133)&gt;0,N133&amp;newline,"")&amp;IF(LEN(O133)&gt;0,O133&amp;newline,"")&amp;indent&amp;"break;","")</f>
        <v/>
      </c>
      <c r="Q133" s="23" t="str">
        <f t="shared" si="4"/>
        <v xml:space="preserve">    {"SAX", -1, AM_ZIX, 6, 0},</v>
      </c>
    </row>
    <row r="134" spans="1:17" ht="39.6" x14ac:dyDescent="0.3">
      <c r="A134" s="22">
        <v>132</v>
      </c>
      <c r="B134" s="22" t="s">
        <v>80</v>
      </c>
      <c r="C134" s="22">
        <v>0</v>
      </c>
      <c r="D134" s="22" t="s">
        <v>144</v>
      </c>
      <c r="E134" s="22" t="str">
        <f>_xlfn.IFNA(VLOOKUP(D134,AccessModes!$D$2:$E$13,2,FALSE),"AM_IMP")</f>
        <v>AM_ZPG</v>
      </c>
      <c r="F134" s="22">
        <v>3</v>
      </c>
      <c r="G134" s="22">
        <v>0</v>
      </c>
      <c r="H134" s="28" t="str">
        <f>""</f>
        <v/>
      </c>
      <c r="I134" s="28" t="str">
        <f>""</f>
        <v/>
      </c>
      <c r="J134" s="28" t="s">
        <v>225</v>
      </c>
      <c r="K134" s="22" t="str">
        <f>IF(LEN(H134)&gt;0,indent&amp;H134&amp;" = "&amp;VLOOKUP($E134,AccessModes!$E$2:$I$13,4,FALSE),"")</f>
        <v/>
      </c>
      <c r="L134" s="29" t="str">
        <f>""</f>
        <v/>
      </c>
      <c r="M134" s="15" t="str">
        <f t="shared" si="5"/>
        <v/>
      </c>
      <c r="N134" s="22" t="str">
        <f>IF(LEN(J134)&gt;0,indent&amp;IF(J134="LAST",AccessModes!$I$15&amp;H134,VLOOKUP($E134,AccessModes!$E$2:$I$13,5,FALSE)&amp;J134)&amp;");","")</f>
        <v xml:space="preserve">            memory_setZeroPage(cpu.Y);</v>
      </c>
      <c r="O134" s="22"/>
      <c r="P134" s="15" t="str">
        <f>IF(C134=0,indent0&amp;"case 0x"&amp;DEC2HEX(A134)&amp;": /* "&amp;B134&amp;" "&amp;VLOOKUP(E134,AccessModes!$E$2:$G$13,3,FALSE)&amp;" */"&amp;newline&amp;IF(LEN(K134)&gt;0,K134&amp;CHAR(10),"")&amp;IF(LEN(L134)&gt;0,L134&amp;newline,"")&amp;IF(LEN(M134)&gt;0,M134&amp;newline,"")&amp;IF(LEN(N134)&gt;0,N134&amp;newline,"")&amp;IF(LEN(O134)&gt;0,O134&amp;newline,"")&amp;indent&amp;"break;","")</f>
        <v xml:space="preserve">        case 0x84: /* STY aa */
            memory_setZeroPage(cpu.Y);
            break;</v>
      </c>
      <c r="Q134" s="22" t="str">
        <f t="shared" si="4"/>
        <v xml:space="preserve">    {"STY", 0, AM_ZPG, 3, 0},</v>
      </c>
    </row>
    <row r="135" spans="1:17" ht="39.6" x14ac:dyDescent="0.3">
      <c r="A135" s="22">
        <v>133</v>
      </c>
      <c r="B135" s="22" t="s">
        <v>78</v>
      </c>
      <c r="C135" s="22">
        <v>0</v>
      </c>
      <c r="D135" s="22" t="s">
        <v>144</v>
      </c>
      <c r="E135" s="22" t="str">
        <f>_xlfn.IFNA(VLOOKUP(D135,AccessModes!$D$2:$E$13,2,FALSE),"AM_IMP")</f>
        <v>AM_ZPG</v>
      </c>
      <c r="F135" s="22">
        <v>3</v>
      </c>
      <c r="G135" s="22">
        <v>0</v>
      </c>
      <c r="H135" s="22" t="str">
        <f>$H$131</f>
        <v/>
      </c>
      <c r="I135" s="22" t="str">
        <f>$I$131</f>
        <v/>
      </c>
      <c r="J135" s="22" t="str">
        <f>$J$131</f>
        <v>cpu.A</v>
      </c>
      <c r="K135" s="22" t="str">
        <f>IF(LEN(H135)&gt;0,indent&amp;H135&amp;" = "&amp;VLOOKUP($E135,AccessModes!$E$2:$I$13,4,FALSE),"")</f>
        <v/>
      </c>
      <c r="L135" s="15" t="str">
        <f>$L$131</f>
        <v/>
      </c>
      <c r="M135" s="15" t="str">
        <f t="shared" si="5"/>
        <v/>
      </c>
      <c r="N135" s="22" t="str">
        <f>IF(LEN(J135)&gt;0,indent&amp;IF(J135="LAST",AccessModes!$I$15&amp;H135,VLOOKUP($E135,AccessModes!$E$2:$I$13,5,FALSE)&amp;J135)&amp;");","")</f>
        <v xml:space="preserve">            memory_setZeroPage(cpu.A);</v>
      </c>
      <c r="O135" s="22"/>
      <c r="P135" s="15" t="str">
        <f>IF(C135=0,indent0&amp;"case 0x"&amp;DEC2HEX(A135)&amp;": /* "&amp;B135&amp;" "&amp;VLOOKUP(E135,AccessModes!$E$2:$G$13,3,FALSE)&amp;" */"&amp;newline&amp;IF(LEN(K135)&gt;0,K135&amp;CHAR(10),"")&amp;IF(LEN(L135)&gt;0,L135&amp;newline,"")&amp;IF(LEN(M135)&gt;0,M135&amp;newline,"")&amp;IF(LEN(N135)&gt;0,N135&amp;newline,"")&amp;IF(LEN(O135)&gt;0,O135&amp;newline,"")&amp;indent&amp;"break;","")</f>
        <v xml:space="preserve">        case 0x85: /* STA aa */
            memory_setZeroPage(cpu.A);
            break;</v>
      </c>
      <c r="Q135" s="22" t="str">
        <f t="shared" si="4"/>
        <v xml:space="preserve">    {"STA", 0, AM_ZPG, 3, 0},</v>
      </c>
    </row>
    <row r="136" spans="1:17" ht="39.6" x14ac:dyDescent="0.3">
      <c r="A136" s="22">
        <v>134</v>
      </c>
      <c r="B136" s="22" t="s">
        <v>81</v>
      </c>
      <c r="C136" s="22">
        <v>0</v>
      </c>
      <c r="D136" s="22" t="s">
        <v>144</v>
      </c>
      <c r="E136" s="22" t="str">
        <f>_xlfn.IFNA(VLOOKUP(D136,AccessModes!$D$2:$E$13,2,FALSE),"AM_IMP")</f>
        <v>AM_ZPG</v>
      </c>
      <c r="F136" s="22">
        <v>3</v>
      </c>
      <c r="G136" s="22">
        <v>0</v>
      </c>
      <c r="H136" s="28" t="str">
        <f>""</f>
        <v/>
      </c>
      <c r="I136" s="28" t="str">
        <f>""</f>
        <v/>
      </c>
      <c r="J136" s="28" t="s">
        <v>226</v>
      </c>
      <c r="K136" s="22" t="str">
        <f>IF(LEN(H136)&gt;0,indent&amp;H136&amp;" = "&amp;VLOOKUP($E136,AccessModes!$E$2:$I$13,4,FALSE),"")</f>
        <v/>
      </c>
      <c r="L136" s="29" t="str">
        <f>""</f>
        <v/>
      </c>
      <c r="M136" s="15" t="str">
        <f t="shared" si="5"/>
        <v/>
      </c>
      <c r="N136" s="22" t="str">
        <f>IF(LEN(J136)&gt;0,indent&amp;IF(J136="LAST",AccessModes!$I$15&amp;H136,VLOOKUP($E136,AccessModes!$E$2:$I$13,5,FALSE)&amp;J136)&amp;");","")</f>
        <v xml:space="preserve">            memory_setZeroPage(cpu.X);</v>
      </c>
      <c r="O136" s="22"/>
      <c r="P136" s="15" t="str">
        <f>IF(C136=0,indent0&amp;"case 0x"&amp;DEC2HEX(A136)&amp;": /* "&amp;B136&amp;" "&amp;VLOOKUP(E136,AccessModes!$E$2:$G$13,3,FALSE)&amp;" */"&amp;newline&amp;IF(LEN(K136)&gt;0,K136&amp;CHAR(10),"")&amp;IF(LEN(L136)&gt;0,L136&amp;newline,"")&amp;IF(LEN(M136)&gt;0,M136&amp;newline,"")&amp;IF(LEN(N136)&gt;0,N136&amp;newline,"")&amp;IF(LEN(O136)&gt;0,O136&amp;newline,"")&amp;indent&amp;"break;","")</f>
        <v xml:space="preserve">        case 0x86: /* STX aa */
            memory_setZeroPage(cpu.X);
            break;</v>
      </c>
      <c r="Q136" s="22" t="str">
        <f t="shared" si="4"/>
        <v xml:space="preserve">    {"STX", 0, AM_ZPG, 3, 0},</v>
      </c>
    </row>
    <row r="137" spans="1:17" x14ac:dyDescent="0.3">
      <c r="A137" s="23">
        <v>135</v>
      </c>
      <c r="B137" s="23" t="s">
        <v>79</v>
      </c>
      <c r="C137" s="23">
        <v>-1</v>
      </c>
      <c r="D137" s="23" t="s">
        <v>144</v>
      </c>
      <c r="E137" s="23" t="str">
        <f>_xlfn.IFNA(VLOOKUP(D137,AccessModes!$D$2:$E$13,2,FALSE),"AM_IMP")</f>
        <v>AM_ZPG</v>
      </c>
      <c r="F137" s="23">
        <v>3</v>
      </c>
      <c r="G137" s="23">
        <v>0</v>
      </c>
      <c r="H137" s="23"/>
      <c r="I137" s="23"/>
      <c r="J137" s="23"/>
      <c r="K137" s="23" t="str">
        <f>IF(LEN(H137)&gt;0,indent&amp;H137&amp;" = "&amp;VLOOKUP($E137,AccessModes!$E$2:$I$13,4,FALSE),"")</f>
        <v/>
      </c>
      <c r="L137" s="17" t="str">
        <f>indent&amp;"/* TODO: implementation of the action */"</f>
        <v xml:space="preserve">            /* TODO: implementation of the action */</v>
      </c>
      <c r="M137" s="17" t="str">
        <f t="shared" si="5"/>
        <v/>
      </c>
      <c r="N137" s="23" t="str">
        <f>IF(LEN(J137)&gt;0,indent&amp;IF(J137="LAST",AccessModes!$I$15&amp;H137,VLOOKUP($E137,AccessModes!$E$2:$I$13,5,FALSE)&amp;J137)&amp;");","")</f>
        <v/>
      </c>
      <c r="O137" s="23"/>
      <c r="P137" s="17" t="str">
        <f>IF(C137=0,indent0&amp;"case 0x"&amp;DEC2HEX(A137)&amp;": /* "&amp;B137&amp;" "&amp;VLOOKUP(E137,AccessModes!$E$2:$G$13,3,FALSE)&amp;" */"&amp;newline&amp;IF(LEN(K137)&gt;0,K137&amp;CHAR(10),"")&amp;IF(LEN(L137)&gt;0,L137&amp;newline,"")&amp;IF(LEN(M137)&gt;0,M137&amp;newline,"")&amp;IF(LEN(N137)&gt;0,N137&amp;newline,"")&amp;IF(LEN(O137)&gt;0,O137&amp;newline,"")&amp;indent&amp;"break;","")</f>
        <v/>
      </c>
      <c r="Q137" s="23" t="str">
        <f t="shared" si="4"/>
        <v xml:space="preserve">    {"SAX", -1, AM_ZPG, 3, 0},</v>
      </c>
    </row>
    <row r="138" spans="1:17" ht="66" x14ac:dyDescent="0.3">
      <c r="A138" s="22">
        <v>136</v>
      </c>
      <c r="B138" s="22" t="s">
        <v>82</v>
      </c>
      <c r="C138" s="22">
        <v>0</v>
      </c>
      <c r="D138" s="22" t="s">
        <v>139</v>
      </c>
      <c r="E138" s="22" t="str">
        <f>_xlfn.IFNA(VLOOKUP(D138,AccessModes!$D$2:$E$13,2,FALSE),"AM_IMP")</f>
        <v>AM_IMP</v>
      </c>
      <c r="F138" s="22">
        <v>2</v>
      </c>
      <c r="G138" s="22">
        <v>0</v>
      </c>
      <c r="H138" s="28" t="str">
        <f>""</f>
        <v/>
      </c>
      <c r="I138" s="28" t="s">
        <v>225</v>
      </c>
      <c r="J138" s="28" t="str">
        <f>""</f>
        <v/>
      </c>
      <c r="K138" s="22" t="str">
        <f>IF(LEN(H138)&gt;0,indent&amp;H138&amp;" = "&amp;VLOOKUP($E138,AccessModes!$E$2:$I$13,4,FALSE),"")</f>
        <v/>
      </c>
      <c r="L138" s="29" t="str">
        <f>indent&amp;"--"&amp;I138&amp;";"</f>
        <v xml:space="preserve">            --cpu.Y;</v>
      </c>
      <c r="M138" s="15" t="str">
        <f t="shared" si="5"/>
        <v xml:space="preserve">            cpu.PS_N =  (bool)(cpu.Y &amp; 0x80);
            cpu.PS_Z = (cpu.Y == 0);</v>
      </c>
      <c r="N138" s="22" t="str">
        <f>IF(LEN(J138)&gt;0,indent&amp;IF(J138="LAST",AccessModes!$I$15&amp;H138,VLOOKUP($E138,AccessModes!$E$2:$I$13,5,FALSE)&amp;J138)&amp;");","")</f>
        <v/>
      </c>
      <c r="O138" s="22"/>
      <c r="P138" s="15" t="str">
        <f>IF(C138=0,indent0&amp;"case 0x"&amp;DEC2HEX(A138)&amp;": /* "&amp;B138&amp;" "&amp;VLOOKUP(E138,AccessModes!$E$2:$G$13,3,FALSE)&amp;" */"&amp;newline&amp;IF(LEN(K138)&gt;0,K138&amp;CHAR(10),"")&amp;IF(LEN(L138)&gt;0,L138&amp;newline,"")&amp;IF(LEN(M138)&gt;0,M138&amp;newline,"")&amp;IF(LEN(N138)&gt;0,N138&amp;newline,"")&amp;IF(LEN(O138)&gt;0,O138&amp;newline,"")&amp;indent&amp;"break;","")</f>
        <v xml:space="preserve">        case 0x88: /* DEY  */
            --cpu.Y;
            cpu.PS_N =  (bool)(cpu.Y &amp; 0x80);
            cpu.PS_Z = (cpu.Y == 0);
            break;</v>
      </c>
      <c r="Q138" s="22" t="str">
        <f t="shared" si="4"/>
        <v xml:space="preserve">    {"DEY", 0, AM_IMP, 2, 0},</v>
      </c>
    </row>
    <row r="139" spans="1:17" x14ac:dyDescent="0.3">
      <c r="A139" s="23">
        <v>137</v>
      </c>
      <c r="B139" s="23" t="s">
        <v>23</v>
      </c>
      <c r="C139" s="23">
        <v>-1</v>
      </c>
      <c r="D139" s="23" t="s">
        <v>130</v>
      </c>
      <c r="E139" s="23" t="str">
        <f>_xlfn.IFNA(VLOOKUP(D139,AccessModes!$D$2:$E$13,2,FALSE),"AM_IMP")</f>
        <v>AM_IMM</v>
      </c>
      <c r="F139" s="23">
        <v>2</v>
      </c>
      <c r="G139" s="23">
        <v>0</v>
      </c>
      <c r="H139" s="23"/>
      <c r="I139" s="23"/>
      <c r="J139" s="23"/>
      <c r="K139" s="23" t="str">
        <f>IF(LEN(H139)&gt;0,indent&amp;H139&amp;" = "&amp;VLOOKUP($E139,AccessModes!$E$2:$I$13,4,FALSE),"")</f>
        <v/>
      </c>
      <c r="L139" s="17" t="str">
        <f>indent&amp;"/* TODO: implementation of the action */"</f>
        <v xml:space="preserve">            /* TODO: implementation of the action */</v>
      </c>
      <c r="M139" s="17" t="str">
        <f t="shared" si="5"/>
        <v/>
      </c>
      <c r="N139" s="23" t="str">
        <f>IF(LEN(J139)&gt;0,indent&amp;IF(J139="LAST",AccessModes!$I$15&amp;H139,VLOOKUP($E139,AccessModes!$E$2:$I$13,5,FALSE)&amp;J139)&amp;");","")</f>
        <v/>
      </c>
      <c r="O139" s="23"/>
      <c r="P139" s="17" t="str">
        <f>IF(C139=0,indent0&amp;"case 0x"&amp;DEC2HEX(A139)&amp;": /* "&amp;B139&amp;" "&amp;VLOOKUP(E139,AccessModes!$E$2:$G$13,3,FALSE)&amp;" */"&amp;newline&amp;IF(LEN(K139)&gt;0,K139&amp;CHAR(10),"")&amp;IF(LEN(L139)&gt;0,L139&amp;newline,"")&amp;IF(LEN(M139)&gt;0,M139&amp;newline,"")&amp;IF(LEN(N139)&gt;0,N139&amp;newline,"")&amp;IF(LEN(O139)&gt;0,O139&amp;newline,"")&amp;indent&amp;"break;","")</f>
        <v/>
      </c>
      <c r="Q139" s="23" t="str">
        <f t="shared" si="4"/>
        <v xml:space="preserve">    {"NOP", -1, AM_IMM, 2, 0},</v>
      </c>
    </row>
    <row r="140" spans="1:17" ht="66" x14ac:dyDescent="0.3">
      <c r="A140" s="22">
        <v>138</v>
      </c>
      <c r="B140" s="22" t="s">
        <v>83</v>
      </c>
      <c r="C140" s="22">
        <v>0</v>
      </c>
      <c r="D140" s="22" t="s">
        <v>139</v>
      </c>
      <c r="E140" s="22" t="str">
        <f>_xlfn.IFNA(VLOOKUP(D140,AccessModes!$D$2:$E$13,2,FALSE),"AM_IMP")</f>
        <v>AM_IMP</v>
      </c>
      <c r="F140" s="22">
        <v>2</v>
      </c>
      <c r="G140" s="22">
        <v>0</v>
      </c>
      <c r="H140" s="28"/>
      <c r="I140" s="28" t="s">
        <v>215</v>
      </c>
      <c r="J140" s="28"/>
      <c r="K140" s="22" t="str">
        <f>IF(LEN(H140)&gt;0,indent&amp;H140&amp;" = "&amp;VLOOKUP($E140,AccessModes!$E$2:$I$13,4,FALSE),"")</f>
        <v/>
      </c>
      <c r="L140" s="29" t="str">
        <f>indent&amp;"cpu.A = cpu.X;"</f>
        <v xml:space="preserve">            cpu.A = cpu.X;</v>
      </c>
      <c r="M140" s="15" t="str">
        <f t="shared" si="5"/>
        <v xml:space="preserve">            cpu.PS_N =  (bool)(cpu.A &amp; 0x80);
            cpu.PS_Z = (cpu.A == 0);</v>
      </c>
      <c r="N140" s="22" t="str">
        <f>IF(LEN(J140)&gt;0,indent&amp;IF(J140="LAST",AccessModes!$I$15&amp;H140,VLOOKUP($E140,AccessModes!$E$2:$I$13,5,FALSE)&amp;J140)&amp;");","")</f>
        <v/>
      </c>
      <c r="O140" s="22"/>
      <c r="P140" s="15" t="str">
        <f>IF(C140=0,indent0&amp;"case 0x"&amp;DEC2HEX(A140)&amp;": /* "&amp;B140&amp;" "&amp;VLOOKUP(E140,AccessModes!$E$2:$G$13,3,FALSE)&amp;" */"&amp;newline&amp;IF(LEN(K140)&gt;0,K140&amp;CHAR(10),"")&amp;IF(LEN(L140)&gt;0,L140&amp;newline,"")&amp;IF(LEN(M140)&gt;0,M140&amp;newline,"")&amp;IF(LEN(N140)&gt;0,N140&amp;newline,"")&amp;IF(LEN(O140)&gt;0,O140&amp;newline,"")&amp;indent&amp;"break;","")</f>
        <v xml:space="preserve">        case 0x8A: /* TXA  */
            cpu.A = cpu.X;
            cpu.PS_N =  (bool)(cpu.A &amp; 0x80);
            cpu.PS_Z = (cpu.A == 0);
            break;</v>
      </c>
      <c r="Q140" s="22" t="str">
        <f t="shared" si="4"/>
        <v xml:space="preserve">    {"TXA", 0, AM_IMP, 2, 0},</v>
      </c>
    </row>
    <row r="141" spans="1:17" x14ac:dyDescent="0.3">
      <c r="A141" s="24">
        <v>139</v>
      </c>
      <c r="B141" s="24" t="s">
        <v>84</v>
      </c>
      <c r="C141" s="23">
        <v>-1</v>
      </c>
      <c r="D141" s="24" t="s">
        <v>130</v>
      </c>
      <c r="E141" s="24" t="str">
        <f>_xlfn.IFNA(VLOOKUP(D141,AccessModes!$D$2:$E$13,2,FALSE),"AM_IMP")</f>
        <v>AM_IMM</v>
      </c>
      <c r="F141" s="24">
        <v>2</v>
      </c>
      <c r="G141" s="24">
        <v>0</v>
      </c>
      <c r="H141" s="23"/>
      <c r="I141" s="23"/>
      <c r="J141" s="23"/>
      <c r="K141" s="24" t="str">
        <f>IF(LEN(H141)&gt;0,indent&amp;H141&amp;" = "&amp;VLOOKUP($E141,AccessModes!$E$2:$I$13,4,FALSE),"")</f>
        <v/>
      </c>
      <c r="L141" s="18" t="str">
        <f>indent&amp;"/* TODO: implementation of the action */"</f>
        <v xml:space="preserve">            /* TODO: implementation of the action */</v>
      </c>
      <c r="M141" s="18" t="str">
        <f t="shared" si="5"/>
        <v/>
      </c>
      <c r="N141" s="24" t="str">
        <f>IF(LEN(J141)&gt;0,indent&amp;IF(J141="LAST",AccessModes!$I$15&amp;H141,VLOOKUP($E141,AccessModes!$E$2:$I$13,5,FALSE)&amp;J141)&amp;");","")</f>
        <v/>
      </c>
      <c r="O141" s="24"/>
      <c r="P141" s="18" t="str">
        <f>IF(C141=0,indent0&amp;"case 0x"&amp;DEC2HEX(A141)&amp;": /* "&amp;B141&amp;" "&amp;VLOOKUP(E141,AccessModes!$E$2:$G$13,3,FALSE)&amp;" */"&amp;newline&amp;IF(LEN(K141)&gt;0,K141&amp;CHAR(10),"")&amp;IF(LEN(L141)&gt;0,L141&amp;newline,"")&amp;IF(LEN(M141)&gt;0,M141&amp;newline,"")&amp;IF(LEN(N141)&gt;0,N141&amp;newline,"")&amp;IF(LEN(O141)&gt;0,O141&amp;newline,"")&amp;indent&amp;"break;","")</f>
        <v/>
      </c>
      <c r="Q141" s="24" t="str">
        <f t="shared" si="4"/>
        <v xml:space="preserve">    {"XAA", -1, AM_IMM, 2, 0},</v>
      </c>
    </row>
    <row r="142" spans="1:17" ht="39.6" x14ac:dyDescent="0.3">
      <c r="A142" s="22">
        <v>140</v>
      </c>
      <c r="B142" s="22" t="s">
        <v>80</v>
      </c>
      <c r="C142" s="22">
        <v>0</v>
      </c>
      <c r="D142" s="22" t="s">
        <v>131</v>
      </c>
      <c r="E142" s="22" t="str">
        <f>_xlfn.IFNA(VLOOKUP(D142,AccessModes!$D$2:$E$13,2,FALSE),"AM_IMP")</f>
        <v>AM_ABS</v>
      </c>
      <c r="F142" s="22">
        <v>4</v>
      </c>
      <c r="G142" s="22">
        <v>0</v>
      </c>
      <c r="H142" s="22" t="str">
        <f>$H$134</f>
        <v/>
      </c>
      <c r="I142" s="22" t="str">
        <f>$I$134</f>
        <v/>
      </c>
      <c r="J142" s="22" t="str">
        <f>$J$134</f>
        <v>cpu.Y</v>
      </c>
      <c r="K142" s="22" t="str">
        <f>IF(LEN(H142)&gt;0,indent&amp;H142&amp;" = "&amp;VLOOKUP($E142,AccessModes!$E$2:$I$13,4,FALSE),"")</f>
        <v/>
      </c>
      <c r="L142" s="15" t="str">
        <f>$L$134</f>
        <v/>
      </c>
      <c r="M142" s="15" t="str">
        <f t="shared" si="5"/>
        <v/>
      </c>
      <c r="N142" s="22" t="str">
        <f>IF(LEN(J142)&gt;0,indent&amp;IF(J142="LAST",AccessModes!$I$15&amp;H142,VLOOKUP($E142,AccessModes!$E$2:$I$13,5,FALSE)&amp;J142)&amp;");","")</f>
        <v xml:space="preserve">            memory_setAbsolute(cpu.Y);</v>
      </c>
      <c r="O142" s="22"/>
      <c r="P142" s="15" t="str">
        <f>IF(C142=0,indent0&amp;"case 0x"&amp;DEC2HEX(A142)&amp;": /* "&amp;B142&amp;" "&amp;VLOOKUP(E142,AccessModes!$E$2:$G$13,3,FALSE)&amp;" */"&amp;newline&amp;IF(LEN(K142)&gt;0,K142&amp;CHAR(10),"")&amp;IF(LEN(L142)&gt;0,L142&amp;newline,"")&amp;IF(LEN(M142)&gt;0,M142&amp;newline,"")&amp;IF(LEN(N142)&gt;0,N142&amp;newline,"")&amp;IF(LEN(O142)&gt;0,O142&amp;newline,"")&amp;indent&amp;"break;","")</f>
        <v xml:space="preserve">        case 0x8C: /* STY aaaa */
            memory_setAbsolute(cpu.Y);
            break;</v>
      </c>
      <c r="Q142" s="22" t="str">
        <f t="shared" si="4"/>
        <v xml:space="preserve">    {"STY", 0, AM_ABS, 4, 0},</v>
      </c>
    </row>
    <row r="143" spans="1:17" ht="39.6" x14ac:dyDescent="0.3">
      <c r="A143" s="22">
        <v>141</v>
      </c>
      <c r="B143" s="22" t="s">
        <v>78</v>
      </c>
      <c r="C143" s="22">
        <v>0</v>
      </c>
      <c r="D143" s="22" t="s">
        <v>131</v>
      </c>
      <c r="E143" s="22" t="str">
        <f>_xlfn.IFNA(VLOOKUP(D143,AccessModes!$D$2:$E$13,2,FALSE),"AM_IMP")</f>
        <v>AM_ABS</v>
      </c>
      <c r="F143" s="22">
        <v>4</v>
      </c>
      <c r="G143" s="22">
        <v>0</v>
      </c>
      <c r="H143" s="22" t="str">
        <f>$H$131</f>
        <v/>
      </c>
      <c r="I143" s="22" t="str">
        <f>$I$131</f>
        <v/>
      </c>
      <c r="J143" s="22" t="str">
        <f>$J$131</f>
        <v>cpu.A</v>
      </c>
      <c r="K143" s="22" t="str">
        <f>IF(LEN(H143)&gt;0,indent&amp;H143&amp;" = "&amp;VLOOKUP($E143,AccessModes!$E$2:$I$13,4,FALSE),"")</f>
        <v/>
      </c>
      <c r="L143" s="15" t="str">
        <f>$L$131</f>
        <v/>
      </c>
      <c r="M143" s="15" t="str">
        <f t="shared" si="5"/>
        <v/>
      </c>
      <c r="N143" s="22" t="str">
        <f>IF(LEN(J143)&gt;0,indent&amp;IF(J143="LAST",AccessModes!$I$15&amp;H143,VLOOKUP($E143,AccessModes!$E$2:$I$13,5,FALSE)&amp;J143)&amp;");","")</f>
        <v xml:space="preserve">            memory_setAbsolute(cpu.A);</v>
      </c>
      <c r="O143" s="22"/>
      <c r="P143" s="15" t="str">
        <f>IF(C143=0,indent0&amp;"case 0x"&amp;DEC2HEX(A143)&amp;": /* "&amp;B143&amp;" "&amp;VLOOKUP(E143,AccessModes!$E$2:$G$13,3,FALSE)&amp;" */"&amp;newline&amp;IF(LEN(K143)&gt;0,K143&amp;CHAR(10),"")&amp;IF(LEN(L143)&gt;0,L143&amp;newline,"")&amp;IF(LEN(M143)&gt;0,M143&amp;newline,"")&amp;IF(LEN(N143)&gt;0,N143&amp;newline,"")&amp;IF(LEN(O143)&gt;0,O143&amp;newline,"")&amp;indent&amp;"break;","")</f>
        <v xml:space="preserve">        case 0x8D: /* STA aaaa */
            memory_setAbsolute(cpu.A);
            break;</v>
      </c>
      <c r="Q143" s="22" t="str">
        <f t="shared" si="4"/>
        <v xml:space="preserve">    {"STA", 0, AM_ABS, 4, 0},</v>
      </c>
    </row>
    <row r="144" spans="1:17" ht="39.6" x14ac:dyDescent="0.3">
      <c r="A144" s="22">
        <v>142</v>
      </c>
      <c r="B144" s="22" t="s">
        <v>81</v>
      </c>
      <c r="C144" s="22">
        <v>0</v>
      </c>
      <c r="D144" s="22" t="s">
        <v>131</v>
      </c>
      <c r="E144" s="22" t="str">
        <f>_xlfn.IFNA(VLOOKUP(D144,AccessModes!$D$2:$E$13,2,FALSE),"AM_IMP")</f>
        <v>AM_ABS</v>
      </c>
      <c r="F144" s="22">
        <v>4</v>
      </c>
      <c r="G144" s="22">
        <v>0</v>
      </c>
      <c r="H144" s="22" t="str">
        <f>$H$136</f>
        <v/>
      </c>
      <c r="I144" s="22" t="str">
        <f>$I$136</f>
        <v/>
      </c>
      <c r="J144" s="22" t="str">
        <f>$J$136</f>
        <v>cpu.X</v>
      </c>
      <c r="K144" s="22" t="str">
        <f>IF(LEN(H144)&gt;0,indent&amp;H144&amp;" = "&amp;VLOOKUP($E144,AccessModes!$E$2:$I$13,4,FALSE),"")</f>
        <v/>
      </c>
      <c r="L144" s="15" t="str">
        <f>$L$136</f>
        <v/>
      </c>
      <c r="M144" s="15" t="str">
        <f t="shared" si="5"/>
        <v/>
      </c>
      <c r="N144" s="22" t="str">
        <f>IF(LEN(J144)&gt;0,indent&amp;IF(J144="LAST",AccessModes!$I$15&amp;H144,VLOOKUP($E144,AccessModes!$E$2:$I$13,5,FALSE)&amp;J144)&amp;");","")</f>
        <v xml:space="preserve">            memory_setAbsolute(cpu.X);</v>
      </c>
      <c r="O144" s="22"/>
      <c r="P144" s="15" t="str">
        <f>IF(C144=0,indent0&amp;"case 0x"&amp;DEC2HEX(A144)&amp;": /* "&amp;B144&amp;" "&amp;VLOOKUP(E144,AccessModes!$E$2:$G$13,3,FALSE)&amp;" */"&amp;newline&amp;IF(LEN(K144)&gt;0,K144&amp;CHAR(10),"")&amp;IF(LEN(L144)&gt;0,L144&amp;newline,"")&amp;IF(LEN(M144)&gt;0,M144&amp;newline,"")&amp;IF(LEN(N144)&gt;0,N144&amp;newline,"")&amp;IF(LEN(O144)&gt;0,O144&amp;newline,"")&amp;indent&amp;"break;","")</f>
        <v xml:space="preserve">        case 0x8E: /* STX aaaa */
            memory_setAbsolute(cpu.X);
            break;</v>
      </c>
      <c r="Q144" s="22" t="str">
        <f t="shared" si="4"/>
        <v xml:space="preserve">    {"STX", 0, AM_ABS, 4, 0},</v>
      </c>
    </row>
    <row r="145" spans="1:17" x14ac:dyDescent="0.3">
      <c r="A145" s="23">
        <v>143</v>
      </c>
      <c r="B145" s="23" t="s">
        <v>79</v>
      </c>
      <c r="C145" s="23">
        <v>-1</v>
      </c>
      <c r="D145" s="23" t="s">
        <v>131</v>
      </c>
      <c r="E145" s="23" t="str">
        <f>_xlfn.IFNA(VLOOKUP(D145,AccessModes!$D$2:$E$13,2,FALSE),"AM_IMP")</f>
        <v>AM_ABS</v>
      </c>
      <c r="F145" s="23">
        <v>4</v>
      </c>
      <c r="G145" s="23">
        <v>0</v>
      </c>
      <c r="H145" s="23"/>
      <c r="I145" s="23"/>
      <c r="J145" s="23"/>
      <c r="K145" s="23" t="str">
        <f>IF(LEN(H145)&gt;0,indent&amp;H145&amp;" = "&amp;VLOOKUP($E145,AccessModes!$E$2:$I$13,4,FALSE),"")</f>
        <v/>
      </c>
      <c r="L145" s="17" t="str">
        <f>indent&amp;"/* TODO: implementation of the action */"</f>
        <v xml:space="preserve">            /* TODO: implementation of the action */</v>
      </c>
      <c r="M145" s="17" t="str">
        <f t="shared" si="5"/>
        <v/>
      </c>
      <c r="N145" s="23" t="str">
        <f>IF(LEN(J145)&gt;0,indent&amp;IF(J145="LAST",AccessModes!$I$15&amp;H145,VLOOKUP($E145,AccessModes!$E$2:$I$13,5,FALSE)&amp;J145)&amp;");","")</f>
        <v/>
      </c>
      <c r="O145" s="23"/>
      <c r="P145" s="17" t="str">
        <f>IF(C145=0,indent0&amp;"case 0x"&amp;DEC2HEX(A145)&amp;": /* "&amp;B145&amp;" "&amp;VLOOKUP(E145,AccessModes!$E$2:$G$13,3,FALSE)&amp;" */"&amp;newline&amp;IF(LEN(K145)&gt;0,K145&amp;CHAR(10),"")&amp;IF(LEN(L145)&gt;0,L145&amp;newline,"")&amp;IF(LEN(M145)&gt;0,M145&amp;newline,"")&amp;IF(LEN(N145)&gt;0,N145&amp;newline,"")&amp;IF(LEN(O145)&gt;0,O145&amp;newline,"")&amp;indent&amp;"break;","")</f>
        <v/>
      </c>
      <c r="Q145" s="23" t="str">
        <f t="shared" si="4"/>
        <v xml:space="preserve">    {"SAX", -1, AM_ABS, 4, 0},</v>
      </c>
    </row>
    <row r="146" spans="1:17" ht="92.4" x14ac:dyDescent="0.3">
      <c r="A146" s="22">
        <v>144</v>
      </c>
      <c r="B146" s="22" t="s">
        <v>86</v>
      </c>
      <c r="C146" s="22">
        <v>0</v>
      </c>
      <c r="D146" s="22" t="s">
        <v>132</v>
      </c>
      <c r="E146" s="22" t="str">
        <f>_xlfn.IFNA(VLOOKUP(D146,AccessModes!$D$2:$E$13,2,FALSE),"AM_IMP")</f>
        <v>AM_REL</v>
      </c>
      <c r="F146" s="22">
        <v>2</v>
      </c>
      <c r="G146" s="22">
        <v>1</v>
      </c>
      <c r="H146" s="28" t="s">
        <v>240</v>
      </c>
      <c r="I146" s="28"/>
      <c r="J146" s="28"/>
      <c r="K146" s="22" t="str">
        <f>IF(LEN(H146)&gt;0,indent&amp;H146&amp;" = "&amp;VLOOKUP($E146,AccessModes!$E$2:$I$13,4,FALSE),"")</f>
        <v xml:space="preserve">            value_w = memory_getRelativeAddress();</v>
      </c>
      <c r="L146" s="29" t="str">
        <f>indent&amp;"if(!cpu.PS_C) {"&amp;newline&amp;indent2&amp;"++cycles;"&amp;newline&amp;indent2&amp;"cpu.PC = "&amp;H146&amp;";"&amp;newline&amp;indent&amp;"}"</f>
        <v xml:space="preserve">            if(!cpu.PS_C) {
                ++cycles;
                cpu.PC = value_w;
            }</v>
      </c>
      <c r="M146" s="15" t="str">
        <f t="shared" si="5"/>
        <v/>
      </c>
      <c r="N146" s="22" t="str">
        <f>IF(LEN(J146)&gt;0,indent&amp;IF(J146="LAST",AccessModes!$I$15&amp;H146,VLOOKUP($E146,AccessModes!$E$2:$I$13,5,FALSE)&amp;J146)&amp;");","")</f>
        <v/>
      </c>
      <c r="O146" s="22"/>
      <c r="P146" s="15" t="str">
        <f>IF(C146=0,indent0&amp;"case 0x"&amp;DEC2HEX(A146)&amp;": /* "&amp;B146&amp;" "&amp;VLOOKUP(E146,AccessModes!$E$2:$G$13,3,FALSE)&amp;" */"&amp;newline&amp;IF(LEN(K146)&gt;0,K146&amp;CHAR(10),"")&amp;IF(LEN(L146)&gt;0,L146&amp;newline,"")&amp;IF(LEN(M146)&gt;0,M146&amp;newline,"")&amp;IF(LEN(N146)&gt;0,N146&amp;newline,"")&amp;IF(LEN(O146)&gt;0,O146&amp;newline,"")&amp;indent&amp;"break;","")</f>
        <v xml:space="preserve">        case 0x90: /* BCC aaaa */
            value_w = memory_getRelativeAddress();
            if(!cpu.PS_C) {
                ++cycles;
                cpu.PC = value_w;
            }
            break;</v>
      </c>
      <c r="Q146" s="22" t="str">
        <f t="shared" si="4"/>
        <v xml:space="preserve">    {"BCC", 0, AM_REL, 2, 1},</v>
      </c>
    </row>
    <row r="147" spans="1:17" ht="39.6" x14ac:dyDescent="0.3">
      <c r="A147" s="22">
        <v>145</v>
      </c>
      <c r="B147" s="22" t="s">
        <v>78</v>
      </c>
      <c r="C147" s="22">
        <v>0</v>
      </c>
      <c r="D147" s="22" t="s">
        <v>133</v>
      </c>
      <c r="E147" s="22" t="str">
        <f>_xlfn.IFNA(VLOOKUP(D147,AccessModes!$D$2:$E$13,2,FALSE),"AM_IMP")</f>
        <v>AM_ZIY</v>
      </c>
      <c r="F147" s="22">
        <v>6</v>
      </c>
      <c r="G147" s="22">
        <v>0</v>
      </c>
      <c r="H147" s="22" t="str">
        <f>$H$131</f>
        <v/>
      </c>
      <c r="I147" s="22" t="str">
        <f>$I$131</f>
        <v/>
      </c>
      <c r="J147" s="22" t="str">
        <f>$J$131</f>
        <v>cpu.A</v>
      </c>
      <c r="K147" s="22" t="str">
        <f>IF(LEN(H147)&gt;0,indent&amp;H147&amp;" = "&amp;VLOOKUP($E147,AccessModes!$E$2:$I$13,4,FALSE),"")</f>
        <v/>
      </c>
      <c r="L147" s="15" t="str">
        <f>$L$131</f>
        <v/>
      </c>
      <c r="M147" s="15" t="str">
        <f t="shared" si="5"/>
        <v/>
      </c>
      <c r="N147" s="22" t="str">
        <f>IF(LEN(J147)&gt;0,indent&amp;IF(J147="LAST",AccessModes!$I$15&amp;H147,VLOOKUP($E147,AccessModes!$E$2:$I$13,5,FALSE)&amp;J147)&amp;");","")</f>
        <v xml:space="preserve">            memory_setZeroPageIndexedY(cpu.A);</v>
      </c>
      <c r="O147" s="22"/>
      <c r="P147" s="15" t="str">
        <f>IF(C147=0,indent0&amp;"case 0x"&amp;DEC2HEX(A147)&amp;": /* "&amp;B147&amp;" "&amp;VLOOKUP(E147,AccessModes!$E$2:$G$13,3,FALSE)&amp;" */"&amp;newline&amp;IF(LEN(K147)&gt;0,K147&amp;CHAR(10),"")&amp;IF(LEN(L147)&gt;0,L147&amp;newline,"")&amp;IF(LEN(M147)&gt;0,M147&amp;newline,"")&amp;IF(LEN(N147)&gt;0,N147&amp;newline,"")&amp;IF(LEN(O147)&gt;0,O147&amp;newline,"")&amp;indent&amp;"break;","")</f>
        <v xml:space="preserve">        case 0x91: /* STA aa,Y */
            memory_setZeroPageIndexedY(cpu.A);
            break;</v>
      </c>
      <c r="Q147" s="22" t="str">
        <f t="shared" si="4"/>
        <v xml:space="preserve">    {"STA", 0, AM_ZIY, 6, 0},</v>
      </c>
    </row>
    <row r="148" spans="1:17" x14ac:dyDescent="0.3">
      <c r="A148" s="23">
        <v>146</v>
      </c>
      <c r="B148" s="23" t="s">
        <v>20</v>
      </c>
      <c r="C148" s="23">
        <v>-1</v>
      </c>
      <c r="D148" s="23"/>
      <c r="E148" s="23" t="str">
        <f>_xlfn.IFNA(VLOOKUP(D148,AccessModes!$D$2:$E$13,2,FALSE),"AM_IMP")</f>
        <v>AM_IMP</v>
      </c>
      <c r="F148" s="23">
        <v>0</v>
      </c>
      <c r="G148" s="23">
        <v>0</v>
      </c>
      <c r="H148" s="23"/>
      <c r="I148" s="23"/>
      <c r="J148" s="23"/>
      <c r="K148" s="23" t="str">
        <f>IF(LEN(H148)&gt;0,indent&amp;H148&amp;" = "&amp;VLOOKUP($E148,AccessModes!$E$2:$I$13,4,FALSE),"")</f>
        <v/>
      </c>
      <c r="L148" s="17" t="str">
        <f>indent&amp;"/* TODO: implementation of the action */"</f>
        <v xml:space="preserve">            /* TODO: implementation of the action */</v>
      </c>
      <c r="M148" s="17" t="str">
        <f t="shared" si="5"/>
        <v/>
      </c>
      <c r="N148" s="23" t="str">
        <f>IF(LEN(J148)&gt;0,indent&amp;IF(J148="LAST",AccessModes!$I$15&amp;H148,VLOOKUP($E148,AccessModes!$E$2:$I$13,5,FALSE)&amp;J148)&amp;");","")</f>
        <v/>
      </c>
      <c r="O148" s="23"/>
      <c r="P148" s="17" t="str">
        <f>IF(C148=0,indent0&amp;"case 0x"&amp;DEC2HEX(A148)&amp;": /* "&amp;B148&amp;" "&amp;VLOOKUP(E148,AccessModes!$E$2:$G$13,3,FALSE)&amp;" */"&amp;newline&amp;IF(LEN(K148)&gt;0,K148&amp;CHAR(10),"")&amp;IF(LEN(L148)&gt;0,L148&amp;newline,"")&amp;IF(LEN(M148)&gt;0,M148&amp;newline,"")&amp;IF(LEN(N148)&gt;0,N148&amp;newline,"")&amp;IF(LEN(O148)&gt;0,O148&amp;newline,"")&amp;indent&amp;"break;","")</f>
        <v/>
      </c>
      <c r="Q148" s="23" t="str">
        <f t="shared" si="4"/>
        <v xml:space="preserve">    {"KIL", -1, AM_IMP, 0, 0},</v>
      </c>
    </row>
    <row r="149" spans="1:17" x14ac:dyDescent="0.3">
      <c r="A149" s="25">
        <v>147</v>
      </c>
      <c r="B149" s="25" t="s">
        <v>88</v>
      </c>
      <c r="C149" s="23">
        <v>-1</v>
      </c>
      <c r="D149" s="25" t="s">
        <v>133</v>
      </c>
      <c r="E149" s="25" t="str">
        <f>_xlfn.IFNA(VLOOKUP(D149,AccessModes!$D$2:$E$13,2,FALSE),"AM_IMP")</f>
        <v>AM_ZIY</v>
      </c>
      <c r="F149" s="25">
        <v>6</v>
      </c>
      <c r="G149" s="25">
        <v>0</v>
      </c>
      <c r="H149" s="23"/>
      <c r="I149" s="23"/>
      <c r="J149" s="23"/>
      <c r="K149" s="25" t="str">
        <f>IF(LEN(H149)&gt;0,indent&amp;H149&amp;" = "&amp;VLOOKUP($E149,AccessModes!$E$2:$I$13,4,FALSE),"")</f>
        <v/>
      </c>
      <c r="L149" s="19" t="str">
        <f>indent&amp;"/* TODO: implementation of the action */"</f>
        <v xml:space="preserve">            /* TODO: implementation of the action */</v>
      </c>
      <c r="M149" s="19" t="str">
        <f t="shared" si="5"/>
        <v/>
      </c>
      <c r="N149" s="25" t="str">
        <f>IF(LEN(J149)&gt;0,indent&amp;IF(J149="LAST",AccessModes!$I$15&amp;H149,VLOOKUP($E149,AccessModes!$E$2:$I$13,5,FALSE)&amp;J149)&amp;");","")</f>
        <v/>
      </c>
      <c r="O149" s="25"/>
      <c r="P149" s="19" t="str">
        <f>IF(C149=0,indent0&amp;"case 0x"&amp;DEC2HEX(A149)&amp;": /* "&amp;B149&amp;" "&amp;VLOOKUP(E149,AccessModes!$E$2:$G$13,3,FALSE)&amp;" */"&amp;newline&amp;IF(LEN(K149)&gt;0,K149&amp;CHAR(10),"")&amp;IF(LEN(L149)&gt;0,L149&amp;newline,"")&amp;IF(LEN(M149)&gt;0,M149&amp;newline,"")&amp;IF(LEN(N149)&gt;0,N149&amp;newline,"")&amp;IF(LEN(O149)&gt;0,O149&amp;newline,"")&amp;indent&amp;"break;","")</f>
        <v/>
      </c>
      <c r="Q149" s="25" t="str">
        <f t="shared" si="4"/>
        <v xml:space="preserve">    {"AHX", -1, AM_ZIY, 6, 0},</v>
      </c>
    </row>
    <row r="150" spans="1:17" ht="39.6" x14ac:dyDescent="0.3">
      <c r="A150" s="22">
        <v>148</v>
      </c>
      <c r="B150" s="22" t="s">
        <v>80</v>
      </c>
      <c r="C150" s="22">
        <v>0</v>
      </c>
      <c r="D150" s="22" t="s">
        <v>134</v>
      </c>
      <c r="E150" s="22" t="str">
        <f>_xlfn.IFNA(VLOOKUP(D150,AccessModes!$D$2:$E$13,2,FALSE),"AM_IMP")</f>
        <v>AM_IIX</v>
      </c>
      <c r="F150" s="22">
        <v>4</v>
      </c>
      <c r="G150" s="22">
        <v>0</v>
      </c>
      <c r="H150" s="22" t="str">
        <f>$H$134</f>
        <v/>
      </c>
      <c r="I150" s="22" t="str">
        <f>$I$134</f>
        <v/>
      </c>
      <c r="J150" s="22" t="str">
        <f>$J$134</f>
        <v>cpu.Y</v>
      </c>
      <c r="K150" s="22" t="str">
        <f>IF(LEN(H150)&gt;0,indent&amp;H150&amp;" = "&amp;VLOOKUP($E150,AccessModes!$E$2:$I$13,4,FALSE),"")</f>
        <v/>
      </c>
      <c r="L150" s="15" t="str">
        <f>$L$134</f>
        <v/>
      </c>
      <c r="M150" s="15" t="str">
        <f t="shared" si="5"/>
        <v/>
      </c>
      <c r="N150" s="22" t="str">
        <f>IF(LEN(J150)&gt;0,indent&amp;IF(J150="LAST",AccessModes!$I$15&amp;H150,VLOOKUP($E150,AccessModes!$E$2:$I$13,5,FALSE)&amp;J150)&amp;");","")</f>
        <v xml:space="preserve">            memory_setIndexedIndirectX(cpu.Y);</v>
      </c>
      <c r="O150" s="22"/>
      <c r="P150" s="15" t="str">
        <f>IF(C150=0,indent0&amp;"case 0x"&amp;DEC2HEX(A150)&amp;": /* "&amp;B150&amp;" "&amp;VLOOKUP(E150,AccessModes!$E$2:$G$13,3,FALSE)&amp;" */"&amp;newline&amp;IF(LEN(K150)&gt;0,K150&amp;CHAR(10),"")&amp;IF(LEN(L150)&gt;0,L150&amp;newline,"")&amp;IF(LEN(M150)&gt;0,M150&amp;newline,"")&amp;IF(LEN(N150)&gt;0,N150&amp;newline,"")&amp;IF(LEN(O150)&gt;0,O150&amp;newline,"")&amp;indent&amp;"break;","")</f>
        <v xml:space="preserve">        case 0x94: /* STY (aa,X) */
            memory_setIndexedIndirectX(cpu.Y);
            break;</v>
      </c>
      <c r="Q150" s="22" t="str">
        <f t="shared" si="4"/>
        <v xml:space="preserve">    {"STY", 0, AM_IIX, 4, 0},</v>
      </c>
    </row>
    <row r="151" spans="1:17" ht="39.6" x14ac:dyDescent="0.3">
      <c r="A151" s="22">
        <v>149</v>
      </c>
      <c r="B151" s="22" t="s">
        <v>78</v>
      </c>
      <c r="C151" s="22">
        <v>0</v>
      </c>
      <c r="D151" s="22" t="s">
        <v>134</v>
      </c>
      <c r="E151" s="22" t="str">
        <f>_xlfn.IFNA(VLOOKUP(D151,AccessModes!$D$2:$E$13,2,FALSE),"AM_IMP")</f>
        <v>AM_IIX</v>
      </c>
      <c r="F151" s="22">
        <v>4</v>
      </c>
      <c r="G151" s="22">
        <v>0</v>
      </c>
      <c r="H151" s="22" t="str">
        <f>$H$131</f>
        <v/>
      </c>
      <c r="I151" s="22" t="str">
        <f>$I$131</f>
        <v/>
      </c>
      <c r="J151" s="22" t="str">
        <f>$J$131</f>
        <v>cpu.A</v>
      </c>
      <c r="K151" s="22" t="str">
        <f>IF(LEN(H151)&gt;0,indent&amp;H151&amp;" = "&amp;VLOOKUP($E151,AccessModes!$E$2:$I$13,4,FALSE),"")</f>
        <v/>
      </c>
      <c r="L151" s="15" t="str">
        <f>$L$131</f>
        <v/>
      </c>
      <c r="M151" s="15" t="str">
        <f t="shared" si="5"/>
        <v/>
      </c>
      <c r="N151" s="22" t="str">
        <f>IF(LEN(J151)&gt;0,indent&amp;IF(J151="LAST",AccessModes!$I$15&amp;H151,VLOOKUP($E151,AccessModes!$E$2:$I$13,5,FALSE)&amp;J151)&amp;");","")</f>
        <v xml:space="preserve">            memory_setIndexedIndirectX(cpu.A);</v>
      </c>
      <c r="O151" s="22"/>
      <c r="P151" s="15" t="str">
        <f>IF(C151=0,indent0&amp;"case 0x"&amp;DEC2HEX(A151)&amp;": /* "&amp;B151&amp;" "&amp;VLOOKUP(E151,AccessModes!$E$2:$G$13,3,FALSE)&amp;" */"&amp;newline&amp;IF(LEN(K151)&gt;0,K151&amp;CHAR(10),"")&amp;IF(LEN(L151)&gt;0,L151&amp;newline,"")&amp;IF(LEN(M151)&gt;0,M151&amp;newline,"")&amp;IF(LEN(N151)&gt;0,N151&amp;newline,"")&amp;IF(LEN(O151)&gt;0,O151&amp;newline,"")&amp;indent&amp;"break;","")</f>
        <v xml:space="preserve">        case 0x95: /* STA (aa,X) */
            memory_setIndexedIndirectX(cpu.A);
            break;</v>
      </c>
      <c r="Q151" s="22" t="str">
        <f t="shared" si="4"/>
        <v xml:space="preserve">    {"STA", 0, AM_IIX, 4, 0},</v>
      </c>
    </row>
    <row r="152" spans="1:17" ht="39.6" x14ac:dyDescent="0.3">
      <c r="A152" s="22">
        <v>150</v>
      </c>
      <c r="B152" s="22" t="s">
        <v>81</v>
      </c>
      <c r="C152" s="22">
        <v>0</v>
      </c>
      <c r="D152" s="22" t="s">
        <v>138</v>
      </c>
      <c r="E152" s="22" t="str">
        <f>_xlfn.IFNA(VLOOKUP(D152,AccessModes!$D$2:$E$13,2,FALSE),"AM_IMP")</f>
        <v>AM_IIY</v>
      </c>
      <c r="F152" s="22">
        <v>4</v>
      </c>
      <c r="G152" s="22">
        <v>0</v>
      </c>
      <c r="H152" s="22" t="str">
        <f>$H$136</f>
        <v/>
      </c>
      <c r="I152" s="22" t="str">
        <f>$I$136</f>
        <v/>
      </c>
      <c r="J152" s="22" t="str">
        <f>$J$136</f>
        <v>cpu.X</v>
      </c>
      <c r="K152" s="22" t="str">
        <f>IF(LEN(H152)&gt;0,indent&amp;H152&amp;" = "&amp;VLOOKUP($E152,AccessModes!$E$2:$I$13,4,FALSE),"")</f>
        <v/>
      </c>
      <c r="L152" s="15" t="str">
        <f>$L$136</f>
        <v/>
      </c>
      <c r="M152" s="15" t="str">
        <f t="shared" si="5"/>
        <v/>
      </c>
      <c r="N152" s="22" t="str">
        <f>IF(LEN(J152)&gt;0,indent&amp;IF(J152="LAST",AccessModes!$I$15&amp;H152,VLOOKUP($E152,AccessModes!$E$2:$I$13,5,FALSE)&amp;J152)&amp;");","")</f>
        <v xml:space="preserve">            memory_setIndirectIndexedY(cpu.X);</v>
      </c>
      <c r="O152" s="22"/>
      <c r="P152" s="15" t="str">
        <f>IF(C152=0,indent0&amp;"case 0x"&amp;DEC2HEX(A152)&amp;": /* "&amp;B152&amp;" "&amp;VLOOKUP(E152,AccessModes!$E$2:$G$13,3,FALSE)&amp;" */"&amp;newline&amp;IF(LEN(K152)&gt;0,K152&amp;CHAR(10),"")&amp;IF(LEN(L152)&gt;0,L152&amp;newline,"")&amp;IF(LEN(M152)&gt;0,M152&amp;newline,"")&amp;IF(LEN(N152)&gt;0,N152&amp;newline,"")&amp;IF(LEN(O152)&gt;0,O152&amp;newline,"")&amp;indent&amp;"break;","")</f>
        <v xml:space="preserve">        case 0x96: /* STX (aa),Y */
            memory_setIndirectIndexedY(cpu.X);
            break;</v>
      </c>
      <c r="Q152" s="22" t="str">
        <f t="shared" si="4"/>
        <v xml:space="preserve">    {"STX", 0, AM_IIY, 4, 0},</v>
      </c>
    </row>
    <row r="153" spans="1:17" x14ac:dyDescent="0.3">
      <c r="A153" s="23">
        <v>151</v>
      </c>
      <c r="B153" s="23" t="s">
        <v>79</v>
      </c>
      <c r="C153" s="23">
        <v>-1</v>
      </c>
      <c r="D153" s="23" t="s">
        <v>138</v>
      </c>
      <c r="E153" s="23" t="str">
        <f>_xlfn.IFNA(VLOOKUP(D153,AccessModes!$D$2:$E$13,2,FALSE),"AM_IMP")</f>
        <v>AM_IIY</v>
      </c>
      <c r="F153" s="23">
        <v>4</v>
      </c>
      <c r="G153" s="23">
        <v>0</v>
      </c>
      <c r="H153" s="23"/>
      <c r="I153" s="23"/>
      <c r="J153" s="23"/>
      <c r="K153" s="23" t="str">
        <f>IF(LEN(H153)&gt;0,indent&amp;H153&amp;" = "&amp;VLOOKUP($E153,AccessModes!$E$2:$I$13,4,FALSE),"")</f>
        <v/>
      </c>
      <c r="L153" s="17" t="str">
        <f>indent&amp;"/* TODO: implementation of the action */"</f>
        <v xml:space="preserve">            /* TODO: implementation of the action */</v>
      </c>
      <c r="M153" s="17" t="str">
        <f t="shared" si="5"/>
        <v/>
      </c>
      <c r="N153" s="23" t="str">
        <f>IF(LEN(J153)&gt;0,indent&amp;IF(J153="LAST",AccessModes!$I$15&amp;H153,VLOOKUP($E153,AccessModes!$E$2:$I$13,5,FALSE)&amp;J153)&amp;");","")</f>
        <v/>
      </c>
      <c r="O153" s="23"/>
      <c r="P153" s="17" t="str">
        <f>IF(C153=0,indent0&amp;"case 0x"&amp;DEC2HEX(A153)&amp;": /* "&amp;B153&amp;" "&amp;VLOOKUP(E153,AccessModes!$E$2:$G$13,3,FALSE)&amp;" */"&amp;newline&amp;IF(LEN(K153)&gt;0,K153&amp;CHAR(10),"")&amp;IF(LEN(L153)&gt;0,L153&amp;newline,"")&amp;IF(LEN(M153)&gt;0,M153&amp;newline,"")&amp;IF(LEN(N153)&gt;0,N153&amp;newline,"")&amp;IF(LEN(O153)&gt;0,O153&amp;newline,"")&amp;indent&amp;"break;","")</f>
        <v/>
      </c>
      <c r="Q153" s="23" t="str">
        <f t="shared" si="4"/>
        <v xml:space="preserve">    {"SAX", -1, AM_IIY, 4, 0},</v>
      </c>
    </row>
    <row r="154" spans="1:17" ht="66" x14ac:dyDescent="0.3">
      <c r="A154" s="22">
        <v>152</v>
      </c>
      <c r="B154" s="22" t="s">
        <v>90</v>
      </c>
      <c r="C154" s="22">
        <v>0</v>
      </c>
      <c r="D154" s="22" t="s">
        <v>139</v>
      </c>
      <c r="E154" s="22" t="str">
        <f>_xlfn.IFNA(VLOOKUP(D154,AccessModes!$D$2:$E$13,2,FALSE),"AM_IMP")</f>
        <v>AM_IMP</v>
      </c>
      <c r="F154" s="22">
        <v>2</v>
      </c>
      <c r="G154" s="22">
        <v>0</v>
      </c>
      <c r="H154" s="28"/>
      <c r="I154" s="28" t="s">
        <v>215</v>
      </c>
      <c r="J154" s="28"/>
      <c r="K154" s="22" t="str">
        <f>IF(LEN(H154)&gt;0,indent&amp;H154&amp;" = "&amp;VLOOKUP($E154,AccessModes!$E$2:$I$13,4,FALSE),"")</f>
        <v/>
      </c>
      <c r="L154" s="29" t="str">
        <f>indent&amp;"cpu.A = cpu.Y;"</f>
        <v xml:space="preserve">            cpu.A = cpu.Y;</v>
      </c>
      <c r="M154" s="15" t="str">
        <f t="shared" si="5"/>
        <v xml:space="preserve">            cpu.PS_N =  (bool)(cpu.A &amp; 0x80);
            cpu.PS_Z = (cpu.A == 0);</v>
      </c>
      <c r="N154" s="22" t="str">
        <f>IF(LEN(J154)&gt;0,indent&amp;IF(J154="LAST",AccessModes!$I$15&amp;H154,VLOOKUP($E154,AccessModes!$E$2:$I$13,5,FALSE)&amp;J154)&amp;");","")</f>
        <v/>
      </c>
      <c r="O154" s="22"/>
      <c r="P154" s="15" t="str">
        <f>IF(C154=0,indent0&amp;"case 0x"&amp;DEC2HEX(A154)&amp;": /* "&amp;B154&amp;" "&amp;VLOOKUP(E154,AccessModes!$E$2:$G$13,3,FALSE)&amp;" */"&amp;newline&amp;IF(LEN(K154)&gt;0,K154&amp;CHAR(10),"")&amp;IF(LEN(L154)&gt;0,L154&amp;newline,"")&amp;IF(LEN(M154)&gt;0,M154&amp;newline,"")&amp;IF(LEN(N154)&gt;0,N154&amp;newline,"")&amp;IF(LEN(O154)&gt;0,O154&amp;newline,"")&amp;indent&amp;"break;","")</f>
        <v xml:space="preserve">        case 0x98: /* TYA  */
            cpu.A = cpu.Y;
            cpu.PS_N =  (bool)(cpu.A &amp; 0x80);
            cpu.PS_Z = (cpu.A == 0);
            break;</v>
      </c>
      <c r="Q154" s="22" t="str">
        <f t="shared" si="4"/>
        <v xml:space="preserve">    {"TYA", 0, AM_IMP, 2, 0},</v>
      </c>
    </row>
    <row r="155" spans="1:17" ht="39.6" x14ac:dyDescent="0.3">
      <c r="A155" s="22">
        <v>153</v>
      </c>
      <c r="B155" s="22" t="s">
        <v>78</v>
      </c>
      <c r="C155" s="22">
        <v>0</v>
      </c>
      <c r="D155" s="22" t="s">
        <v>135</v>
      </c>
      <c r="E155" s="22" t="str">
        <f>_xlfn.IFNA(VLOOKUP(D155,AccessModes!$D$2:$E$13,2,FALSE),"AM_IMP")</f>
        <v>AM_AIY</v>
      </c>
      <c r="F155" s="22">
        <v>5</v>
      </c>
      <c r="G155" s="22">
        <v>0</v>
      </c>
      <c r="H155" s="22" t="str">
        <f>$H$131</f>
        <v/>
      </c>
      <c r="I155" s="22" t="str">
        <f>$I$131</f>
        <v/>
      </c>
      <c r="J155" s="22" t="str">
        <f>$J$131</f>
        <v>cpu.A</v>
      </c>
      <c r="K155" s="22" t="str">
        <f>IF(LEN(H155)&gt;0,indent&amp;H155&amp;" = "&amp;VLOOKUP($E155,AccessModes!$E$2:$I$13,4,FALSE),"")</f>
        <v/>
      </c>
      <c r="L155" s="15" t="str">
        <f>$L$131</f>
        <v/>
      </c>
      <c r="M155" s="15" t="str">
        <f t="shared" si="5"/>
        <v/>
      </c>
      <c r="N155" s="22" t="str">
        <f>IF(LEN(J155)&gt;0,indent&amp;IF(J155="LAST",AccessModes!$I$15&amp;H155,VLOOKUP($E155,AccessModes!$E$2:$I$13,5,FALSE)&amp;J155)&amp;");","")</f>
        <v xml:space="preserve">            memory_setAbsoluteIndexedY(cpu.A);</v>
      </c>
      <c r="O155" s="22"/>
      <c r="P155" s="15" t="str">
        <f>IF(C155=0,indent0&amp;"case 0x"&amp;DEC2HEX(A155)&amp;": /* "&amp;B155&amp;" "&amp;VLOOKUP(E155,AccessModes!$E$2:$G$13,3,FALSE)&amp;" */"&amp;newline&amp;IF(LEN(K155)&gt;0,K155&amp;CHAR(10),"")&amp;IF(LEN(L155)&gt;0,L155&amp;newline,"")&amp;IF(LEN(M155)&gt;0,M155&amp;newline,"")&amp;IF(LEN(N155)&gt;0,N155&amp;newline,"")&amp;IF(LEN(O155)&gt;0,O155&amp;newline,"")&amp;indent&amp;"break;","")</f>
        <v xml:space="preserve">        case 0x99: /* STA aaaa,Y */
            memory_setAbsoluteIndexedY(cpu.A);
            break;</v>
      </c>
      <c r="Q155" s="22" t="str">
        <f t="shared" si="4"/>
        <v xml:space="preserve">    {"STA", 0, AM_AIY, 5, 0},</v>
      </c>
    </row>
    <row r="156" spans="1:17" ht="39.6" x14ac:dyDescent="0.3">
      <c r="A156" s="22">
        <v>154</v>
      </c>
      <c r="B156" s="22" t="s">
        <v>92</v>
      </c>
      <c r="C156" s="22">
        <v>0</v>
      </c>
      <c r="D156" s="22" t="s">
        <v>139</v>
      </c>
      <c r="E156" s="22" t="str">
        <f>_xlfn.IFNA(VLOOKUP(D156,AccessModes!$D$2:$E$13,2,FALSE),"AM_IMP")</f>
        <v>AM_IMP</v>
      </c>
      <c r="F156" s="22">
        <v>2</v>
      </c>
      <c r="G156" s="22">
        <v>0</v>
      </c>
      <c r="H156" s="28"/>
      <c r="I156" s="28"/>
      <c r="J156" s="28"/>
      <c r="K156" s="22" t="str">
        <f>IF(LEN(H156)&gt;0,indent&amp;H156&amp;" = "&amp;VLOOKUP($E156,AccessModes!$E$2:$I$13,4,FALSE),"")</f>
        <v/>
      </c>
      <c r="L156" s="29" t="str">
        <f>indent&amp;"cpu.SP = cpu.X;"</f>
        <v xml:space="preserve">            cpu.SP = cpu.X;</v>
      </c>
      <c r="M156" s="15" t="str">
        <f t="shared" si="5"/>
        <v/>
      </c>
      <c r="N156" s="22" t="str">
        <f>IF(LEN(J156)&gt;0,indent&amp;IF(J156="LAST",AccessModes!$I$15&amp;H156,VLOOKUP($E156,AccessModes!$E$2:$I$13,5,FALSE)&amp;J156)&amp;");","")</f>
        <v/>
      </c>
      <c r="O156" s="22"/>
      <c r="P156" s="15" t="str">
        <f>IF(C156=0,indent0&amp;"case 0x"&amp;DEC2HEX(A156)&amp;": /* "&amp;B156&amp;" "&amp;VLOOKUP(E156,AccessModes!$E$2:$G$13,3,FALSE)&amp;" */"&amp;newline&amp;IF(LEN(K156)&gt;0,K156&amp;CHAR(10),"")&amp;IF(LEN(L156)&gt;0,L156&amp;newline,"")&amp;IF(LEN(M156)&gt;0,M156&amp;newline,"")&amp;IF(LEN(N156)&gt;0,N156&amp;newline,"")&amp;IF(LEN(O156)&gt;0,O156&amp;newline,"")&amp;indent&amp;"break;","")</f>
        <v xml:space="preserve">        case 0x9A: /* TXS  */
            cpu.SP = cpu.X;
            break;</v>
      </c>
      <c r="Q156" s="22" t="str">
        <f t="shared" ref="Q156:Q219" si="6">"    {"&amp;CHAR(34)&amp;B156&amp;CHAR(34)&amp;", "&amp;C156&amp;", "&amp;E156&amp;", "&amp;F156&amp;", "&amp;G156&amp;"},"</f>
        <v xml:space="preserve">    {"TXS", 0, AM_IMP, 2, 0},</v>
      </c>
    </row>
    <row r="157" spans="1:17" x14ac:dyDescent="0.3">
      <c r="A157" s="25">
        <v>155</v>
      </c>
      <c r="B157" s="25" t="s">
        <v>93</v>
      </c>
      <c r="C157" s="23">
        <v>-1</v>
      </c>
      <c r="D157" s="25" t="s">
        <v>135</v>
      </c>
      <c r="E157" s="25" t="str">
        <f>_xlfn.IFNA(VLOOKUP(D157,AccessModes!$D$2:$E$13,2,FALSE),"AM_IMP")</f>
        <v>AM_AIY</v>
      </c>
      <c r="F157" s="25">
        <v>5</v>
      </c>
      <c r="G157" s="25">
        <v>0</v>
      </c>
      <c r="H157" s="23"/>
      <c r="I157" s="23"/>
      <c r="J157" s="23"/>
      <c r="K157" s="25" t="str">
        <f>IF(LEN(H157)&gt;0,indent&amp;H157&amp;" = "&amp;VLOOKUP($E157,AccessModes!$E$2:$I$13,4,FALSE),"")</f>
        <v/>
      </c>
      <c r="L157" s="19" t="str">
        <f>indent&amp;"/* TODO: implementation of the action */"</f>
        <v xml:space="preserve">            /* TODO: implementation of the action */</v>
      </c>
      <c r="M157" s="19" t="str">
        <f t="shared" si="5"/>
        <v/>
      </c>
      <c r="N157" s="25" t="str">
        <f>IF(LEN(J157)&gt;0,indent&amp;IF(J157="LAST",AccessModes!$I$15&amp;H157,VLOOKUP($E157,AccessModes!$E$2:$I$13,5,FALSE)&amp;J157)&amp;");","")</f>
        <v/>
      </c>
      <c r="O157" s="25"/>
      <c r="P157" s="19" t="str">
        <f>IF(C157=0,indent0&amp;"case 0x"&amp;DEC2HEX(A157)&amp;": /* "&amp;B157&amp;" "&amp;VLOOKUP(E157,AccessModes!$E$2:$G$13,3,FALSE)&amp;" */"&amp;newline&amp;IF(LEN(K157)&gt;0,K157&amp;CHAR(10),"")&amp;IF(LEN(L157)&gt;0,L157&amp;newline,"")&amp;IF(LEN(M157)&gt;0,M157&amp;newline,"")&amp;IF(LEN(N157)&gt;0,N157&amp;newline,"")&amp;IF(LEN(O157)&gt;0,O157&amp;newline,"")&amp;indent&amp;"break;","")</f>
        <v/>
      </c>
      <c r="Q157" s="25" t="str">
        <f t="shared" si="6"/>
        <v xml:space="preserve">    {"TAS", -1, AM_AIY, 5, 0},</v>
      </c>
    </row>
    <row r="158" spans="1:17" x14ac:dyDescent="0.3">
      <c r="A158" s="25">
        <v>156</v>
      </c>
      <c r="B158" s="25" t="s">
        <v>94</v>
      </c>
      <c r="C158" s="23">
        <v>-1</v>
      </c>
      <c r="D158" s="25" t="s">
        <v>136</v>
      </c>
      <c r="E158" s="25" t="str">
        <f>_xlfn.IFNA(VLOOKUP(D158,AccessModes!$D$2:$E$13,2,FALSE),"AM_IMP")</f>
        <v>AM_AIX</v>
      </c>
      <c r="F158" s="25">
        <v>5</v>
      </c>
      <c r="G158" s="25">
        <v>0</v>
      </c>
      <c r="H158" s="23"/>
      <c r="I158" s="23"/>
      <c r="J158" s="23"/>
      <c r="K158" s="25" t="str">
        <f>IF(LEN(H158)&gt;0,indent&amp;H158&amp;" = "&amp;VLOOKUP($E158,AccessModes!$E$2:$I$13,4,FALSE),"")</f>
        <v/>
      </c>
      <c r="L158" s="19" t="str">
        <f>indent&amp;"/* TODO: implementation of the action */"</f>
        <v xml:space="preserve">            /* TODO: implementation of the action */</v>
      </c>
      <c r="M158" s="19" t="str">
        <f t="shared" si="5"/>
        <v/>
      </c>
      <c r="N158" s="25" t="str">
        <f>IF(LEN(J158)&gt;0,indent&amp;IF(J158="LAST",AccessModes!$I$15&amp;H158,VLOOKUP($E158,AccessModes!$E$2:$I$13,5,FALSE)&amp;J158)&amp;");","")</f>
        <v/>
      </c>
      <c r="O158" s="25"/>
      <c r="P158" s="19" t="str">
        <f>IF(C158=0,indent0&amp;"case 0x"&amp;DEC2HEX(A158)&amp;": /* "&amp;B158&amp;" "&amp;VLOOKUP(E158,AccessModes!$E$2:$G$13,3,FALSE)&amp;" */"&amp;newline&amp;IF(LEN(K158)&gt;0,K158&amp;CHAR(10),"")&amp;IF(LEN(L158)&gt;0,L158&amp;newline,"")&amp;IF(LEN(M158)&gt;0,M158&amp;newline,"")&amp;IF(LEN(N158)&gt;0,N158&amp;newline,"")&amp;IF(LEN(O158)&gt;0,O158&amp;newline,"")&amp;indent&amp;"break;","")</f>
        <v/>
      </c>
      <c r="Q158" s="25" t="str">
        <f t="shared" si="6"/>
        <v xml:space="preserve">    {"SHY", -1, AM_AIX, 5, 0},</v>
      </c>
    </row>
    <row r="159" spans="1:17" ht="39.6" x14ac:dyDescent="0.3">
      <c r="A159" s="22">
        <v>157</v>
      </c>
      <c r="B159" s="22" t="s">
        <v>78</v>
      </c>
      <c r="C159" s="22">
        <v>0</v>
      </c>
      <c r="D159" s="22" t="s">
        <v>136</v>
      </c>
      <c r="E159" s="22" t="str">
        <f>_xlfn.IFNA(VLOOKUP(D159,AccessModes!$D$2:$E$13,2,FALSE),"AM_IMP")</f>
        <v>AM_AIX</v>
      </c>
      <c r="F159" s="22">
        <v>5</v>
      </c>
      <c r="G159" s="22">
        <v>0</v>
      </c>
      <c r="H159" s="22" t="str">
        <f>$H$131</f>
        <v/>
      </c>
      <c r="I159" s="22" t="str">
        <f>$I$131</f>
        <v/>
      </c>
      <c r="J159" s="22" t="str">
        <f>$J$131</f>
        <v>cpu.A</v>
      </c>
      <c r="K159" s="22" t="str">
        <f>IF(LEN(H159)&gt;0,indent&amp;H159&amp;" = "&amp;VLOOKUP($E159,AccessModes!$E$2:$I$13,4,FALSE),"")</f>
        <v/>
      </c>
      <c r="L159" s="15" t="str">
        <f>$L$131</f>
        <v/>
      </c>
      <c r="M159" s="15" t="str">
        <f t="shared" si="5"/>
        <v/>
      </c>
      <c r="N159" s="22" t="str">
        <f>IF(LEN(J159)&gt;0,indent&amp;IF(J159="LAST",AccessModes!$I$15&amp;H159,VLOOKUP($E159,AccessModes!$E$2:$I$13,5,FALSE)&amp;J159)&amp;");","")</f>
        <v xml:space="preserve">            memory_setAbsoluteIndexedX(cpu.A);</v>
      </c>
      <c r="O159" s="22"/>
      <c r="P159" s="15" t="str">
        <f>IF(C159=0,indent0&amp;"case 0x"&amp;DEC2HEX(A159)&amp;": /* "&amp;B159&amp;" "&amp;VLOOKUP(E159,AccessModes!$E$2:$G$13,3,FALSE)&amp;" */"&amp;newline&amp;IF(LEN(K159)&gt;0,K159&amp;CHAR(10),"")&amp;IF(LEN(L159)&gt;0,L159&amp;newline,"")&amp;IF(LEN(M159)&gt;0,M159&amp;newline,"")&amp;IF(LEN(N159)&gt;0,N159&amp;newline,"")&amp;IF(LEN(O159)&gt;0,O159&amp;newline,"")&amp;indent&amp;"break;","")</f>
        <v xml:space="preserve">        case 0x9D: /* STA aaaa,X */
            memory_setAbsoluteIndexedX(cpu.A);
            break;</v>
      </c>
      <c r="Q159" s="22" t="str">
        <f t="shared" si="6"/>
        <v xml:space="preserve">    {"STA", 0, AM_AIX, 5, 0},</v>
      </c>
    </row>
    <row r="160" spans="1:17" x14ac:dyDescent="0.3">
      <c r="A160" s="25">
        <v>158</v>
      </c>
      <c r="B160" s="25" t="s">
        <v>96</v>
      </c>
      <c r="C160" s="23">
        <v>-1</v>
      </c>
      <c r="D160" s="25" t="s">
        <v>135</v>
      </c>
      <c r="E160" s="25" t="str">
        <f>_xlfn.IFNA(VLOOKUP(D160,AccessModes!$D$2:$E$13,2,FALSE),"AM_IMP")</f>
        <v>AM_AIY</v>
      </c>
      <c r="F160" s="25">
        <v>5</v>
      </c>
      <c r="G160" s="25">
        <v>0</v>
      </c>
      <c r="H160" s="23"/>
      <c r="I160" s="23"/>
      <c r="J160" s="23"/>
      <c r="K160" s="25" t="str">
        <f>IF(LEN(H160)&gt;0,indent&amp;H160&amp;" = "&amp;VLOOKUP($E160,AccessModes!$E$2:$I$13,4,FALSE),"")</f>
        <v/>
      </c>
      <c r="L160" s="19" t="str">
        <f>indent&amp;"/* TODO: implementation of the action */"</f>
        <v xml:space="preserve">            /* TODO: implementation of the action */</v>
      </c>
      <c r="M160" s="19" t="str">
        <f t="shared" si="5"/>
        <v/>
      </c>
      <c r="N160" s="25" t="str">
        <f>IF(LEN(J160)&gt;0,indent&amp;IF(J160="LAST",AccessModes!$I$15&amp;H160,VLOOKUP($E160,AccessModes!$E$2:$I$13,5,FALSE)&amp;J160)&amp;");","")</f>
        <v/>
      </c>
      <c r="O160" s="25"/>
      <c r="P160" s="19" t="str">
        <f>IF(C160=0,indent0&amp;"case 0x"&amp;DEC2HEX(A160)&amp;": /* "&amp;B160&amp;" "&amp;VLOOKUP(E160,AccessModes!$E$2:$G$13,3,FALSE)&amp;" */"&amp;newline&amp;IF(LEN(K160)&gt;0,K160&amp;CHAR(10),"")&amp;IF(LEN(L160)&gt;0,L160&amp;newline,"")&amp;IF(LEN(M160)&gt;0,M160&amp;newline,"")&amp;IF(LEN(N160)&gt;0,N160&amp;newline,"")&amp;IF(LEN(O160)&gt;0,O160&amp;newline,"")&amp;indent&amp;"break;","")</f>
        <v/>
      </c>
      <c r="Q160" s="25" t="str">
        <f t="shared" si="6"/>
        <v xml:space="preserve">    {"SHX", -1, AM_AIY, 5, 0},</v>
      </c>
    </row>
    <row r="161" spans="1:17" x14ac:dyDescent="0.3">
      <c r="A161" s="25">
        <v>159</v>
      </c>
      <c r="B161" s="25" t="s">
        <v>88</v>
      </c>
      <c r="C161" s="23">
        <v>-1</v>
      </c>
      <c r="D161" s="25" t="s">
        <v>135</v>
      </c>
      <c r="E161" s="25" t="str">
        <f>_xlfn.IFNA(VLOOKUP(D161,AccessModes!$D$2:$E$13,2,FALSE),"AM_IMP")</f>
        <v>AM_AIY</v>
      </c>
      <c r="F161" s="25">
        <v>5</v>
      </c>
      <c r="G161" s="25">
        <v>0</v>
      </c>
      <c r="H161" s="23"/>
      <c r="I161" s="23"/>
      <c r="J161" s="23"/>
      <c r="K161" s="25" t="str">
        <f>IF(LEN(H161)&gt;0,indent&amp;H161&amp;" = "&amp;VLOOKUP($E161,AccessModes!$E$2:$I$13,4,FALSE),"")</f>
        <v/>
      </c>
      <c r="L161" s="19" t="str">
        <f>indent&amp;"/* TODO: implementation of the action */"</f>
        <v xml:space="preserve">            /* TODO: implementation of the action */</v>
      </c>
      <c r="M161" s="19" t="str">
        <f t="shared" si="5"/>
        <v/>
      </c>
      <c r="N161" s="25" t="str">
        <f>IF(LEN(J161)&gt;0,indent&amp;IF(J161="LAST",AccessModes!$I$15&amp;H161,VLOOKUP($E161,AccessModes!$E$2:$I$13,5,FALSE)&amp;J161)&amp;");","")</f>
        <v/>
      </c>
      <c r="O161" s="25"/>
      <c r="P161" s="19" t="str">
        <f>IF(C161=0,indent0&amp;"case 0x"&amp;DEC2HEX(A161)&amp;": /* "&amp;B161&amp;" "&amp;VLOOKUP(E161,AccessModes!$E$2:$G$13,3,FALSE)&amp;" */"&amp;newline&amp;IF(LEN(K161)&gt;0,K161&amp;CHAR(10),"")&amp;IF(LEN(L161)&gt;0,L161&amp;newline,"")&amp;IF(LEN(M161)&gt;0,M161&amp;newline,"")&amp;IF(LEN(N161)&gt;0,N161&amp;newline,"")&amp;IF(LEN(O161)&gt;0,O161&amp;newline,"")&amp;indent&amp;"break;","")</f>
        <v/>
      </c>
      <c r="Q161" s="25" t="str">
        <f t="shared" si="6"/>
        <v xml:space="preserve">    {"AHX", -1, AM_AIY, 5, 0},</v>
      </c>
    </row>
    <row r="162" spans="1:17" ht="66" x14ac:dyDescent="0.3">
      <c r="A162" s="22">
        <v>160</v>
      </c>
      <c r="B162" s="22" t="s">
        <v>98</v>
      </c>
      <c r="C162" s="22">
        <v>0</v>
      </c>
      <c r="D162" s="22" t="s">
        <v>130</v>
      </c>
      <c r="E162" s="22" t="str">
        <f>_xlfn.IFNA(VLOOKUP(D162,AccessModes!$D$2:$E$13,2,FALSE),"AM_IMP")</f>
        <v>AM_IMM</v>
      </c>
      <c r="F162" s="22">
        <v>2</v>
      </c>
      <c r="G162" s="22">
        <v>0</v>
      </c>
      <c r="H162" s="28" t="str">
        <f>I162</f>
        <v>cpu.Y</v>
      </c>
      <c r="I162" s="28" t="s">
        <v>225</v>
      </c>
      <c r="J162" s="28" t="str">
        <f>""</f>
        <v/>
      </c>
      <c r="K162" s="22" t="str">
        <f>IF(LEN(H162)&gt;0,indent&amp;H162&amp;" = "&amp;VLOOKUP($E162,AccessModes!$E$2:$I$13,4,FALSE),"")</f>
        <v xml:space="preserve">            cpu.Y = memory_getImmediate();</v>
      </c>
      <c r="L162" s="29" t="str">
        <f>""</f>
        <v/>
      </c>
      <c r="M162" s="15" t="str">
        <f t="shared" si="5"/>
        <v xml:space="preserve">            cpu.PS_N =  (bool)(cpu.Y &amp; 0x80);
            cpu.PS_Z = (cpu.Y == 0);</v>
      </c>
      <c r="N162" s="22" t="str">
        <f>IF(LEN(J162)&gt;0,indent&amp;IF(J162="LAST",AccessModes!$I$15&amp;H162,VLOOKUP($E162,AccessModes!$E$2:$I$13,5,FALSE)&amp;J162)&amp;");","")</f>
        <v/>
      </c>
      <c r="O162" s="22"/>
      <c r="P162" s="15" t="str">
        <f>IF(C162=0,indent0&amp;"case 0x"&amp;DEC2HEX(A162)&amp;": /* "&amp;B162&amp;" "&amp;VLOOKUP(E162,AccessModes!$E$2:$G$13,3,FALSE)&amp;" */"&amp;newline&amp;IF(LEN(K162)&gt;0,K162&amp;CHAR(10),"")&amp;IF(LEN(L162)&gt;0,L162&amp;newline,"")&amp;IF(LEN(M162)&gt;0,M162&amp;newline,"")&amp;IF(LEN(N162)&gt;0,N162&amp;newline,"")&amp;IF(LEN(O162)&gt;0,O162&amp;newline,"")&amp;indent&amp;"break;","")</f>
        <v xml:space="preserve">        case 0xA0: /* LDY #aa */
            cpu.Y = memory_getImmediate();
            cpu.PS_N =  (bool)(cpu.Y &amp; 0x80);
            cpu.PS_Z = (cpu.Y == 0);
            break;</v>
      </c>
      <c r="Q162" s="22" t="str">
        <f t="shared" si="6"/>
        <v xml:space="preserve">    {"LDY", 0, AM_IMM, 2, 0},</v>
      </c>
    </row>
    <row r="163" spans="1:17" ht="66" x14ac:dyDescent="0.3">
      <c r="A163" s="22">
        <v>161</v>
      </c>
      <c r="B163" s="22" t="s">
        <v>99</v>
      </c>
      <c r="C163" s="22">
        <v>0</v>
      </c>
      <c r="D163" s="22" t="s">
        <v>129</v>
      </c>
      <c r="E163" s="22" t="str">
        <f>_xlfn.IFNA(VLOOKUP(D163,AccessModes!$D$2:$E$13,2,FALSE),"AM_IMP")</f>
        <v>AM_ZIX</v>
      </c>
      <c r="F163" s="22">
        <v>6</v>
      </c>
      <c r="G163" s="22">
        <v>0</v>
      </c>
      <c r="H163" s="28" t="str">
        <f>I163</f>
        <v>cpu.A</v>
      </c>
      <c r="I163" s="28" t="s">
        <v>215</v>
      </c>
      <c r="J163" s="28" t="str">
        <f>""</f>
        <v/>
      </c>
      <c r="K163" s="22" t="str">
        <f>IF(LEN(H163)&gt;0,indent&amp;H163&amp;" = "&amp;VLOOKUP($E163,AccessModes!$E$2:$I$13,4,FALSE),"")</f>
        <v xml:space="preserve">            cpu.A = memory_getZeroPageIndexedX();</v>
      </c>
      <c r="L163" s="29" t="str">
        <f>""</f>
        <v/>
      </c>
      <c r="M163" s="15" t="str">
        <f t="shared" si="5"/>
        <v xml:space="preserve">            cpu.PS_N =  (bool)(cpu.A &amp; 0x80);
            cpu.PS_Z = (cpu.A == 0);</v>
      </c>
      <c r="N163" s="22" t="str">
        <f>IF(LEN(J163)&gt;0,indent&amp;IF(J163="LAST",AccessModes!$I$15&amp;H163,VLOOKUP($E163,AccessModes!$E$2:$I$13,5,FALSE)&amp;J163)&amp;");","")</f>
        <v/>
      </c>
      <c r="O163" s="22"/>
      <c r="P163" s="15" t="str">
        <f>IF(C163=0,indent0&amp;"case 0x"&amp;DEC2HEX(A163)&amp;": /* "&amp;B163&amp;" "&amp;VLOOKUP(E163,AccessModes!$E$2:$G$13,3,FALSE)&amp;" */"&amp;newline&amp;IF(LEN(K163)&gt;0,K163&amp;CHAR(10),"")&amp;IF(LEN(L163)&gt;0,L163&amp;newline,"")&amp;IF(LEN(M163)&gt;0,M163&amp;newline,"")&amp;IF(LEN(N163)&gt;0,N163&amp;newline,"")&amp;IF(LEN(O163)&gt;0,O163&amp;newline,"")&amp;indent&amp;"break;","")</f>
        <v xml:space="preserve">        case 0xA1: /* LDA aa,X */
            cpu.A = memory_getZeroPageIndexedX();
            cpu.PS_N =  (bool)(cpu.A &amp; 0x80);
            cpu.PS_Z = (cpu.A == 0);
            break;</v>
      </c>
      <c r="Q163" s="22" t="str">
        <f t="shared" si="6"/>
        <v xml:space="preserve">    {"LDA", 0, AM_ZIX, 6, 0},</v>
      </c>
    </row>
    <row r="164" spans="1:17" ht="66" x14ac:dyDescent="0.3">
      <c r="A164" s="22">
        <v>162</v>
      </c>
      <c r="B164" s="22" t="s">
        <v>100</v>
      </c>
      <c r="C164" s="22">
        <v>0</v>
      </c>
      <c r="D164" s="22" t="s">
        <v>130</v>
      </c>
      <c r="E164" s="22" t="str">
        <f>_xlfn.IFNA(VLOOKUP(D164,AccessModes!$D$2:$E$13,2,FALSE),"AM_IMP")</f>
        <v>AM_IMM</v>
      </c>
      <c r="F164" s="22">
        <v>2</v>
      </c>
      <c r="G164" s="22">
        <v>0</v>
      </c>
      <c r="H164" s="28" t="str">
        <f>I164</f>
        <v>cpu.X</v>
      </c>
      <c r="I164" s="28" t="s">
        <v>226</v>
      </c>
      <c r="J164" s="28" t="str">
        <f>""</f>
        <v/>
      </c>
      <c r="K164" s="22" t="str">
        <f>IF(LEN(H164)&gt;0,indent&amp;H164&amp;" = "&amp;VLOOKUP($E164,AccessModes!$E$2:$I$13,4,FALSE),"")</f>
        <v xml:space="preserve">            cpu.X = memory_getImmediate();</v>
      </c>
      <c r="L164" s="29" t="str">
        <f>""</f>
        <v/>
      </c>
      <c r="M164" s="15" t="str">
        <f t="shared" si="5"/>
        <v xml:space="preserve">            cpu.PS_N =  (bool)(cpu.X &amp; 0x80);
            cpu.PS_Z = (cpu.X == 0);</v>
      </c>
      <c r="N164" s="22" t="str">
        <f>IF(LEN(J164)&gt;0,indent&amp;IF(J164="LAST",AccessModes!$I$15&amp;H164,VLOOKUP($E164,AccessModes!$E$2:$I$13,5,FALSE)&amp;J164)&amp;");","")</f>
        <v/>
      </c>
      <c r="O164" s="22"/>
      <c r="P164" s="15" t="str">
        <f>IF(C164=0,indent0&amp;"case 0x"&amp;DEC2HEX(A164)&amp;": /* "&amp;B164&amp;" "&amp;VLOOKUP(E164,AccessModes!$E$2:$G$13,3,FALSE)&amp;" */"&amp;newline&amp;IF(LEN(K164)&gt;0,K164&amp;CHAR(10),"")&amp;IF(LEN(L164)&gt;0,L164&amp;newline,"")&amp;IF(LEN(M164)&gt;0,M164&amp;newline,"")&amp;IF(LEN(N164)&gt;0,N164&amp;newline,"")&amp;IF(LEN(O164)&gt;0,O164&amp;newline,"")&amp;indent&amp;"break;","")</f>
        <v xml:space="preserve">        case 0xA2: /* LDX #aa */
            cpu.X = memory_getImmediate();
            cpu.PS_N =  (bool)(cpu.X &amp; 0x80);
            cpu.PS_Z = (cpu.X == 0);
            break;</v>
      </c>
      <c r="Q164" s="22" t="str">
        <f t="shared" si="6"/>
        <v xml:space="preserve">    {"LDX", 0, AM_IMM, 2, 0},</v>
      </c>
    </row>
    <row r="165" spans="1:17" x14ac:dyDescent="0.3">
      <c r="A165" s="23">
        <v>163</v>
      </c>
      <c r="B165" s="23" t="s">
        <v>101</v>
      </c>
      <c r="C165" s="23">
        <v>-1</v>
      </c>
      <c r="D165" s="23" t="s">
        <v>129</v>
      </c>
      <c r="E165" s="23" t="str">
        <f>_xlfn.IFNA(VLOOKUP(D165,AccessModes!$D$2:$E$13,2,FALSE),"AM_IMP")</f>
        <v>AM_ZIX</v>
      </c>
      <c r="F165" s="23">
        <v>6</v>
      </c>
      <c r="G165" s="23">
        <v>0</v>
      </c>
      <c r="H165" s="23"/>
      <c r="I165" s="23"/>
      <c r="J165" s="23"/>
      <c r="K165" s="23" t="str">
        <f>IF(LEN(H165)&gt;0,indent&amp;H165&amp;" = "&amp;VLOOKUP($E165,AccessModes!$E$2:$I$13,4,FALSE),"")</f>
        <v/>
      </c>
      <c r="L165" s="17" t="str">
        <f>indent&amp;"/* TODO: implementation of the action */"</f>
        <v xml:space="preserve">            /* TODO: implementation of the action */</v>
      </c>
      <c r="M165" s="17" t="str">
        <f t="shared" si="5"/>
        <v/>
      </c>
      <c r="N165" s="23" t="str">
        <f>IF(LEN(J165)&gt;0,indent&amp;IF(J165="LAST",AccessModes!$I$15&amp;H165,VLOOKUP($E165,AccessModes!$E$2:$I$13,5,FALSE)&amp;J165)&amp;");","")</f>
        <v/>
      </c>
      <c r="O165" s="23"/>
      <c r="P165" s="17" t="str">
        <f>IF(C165=0,indent0&amp;"case 0x"&amp;DEC2HEX(A165)&amp;": /* "&amp;B165&amp;" "&amp;VLOOKUP(E165,AccessModes!$E$2:$G$13,3,FALSE)&amp;" */"&amp;newline&amp;IF(LEN(K165)&gt;0,K165&amp;CHAR(10),"")&amp;IF(LEN(L165)&gt;0,L165&amp;newline,"")&amp;IF(LEN(M165)&gt;0,M165&amp;newline,"")&amp;IF(LEN(N165)&gt;0,N165&amp;newline,"")&amp;IF(LEN(O165)&gt;0,O165&amp;newline,"")&amp;indent&amp;"break;","")</f>
        <v/>
      </c>
      <c r="Q165" s="23" t="str">
        <f t="shared" si="6"/>
        <v xml:space="preserve">    {"LAX", -1, AM_ZIX, 6, 0},</v>
      </c>
    </row>
    <row r="166" spans="1:17" ht="66" x14ac:dyDescent="0.3">
      <c r="A166" s="22">
        <v>164</v>
      </c>
      <c r="B166" s="22" t="s">
        <v>98</v>
      </c>
      <c r="C166" s="22">
        <v>0</v>
      </c>
      <c r="D166" s="22" t="s">
        <v>144</v>
      </c>
      <c r="E166" s="22" t="str">
        <f>_xlfn.IFNA(VLOOKUP(D166,AccessModes!$D$2:$E$13,2,FALSE),"AM_IMP")</f>
        <v>AM_ZPG</v>
      </c>
      <c r="F166" s="22">
        <v>3</v>
      </c>
      <c r="G166" s="22">
        <v>0</v>
      </c>
      <c r="H166" s="22" t="str">
        <f>$H$162</f>
        <v>cpu.Y</v>
      </c>
      <c r="I166" s="22" t="str">
        <f>$I$162</f>
        <v>cpu.Y</v>
      </c>
      <c r="J166" s="22" t="str">
        <f>$J$162</f>
        <v/>
      </c>
      <c r="K166" s="22" t="str">
        <f>IF(LEN(H166)&gt;0,indent&amp;H166&amp;" = "&amp;VLOOKUP($E166,AccessModes!$E$2:$I$13,4,FALSE),"")</f>
        <v xml:space="preserve">            cpu.Y = memory_getZeroPage();</v>
      </c>
      <c r="L166" s="15" t="str">
        <f>$L$162</f>
        <v/>
      </c>
      <c r="M166" s="15" t="str">
        <f t="shared" si="5"/>
        <v xml:space="preserve">            cpu.PS_N =  (bool)(cpu.Y &amp; 0x80);
            cpu.PS_Z = (cpu.Y == 0);</v>
      </c>
      <c r="N166" s="22" t="str">
        <f>IF(LEN(J166)&gt;0,indent&amp;IF(J166="LAST",AccessModes!$I$15&amp;H166,VLOOKUP($E166,AccessModes!$E$2:$I$13,5,FALSE)&amp;J166)&amp;");","")</f>
        <v/>
      </c>
      <c r="O166" s="22"/>
      <c r="P166" s="15" t="str">
        <f>IF(C166=0,indent0&amp;"case 0x"&amp;DEC2HEX(A166)&amp;": /* "&amp;B166&amp;" "&amp;VLOOKUP(E166,AccessModes!$E$2:$G$13,3,FALSE)&amp;" */"&amp;newline&amp;IF(LEN(K166)&gt;0,K166&amp;CHAR(10),"")&amp;IF(LEN(L166)&gt;0,L166&amp;newline,"")&amp;IF(LEN(M166)&gt;0,M166&amp;newline,"")&amp;IF(LEN(N166)&gt;0,N166&amp;newline,"")&amp;IF(LEN(O166)&gt;0,O166&amp;newline,"")&amp;indent&amp;"break;","")</f>
        <v xml:space="preserve">        case 0xA4: /* LDY aa */
            cpu.Y = memory_getZeroPage();
            cpu.PS_N =  (bool)(cpu.Y &amp; 0x80);
            cpu.PS_Z = (cpu.Y == 0);
            break;</v>
      </c>
      <c r="Q166" s="22" t="str">
        <f t="shared" si="6"/>
        <v xml:space="preserve">    {"LDY", 0, AM_ZPG, 3, 0},</v>
      </c>
    </row>
    <row r="167" spans="1:17" ht="66" x14ac:dyDescent="0.3">
      <c r="A167" s="22">
        <v>165</v>
      </c>
      <c r="B167" s="22" t="s">
        <v>99</v>
      </c>
      <c r="C167" s="22">
        <v>0</v>
      </c>
      <c r="D167" s="22" t="s">
        <v>144</v>
      </c>
      <c r="E167" s="22" t="str">
        <f>_xlfn.IFNA(VLOOKUP(D167,AccessModes!$D$2:$E$13,2,FALSE),"AM_IMP")</f>
        <v>AM_ZPG</v>
      </c>
      <c r="F167" s="22">
        <v>3</v>
      </c>
      <c r="G167" s="22">
        <v>0</v>
      </c>
      <c r="H167" s="22" t="str">
        <f>$H$163</f>
        <v>cpu.A</v>
      </c>
      <c r="I167" s="22" t="str">
        <f>$I$163</f>
        <v>cpu.A</v>
      </c>
      <c r="J167" s="22" t="str">
        <f>$J$163</f>
        <v/>
      </c>
      <c r="K167" s="22" t="str">
        <f>IF(LEN(H167)&gt;0,indent&amp;H167&amp;" = "&amp;VLOOKUP($E167,AccessModes!$E$2:$I$13,4,FALSE),"")</f>
        <v xml:space="preserve">            cpu.A = memory_getZeroPage();</v>
      </c>
      <c r="L167" s="15" t="str">
        <f>$L$163</f>
        <v/>
      </c>
      <c r="M167" s="15" t="str">
        <f t="shared" si="5"/>
        <v xml:space="preserve">            cpu.PS_N =  (bool)(cpu.A &amp; 0x80);
            cpu.PS_Z = (cpu.A == 0);</v>
      </c>
      <c r="N167" s="22" t="str">
        <f>IF(LEN(J167)&gt;0,indent&amp;IF(J167="LAST",AccessModes!$I$15&amp;H167,VLOOKUP($E167,AccessModes!$E$2:$I$13,5,FALSE)&amp;J167)&amp;");","")</f>
        <v/>
      </c>
      <c r="O167" s="22"/>
      <c r="P167" s="15" t="str">
        <f>IF(C167=0,indent0&amp;"case 0x"&amp;DEC2HEX(A167)&amp;": /* "&amp;B167&amp;" "&amp;VLOOKUP(E167,AccessModes!$E$2:$G$13,3,FALSE)&amp;" */"&amp;newline&amp;IF(LEN(K167)&gt;0,K167&amp;CHAR(10),"")&amp;IF(LEN(L167)&gt;0,L167&amp;newline,"")&amp;IF(LEN(M167)&gt;0,M167&amp;newline,"")&amp;IF(LEN(N167)&gt;0,N167&amp;newline,"")&amp;IF(LEN(O167)&gt;0,O167&amp;newline,"")&amp;indent&amp;"break;","")</f>
        <v xml:space="preserve">        case 0xA5: /* LDA aa */
            cpu.A = memory_getZeroPage();
            cpu.PS_N =  (bool)(cpu.A &amp; 0x80);
            cpu.PS_Z = (cpu.A == 0);
            break;</v>
      </c>
      <c r="Q167" s="22" t="str">
        <f t="shared" si="6"/>
        <v xml:space="preserve">    {"LDA", 0, AM_ZPG, 3, 0},</v>
      </c>
    </row>
    <row r="168" spans="1:17" ht="66" x14ac:dyDescent="0.3">
      <c r="A168" s="22">
        <v>166</v>
      </c>
      <c r="B168" s="22" t="s">
        <v>100</v>
      </c>
      <c r="C168" s="22">
        <v>0</v>
      </c>
      <c r="D168" s="22" t="s">
        <v>144</v>
      </c>
      <c r="E168" s="22" t="str">
        <f>_xlfn.IFNA(VLOOKUP(D168,AccessModes!$D$2:$E$13,2,FALSE),"AM_IMP")</f>
        <v>AM_ZPG</v>
      </c>
      <c r="F168" s="22">
        <v>3</v>
      </c>
      <c r="G168" s="22">
        <v>0</v>
      </c>
      <c r="H168" s="22" t="str">
        <f>$H$164</f>
        <v>cpu.X</v>
      </c>
      <c r="I168" s="22" t="str">
        <f>$I$164</f>
        <v>cpu.X</v>
      </c>
      <c r="J168" s="22" t="str">
        <f>$J$164</f>
        <v/>
      </c>
      <c r="K168" s="22" t="str">
        <f>IF(LEN(H168)&gt;0,indent&amp;H168&amp;" = "&amp;VLOOKUP($E168,AccessModes!$E$2:$I$13,4,FALSE),"")</f>
        <v xml:space="preserve">            cpu.X = memory_getZeroPage();</v>
      </c>
      <c r="L168" s="15" t="str">
        <f>$L$164</f>
        <v/>
      </c>
      <c r="M168" s="15" t="str">
        <f t="shared" si="5"/>
        <v xml:space="preserve">            cpu.PS_N =  (bool)(cpu.X &amp; 0x80);
            cpu.PS_Z = (cpu.X == 0);</v>
      </c>
      <c r="N168" s="22" t="str">
        <f>IF(LEN(J168)&gt;0,indent&amp;IF(J168="LAST",AccessModes!$I$15&amp;H168,VLOOKUP($E168,AccessModes!$E$2:$I$13,5,FALSE)&amp;J168)&amp;");","")</f>
        <v/>
      </c>
      <c r="O168" s="22"/>
      <c r="P168" s="15" t="str">
        <f>IF(C168=0,indent0&amp;"case 0x"&amp;DEC2HEX(A168)&amp;": /* "&amp;B168&amp;" "&amp;VLOOKUP(E168,AccessModes!$E$2:$G$13,3,FALSE)&amp;" */"&amp;newline&amp;IF(LEN(K168)&gt;0,K168&amp;CHAR(10),"")&amp;IF(LEN(L168)&gt;0,L168&amp;newline,"")&amp;IF(LEN(M168)&gt;0,M168&amp;newline,"")&amp;IF(LEN(N168)&gt;0,N168&amp;newline,"")&amp;IF(LEN(O168)&gt;0,O168&amp;newline,"")&amp;indent&amp;"break;","")</f>
        <v xml:space="preserve">        case 0xA6: /* LDX aa */
            cpu.X = memory_getZeroPage();
            cpu.PS_N =  (bool)(cpu.X &amp; 0x80);
            cpu.PS_Z = (cpu.X == 0);
            break;</v>
      </c>
      <c r="Q168" s="22" t="str">
        <f t="shared" si="6"/>
        <v xml:space="preserve">    {"LDX", 0, AM_ZPG, 3, 0},</v>
      </c>
    </row>
    <row r="169" spans="1:17" x14ac:dyDescent="0.3">
      <c r="A169" s="23">
        <v>167</v>
      </c>
      <c r="B169" s="23" t="s">
        <v>101</v>
      </c>
      <c r="C169" s="23">
        <v>-1</v>
      </c>
      <c r="D169" s="23" t="s">
        <v>144</v>
      </c>
      <c r="E169" s="23" t="str">
        <f>_xlfn.IFNA(VLOOKUP(D169,AccessModes!$D$2:$E$13,2,FALSE),"AM_IMP")</f>
        <v>AM_ZPG</v>
      </c>
      <c r="F169" s="23">
        <v>3</v>
      </c>
      <c r="G169" s="23">
        <v>0</v>
      </c>
      <c r="H169" s="23"/>
      <c r="I169" s="23"/>
      <c r="J169" s="23"/>
      <c r="K169" s="23" t="str">
        <f>IF(LEN(H169)&gt;0,indent&amp;H169&amp;" = "&amp;VLOOKUP($E169,AccessModes!$E$2:$I$13,4,FALSE),"")</f>
        <v/>
      </c>
      <c r="L169" s="17" t="str">
        <f>indent&amp;"/* TODO: implementation of the action */"</f>
        <v xml:space="preserve">            /* TODO: implementation of the action */</v>
      </c>
      <c r="M169" s="17" t="str">
        <f t="shared" si="5"/>
        <v/>
      </c>
      <c r="N169" s="23" t="str">
        <f>IF(LEN(J169)&gt;0,indent&amp;IF(J169="LAST",AccessModes!$I$15&amp;H169,VLOOKUP($E169,AccessModes!$E$2:$I$13,5,FALSE)&amp;J169)&amp;");","")</f>
        <v/>
      </c>
      <c r="O169" s="23"/>
      <c r="P169" s="17" t="str">
        <f>IF(C169=0,indent0&amp;"case 0x"&amp;DEC2HEX(A169)&amp;": /* "&amp;B169&amp;" "&amp;VLOOKUP(E169,AccessModes!$E$2:$G$13,3,FALSE)&amp;" */"&amp;newline&amp;IF(LEN(K169)&gt;0,K169&amp;CHAR(10),"")&amp;IF(LEN(L169)&gt;0,L169&amp;newline,"")&amp;IF(LEN(M169)&gt;0,M169&amp;newline,"")&amp;IF(LEN(N169)&gt;0,N169&amp;newline,"")&amp;IF(LEN(O169)&gt;0,O169&amp;newline,"")&amp;indent&amp;"break;","")</f>
        <v/>
      </c>
      <c r="Q169" s="23" t="str">
        <f t="shared" si="6"/>
        <v xml:space="preserve">    {"LAX", -1, AM_ZPG, 3, 0},</v>
      </c>
    </row>
    <row r="170" spans="1:17" ht="66" x14ac:dyDescent="0.3">
      <c r="A170" s="22">
        <v>168</v>
      </c>
      <c r="B170" s="22" t="s">
        <v>102</v>
      </c>
      <c r="C170" s="22">
        <v>0</v>
      </c>
      <c r="D170" s="22" t="s">
        <v>139</v>
      </c>
      <c r="E170" s="22" t="str">
        <f>_xlfn.IFNA(VLOOKUP(D170,AccessModes!$D$2:$E$13,2,FALSE),"AM_IMP")</f>
        <v>AM_IMP</v>
      </c>
      <c r="F170" s="22">
        <v>2</v>
      </c>
      <c r="G170" s="22">
        <v>0</v>
      </c>
      <c r="H170" s="28"/>
      <c r="I170" s="28" t="s">
        <v>225</v>
      </c>
      <c r="J170" s="28"/>
      <c r="K170" s="22" t="str">
        <f>IF(LEN(H170)&gt;0,indent&amp;H170&amp;" = "&amp;VLOOKUP($E170,AccessModes!$E$2:$I$13,4,FALSE),"")</f>
        <v/>
      </c>
      <c r="L170" s="29" t="str">
        <f>indent&amp;"cpu.Y = cpu.A;"</f>
        <v xml:space="preserve">            cpu.Y = cpu.A;</v>
      </c>
      <c r="M170" s="15" t="str">
        <f t="shared" si="5"/>
        <v xml:space="preserve">            cpu.PS_N =  (bool)(cpu.Y &amp; 0x80);
            cpu.PS_Z = (cpu.Y == 0);</v>
      </c>
      <c r="N170" s="22" t="str">
        <f>IF(LEN(J170)&gt;0,indent&amp;IF(J170="LAST",AccessModes!$I$15&amp;H170,VLOOKUP($E170,AccessModes!$E$2:$I$13,5,FALSE)&amp;J170)&amp;");","")</f>
        <v/>
      </c>
      <c r="O170" s="22"/>
      <c r="P170" s="15" t="str">
        <f>IF(C170=0,indent0&amp;"case 0x"&amp;DEC2HEX(A170)&amp;": /* "&amp;B170&amp;" "&amp;VLOOKUP(E170,AccessModes!$E$2:$G$13,3,FALSE)&amp;" */"&amp;newline&amp;IF(LEN(K170)&gt;0,K170&amp;CHAR(10),"")&amp;IF(LEN(L170)&gt;0,L170&amp;newline,"")&amp;IF(LEN(M170)&gt;0,M170&amp;newline,"")&amp;IF(LEN(N170)&gt;0,N170&amp;newline,"")&amp;IF(LEN(O170)&gt;0,O170&amp;newline,"")&amp;indent&amp;"break;","")</f>
        <v xml:space="preserve">        case 0xA8: /* TAY  */
            cpu.Y = cpu.A;
            cpu.PS_N =  (bool)(cpu.Y &amp; 0x80);
            cpu.PS_Z = (cpu.Y == 0);
            break;</v>
      </c>
      <c r="Q170" s="22" t="str">
        <f t="shared" si="6"/>
        <v xml:space="preserve">    {"TAY", 0, AM_IMP, 2, 0},</v>
      </c>
    </row>
    <row r="171" spans="1:17" ht="66" x14ac:dyDescent="0.3">
      <c r="A171" s="22">
        <v>169</v>
      </c>
      <c r="B171" s="22" t="s">
        <v>99</v>
      </c>
      <c r="C171" s="22">
        <v>0</v>
      </c>
      <c r="D171" s="22" t="s">
        <v>130</v>
      </c>
      <c r="E171" s="22" t="str">
        <f>_xlfn.IFNA(VLOOKUP(D171,AccessModes!$D$2:$E$13,2,FALSE),"AM_IMP")</f>
        <v>AM_IMM</v>
      </c>
      <c r="F171" s="22">
        <v>2</v>
      </c>
      <c r="G171" s="22">
        <v>0</v>
      </c>
      <c r="H171" s="22" t="str">
        <f>$H$163</f>
        <v>cpu.A</v>
      </c>
      <c r="I171" s="22" t="str">
        <f>$I$163</f>
        <v>cpu.A</v>
      </c>
      <c r="J171" s="22" t="str">
        <f>$J$163</f>
        <v/>
      </c>
      <c r="K171" s="22" t="str">
        <f>IF(LEN(H171)&gt;0,indent&amp;H171&amp;" = "&amp;VLOOKUP($E171,AccessModes!$E$2:$I$13,4,FALSE),"")</f>
        <v xml:space="preserve">            cpu.A = memory_getImmediate();</v>
      </c>
      <c r="L171" s="15" t="str">
        <f>$L$163</f>
        <v/>
      </c>
      <c r="M171" s="15" t="str">
        <f t="shared" si="5"/>
        <v xml:space="preserve">            cpu.PS_N =  (bool)(cpu.A &amp; 0x80);
            cpu.PS_Z = (cpu.A == 0);</v>
      </c>
      <c r="N171" s="22" t="str">
        <f>IF(LEN(J171)&gt;0,indent&amp;IF(J171="LAST",AccessModes!$I$15&amp;H171,VLOOKUP($E171,AccessModes!$E$2:$I$13,5,FALSE)&amp;J171)&amp;");","")</f>
        <v/>
      </c>
      <c r="O171" s="22"/>
      <c r="P171" s="15" t="str">
        <f>IF(C171=0,indent0&amp;"case 0x"&amp;DEC2HEX(A171)&amp;": /* "&amp;B171&amp;" "&amp;VLOOKUP(E171,AccessModes!$E$2:$G$13,3,FALSE)&amp;" */"&amp;newline&amp;IF(LEN(K171)&gt;0,K171&amp;CHAR(10),"")&amp;IF(LEN(L171)&gt;0,L171&amp;newline,"")&amp;IF(LEN(M171)&gt;0,M171&amp;newline,"")&amp;IF(LEN(N171)&gt;0,N171&amp;newline,"")&amp;IF(LEN(O171)&gt;0,O171&amp;newline,"")&amp;indent&amp;"break;","")</f>
        <v xml:space="preserve">        case 0xA9: /* LDA #aa */
            cpu.A = memory_getImmediate();
            cpu.PS_N =  (bool)(cpu.A &amp; 0x80);
            cpu.PS_Z = (cpu.A == 0);
            break;</v>
      </c>
      <c r="Q171" s="22" t="str">
        <f t="shared" si="6"/>
        <v xml:space="preserve">    {"LDA", 0, AM_IMM, 2, 0},</v>
      </c>
    </row>
    <row r="172" spans="1:17" ht="66" x14ac:dyDescent="0.3">
      <c r="A172" s="22">
        <v>170</v>
      </c>
      <c r="B172" s="22" t="s">
        <v>103</v>
      </c>
      <c r="C172" s="22">
        <v>0</v>
      </c>
      <c r="D172" s="22" t="s">
        <v>139</v>
      </c>
      <c r="E172" s="22" t="str">
        <f>_xlfn.IFNA(VLOOKUP(D172,AccessModes!$D$2:$E$13,2,FALSE),"AM_IMP")</f>
        <v>AM_IMP</v>
      </c>
      <c r="F172" s="22">
        <v>2</v>
      </c>
      <c r="G172" s="22">
        <v>0</v>
      </c>
      <c r="H172" s="28"/>
      <c r="I172" s="28" t="s">
        <v>226</v>
      </c>
      <c r="J172" s="28"/>
      <c r="K172" s="22" t="str">
        <f>IF(LEN(H172)&gt;0,indent&amp;H172&amp;" = "&amp;VLOOKUP($E172,AccessModes!$E$2:$I$13,4,FALSE),"")</f>
        <v/>
      </c>
      <c r="L172" s="29" t="str">
        <f>indent&amp;"cpu.X = cpu.A;"</f>
        <v xml:space="preserve">            cpu.X = cpu.A;</v>
      </c>
      <c r="M172" s="15" t="str">
        <f t="shared" si="5"/>
        <v xml:space="preserve">            cpu.PS_N =  (bool)(cpu.X &amp; 0x80);
            cpu.PS_Z = (cpu.X == 0);</v>
      </c>
      <c r="N172" s="22" t="str">
        <f>IF(LEN(J172)&gt;0,indent&amp;IF(J172="LAST",AccessModes!$I$15&amp;H172,VLOOKUP($E172,AccessModes!$E$2:$I$13,5,FALSE)&amp;J172)&amp;");","")</f>
        <v/>
      </c>
      <c r="O172" s="22"/>
      <c r="P172" s="15" t="str">
        <f>IF(C172=0,indent0&amp;"case 0x"&amp;DEC2HEX(A172)&amp;": /* "&amp;B172&amp;" "&amp;VLOOKUP(E172,AccessModes!$E$2:$G$13,3,FALSE)&amp;" */"&amp;newline&amp;IF(LEN(K172)&gt;0,K172&amp;CHAR(10),"")&amp;IF(LEN(L172)&gt;0,L172&amp;newline,"")&amp;IF(LEN(M172)&gt;0,M172&amp;newline,"")&amp;IF(LEN(N172)&gt;0,N172&amp;newline,"")&amp;IF(LEN(O172)&gt;0,O172&amp;newline,"")&amp;indent&amp;"break;","")</f>
        <v xml:space="preserve">        case 0xAA: /* TAX  */
            cpu.X = cpu.A;
            cpu.PS_N =  (bool)(cpu.X &amp; 0x80);
            cpu.PS_Z = (cpu.X == 0);
            break;</v>
      </c>
      <c r="Q172" s="22" t="str">
        <f t="shared" si="6"/>
        <v xml:space="preserve">    {"TAX", 0, AM_IMP, 2, 0},</v>
      </c>
    </row>
    <row r="173" spans="1:17" x14ac:dyDescent="0.3">
      <c r="A173" s="24">
        <v>171</v>
      </c>
      <c r="B173" s="24" t="s">
        <v>101</v>
      </c>
      <c r="C173" s="23">
        <v>-1</v>
      </c>
      <c r="D173" s="24" t="s">
        <v>130</v>
      </c>
      <c r="E173" s="24" t="str">
        <f>_xlfn.IFNA(VLOOKUP(D173,AccessModes!$D$2:$E$13,2,FALSE),"AM_IMP")</f>
        <v>AM_IMM</v>
      </c>
      <c r="F173" s="24">
        <v>2</v>
      </c>
      <c r="G173" s="24">
        <v>0</v>
      </c>
      <c r="H173" s="23"/>
      <c r="I173" s="23"/>
      <c r="J173" s="23"/>
      <c r="K173" s="24" t="str">
        <f>IF(LEN(H173)&gt;0,indent&amp;H173&amp;" = "&amp;VLOOKUP($E173,AccessModes!$E$2:$I$13,4,FALSE),"")</f>
        <v/>
      </c>
      <c r="L173" s="18" t="str">
        <f>indent&amp;"/* TODO: implementation of the action */"</f>
        <v xml:space="preserve">            /* TODO: implementation of the action */</v>
      </c>
      <c r="M173" s="18" t="str">
        <f t="shared" si="5"/>
        <v/>
      </c>
      <c r="N173" s="24" t="str">
        <f>IF(LEN(J173)&gt;0,indent&amp;IF(J173="LAST",AccessModes!$I$15&amp;H173,VLOOKUP($E173,AccessModes!$E$2:$I$13,5,FALSE)&amp;J173)&amp;");","")</f>
        <v/>
      </c>
      <c r="O173" s="24"/>
      <c r="P173" s="18" t="str">
        <f>IF(C173=0,indent0&amp;"case 0x"&amp;DEC2HEX(A173)&amp;": /* "&amp;B173&amp;" "&amp;VLOOKUP(E173,AccessModes!$E$2:$G$13,3,FALSE)&amp;" */"&amp;newline&amp;IF(LEN(K173)&gt;0,K173&amp;CHAR(10),"")&amp;IF(LEN(L173)&gt;0,L173&amp;newline,"")&amp;IF(LEN(M173)&gt;0,M173&amp;newline,"")&amp;IF(LEN(N173)&gt;0,N173&amp;newline,"")&amp;IF(LEN(O173)&gt;0,O173&amp;newline,"")&amp;indent&amp;"break;","")</f>
        <v/>
      </c>
      <c r="Q173" s="24" t="str">
        <f t="shared" si="6"/>
        <v xml:space="preserve">    {"LAX", -1, AM_IMM, 2, 0},</v>
      </c>
    </row>
    <row r="174" spans="1:17" ht="66" x14ac:dyDescent="0.3">
      <c r="A174" s="22">
        <v>172</v>
      </c>
      <c r="B174" s="22" t="s">
        <v>98</v>
      </c>
      <c r="C174" s="22">
        <v>0</v>
      </c>
      <c r="D174" s="22" t="s">
        <v>131</v>
      </c>
      <c r="E174" s="22" t="str">
        <f>_xlfn.IFNA(VLOOKUP(D174,AccessModes!$D$2:$E$13,2,FALSE),"AM_IMP")</f>
        <v>AM_ABS</v>
      </c>
      <c r="F174" s="22">
        <v>4</v>
      </c>
      <c r="G174" s="22">
        <v>0</v>
      </c>
      <c r="H174" s="22" t="str">
        <f>$H$162</f>
        <v>cpu.Y</v>
      </c>
      <c r="I174" s="22" t="str">
        <f>$I$162</f>
        <v>cpu.Y</v>
      </c>
      <c r="J174" s="22" t="str">
        <f t="shared" ref="J174:J190" si="7">$J$162</f>
        <v/>
      </c>
      <c r="K174" s="22" t="str">
        <f>IF(LEN(H174)&gt;0,indent&amp;H174&amp;" = "&amp;VLOOKUP($E174,AccessModes!$E$2:$I$13,4,FALSE),"")</f>
        <v xml:space="preserve">            cpu.Y = memory_getAbsolute();</v>
      </c>
      <c r="L174" s="15" t="str">
        <f>$L$162</f>
        <v/>
      </c>
      <c r="M174" s="15" t="str">
        <f t="shared" si="5"/>
        <v xml:space="preserve">            cpu.PS_N =  (bool)(cpu.Y &amp; 0x80);
            cpu.PS_Z = (cpu.Y == 0);</v>
      </c>
      <c r="N174" s="22" t="str">
        <f>IF(LEN(J174)&gt;0,indent&amp;IF(J174="LAST",AccessModes!$I$15&amp;H174,VLOOKUP($E174,AccessModes!$E$2:$I$13,5,FALSE)&amp;J174)&amp;");","")</f>
        <v/>
      </c>
      <c r="O174" s="22"/>
      <c r="P174" s="15" t="str">
        <f>IF(C174=0,indent0&amp;"case 0x"&amp;DEC2HEX(A174)&amp;": /* "&amp;B174&amp;" "&amp;VLOOKUP(E174,AccessModes!$E$2:$G$13,3,FALSE)&amp;" */"&amp;newline&amp;IF(LEN(K174)&gt;0,K174&amp;CHAR(10),"")&amp;IF(LEN(L174)&gt;0,L174&amp;newline,"")&amp;IF(LEN(M174)&gt;0,M174&amp;newline,"")&amp;IF(LEN(N174)&gt;0,N174&amp;newline,"")&amp;IF(LEN(O174)&gt;0,O174&amp;newline,"")&amp;indent&amp;"break;","")</f>
        <v xml:space="preserve">        case 0xAC: /* LDY aaaa */
            cpu.Y = memory_getAbsolute();
            cpu.PS_N =  (bool)(cpu.Y &amp; 0x80);
            cpu.PS_Z = (cpu.Y == 0);
            break;</v>
      </c>
      <c r="Q174" s="22" t="str">
        <f t="shared" si="6"/>
        <v xml:space="preserve">    {"LDY", 0, AM_ABS, 4, 0},</v>
      </c>
    </row>
    <row r="175" spans="1:17" ht="66" x14ac:dyDescent="0.3">
      <c r="A175" s="22">
        <v>173</v>
      </c>
      <c r="B175" s="22" t="s">
        <v>99</v>
      </c>
      <c r="C175" s="22">
        <v>0</v>
      </c>
      <c r="D175" s="22" t="s">
        <v>131</v>
      </c>
      <c r="E175" s="22" t="str">
        <f>_xlfn.IFNA(VLOOKUP(D175,AccessModes!$D$2:$E$13,2,FALSE),"AM_IMP")</f>
        <v>AM_ABS</v>
      </c>
      <c r="F175" s="22">
        <v>4</v>
      </c>
      <c r="G175" s="22">
        <v>0</v>
      </c>
      <c r="H175" s="22" t="str">
        <f>$H$163</f>
        <v>cpu.A</v>
      </c>
      <c r="I175" s="22" t="str">
        <f>$I$163</f>
        <v>cpu.A</v>
      </c>
      <c r="J175" s="22" t="str">
        <f>$J$163</f>
        <v/>
      </c>
      <c r="K175" s="22" t="str">
        <f>IF(LEN(H175)&gt;0,indent&amp;H175&amp;" = "&amp;VLOOKUP($E175,AccessModes!$E$2:$I$13,4,FALSE),"")</f>
        <v xml:space="preserve">            cpu.A = memory_getAbsolute();</v>
      </c>
      <c r="L175" s="15" t="str">
        <f>$L$163</f>
        <v/>
      </c>
      <c r="M175" s="15" t="str">
        <f t="shared" si="5"/>
        <v xml:space="preserve">            cpu.PS_N =  (bool)(cpu.A &amp; 0x80);
            cpu.PS_Z = (cpu.A == 0);</v>
      </c>
      <c r="N175" s="22" t="str">
        <f>IF(LEN(J175)&gt;0,indent&amp;IF(J175="LAST",AccessModes!$I$15&amp;H175,VLOOKUP($E175,AccessModes!$E$2:$I$13,5,FALSE)&amp;J175)&amp;");","")</f>
        <v/>
      </c>
      <c r="O175" s="22"/>
      <c r="P175" s="15" t="str">
        <f>IF(C175=0,indent0&amp;"case 0x"&amp;DEC2HEX(A175)&amp;": /* "&amp;B175&amp;" "&amp;VLOOKUP(E175,AccessModes!$E$2:$G$13,3,FALSE)&amp;" */"&amp;newline&amp;IF(LEN(K175)&gt;0,K175&amp;CHAR(10),"")&amp;IF(LEN(L175)&gt;0,L175&amp;newline,"")&amp;IF(LEN(M175)&gt;0,M175&amp;newline,"")&amp;IF(LEN(N175)&gt;0,N175&amp;newline,"")&amp;IF(LEN(O175)&gt;0,O175&amp;newline,"")&amp;indent&amp;"break;","")</f>
        <v xml:space="preserve">        case 0xAD: /* LDA aaaa */
            cpu.A = memory_getAbsolute();
            cpu.PS_N =  (bool)(cpu.A &amp; 0x80);
            cpu.PS_Z = (cpu.A == 0);
            break;</v>
      </c>
      <c r="Q175" s="22" t="str">
        <f t="shared" si="6"/>
        <v xml:space="preserve">    {"LDA", 0, AM_ABS, 4, 0},</v>
      </c>
    </row>
    <row r="176" spans="1:17" ht="66" x14ac:dyDescent="0.3">
      <c r="A176" s="22">
        <v>174</v>
      </c>
      <c r="B176" s="22" t="s">
        <v>100</v>
      </c>
      <c r="C176" s="22">
        <v>0</v>
      </c>
      <c r="D176" s="22" t="s">
        <v>131</v>
      </c>
      <c r="E176" s="22" t="str">
        <f>_xlfn.IFNA(VLOOKUP(D176,AccessModes!$D$2:$E$13,2,FALSE),"AM_IMP")</f>
        <v>AM_ABS</v>
      </c>
      <c r="F176" s="22">
        <v>4</v>
      </c>
      <c r="G176" s="22">
        <v>0</v>
      </c>
      <c r="H176" s="22" t="str">
        <f>$H$164</f>
        <v>cpu.X</v>
      </c>
      <c r="I176" s="22" t="str">
        <f>$I$164</f>
        <v>cpu.X</v>
      </c>
      <c r="J176" s="22" t="str">
        <f>$J$164</f>
        <v/>
      </c>
      <c r="K176" s="22" t="str">
        <f>IF(LEN(H176)&gt;0,indent&amp;H176&amp;" = "&amp;VLOOKUP($E176,AccessModes!$E$2:$I$13,4,FALSE),"")</f>
        <v xml:space="preserve">            cpu.X = memory_getAbsolute();</v>
      </c>
      <c r="L176" s="15" t="str">
        <f>$L$164</f>
        <v/>
      </c>
      <c r="M176" s="15" t="str">
        <f t="shared" si="5"/>
        <v xml:space="preserve">            cpu.PS_N =  (bool)(cpu.X &amp; 0x80);
            cpu.PS_Z = (cpu.X == 0);</v>
      </c>
      <c r="N176" s="22" t="str">
        <f>IF(LEN(J176)&gt;0,indent&amp;IF(J176="LAST",AccessModes!$I$15&amp;H176,VLOOKUP($E176,AccessModes!$E$2:$I$13,5,FALSE)&amp;J176)&amp;");","")</f>
        <v/>
      </c>
      <c r="O176" s="22"/>
      <c r="P176" s="15" t="str">
        <f>IF(C176=0,indent0&amp;"case 0x"&amp;DEC2HEX(A176)&amp;": /* "&amp;B176&amp;" "&amp;VLOOKUP(E176,AccessModes!$E$2:$G$13,3,FALSE)&amp;" */"&amp;newline&amp;IF(LEN(K176)&gt;0,K176&amp;CHAR(10),"")&amp;IF(LEN(L176)&gt;0,L176&amp;newline,"")&amp;IF(LEN(M176)&gt;0,M176&amp;newline,"")&amp;IF(LEN(N176)&gt;0,N176&amp;newline,"")&amp;IF(LEN(O176)&gt;0,O176&amp;newline,"")&amp;indent&amp;"break;","")</f>
        <v xml:space="preserve">        case 0xAE: /* LDX aaaa */
            cpu.X = memory_getAbsolute();
            cpu.PS_N =  (bool)(cpu.X &amp; 0x80);
            cpu.PS_Z = (cpu.X == 0);
            break;</v>
      </c>
      <c r="Q176" s="22" t="str">
        <f t="shared" si="6"/>
        <v xml:space="preserve">    {"LDX", 0, AM_ABS, 4, 0},</v>
      </c>
    </row>
    <row r="177" spans="1:17" x14ac:dyDescent="0.3">
      <c r="A177" s="23">
        <v>175</v>
      </c>
      <c r="B177" s="23" t="s">
        <v>101</v>
      </c>
      <c r="C177" s="23">
        <v>-1</v>
      </c>
      <c r="D177" s="23" t="s">
        <v>131</v>
      </c>
      <c r="E177" s="23" t="str">
        <f>_xlfn.IFNA(VLOOKUP(D177,AccessModes!$D$2:$E$13,2,FALSE),"AM_IMP")</f>
        <v>AM_ABS</v>
      </c>
      <c r="F177" s="23">
        <v>4</v>
      </c>
      <c r="G177" s="23">
        <v>0</v>
      </c>
      <c r="H177" s="23"/>
      <c r="I177" s="23"/>
      <c r="J177" s="23" t="str">
        <f t="shared" si="7"/>
        <v/>
      </c>
      <c r="K177" s="23" t="str">
        <f>IF(LEN(H177)&gt;0,indent&amp;H177&amp;" = "&amp;VLOOKUP($E177,AccessModes!$E$2:$I$13,4,FALSE),"")</f>
        <v/>
      </c>
      <c r="L177" s="17" t="str">
        <f>indent&amp;"/* TODO: implementation of the action */"</f>
        <v xml:space="preserve">            /* TODO: implementation of the action */</v>
      </c>
      <c r="M177" s="17" t="str">
        <f t="shared" si="5"/>
        <v/>
      </c>
      <c r="N177" s="23" t="str">
        <f>IF(LEN(J177)&gt;0,indent&amp;IF(J177="LAST",AccessModes!$I$15&amp;H177,VLOOKUP($E177,AccessModes!$E$2:$I$13,5,FALSE)&amp;J177)&amp;");","")</f>
        <v/>
      </c>
      <c r="O177" s="23"/>
      <c r="P177" s="17" t="str">
        <f>IF(C177=0,indent0&amp;"case 0x"&amp;DEC2HEX(A177)&amp;": /* "&amp;B177&amp;" "&amp;VLOOKUP(E177,AccessModes!$E$2:$G$13,3,FALSE)&amp;" */"&amp;newline&amp;IF(LEN(K177)&gt;0,K177&amp;CHAR(10),"")&amp;IF(LEN(L177)&gt;0,L177&amp;newline,"")&amp;IF(LEN(M177)&gt;0,M177&amp;newline,"")&amp;IF(LEN(N177)&gt;0,N177&amp;newline,"")&amp;IF(LEN(O177)&gt;0,O177&amp;newline,"")&amp;indent&amp;"break;","")</f>
        <v/>
      </c>
      <c r="Q177" s="23" t="str">
        <f t="shared" si="6"/>
        <v xml:space="preserve">    {"LAX", -1, AM_ABS, 4, 0},</v>
      </c>
    </row>
    <row r="178" spans="1:17" ht="92.4" x14ac:dyDescent="0.3">
      <c r="A178" s="22">
        <v>176</v>
      </c>
      <c r="B178" s="22" t="s">
        <v>105</v>
      </c>
      <c r="C178" s="22">
        <v>0</v>
      </c>
      <c r="D178" s="22" t="s">
        <v>132</v>
      </c>
      <c r="E178" s="22" t="str">
        <f>_xlfn.IFNA(VLOOKUP(D178,AccessModes!$D$2:$E$13,2,FALSE),"AM_IMP")</f>
        <v>AM_REL</v>
      </c>
      <c r="F178" s="22">
        <v>2</v>
      </c>
      <c r="G178" s="22">
        <v>1</v>
      </c>
      <c r="H178" s="28" t="s">
        <v>240</v>
      </c>
      <c r="I178" s="28"/>
      <c r="J178" s="28" t="str">
        <f t="shared" si="7"/>
        <v/>
      </c>
      <c r="K178" s="22" t="str">
        <f>IF(LEN(H178)&gt;0,indent&amp;H178&amp;" = "&amp;VLOOKUP($E178,AccessModes!$E$2:$I$13,4,FALSE),"")</f>
        <v xml:space="preserve">            value_w = memory_getRelativeAddress();</v>
      </c>
      <c r="L178" s="29" t="str">
        <f>indent&amp;"if(cpu.PS_C) {"&amp;newline&amp;indent2&amp;"++cycles;"&amp;newline&amp;indent2&amp;"cpu.PC = "&amp;H178&amp;";"&amp;newline&amp;indent&amp;"}"</f>
        <v xml:space="preserve">            if(cpu.PS_C) {
                ++cycles;
                cpu.PC = value_w;
            }</v>
      </c>
      <c r="M178" s="15" t="str">
        <f t="shared" si="5"/>
        <v/>
      </c>
      <c r="N178" s="22" t="str">
        <f>IF(LEN(J178)&gt;0,indent&amp;IF(J178="LAST",AccessModes!$I$15&amp;H178,VLOOKUP($E178,AccessModes!$E$2:$I$13,5,FALSE)&amp;J178)&amp;");","")</f>
        <v/>
      </c>
      <c r="O178" s="22"/>
      <c r="P178" s="15" t="str">
        <f>IF(C178=0,indent0&amp;"case 0x"&amp;DEC2HEX(A178)&amp;": /* "&amp;B178&amp;" "&amp;VLOOKUP(E178,AccessModes!$E$2:$G$13,3,FALSE)&amp;" */"&amp;newline&amp;IF(LEN(K178)&gt;0,K178&amp;CHAR(10),"")&amp;IF(LEN(L178)&gt;0,L178&amp;newline,"")&amp;IF(LEN(M178)&gt;0,M178&amp;newline,"")&amp;IF(LEN(N178)&gt;0,N178&amp;newline,"")&amp;IF(LEN(O178)&gt;0,O178&amp;newline,"")&amp;indent&amp;"break;","")</f>
        <v xml:space="preserve">        case 0xB0: /* BCS aaaa */
            value_w = memory_getRelativeAddress();
            if(cpu.PS_C) {
                ++cycles;
                cpu.PC = value_w;
            }
            break;</v>
      </c>
      <c r="Q178" s="22" t="str">
        <f t="shared" si="6"/>
        <v xml:space="preserve">    {"BCS", 0, AM_REL, 2, 1},</v>
      </c>
    </row>
    <row r="179" spans="1:17" ht="66" x14ac:dyDescent="0.3">
      <c r="A179" s="22">
        <v>177</v>
      </c>
      <c r="B179" s="22" t="s">
        <v>99</v>
      </c>
      <c r="C179" s="22">
        <v>0</v>
      </c>
      <c r="D179" s="22" t="s">
        <v>133</v>
      </c>
      <c r="E179" s="22" t="str">
        <f>_xlfn.IFNA(VLOOKUP(D179,AccessModes!$D$2:$E$13,2,FALSE),"AM_IMP")</f>
        <v>AM_ZIY</v>
      </c>
      <c r="F179" s="22">
        <v>5</v>
      </c>
      <c r="G179" s="22">
        <v>1</v>
      </c>
      <c r="H179" s="22" t="str">
        <f>$H$163</f>
        <v>cpu.A</v>
      </c>
      <c r="I179" s="22" t="str">
        <f>$I$163</f>
        <v>cpu.A</v>
      </c>
      <c r="J179" s="22" t="str">
        <f>$J$163</f>
        <v/>
      </c>
      <c r="K179" s="22" t="str">
        <f>IF(LEN(H179)&gt;0,indent&amp;H179&amp;" = "&amp;VLOOKUP($E179,AccessModes!$E$2:$I$13,4,FALSE),"")</f>
        <v xml:space="preserve">            cpu.A = memory_getZeroPageIndexedY();</v>
      </c>
      <c r="L179" s="15" t="str">
        <f>$L$163</f>
        <v/>
      </c>
      <c r="M179" s="15" t="str">
        <f t="shared" si="5"/>
        <v xml:space="preserve">            cpu.PS_N =  (bool)(cpu.A &amp; 0x80);
            cpu.PS_Z = (cpu.A == 0);</v>
      </c>
      <c r="N179" s="22" t="str">
        <f>IF(LEN(J179)&gt;0,indent&amp;IF(J179="LAST",AccessModes!$I$15&amp;H179,VLOOKUP($E179,AccessModes!$E$2:$I$13,5,FALSE)&amp;J179)&amp;");","")</f>
        <v/>
      </c>
      <c r="O179" s="22"/>
      <c r="P179" s="15" t="str">
        <f>IF(C179=0,indent0&amp;"case 0x"&amp;DEC2HEX(A179)&amp;": /* "&amp;B179&amp;" "&amp;VLOOKUP(E179,AccessModes!$E$2:$G$13,3,FALSE)&amp;" */"&amp;newline&amp;IF(LEN(K179)&gt;0,K179&amp;CHAR(10),"")&amp;IF(LEN(L179)&gt;0,L179&amp;newline,"")&amp;IF(LEN(M179)&gt;0,M179&amp;newline,"")&amp;IF(LEN(N179)&gt;0,N179&amp;newline,"")&amp;IF(LEN(O179)&gt;0,O179&amp;newline,"")&amp;indent&amp;"break;","")</f>
        <v xml:space="preserve">        case 0xB1: /* LDA aa,Y */
            cpu.A = memory_getZeroPageIndexedY();
            cpu.PS_N =  (bool)(cpu.A &amp; 0x80);
            cpu.PS_Z = (cpu.A == 0);
            break;</v>
      </c>
      <c r="Q179" s="22" t="str">
        <f t="shared" si="6"/>
        <v xml:space="preserve">    {"LDA", 0, AM_ZIY, 5, 1},</v>
      </c>
    </row>
    <row r="180" spans="1:17" x14ac:dyDescent="0.3">
      <c r="A180" s="23">
        <v>178</v>
      </c>
      <c r="B180" s="23" t="s">
        <v>20</v>
      </c>
      <c r="C180" s="23">
        <v>-1</v>
      </c>
      <c r="D180" s="23"/>
      <c r="E180" s="23" t="str">
        <f>_xlfn.IFNA(VLOOKUP(D180,AccessModes!$D$2:$E$13,2,FALSE),"AM_IMP")</f>
        <v>AM_IMP</v>
      </c>
      <c r="F180" s="23">
        <v>0</v>
      </c>
      <c r="G180" s="23">
        <v>0</v>
      </c>
      <c r="H180" s="23"/>
      <c r="I180" s="23"/>
      <c r="J180" s="23" t="str">
        <f t="shared" si="7"/>
        <v/>
      </c>
      <c r="K180" s="23" t="str">
        <f>IF(LEN(H180)&gt;0,indent&amp;H180&amp;" = "&amp;VLOOKUP($E180,AccessModes!$E$2:$I$13,4,FALSE),"")</f>
        <v/>
      </c>
      <c r="L180" s="17" t="str">
        <f>indent&amp;"/* TODO: implementation of the action */"</f>
        <v xml:space="preserve">            /* TODO: implementation of the action */</v>
      </c>
      <c r="M180" s="17" t="str">
        <f t="shared" si="5"/>
        <v/>
      </c>
      <c r="N180" s="23" t="str">
        <f>IF(LEN(J180)&gt;0,indent&amp;IF(J180="LAST",AccessModes!$I$15&amp;H180,VLOOKUP($E180,AccessModes!$E$2:$I$13,5,FALSE)&amp;J180)&amp;");","")</f>
        <v/>
      </c>
      <c r="O180" s="23"/>
      <c r="P180" s="17" t="str">
        <f>IF(C180=0,indent0&amp;"case 0x"&amp;DEC2HEX(A180)&amp;": /* "&amp;B180&amp;" "&amp;VLOOKUP(E180,AccessModes!$E$2:$G$13,3,FALSE)&amp;" */"&amp;newline&amp;IF(LEN(K180)&gt;0,K180&amp;CHAR(10),"")&amp;IF(LEN(L180)&gt;0,L180&amp;newline,"")&amp;IF(LEN(M180)&gt;0,M180&amp;newline,"")&amp;IF(LEN(N180)&gt;0,N180&amp;newline,"")&amp;IF(LEN(O180)&gt;0,O180&amp;newline,"")&amp;indent&amp;"break;","")</f>
        <v/>
      </c>
      <c r="Q180" s="23" t="str">
        <f t="shared" si="6"/>
        <v xml:space="preserve">    {"KIL", -1, AM_IMP, 0, 0},</v>
      </c>
    </row>
    <row r="181" spans="1:17" x14ac:dyDescent="0.3">
      <c r="A181" s="23">
        <v>179</v>
      </c>
      <c r="B181" s="23" t="s">
        <v>101</v>
      </c>
      <c r="C181" s="23">
        <v>-1</v>
      </c>
      <c r="D181" s="23" t="s">
        <v>133</v>
      </c>
      <c r="E181" s="23" t="str">
        <f>_xlfn.IFNA(VLOOKUP(D181,AccessModes!$D$2:$E$13,2,FALSE),"AM_IMP")</f>
        <v>AM_ZIY</v>
      </c>
      <c r="F181" s="23">
        <v>5</v>
      </c>
      <c r="G181" s="23">
        <v>1</v>
      </c>
      <c r="H181" s="23"/>
      <c r="I181" s="23"/>
      <c r="J181" s="23" t="str">
        <f t="shared" si="7"/>
        <v/>
      </c>
      <c r="K181" s="23" t="str">
        <f>IF(LEN(H181)&gt;0,indent&amp;H181&amp;" = "&amp;VLOOKUP($E181,AccessModes!$E$2:$I$13,4,FALSE),"")</f>
        <v/>
      </c>
      <c r="L181" s="17" t="str">
        <f>indent&amp;"/* TODO: implementation of the action */"</f>
        <v xml:space="preserve">            /* TODO: implementation of the action */</v>
      </c>
      <c r="M181" s="17" t="str">
        <f t="shared" si="5"/>
        <v/>
      </c>
      <c r="N181" s="23" t="str">
        <f>IF(LEN(J181)&gt;0,indent&amp;IF(J181="LAST",AccessModes!$I$15&amp;H181,VLOOKUP($E181,AccessModes!$E$2:$I$13,5,FALSE)&amp;J181)&amp;");","")</f>
        <v/>
      </c>
      <c r="O181" s="23"/>
      <c r="P181" s="17" t="str">
        <f>IF(C181=0,indent0&amp;"case 0x"&amp;DEC2HEX(A181)&amp;": /* "&amp;B181&amp;" "&amp;VLOOKUP(E181,AccessModes!$E$2:$G$13,3,FALSE)&amp;" */"&amp;newline&amp;IF(LEN(K181)&gt;0,K181&amp;CHAR(10),"")&amp;IF(LEN(L181)&gt;0,L181&amp;newline,"")&amp;IF(LEN(M181)&gt;0,M181&amp;newline,"")&amp;IF(LEN(N181)&gt;0,N181&amp;newline,"")&amp;IF(LEN(O181)&gt;0,O181&amp;newline,"")&amp;indent&amp;"break;","")</f>
        <v/>
      </c>
      <c r="Q181" s="23" t="str">
        <f t="shared" si="6"/>
        <v xml:space="preserve">    {"LAX", -1, AM_ZIY, 5, 1},</v>
      </c>
    </row>
    <row r="182" spans="1:17" ht="66" x14ac:dyDescent="0.3">
      <c r="A182" s="22">
        <v>180</v>
      </c>
      <c r="B182" s="22" t="s">
        <v>98</v>
      </c>
      <c r="C182" s="22">
        <v>0</v>
      </c>
      <c r="D182" s="22" t="s">
        <v>134</v>
      </c>
      <c r="E182" s="22" t="str">
        <f>_xlfn.IFNA(VLOOKUP(D182,AccessModes!$D$2:$E$13,2,FALSE),"AM_IMP")</f>
        <v>AM_IIX</v>
      </c>
      <c r="F182" s="22">
        <v>4</v>
      </c>
      <c r="G182" s="22">
        <v>0</v>
      </c>
      <c r="H182" s="22" t="str">
        <f>$H$162</f>
        <v>cpu.Y</v>
      </c>
      <c r="I182" s="22" t="str">
        <f>$I$162</f>
        <v>cpu.Y</v>
      </c>
      <c r="J182" s="22" t="str">
        <f t="shared" si="7"/>
        <v/>
      </c>
      <c r="K182" s="22" t="str">
        <f>IF(LEN(H182)&gt;0,indent&amp;H182&amp;" = "&amp;VLOOKUP($E182,AccessModes!$E$2:$I$13,4,FALSE),"")</f>
        <v xml:space="preserve">            cpu.Y = memory_getIndexedIndirectX();</v>
      </c>
      <c r="L182" s="15" t="str">
        <f>$L$162</f>
        <v/>
      </c>
      <c r="M182" s="15" t="str">
        <f t="shared" si="5"/>
        <v xml:space="preserve">            cpu.PS_N =  (bool)(cpu.Y &amp; 0x80);
            cpu.PS_Z = (cpu.Y == 0);</v>
      </c>
      <c r="N182" s="22" t="str">
        <f>IF(LEN(J182)&gt;0,indent&amp;IF(J182="LAST",AccessModes!$I$15&amp;H182,VLOOKUP($E182,AccessModes!$E$2:$I$13,5,FALSE)&amp;J182)&amp;");","")</f>
        <v/>
      </c>
      <c r="O182" s="22"/>
      <c r="P182" s="15" t="str">
        <f>IF(C182=0,indent0&amp;"case 0x"&amp;DEC2HEX(A182)&amp;": /* "&amp;B182&amp;" "&amp;VLOOKUP(E182,AccessModes!$E$2:$G$13,3,FALSE)&amp;" */"&amp;newline&amp;IF(LEN(K182)&gt;0,K182&amp;CHAR(10),"")&amp;IF(LEN(L182)&gt;0,L182&amp;newline,"")&amp;IF(LEN(M182)&gt;0,M182&amp;newline,"")&amp;IF(LEN(N182)&gt;0,N182&amp;newline,"")&amp;IF(LEN(O182)&gt;0,O182&amp;newline,"")&amp;indent&amp;"break;","")</f>
        <v xml:space="preserve">        case 0xB4: /* LDY (aa,X) */
            cpu.Y = memory_getIndexedIndirectX();
            cpu.PS_N =  (bool)(cpu.Y &amp; 0x80);
            cpu.PS_Z = (cpu.Y == 0);
            break;</v>
      </c>
      <c r="Q182" s="22" t="str">
        <f t="shared" si="6"/>
        <v xml:space="preserve">    {"LDY", 0, AM_IIX, 4, 0},</v>
      </c>
    </row>
    <row r="183" spans="1:17" ht="66" x14ac:dyDescent="0.3">
      <c r="A183" s="22">
        <v>181</v>
      </c>
      <c r="B183" s="22" t="s">
        <v>99</v>
      </c>
      <c r="C183" s="22">
        <v>0</v>
      </c>
      <c r="D183" s="22" t="s">
        <v>134</v>
      </c>
      <c r="E183" s="22" t="str">
        <f>_xlfn.IFNA(VLOOKUP(D183,AccessModes!$D$2:$E$13,2,FALSE),"AM_IMP")</f>
        <v>AM_IIX</v>
      </c>
      <c r="F183" s="22">
        <v>4</v>
      </c>
      <c r="G183" s="22">
        <v>0</v>
      </c>
      <c r="H183" s="22" t="str">
        <f>$H$163</f>
        <v>cpu.A</v>
      </c>
      <c r="I183" s="22" t="str">
        <f>$I$163</f>
        <v>cpu.A</v>
      </c>
      <c r="J183" s="22" t="str">
        <f>$J$163</f>
        <v/>
      </c>
      <c r="K183" s="22" t="str">
        <f>IF(LEN(H183)&gt;0,indent&amp;H183&amp;" = "&amp;VLOOKUP($E183,AccessModes!$E$2:$I$13,4,FALSE),"")</f>
        <v xml:space="preserve">            cpu.A = memory_getIndexedIndirectX();</v>
      </c>
      <c r="L183" s="15" t="str">
        <f>$L$163</f>
        <v/>
      </c>
      <c r="M183" s="15" t="str">
        <f t="shared" si="5"/>
        <v xml:space="preserve">            cpu.PS_N =  (bool)(cpu.A &amp; 0x80);
            cpu.PS_Z = (cpu.A == 0);</v>
      </c>
      <c r="N183" s="22" t="str">
        <f>IF(LEN(J183)&gt;0,indent&amp;IF(J183="LAST",AccessModes!$I$15&amp;H183,VLOOKUP($E183,AccessModes!$E$2:$I$13,5,FALSE)&amp;J183)&amp;");","")</f>
        <v/>
      </c>
      <c r="O183" s="22"/>
      <c r="P183" s="15" t="str">
        <f>IF(C183=0,indent0&amp;"case 0x"&amp;DEC2HEX(A183)&amp;": /* "&amp;B183&amp;" "&amp;VLOOKUP(E183,AccessModes!$E$2:$G$13,3,FALSE)&amp;" */"&amp;newline&amp;IF(LEN(K183)&gt;0,K183&amp;CHAR(10),"")&amp;IF(LEN(L183)&gt;0,L183&amp;newline,"")&amp;IF(LEN(M183)&gt;0,M183&amp;newline,"")&amp;IF(LEN(N183)&gt;0,N183&amp;newline,"")&amp;IF(LEN(O183)&gt;0,O183&amp;newline,"")&amp;indent&amp;"break;","")</f>
        <v xml:space="preserve">        case 0xB5: /* LDA (aa,X) */
            cpu.A = memory_getIndexedIndirectX();
            cpu.PS_N =  (bool)(cpu.A &amp; 0x80);
            cpu.PS_Z = (cpu.A == 0);
            break;</v>
      </c>
      <c r="Q183" s="22" t="str">
        <f t="shared" si="6"/>
        <v xml:space="preserve">    {"LDA", 0, AM_IIX, 4, 0},</v>
      </c>
    </row>
    <row r="184" spans="1:17" ht="66" x14ac:dyDescent="0.3">
      <c r="A184" s="22">
        <v>182</v>
      </c>
      <c r="B184" s="22" t="s">
        <v>100</v>
      </c>
      <c r="C184" s="22">
        <v>0</v>
      </c>
      <c r="D184" s="22" t="s">
        <v>138</v>
      </c>
      <c r="E184" s="22" t="str">
        <f>_xlfn.IFNA(VLOOKUP(D184,AccessModes!$D$2:$E$13,2,FALSE),"AM_IMP")</f>
        <v>AM_IIY</v>
      </c>
      <c r="F184" s="22">
        <v>4</v>
      </c>
      <c r="G184" s="22">
        <v>0</v>
      </c>
      <c r="H184" s="22" t="str">
        <f>$H$164</f>
        <v>cpu.X</v>
      </c>
      <c r="I184" s="22" t="str">
        <f>$I$164</f>
        <v>cpu.X</v>
      </c>
      <c r="J184" s="22" t="str">
        <f>$J$164</f>
        <v/>
      </c>
      <c r="K184" s="22" t="str">
        <f>IF(LEN(H184)&gt;0,indent&amp;H184&amp;" = "&amp;VLOOKUP($E184,AccessModes!$E$2:$I$13,4,FALSE),"")</f>
        <v xml:space="preserve">            cpu.X = memory_getIndirectIndexedY();</v>
      </c>
      <c r="L184" s="15" t="str">
        <f>$L$164</f>
        <v/>
      </c>
      <c r="M184" s="15" t="str">
        <f t="shared" si="5"/>
        <v xml:space="preserve">            cpu.PS_N =  (bool)(cpu.X &amp; 0x80);
            cpu.PS_Z = (cpu.X == 0);</v>
      </c>
      <c r="N184" s="22" t="str">
        <f>IF(LEN(J184)&gt;0,indent&amp;IF(J184="LAST",AccessModes!$I$15&amp;H184,VLOOKUP($E184,AccessModes!$E$2:$I$13,5,FALSE)&amp;J184)&amp;");","")</f>
        <v/>
      </c>
      <c r="O184" s="22"/>
      <c r="P184" s="15" t="str">
        <f>IF(C184=0,indent0&amp;"case 0x"&amp;DEC2HEX(A184)&amp;": /* "&amp;B184&amp;" "&amp;VLOOKUP(E184,AccessModes!$E$2:$G$13,3,FALSE)&amp;" */"&amp;newline&amp;IF(LEN(K184)&gt;0,K184&amp;CHAR(10),"")&amp;IF(LEN(L184)&gt;0,L184&amp;newline,"")&amp;IF(LEN(M184)&gt;0,M184&amp;newline,"")&amp;IF(LEN(N184)&gt;0,N184&amp;newline,"")&amp;IF(LEN(O184)&gt;0,O184&amp;newline,"")&amp;indent&amp;"break;","")</f>
        <v xml:space="preserve">        case 0xB6: /* LDX (aa),Y */
            cpu.X = memory_getIndirectIndexedY();
            cpu.PS_N =  (bool)(cpu.X &amp; 0x80);
            cpu.PS_Z = (cpu.X == 0);
            break;</v>
      </c>
      <c r="Q184" s="22" t="str">
        <f t="shared" si="6"/>
        <v xml:space="preserve">    {"LDX", 0, AM_IIY, 4, 0},</v>
      </c>
    </row>
    <row r="185" spans="1:17" x14ac:dyDescent="0.3">
      <c r="A185" s="23">
        <v>183</v>
      </c>
      <c r="B185" s="23" t="s">
        <v>101</v>
      </c>
      <c r="C185" s="23">
        <v>-1</v>
      </c>
      <c r="D185" s="23" t="s">
        <v>138</v>
      </c>
      <c r="E185" s="23" t="str">
        <f>_xlfn.IFNA(VLOOKUP(D185,AccessModes!$D$2:$E$13,2,FALSE),"AM_IMP")</f>
        <v>AM_IIY</v>
      </c>
      <c r="F185" s="23">
        <v>4</v>
      </c>
      <c r="G185" s="23">
        <v>0</v>
      </c>
      <c r="H185" s="23"/>
      <c r="I185" s="23"/>
      <c r="J185" s="23" t="str">
        <f t="shared" si="7"/>
        <v/>
      </c>
      <c r="K185" s="23" t="str">
        <f>IF(LEN(H185)&gt;0,indent&amp;H185&amp;" = "&amp;VLOOKUP($E185,AccessModes!$E$2:$I$13,4,FALSE),"")</f>
        <v/>
      </c>
      <c r="L185" s="17" t="str">
        <f>indent&amp;"/* TODO: implementation of the action */"</f>
        <v xml:space="preserve">            /* TODO: implementation of the action */</v>
      </c>
      <c r="M185" s="17" t="str">
        <f t="shared" si="5"/>
        <v/>
      </c>
      <c r="N185" s="23" t="str">
        <f>IF(LEN(J185)&gt;0,indent&amp;IF(J185="LAST",AccessModes!$I$15&amp;H185,VLOOKUP($E185,AccessModes!$E$2:$I$13,5,FALSE)&amp;J185)&amp;");","")</f>
        <v/>
      </c>
      <c r="O185" s="23"/>
      <c r="P185" s="17" t="str">
        <f>IF(C185=0,indent0&amp;"case 0x"&amp;DEC2HEX(A185)&amp;": /* "&amp;B185&amp;" "&amp;VLOOKUP(E185,AccessModes!$E$2:$G$13,3,FALSE)&amp;" */"&amp;newline&amp;IF(LEN(K185)&gt;0,K185&amp;CHAR(10),"")&amp;IF(LEN(L185)&gt;0,L185&amp;newline,"")&amp;IF(LEN(M185)&gt;0,M185&amp;newline,"")&amp;IF(LEN(N185)&gt;0,N185&amp;newline,"")&amp;IF(LEN(O185)&gt;0,O185&amp;newline,"")&amp;indent&amp;"break;","")</f>
        <v/>
      </c>
      <c r="Q185" s="23" t="str">
        <f t="shared" si="6"/>
        <v xml:space="preserve">    {"LAX", -1, AM_IIY, 4, 0},</v>
      </c>
    </row>
    <row r="186" spans="1:17" ht="39.6" x14ac:dyDescent="0.3">
      <c r="A186" s="22">
        <v>184</v>
      </c>
      <c r="B186" s="22" t="s">
        <v>106</v>
      </c>
      <c r="C186" s="22">
        <v>0</v>
      </c>
      <c r="D186" s="22" t="s">
        <v>139</v>
      </c>
      <c r="E186" s="22" t="str">
        <f>_xlfn.IFNA(VLOOKUP(D186,AccessModes!$D$2:$E$13,2,FALSE),"AM_IMP")</f>
        <v>AM_IMP</v>
      </c>
      <c r="F186" s="22">
        <v>2</v>
      </c>
      <c r="G186" s="22">
        <v>0</v>
      </c>
      <c r="H186" s="28"/>
      <c r="I186" s="28"/>
      <c r="J186" s="28" t="str">
        <f t="shared" si="7"/>
        <v/>
      </c>
      <c r="K186" s="22" t="str">
        <f>IF(LEN(H186)&gt;0,indent&amp;H186&amp;" = "&amp;VLOOKUP($E186,AccessModes!$E$2:$I$13,4,FALSE),"")</f>
        <v/>
      </c>
      <c r="L186" s="29" t="str">
        <f>indent&amp;"cpu.PS_V = false;"</f>
        <v xml:space="preserve">            cpu.PS_V = false;</v>
      </c>
      <c r="M186" s="15" t="str">
        <f t="shared" si="5"/>
        <v/>
      </c>
      <c r="N186" s="22" t="str">
        <f>IF(LEN(J186)&gt;0,indent&amp;IF(J186="LAST",AccessModes!$I$15&amp;H186,VLOOKUP($E186,AccessModes!$E$2:$I$13,5,FALSE)&amp;J186)&amp;");","")</f>
        <v/>
      </c>
      <c r="O186" s="22"/>
      <c r="P186" s="15" t="str">
        <f>IF(C186=0,indent0&amp;"case 0x"&amp;DEC2HEX(A186)&amp;": /* "&amp;B186&amp;" "&amp;VLOOKUP(E186,AccessModes!$E$2:$G$13,3,FALSE)&amp;" */"&amp;newline&amp;IF(LEN(K186)&gt;0,K186&amp;CHAR(10),"")&amp;IF(LEN(L186)&gt;0,L186&amp;newline,"")&amp;IF(LEN(M186)&gt;0,M186&amp;newline,"")&amp;IF(LEN(N186)&gt;0,N186&amp;newline,"")&amp;IF(LEN(O186)&gt;0,O186&amp;newline,"")&amp;indent&amp;"break;","")</f>
        <v xml:space="preserve">        case 0xB8: /* CLV  */
            cpu.PS_V = false;
            break;</v>
      </c>
      <c r="Q186" s="22" t="str">
        <f t="shared" si="6"/>
        <v xml:space="preserve">    {"CLV", 0, AM_IMP, 2, 0},</v>
      </c>
    </row>
    <row r="187" spans="1:17" ht="66" x14ac:dyDescent="0.3">
      <c r="A187" s="22">
        <v>185</v>
      </c>
      <c r="B187" s="22" t="s">
        <v>99</v>
      </c>
      <c r="C187" s="22">
        <v>0</v>
      </c>
      <c r="D187" s="22" t="s">
        <v>135</v>
      </c>
      <c r="E187" s="22" t="str">
        <f>_xlfn.IFNA(VLOOKUP(D187,AccessModes!$D$2:$E$13,2,FALSE),"AM_IMP")</f>
        <v>AM_AIY</v>
      </c>
      <c r="F187" s="22">
        <v>4</v>
      </c>
      <c r="G187" s="22">
        <v>1</v>
      </c>
      <c r="H187" s="22" t="str">
        <f>$H$163</f>
        <v>cpu.A</v>
      </c>
      <c r="I187" s="22" t="str">
        <f>$I$163</f>
        <v>cpu.A</v>
      </c>
      <c r="J187" s="22" t="str">
        <f>$J$163</f>
        <v/>
      </c>
      <c r="K187" s="22" t="str">
        <f>IF(LEN(H187)&gt;0,indent&amp;H187&amp;" = "&amp;VLOOKUP($E187,AccessModes!$E$2:$I$13,4,FALSE),"")</f>
        <v xml:space="preserve">            cpu.A = memory_getAbsoluteIndexedY();</v>
      </c>
      <c r="L187" s="15" t="str">
        <f>$L$163</f>
        <v/>
      </c>
      <c r="M187" s="15" t="str">
        <f t="shared" si="5"/>
        <v xml:space="preserve">            cpu.PS_N =  (bool)(cpu.A &amp; 0x80);
            cpu.PS_Z = (cpu.A == 0);</v>
      </c>
      <c r="N187" s="22" t="str">
        <f>IF(LEN(J187)&gt;0,indent&amp;IF(J187="LAST",AccessModes!$I$15&amp;H187,VLOOKUP($E187,AccessModes!$E$2:$I$13,5,FALSE)&amp;J187)&amp;");","")</f>
        <v/>
      </c>
      <c r="O187" s="22"/>
      <c r="P187" s="15" t="str">
        <f>IF(C187=0,indent0&amp;"case 0x"&amp;DEC2HEX(A187)&amp;": /* "&amp;B187&amp;" "&amp;VLOOKUP(E187,AccessModes!$E$2:$G$13,3,FALSE)&amp;" */"&amp;newline&amp;IF(LEN(K187)&gt;0,K187&amp;CHAR(10),"")&amp;IF(LEN(L187)&gt;0,L187&amp;newline,"")&amp;IF(LEN(M187)&gt;0,M187&amp;newline,"")&amp;IF(LEN(N187)&gt;0,N187&amp;newline,"")&amp;IF(LEN(O187)&gt;0,O187&amp;newline,"")&amp;indent&amp;"break;","")</f>
        <v xml:space="preserve">        case 0xB9: /* LDA aaaa,Y */
            cpu.A = memory_getAbsoluteIndexedY();
            cpu.PS_N =  (bool)(cpu.A &amp; 0x80);
            cpu.PS_Z = (cpu.A == 0);
            break;</v>
      </c>
      <c r="Q187" s="22" t="str">
        <f t="shared" si="6"/>
        <v xml:space="preserve">    {"LDA", 0, AM_AIY, 4, 1},</v>
      </c>
    </row>
    <row r="188" spans="1:17" ht="66" x14ac:dyDescent="0.3">
      <c r="A188" s="22">
        <v>186</v>
      </c>
      <c r="B188" s="22" t="s">
        <v>107</v>
      </c>
      <c r="C188" s="22">
        <v>0</v>
      </c>
      <c r="D188" s="22" t="s">
        <v>139</v>
      </c>
      <c r="E188" s="22" t="str">
        <f>_xlfn.IFNA(VLOOKUP(D188,AccessModes!$D$2:$E$13,2,FALSE),"AM_IMP")</f>
        <v>AM_IMP</v>
      </c>
      <c r="F188" s="22">
        <v>2</v>
      </c>
      <c r="G188" s="22">
        <v>0</v>
      </c>
      <c r="H188" s="28"/>
      <c r="I188" s="28" t="s">
        <v>226</v>
      </c>
      <c r="J188" s="28" t="str">
        <f t="shared" si="7"/>
        <v/>
      </c>
      <c r="K188" s="22" t="str">
        <f>IF(LEN(H188)&gt;0,indent&amp;H188&amp;" = "&amp;VLOOKUP($E188,AccessModes!$E$2:$I$13,4,FALSE),"")</f>
        <v/>
      </c>
      <c r="L188" s="29" t="str">
        <f>indent&amp;"cpu.X = cpu.SP;"</f>
        <v xml:space="preserve">            cpu.X = cpu.SP;</v>
      </c>
      <c r="M188" s="15" t="str">
        <f t="shared" si="5"/>
        <v xml:space="preserve">            cpu.PS_N =  (bool)(cpu.X &amp; 0x80);
            cpu.PS_Z = (cpu.X == 0);</v>
      </c>
      <c r="N188" s="22" t="str">
        <f>IF(LEN(J188)&gt;0,indent&amp;IF(J188="LAST",AccessModes!$I$15&amp;H188,VLOOKUP($E188,AccessModes!$E$2:$I$13,5,FALSE)&amp;J188)&amp;");","")</f>
        <v/>
      </c>
      <c r="O188" s="22"/>
      <c r="P188" s="15" t="str">
        <f>IF(C188=0,indent0&amp;"case 0x"&amp;DEC2HEX(A188)&amp;": /* "&amp;B188&amp;" "&amp;VLOOKUP(E188,AccessModes!$E$2:$G$13,3,FALSE)&amp;" */"&amp;newline&amp;IF(LEN(K188)&gt;0,K188&amp;CHAR(10),"")&amp;IF(LEN(L188)&gt;0,L188&amp;newline,"")&amp;IF(LEN(M188)&gt;0,M188&amp;newline,"")&amp;IF(LEN(N188)&gt;0,N188&amp;newline,"")&amp;IF(LEN(O188)&gt;0,O188&amp;newline,"")&amp;indent&amp;"break;","")</f>
        <v xml:space="preserve">        case 0xBA: /* TSX  */
            cpu.X = cpu.SP;
            cpu.PS_N =  (bool)(cpu.X &amp; 0x80);
            cpu.PS_Z = (cpu.X == 0);
            break;</v>
      </c>
      <c r="Q188" s="22" t="str">
        <f t="shared" si="6"/>
        <v xml:space="preserve">    {"TSX", 0, AM_IMP, 2, 0},</v>
      </c>
    </row>
    <row r="189" spans="1:17" x14ac:dyDescent="0.3">
      <c r="A189" s="23">
        <v>187</v>
      </c>
      <c r="B189" s="23" t="s">
        <v>108</v>
      </c>
      <c r="C189" s="23">
        <v>-1</v>
      </c>
      <c r="D189" s="23" t="s">
        <v>135</v>
      </c>
      <c r="E189" s="23" t="str">
        <f>_xlfn.IFNA(VLOOKUP(D189,AccessModes!$D$2:$E$13,2,FALSE),"AM_IMP")</f>
        <v>AM_AIY</v>
      </c>
      <c r="F189" s="23">
        <v>4</v>
      </c>
      <c r="G189" s="23">
        <v>1</v>
      </c>
      <c r="H189" s="23"/>
      <c r="I189" s="23"/>
      <c r="J189" s="23" t="str">
        <f t="shared" si="7"/>
        <v/>
      </c>
      <c r="K189" s="23" t="str">
        <f>IF(LEN(H189)&gt;0,indent&amp;H189&amp;" = "&amp;VLOOKUP($E189,AccessModes!$E$2:$I$13,4,FALSE),"")</f>
        <v/>
      </c>
      <c r="L189" s="17" t="str">
        <f>indent&amp;"/* TODO: implementation of the action */"</f>
        <v xml:space="preserve">            /* TODO: implementation of the action */</v>
      </c>
      <c r="M189" s="17" t="str">
        <f t="shared" si="5"/>
        <v/>
      </c>
      <c r="N189" s="23" t="str">
        <f>IF(LEN(J189)&gt;0,indent&amp;IF(J189="LAST",AccessModes!$I$15&amp;H189,VLOOKUP($E189,AccessModes!$E$2:$I$13,5,FALSE)&amp;J189)&amp;");","")</f>
        <v/>
      </c>
      <c r="O189" s="23"/>
      <c r="P189" s="17" t="str">
        <f>IF(C189=0,indent0&amp;"case 0x"&amp;DEC2HEX(A189)&amp;": /* "&amp;B189&amp;" "&amp;VLOOKUP(E189,AccessModes!$E$2:$G$13,3,FALSE)&amp;" */"&amp;newline&amp;IF(LEN(K189)&gt;0,K189&amp;CHAR(10),"")&amp;IF(LEN(L189)&gt;0,L189&amp;newline,"")&amp;IF(LEN(M189)&gt;0,M189&amp;newline,"")&amp;IF(LEN(N189)&gt;0,N189&amp;newline,"")&amp;IF(LEN(O189)&gt;0,O189&amp;newline,"")&amp;indent&amp;"break;","")</f>
        <v/>
      </c>
      <c r="Q189" s="23" t="str">
        <f t="shared" si="6"/>
        <v xml:space="preserve">    {"LAS", -1, AM_AIY, 4, 1},</v>
      </c>
    </row>
    <row r="190" spans="1:17" ht="66" x14ac:dyDescent="0.3">
      <c r="A190" s="22">
        <v>188</v>
      </c>
      <c r="B190" s="22" t="s">
        <v>98</v>
      </c>
      <c r="C190" s="22">
        <v>0</v>
      </c>
      <c r="D190" s="22" t="s">
        <v>136</v>
      </c>
      <c r="E190" s="22" t="str">
        <f>_xlfn.IFNA(VLOOKUP(D190,AccessModes!$D$2:$E$13,2,FALSE),"AM_IMP")</f>
        <v>AM_AIX</v>
      </c>
      <c r="F190" s="22">
        <v>4</v>
      </c>
      <c r="G190" s="22">
        <v>1</v>
      </c>
      <c r="H190" s="22" t="str">
        <f>$H$162</f>
        <v>cpu.Y</v>
      </c>
      <c r="I190" s="22" t="str">
        <f>$I$162</f>
        <v>cpu.Y</v>
      </c>
      <c r="J190" s="22" t="str">
        <f t="shared" si="7"/>
        <v/>
      </c>
      <c r="K190" s="22" t="str">
        <f>IF(LEN(H190)&gt;0,indent&amp;H190&amp;" = "&amp;VLOOKUP($E190,AccessModes!$E$2:$I$13,4,FALSE),"")</f>
        <v xml:space="preserve">            cpu.Y = memory_getAbsoluteIndexedX();</v>
      </c>
      <c r="L190" s="15" t="str">
        <f>$L$162</f>
        <v/>
      </c>
      <c r="M190" s="15" t="str">
        <f t="shared" si="5"/>
        <v xml:space="preserve">            cpu.PS_N =  (bool)(cpu.Y &amp; 0x80);
            cpu.PS_Z = (cpu.Y == 0);</v>
      </c>
      <c r="N190" s="22" t="str">
        <f>IF(LEN(J190)&gt;0,indent&amp;IF(J190="LAST",AccessModes!$I$15&amp;H190,VLOOKUP($E190,AccessModes!$E$2:$I$13,5,FALSE)&amp;J190)&amp;");","")</f>
        <v/>
      </c>
      <c r="O190" s="22"/>
      <c r="P190" s="15" t="str">
        <f>IF(C190=0,indent0&amp;"case 0x"&amp;DEC2HEX(A190)&amp;": /* "&amp;B190&amp;" "&amp;VLOOKUP(E190,AccessModes!$E$2:$G$13,3,FALSE)&amp;" */"&amp;newline&amp;IF(LEN(K190)&gt;0,K190&amp;CHAR(10),"")&amp;IF(LEN(L190)&gt;0,L190&amp;newline,"")&amp;IF(LEN(M190)&gt;0,M190&amp;newline,"")&amp;IF(LEN(N190)&gt;0,N190&amp;newline,"")&amp;IF(LEN(O190)&gt;0,O190&amp;newline,"")&amp;indent&amp;"break;","")</f>
        <v xml:space="preserve">        case 0xBC: /* LDY aaaa,X */
            cpu.Y = memory_getAbsoluteIndexedX();
            cpu.PS_N =  (bool)(cpu.Y &amp; 0x80);
            cpu.PS_Z = (cpu.Y == 0);
            break;</v>
      </c>
      <c r="Q190" s="22" t="str">
        <f t="shared" si="6"/>
        <v xml:space="preserve">    {"LDY", 0, AM_AIX, 4, 1},</v>
      </c>
    </row>
    <row r="191" spans="1:17" ht="66" x14ac:dyDescent="0.3">
      <c r="A191" s="22">
        <v>189</v>
      </c>
      <c r="B191" s="22" t="s">
        <v>99</v>
      </c>
      <c r="C191" s="22">
        <v>0</v>
      </c>
      <c r="D191" s="22" t="s">
        <v>136</v>
      </c>
      <c r="E191" s="22" t="str">
        <f>_xlfn.IFNA(VLOOKUP(D191,AccessModes!$D$2:$E$13,2,FALSE),"AM_IMP")</f>
        <v>AM_AIX</v>
      </c>
      <c r="F191" s="22">
        <v>4</v>
      </c>
      <c r="G191" s="22">
        <v>1</v>
      </c>
      <c r="H191" s="22" t="str">
        <f>$H$163</f>
        <v>cpu.A</v>
      </c>
      <c r="I191" s="22" t="str">
        <f>$I$163</f>
        <v>cpu.A</v>
      </c>
      <c r="J191" s="22" t="str">
        <f>$J$163</f>
        <v/>
      </c>
      <c r="K191" s="22" t="str">
        <f>IF(LEN(H191)&gt;0,indent&amp;H191&amp;" = "&amp;VLOOKUP($E191,AccessModes!$E$2:$I$13,4,FALSE),"")</f>
        <v xml:space="preserve">            cpu.A = memory_getAbsoluteIndexedX();</v>
      </c>
      <c r="L191" s="15" t="str">
        <f>$L$163</f>
        <v/>
      </c>
      <c r="M191" s="15" t="str">
        <f t="shared" si="5"/>
        <v xml:space="preserve">            cpu.PS_N =  (bool)(cpu.A &amp; 0x80);
            cpu.PS_Z = (cpu.A == 0);</v>
      </c>
      <c r="N191" s="22" t="str">
        <f>IF(LEN(J191)&gt;0,indent&amp;IF(J191="LAST",AccessModes!$I$15&amp;H191,VLOOKUP($E191,AccessModes!$E$2:$I$13,5,FALSE)&amp;J191)&amp;");","")</f>
        <v/>
      </c>
      <c r="O191" s="22"/>
      <c r="P191" s="15" t="str">
        <f>IF(C191=0,indent0&amp;"case 0x"&amp;DEC2HEX(A191)&amp;": /* "&amp;B191&amp;" "&amp;VLOOKUP(E191,AccessModes!$E$2:$G$13,3,FALSE)&amp;" */"&amp;newline&amp;IF(LEN(K191)&gt;0,K191&amp;CHAR(10),"")&amp;IF(LEN(L191)&gt;0,L191&amp;newline,"")&amp;IF(LEN(M191)&gt;0,M191&amp;newline,"")&amp;IF(LEN(N191)&gt;0,N191&amp;newline,"")&amp;IF(LEN(O191)&gt;0,O191&amp;newline,"")&amp;indent&amp;"break;","")</f>
        <v xml:space="preserve">        case 0xBD: /* LDA aaaa,X */
            cpu.A = memory_getAbsoluteIndexedX();
            cpu.PS_N =  (bool)(cpu.A &amp; 0x80);
            cpu.PS_Z = (cpu.A == 0);
            break;</v>
      </c>
      <c r="Q191" s="22" t="str">
        <f t="shared" si="6"/>
        <v xml:space="preserve">    {"LDA", 0, AM_AIX, 4, 1},</v>
      </c>
    </row>
    <row r="192" spans="1:17" ht="66" x14ac:dyDescent="0.3">
      <c r="A192" s="22">
        <v>190</v>
      </c>
      <c r="B192" s="22" t="s">
        <v>100</v>
      </c>
      <c r="C192" s="22">
        <v>0</v>
      </c>
      <c r="D192" s="22" t="s">
        <v>135</v>
      </c>
      <c r="E192" s="22" t="str">
        <f>_xlfn.IFNA(VLOOKUP(D192,AccessModes!$D$2:$E$13,2,FALSE),"AM_IMP")</f>
        <v>AM_AIY</v>
      </c>
      <c r="F192" s="22">
        <v>4</v>
      </c>
      <c r="G192" s="22">
        <v>1</v>
      </c>
      <c r="H192" s="22" t="str">
        <f>$H$164</f>
        <v>cpu.X</v>
      </c>
      <c r="I192" s="22" t="str">
        <f>$I$164</f>
        <v>cpu.X</v>
      </c>
      <c r="J192" s="22" t="str">
        <f>$J$164</f>
        <v/>
      </c>
      <c r="K192" s="22" t="str">
        <f>IF(LEN(H192)&gt;0,indent&amp;H192&amp;" = "&amp;VLOOKUP($E192,AccessModes!$E$2:$I$13,4,FALSE),"")</f>
        <v xml:space="preserve">            cpu.X = memory_getAbsoluteIndexedY();</v>
      </c>
      <c r="L192" s="15" t="str">
        <f>$L$164</f>
        <v/>
      </c>
      <c r="M192" s="15" t="str">
        <f t="shared" si="5"/>
        <v xml:space="preserve">            cpu.PS_N =  (bool)(cpu.X &amp; 0x80);
            cpu.PS_Z = (cpu.X == 0);</v>
      </c>
      <c r="N192" s="22" t="str">
        <f>IF(LEN(J192)&gt;0,indent&amp;IF(J192="LAST",AccessModes!$I$15&amp;H192,VLOOKUP($E192,AccessModes!$E$2:$I$13,5,FALSE)&amp;J192)&amp;");","")</f>
        <v/>
      </c>
      <c r="O192" s="22"/>
      <c r="P192" s="15" t="str">
        <f>IF(C192=0,indent0&amp;"case 0x"&amp;DEC2HEX(A192)&amp;": /* "&amp;B192&amp;" "&amp;VLOOKUP(E192,AccessModes!$E$2:$G$13,3,FALSE)&amp;" */"&amp;newline&amp;IF(LEN(K192)&gt;0,K192&amp;CHAR(10),"")&amp;IF(LEN(L192)&gt;0,L192&amp;newline,"")&amp;IF(LEN(M192)&gt;0,M192&amp;newline,"")&amp;IF(LEN(N192)&gt;0,N192&amp;newline,"")&amp;IF(LEN(O192)&gt;0,O192&amp;newline,"")&amp;indent&amp;"break;","")</f>
        <v xml:space="preserve">        case 0xBE: /* LDX aaaa,Y */
            cpu.X = memory_getAbsoluteIndexedY();
            cpu.PS_N =  (bool)(cpu.X &amp; 0x80);
            cpu.PS_Z = (cpu.X == 0);
            break;</v>
      </c>
      <c r="Q192" s="22" t="str">
        <f t="shared" si="6"/>
        <v xml:space="preserve">    {"LDX", 0, AM_AIY, 4, 1},</v>
      </c>
    </row>
    <row r="193" spans="1:17" x14ac:dyDescent="0.3">
      <c r="A193" s="23">
        <v>191</v>
      </c>
      <c r="B193" s="23" t="s">
        <v>101</v>
      </c>
      <c r="C193" s="23">
        <v>-1</v>
      </c>
      <c r="D193" s="23" t="s">
        <v>135</v>
      </c>
      <c r="E193" s="23" t="str">
        <f>_xlfn.IFNA(VLOOKUP(D193,AccessModes!$D$2:$E$13,2,FALSE),"AM_IMP")</f>
        <v>AM_AIY</v>
      </c>
      <c r="F193" s="23">
        <v>4</v>
      </c>
      <c r="G193" s="23">
        <v>1</v>
      </c>
      <c r="H193" s="23"/>
      <c r="I193" s="23"/>
      <c r="J193" s="23"/>
      <c r="K193" s="23" t="str">
        <f>IF(LEN(H193)&gt;0,indent&amp;H193&amp;" = "&amp;VLOOKUP($E193,AccessModes!$E$2:$I$13,4,FALSE),"")</f>
        <v/>
      </c>
      <c r="L193" s="17" t="str">
        <f>indent&amp;"/* TODO: implementation of the action */"</f>
        <v xml:space="preserve">            /* TODO: implementation of the action */</v>
      </c>
      <c r="M193" s="17" t="str">
        <f t="shared" si="5"/>
        <v/>
      </c>
      <c r="N193" s="23" t="str">
        <f>IF(LEN(J193)&gt;0,indent&amp;IF(J193="LAST",AccessModes!$I$15&amp;H193,VLOOKUP($E193,AccessModes!$E$2:$I$13,5,FALSE)&amp;J193)&amp;");","")</f>
        <v/>
      </c>
      <c r="O193" s="23"/>
      <c r="P193" s="17" t="str">
        <f>IF(C193=0,indent0&amp;"case 0x"&amp;DEC2HEX(A193)&amp;": /* "&amp;B193&amp;" "&amp;VLOOKUP(E193,AccessModes!$E$2:$G$13,3,FALSE)&amp;" */"&amp;newline&amp;IF(LEN(K193)&gt;0,K193&amp;CHAR(10),"")&amp;IF(LEN(L193)&gt;0,L193&amp;newline,"")&amp;IF(LEN(M193)&gt;0,M193&amp;newline,"")&amp;IF(LEN(N193)&gt;0,N193&amp;newline,"")&amp;IF(LEN(O193)&gt;0,O193&amp;newline,"")&amp;indent&amp;"break;","")</f>
        <v/>
      </c>
      <c r="Q193" s="23" t="str">
        <f t="shared" si="6"/>
        <v xml:space="preserve">    {"LAX", -1, AM_AIY, 4, 1},</v>
      </c>
    </row>
    <row r="194" spans="1:17" ht="92.4" x14ac:dyDescent="0.3">
      <c r="A194" s="22">
        <v>192</v>
      </c>
      <c r="B194" s="22" t="s">
        <v>110</v>
      </c>
      <c r="C194" s="22">
        <v>0</v>
      </c>
      <c r="D194" s="22" t="s">
        <v>130</v>
      </c>
      <c r="E194" s="22" t="str">
        <f>_xlfn.IFNA(VLOOKUP(D194,AccessModes!$D$2:$E$13,2,FALSE),"AM_IMP")</f>
        <v>AM_IMM</v>
      </c>
      <c r="F194" s="22">
        <v>2</v>
      </c>
      <c r="G194" s="22">
        <v>0</v>
      </c>
      <c r="H194" s="28" t="str">
        <f>I194</f>
        <v>value</v>
      </c>
      <c r="I194" s="28" t="s">
        <v>224</v>
      </c>
      <c r="J194" s="28" t="str">
        <f>""</f>
        <v/>
      </c>
      <c r="K194" s="22" t="str">
        <f>IF(LEN(H194)&gt;0,indent&amp;H194&amp;" = "&amp;VLOOKUP($E194,AccessModes!$E$2:$I$13,4,FALSE),"")</f>
        <v xml:space="preserve">            value = memory_getImmediate();</v>
      </c>
      <c r="L194" s="29" t="str">
        <f>indent&amp;"value = cpu.Y - value;"</f>
        <v xml:space="preserve">            value = cpu.Y - value;</v>
      </c>
      <c r="M194" s="32" t="str">
        <f t="shared" ref="M194:M257" si="8">IF(LEN(I194)&gt;0,indent&amp;"cpu.PS_N =  (bool)("&amp;I194&amp;" &amp; 0x80);"&amp;newline&amp;indent&amp;"cpu.PS_Z = ("&amp;I194&amp;" == 0);","")</f>
        <v xml:space="preserve">            cpu.PS_N =  (bool)(value &amp; 0x80);
            cpu.PS_Z = (value == 0);</v>
      </c>
      <c r="N194" s="22" t="str">
        <f>IF(LEN(J194)&gt;0,indent&amp;IF(J194="LAST",AccessModes!$I$15&amp;H194,VLOOKUP($E194,AccessModes!$E$2:$I$13,5,FALSE)&amp;J194)&amp;");","")</f>
        <v/>
      </c>
      <c r="O194" s="29" t="str">
        <f>indent&amp;"cpu.PS_C = !cpu.PS_N;"</f>
        <v xml:space="preserve">            cpu.PS_C = !cpu.PS_N;</v>
      </c>
      <c r="P194" s="15" t="str">
        <f>IF(C194=0,indent0&amp;"case 0x"&amp;DEC2HEX(A194)&amp;": /* "&amp;B194&amp;" "&amp;VLOOKUP(E194,AccessModes!$E$2:$G$13,3,FALSE)&amp;" */"&amp;newline&amp;IF(LEN(K194)&gt;0,K194&amp;CHAR(10),"")&amp;IF(LEN(L194)&gt;0,L194&amp;newline,"")&amp;IF(LEN(M194)&gt;0,M194&amp;newline,"")&amp;IF(LEN(N194)&gt;0,N194&amp;newline,"")&amp;IF(LEN(O194)&gt;0,O194&amp;newline,"")&amp;indent&amp;"break;","")</f>
        <v xml:space="preserve">        case 0xC0: /* CPY #aa */
            value = memory_getImmediate();
            value = cpu.Y - value;
            cpu.PS_N =  (bool)(value &amp; 0x80);
            cpu.PS_Z = (value == 0);
            cpu.PS_C = !cpu.PS_N;
            break;</v>
      </c>
      <c r="Q194" s="22" t="str">
        <f t="shared" si="6"/>
        <v xml:space="preserve">    {"CPY", 0, AM_IMM, 2, 0},</v>
      </c>
    </row>
    <row r="195" spans="1:17" ht="92.4" x14ac:dyDescent="0.3">
      <c r="A195" s="22">
        <v>193</v>
      </c>
      <c r="B195" s="22" t="s">
        <v>111</v>
      </c>
      <c r="C195" s="22">
        <v>0</v>
      </c>
      <c r="D195" s="22" t="s">
        <v>129</v>
      </c>
      <c r="E195" s="22" t="str">
        <f>_xlfn.IFNA(VLOOKUP(D195,AccessModes!$D$2:$E$13,2,FALSE),"AM_IMP")</f>
        <v>AM_ZIX</v>
      </c>
      <c r="F195" s="22">
        <v>6</v>
      </c>
      <c r="G195" s="22">
        <v>0</v>
      </c>
      <c r="H195" s="28" t="s">
        <v>224</v>
      </c>
      <c r="I195" s="28" t="s">
        <v>224</v>
      </c>
      <c r="J195" s="28" t="s">
        <v>139</v>
      </c>
      <c r="K195" s="22" t="str">
        <f>IF(LEN(H195)&gt;0,indent&amp;H195&amp;" = "&amp;VLOOKUP($E195,AccessModes!$E$2:$I$13,4,FALSE),"")</f>
        <v xml:space="preserve">            value = memory_getZeroPageIndexedX();</v>
      </c>
      <c r="L195" s="29" t="str">
        <f>indent&amp;"value = cpu.A - value;"</f>
        <v xml:space="preserve">            value = cpu.A - value;</v>
      </c>
      <c r="M195" s="15" t="str">
        <f t="shared" si="8"/>
        <v xml:space="preserve">            cpu.PS_N =  (bool)(value &amp; 0x80);
            cpu.PS_Z = (value == 0);</v>
      </c>
      <c r="N195" s="22" t="str">
        <f>IF(LEN(J195)&gt;0,indent&amp;IF(J195="LAST",AccessModes!$I$15&amp;H195,VLOOKUP($E195,AccessModes!$E$2:$I$13,5,FALSE)&amp;J195)&amp;");","")</f>
        <v/>
      </c>
      <c r="O195" s="29" t="str">
        <f>indent&amp;"cpu.PS_C = !cpu.PS_N;"</f>
        <v xml:space="preserve">            cpu.PS_C = !cpu.PS_N;</v>
      </c>
      <c r="P195" s="15" t="str">
        <f>IF(C195=0,indent0&amp;"case 0x"&amp;DEC2HEX(A195)&amp;": /* "&amp;B195&amp;" "&amp;VLOOKUP(E195,AccessModes!$E$2:$G$13,3,FALSE)&amp;" */"&amp;newline&amp;IF(LEN(K195)&gt;0,K195&amp;CHAR(10),"")&amp;IF(LEN(L195)&gt;0,L195&amp;newline,"")&amp;IF(LEN(M195)&gt;0,M195&amp;newline,"")&amp;IF(LEN(N195)&gt;0,N195&amp;newline,"")&amp;IF(LEN(O195)&gt;0,O195&amp;newline,"")&amp;indent&amp;"break;","")</f>
        <v xml:space="preserve">        case 0xC1: /* CMP aa,X */
            value = memory_getZeroPageIndexedX();
            value = cpu.A - value;
            cpu.PS_N =  (bool)(value &amp; 0x80);
            cpu.PS_Z = (value == 0);
            cpu.PS_C = !cpu.PS_N;
            break;</v>
      </c>
      <c r="Q195" s="22" t="str">
        <f t="shared" si="6"/>
        <v xml:space="preserve">    {"CMP", 0, AM_ZIX, 6, 0},</v>
      </c>
    </row>
    <row r="196" spans="1:17" x14ac:dyDescent="0.3">
      <c r="A196" s="23">
        <v>194</v>
      </c>
      <c r="B196" s="23" t="s">
        <v>23</v>
      </c>
      <c r="C196" s="23">
        <v>-1</v>
      </c>
      <c r="D196" s="23" t="s">
        <v>130</v>
      </c>
      <c r="E196" s="23" t="str">
        <f>_xlfn.IFNA(VLOOKUP(D196,AccessModes!$D$2:$E$13,2,FALSE),"AM_IMP")</f>
        <v>AM_IMM</v>
      </c>
      <c r="F196" s="23">
        <v>2</v>
      </c>
      <c r="G196" s="23">
        <v>0</v>
      </c>
      <c r="H196" s="23"/>
      <c r="I196" s="23"/>
      <c r="J196" s="23"/>
      <c r="K196" s="23" t="str">
        <f>IF(LEN(H196)&gt;0,indent&amp;H196&amp;" = "&amp;VLOOKUP($E196,AccessModes!$E$2:$I$13,4,FALSE),"")</f>
        <v/>
      </c>
      <c r="L196" s="17" t="str">
        <f>indent&amp;"/* TODO: implementation of the action */"</f>
        <v xml:space="preserve">            /* TODO: implementation of the action */</v>
      </c>
      <c r="M196" s="17" t="str">
        <f t="shared" si="8"/>
        <v/>
      </c>
      <c r="N196" s="23" t="str">
        <f>IF(LEN(J196)&gt;0,indent&amp;IF(J196="LAST",AccessModes!$I$15&amp;H196,VLOOKUP($E196,AccessModes!$E$2:$I$13,5,FALSE)&amp;J196)&amp;");","")</f>
        <v/>
      </c>
      <c r="O196" s="23"/>
      <c r="P196" s="17" t="str">
        <f>IF(C196=0,indent0&amp;"case 0x"&amp;DEC2HEX(A196)&amp;": /* "&amp;B196&amp;" "&amp;VLOOKUP(E196,AccessModes!$E$2:$G$13,3,FALSE)&amp;" */"&amp;newline&amp;IF(LEN(K196)&gt;0,K196&amp;CHAR(10),"")&amp;IF(LEN(L196)&gt;0,L196&amp;newline,"")&amp;IF(LEN(M196)&gt;0,M196&amp;newline,"")&amp;IF(LEN(N196)&gt;0,N196&amp;newline,"")&amp;IF(LEN(O196)&gt;0,O196&amp;newline,"")&amp;indent&amp;"break;","")</f>
        <v/>
      </c>
      <c r="Q196" s="23" t="str">
        <f t="shared" si="6"/>
        <v xml:space="preserve">    {"NOP", -1, AM_IMM, 2, 0},</v>
      </c>
    </row>
    <row r="197" spans="1:17" x14ac:dyDescent="0.3">
      <c r="A197" s="23">
        <v>195</v>
      </c>
      <c r="B197" s="23" t="s">
        <v>112</v>
      </c>
      <c r="C197" s="23">
        <v>-1</v>
      </c>
      <c r="D197" s="23" t="s">
        <v>129</v>
      </c>
      <c r="E197" s="23" t="str">
        <f>_xlfn.IFNA(VLOOKUP(D197,AccessModes!$D$2:$E$13,2,FALSE),"AM_IMP")</f>
        <v>AM_ZIX</v>
      </c>
      <c r="F197" s="23">
        <v>8</v>
      </c>
      <c r="G197" s="23">
        <v>0</v>
      </c>
      <c r="H197" s="23"/>
      <c r="I197" s="23"/>
      <c r="J197" s="23"/>
      <c r="K197" s="23" t="str">
        <f>IF(LEN(H197)&gt;0,indent&amp;H197&amp;" = "&amp;VLOOKUP($E197,AccessModes!$E$2:$I$13,4,FALSE),"")</f>
        <v/>
      </c>
      <c r="L197" s="17" t="str">
        <f>indent&amp;"/* TODO: implementation of the action */"</f>
        <v xml:space="preserve">            /* TODO: implementation of the action */</v>
      </c>
      <c r="M197" s="17" t="str">
        <f t="shared" si="8"/>
        <v/>
      </c>
      <c r="N197" s="23" t="str">
        <f>IF(LEN(J197)&gt;0,indent&amp;IF(J197="LAST",AccessModes!$I$15&amp;H197,VLOOKUP($E197,AccessModes!$E$2:$I$13,5,FALSE)&amp;J197)&amp;");","")</f>
        <v/>
      </c>
      <c r="O197" s="23"/>
      <c r="P197" s="17" t="str">
        <f>IF(C197=0,indent0&amp;"case 0x"&amp;DEC2HEX(A197)&amp;": /* "&amp;B197&amp;" "&amp;VLOOKUP(E197,AccessModes!$E$2:$G$13,3,FALSE)&amp;" */"&amp;newline&amp;IF(LEN(K197)&gt;0,K197&amp;CHAR(10),"")&amp;IF(LEN(L197)&gt;0,L197&amp;newline,"")&amp;IF(LEN(M197)&gt;0,M197&amp;newline,"")&amp;IF(LEN(N197)&gt;0,N197&amp;newline,"")&amp;IF(LEN(O197)&gt;0,O197&amp;newline,"")&amp;indent&amp;"break;","")</f>
        <v/>
      </c>
      <c r="Q197" s="23" t="str">
        <f t="shared" si="6"/>
        <v xml:space="preserve">    {"DCP", -1, AM_ZIX, 8, 0},</v>
      </c>
    </row>
    <row r="198" spans="1:17" ht="92.4" x14ac:dyDescent="0.3">
      <c r="A198" s="22">
        <v>196</v>
      </c>
      <c r="B198" s="22" t="s">
        <v>110</v>
      </c>
      <c r="C198" s="22">
        <v>0</v>
      </c>
      <c r="D198" s="22" t="s">
        <v>144</v>
      </c>
      <c r="E198" s="22" t="str">
        <f>_xlfn.IFNA(VLOOKUP(D198,AccessModes!$D$2:$E$13,2,FALSE),"AM_IMP")</f>
        <v>AM_ZPG</v>
      </c>
      <c r="F198" s="22">
        <v>3</v>
      </c>
      <c r="G198" s="22">
        <v>0</v>
      </c>
      <c r="H198" s="22" t="str">
        <f>$H$194</f>
        <v>value</v>
      </c>
      <c r="I198" s="22" t="str">
        <f>$I$194</f>
        <v>value</v>
      </c>
      <c r="J198" s="22" t="str">
        <f>$J$194</f>
        <v/>
      </c>
      <c r="K198" s="22" t="str">
        <f>IF(LEN(H198)&gt;0,indent&amp;H198&amp;" = "&amp;VLOOKUP($E198,AccessModes!$E$2:$I$13,4,FALSE),"")</f>
        <v xml:space="preserve">            value = memory_getZeroPage();</v>
      </c>
      <c r="L198" s="15" t="str">
        <f>$L$194</f>
        <v xml:space="preserve">            value = cpu.Y - value;</v>
      </c>
      <c r="M198" s="15" t="str">
        <f t="shared" si="8"/>
        <v xml:space="preserve">            cpu.PS_N =  (bool)(value &amp; 0x80);
            cpu.PS_Z = (value == 0);</v>
      </c>
      <c r="N198" s="22" t="str">
        <f>IF(LEN(J198)&gt;0,indent&amp;IF(J198="LAST",AccessModes!$I$15&amp;H198,VLOOKUP($E198,AccessModes!$E$2:$I$13,5,FALSE)&amp;J198)&amp;");","")</f>
        <v/>
      </c>
      <c r="O198" s="15" t="str">
        <f>$O$194</f>
        <v xml:space="preserve">            cpu.PS_C = !cpu.PS_N;</v>
      </c>
      <c r="P198" s="15" t="str">
        <f>IF(C198=0,indent0&amp;"case 0x"&amp;DEC2HEX(A198)&amp;": /* "&amp;B198&amp;" "&amp;VLOOKUP(E198,AccessModes!$E$2:$G$13,3,FALSE)&amp;" */"&amp;newline&amp;IF(LEN(K198)&gt;0,K198&amp;CHAR(10),"")&amp;IF(LEN(L198)&gt;0,L198&amp;newline,"")&amp;IF(LEN(M198)&gt;0,M198&amp;newline,"")&amp;IF(LEN(N198)&gt;0,N198&amp;newline,"")&amp;IF(LEN(O198)&gt;0,O198&amp;newline,"")&amp;indent&amp;"break;","")</f>
        <v xml:space="preserve">        case 0xC4: /* CPY aa */
            value = memory_getZeroPage();
            value = cpu.Y - value;
            cpu.PS_N =  (bool)(value &amp; 0x80);
            cpu.PS_Z = (value == 0);
            cpu.PS_C = !cpu.PS_N;
            break;</v>
      </c>
      <c r="Q198" s="22" t="str">
        <f t="shared" si="6"/>
        <v xml:space="preserve">    {"CPY", 0, AM_ZPG, 3, 0},</v>
      </c>
    </row>
    <row r="199" spans="1:17" ht="92.4" x14ac:dyDescent="0.3">
      <c r="A199" s="22">
        <v>197</v>
      </c>
      <c r="B199" s="22" t="s">
        <v>111</v>
      </c>
      <c r="C199" s="22">
        <v>0</v>
      </c>
      <c r="D199" s="22" t="s">
        <v>144</v>
      </c>
      <c r="E199" s="22" t="str">
        <f>_xlfn.IFNA(VLOOKUP(D199,AccessModes!$D$2:$E$13,2,FALSE),"AM_IMP")</f>
        <v>AM_ZPG</v>
      </c>
      <c r="F199" s="22">
        <v>3</v>
      </c>
      <c r="G199" s="22">
        <v>0</v>
      </c>
      <c r="H199" s="22" t="str">
        <f>$H$194</f>
        <v>value</v>
      </c>
      <c r="I199" s="22" t="str">
        <f>$I$194</f>
        <v>value</v>
      </c>
      <c r="J199" s="22" t="str">
        <f>$J$194</f>
        <v/>
      </c>
      <c r="K199" s="22" t="str">
        <f>IF(LEN(H199)&gt;0,indent&amp;H199&amp;" = "&amp;VLOOKUP($E199,AccessModes!$E$2:$I$13,4,FALSE),"")</f>
        <v xml:space="preserve">            value = memory_getZeroPage();</v>
      </c>
      <c r="L199" s="15" t="str">
        <f>$L$195</f>
        <v xml:space="preserve">            value = cpu.A - value;</v>
      </c>
      <c r="M199" s="15" t="str">
        <f t="shared" si="8"/>
        <v xml:space="preserve">            cpu.PS_N =  (bool)(value &amp; 0x80);
            cpu.PS_Z = (value == 0);</v>
      </c>
      <c r="N199" s="22" t="str">
        <f>IF(LEN(J199)&gt;0,indent&amp;IF(J199="LAST",AccessModes!$I$15&amp;H199,VLOOKUP($E199,AccessModes!$E$2:$I$13,5,FALSE)&amp;J199)&amp;");","")</f>
        <v/>
      </c>
      <c r="O199" s="15" t="str">
        <f>$O$195</f>
        <v xml:space="preserve">            cpu.PS_C = !cpu.PS_N;</v>
      </c>
      <c r="P199" s="15" t="str">
        <f>IF(C199=0,indent0&amp;"case 0x"&amp;DEC2HEX(A199)&amp;": /* "&amp;B199&amp;" "&amp;VLOOKUP(E199,AccessModes!$E$2:$G$13,3,FALSE)&amp;" */"&amp;newline&amp;IF(LEN(K199)&gt;0,K199&amp;CHAR(10),"")&amp;IF(LEN(L199)&gt;0,L199&amp;newline,"")&amp;IF(LEN(M199)&gt;0,M199&amp;newline,"")&amp;IF(LEN(N199)&gt;0,N199&amp;newline,"")&amp;IF(LEN(O199)&gt;0,O199&amp;newline,"")&amp;indent&amp;"break;","")</f>
        <v xml:space="preserve">        case 0xC5: /* CMP aa */
            value = memory_getZeroPage();
            value = cpu.A - value;
            cpu.PS_N =  (bool)(value &amp; 0x80);
            cpu.PS_Z = (value == 0);
            cpu.PS_C = !cpu.PS_N;
            break;</v>
      </c>
      <c r="Q199" s="22" t="str">
        <f t="shared" si="6"/>
        <v xml:space="preserve">    {"CMP", 0, AM_ZPG, 3, 0},</v>
      </c>
    </row>
    <row r="200" spans="1:17" ht="92.4" x14ac:dyDescent="0.3">
      <c r="A200" s="22">
        <v>198</v>
      </c>
      <c r="B200" s="22" t="s">
        <v>113</v>
      </c>
      <c r="C200" s="22">
        <v>0</v>
      </c>
      <c r="D200" s="22" t="s">
        <v>144</v>
      </c>
      <c r="E200" s="22" t="str">
        <f>_xlfn.IFNA(VLOOKUP(D200,AccessModes!$D$2:$E$13,2,FALSE),"AM_IMP")</f>
        <v>AM_ZPG</v>
      </c>
      <c r="F200" s="22">
        <v>5</v>
      </c>
      <c r="G200" s="22">
        <v>0</v>
      </c>
      <c r="H200" s="28" t="str">
        <f>I200</f>
        <v>value</v>
      </c>
      <c r="I200" s="28" t="s">
        <v>224</v>
      </c>
      <c r="J200" s="28" t="s">
        <v>227</v>
      </c>
      <c r="K200" s="22" t="str">
        <f>IF(LEN(H200)&gt;0,indent&amp;H200&amp;" = "&amp;VLOOKUP($E200,AccessModes!$E$2:$I$13,4,FALSE),"")</f>
        <v xml:space="preserve">            value = memory_getZeroPage();</v>
      </c>
      <c r="L200" s="29" t="str">
        <f>indent&amp;"--"&amp;I200&amp;";"</f>
        <v xml:space="preserve">            --value;</v>
      </c>
      <c r="M200" s="15" t="str">
        <f t="shared" si="8"/>
        <v xml:space="preserve">            cpu.PS_N =  (bool)(value &amp; 0x80);
            cpu.PS_Z = (value == 0);</v>
      </c>
      <c r="N200" s="22" t="str">
        <f>IF(LEN(J200)&gt;0,indent&amp;IF(J200="LAST",AccessModes!$I$15&amp;H200,VLOOKUP($E200,AccessModes!$E$2:$I$13,5,FALSE)&amp;J200)&amp;");","")</f>
        <v xml:space="preserve">            memory_setLast(value);</v>
      </c>
      <c r="O200" s="22"/>
      <c r="P200" s="15" t="str">
        <f>IF(C200=0,indent0&amp;"case 0x"&amp;DEC2HEX(A200)&amp;": /* "&amp;B200&amp;" "&amp;VLOOKUP(E200,AccessModes!$E$2:$G$13,3,FALSE)&amp;" */"&amp;newline&amp;IF(LEN(K200)&gt;0,K200&amp;CHAR(10),"")&amp;IF(LEN(L200)&gt;0,L200&amp;newline,"")&amp;IF(LEN(M200)&gt;0,M200&amp;newline,"")&amp;IF(LEN(N200)&gt;0,N200&amp;newline,"")&amp;IF(LEN(O200)&gt;0,O200&amp;newline,"")&amp;indent&amp;"break;","")</f>
        <v xml:space="preserve">        case 0xC6: /* DEC aa */
            value = memory_getZeroPage();
            --value;
            cpu.PS_N =  (bool)(value &amp; 0x80);
            cpu.PS_Z = (value == 0);
            memory_setLast(value);
            break;</v>
      </c>
      <c r="Q200" s="22" t="str">
        <f t="shared" si="6"/>
        <v xml:space="preserve">    {"DEC", 0, AM_ZPG, 5, 0},</v>
      </c>
    </row>
    <row r="201" spans="1:17" x14ac:dyDescent="0.3">
      <c r="A201" s="23">
        <v>199</v>
      </c>
      <c r="B201" s="23" t="s">
        <v>112</v>
      </c>
      <c r="C201" s="23">
        <v>-1</v>
      </c>
      <c r="D201" s="23" t="s">
        <v>144</v>
      </c>
      <c r="E201" s="23" t="str">
        <f>_xlfn.IFNA(VLOOKUP(D201,AccessModes!$D$2:$E$13,2,FALSE),"AM_IMP")</f>
        <v>AM_ZPG</v>
      </c>
      <c r="F201" s="23">
        <v>5</v>
      </c>
      <c r="G201" s="23">
        <v>0</v>
      </c>
      <c r="H201" s="23"/>
      <c r="I201" s="23"/>
      <c r="J201" s="23"/>
      <c r="K201" s="23" t="str">
        <f>IF(LEN(H201)&gt;0,indent&amp;H201&amp;" = "&amp;VLOOKUP($E201,AccessModes!$E$2:$I$13,4,FALSE),"")</f>
        <v/>
      </c>
      <c r="L201" s="17" t="str">
        <f>indent&amp;"/* TODO: implementation of the action */"</f>
        <v xml:space="preserve">            /* TODO: implementation of the action */</v>
      </c>
      <c r="M201" s="17" t="str">
        <f t="shared" si="8"/>
        <v/>
      </c>
      <c r="N201" s="23" t="str">
        <f>IF(LEN(J201)&gt;0,indent&amp;IF(J201="LAST",AccessModes!$I$15&amp;H201,VLOOKUP($E201,AccessModes!$E$2:$I$13,5,FALSE)&amp;J201)&amp;");","")</f>
        <v/>
      </c>
      <c r="O201" s="23"/>
      <c r="P201" s="17" t="str">
        <f>IF(C201=0,indent0&amp;"case 0x"&amp;DEC2HEX(A201)&amp;": /* "&amp;B201&amp;" "&amp;VLOOKUP(E201,AccessModes!$E$2:$G$13,3,FALSE)&amp;" */"&amp;newline&amp;IF(LEN(K201)&gt;0,K201&amp;CHAR(10),"")&amp;IF(LEN(L201)&gt;0,L201&amp;newline,"")&amp;IF(LEN(M201)&gt;0,M201&amp;newline,"")&amp;IF(LEN(N201)&gt;0,N201&amp;newline,"")&amp;IF(LEN(O201)&gt;0,O201&amp;newline,"")&amp;indent&amp;"break;","")</f>
        <v/>
      </c>
      <c r="Q201" s="23" t="str">
        <f t="shared" si="6"/>
        <v xml:space="preserve">    {"DCP", -1, AM_ZPG, 5, 0},</v>
      </c>
    </row>
    <row r="202" spans="1:17" ht="66" x14ac:dyDescent="0.3">
      <c r="A202" s="22">
        <v>200</v>
      </c>
      <c r="B202" s="22" t="s">
        <v>114</v>
      </c>
      <c r="C202" s="22">
        <v>0</v>
      </c>
      <c r="D202" s="22" t="s">
        <v>139</v>
      </c>
      <c r="E202" s="22" t="str">
        <f>_xlfn.IFNA(VLOOKUP(D202,AccessModes!$D$2:$E$13,2,FALSE),"AM_IMP")</f>
        <v>AM_IMP</v>
      </c>
      <c r="F202" s="22">
        <v>2</v>
      </c>
      <c r="G202" s="22">
        <v>0</v>
      </c>
      <c r="H202" s="28" t="str">
        <f>""</f>
        <v/>
      </c>
      <c r="I202" s="28" t="str">
        <f>$I$138</f>
        <v>cpu.Y</v>
      </c>
      <c r="J202" s="28" t="str">
        <f>""</f>
        <v/>
      </c>
      <c r="K202" s="22" t="str">
        <f>IF(LEN(H202)&gt;0,indent&amp;H202&amp;" = "&amp;VLOOKUP($E202,AccessModes!$E$2:$I$13,4,FALSE),"")</f>
        <v/>
      </c>
      <c r="L202" s="29" t="str">
        <f>indent&amp;"++"&amp;I202&amp;";"</f>
        <v xml:space="preserve">            ++cpu.Y;</v>
      </c>
      <c r="M202" s="15" t="str">
        <f t="shared" si="8"/>
        <v xml:space="preserve">            cpu.PS_N =  (bool)(cpu.Y &amp; 0x80);
            cpu.PS_Z = (cpu.Y == 0);</v>
      </c>
      <c r="N202" s="22" t="str">
        <f>IF(LEN(J202)&gt;0,indent&amp;IF(J202="LAST",AccessModes!$I$15&amp;H202,VLOOKUP($E202,AccessModes!$E$2:$I$13,5,FALSE)&amp;J202)&amp;");","")</f>
        <v/>
      </c>
      <c r="O202" s="22"/>
      <c r="P202" s="15" t="str">
        <f>IF(C202=0,indent0&amp;"case 0x"&amp;DEC2HEX(A202)&amp;": /* "&amp;B202&amp;" "&amp;VLOOKUP(E202,AccessModes!$E$2:$G$13,3,FALSE)&amp;" */"&amp;newline&amp;IF(LEN(K202)&gt;0,K202&amp;CHAR(10),"")&amp;IF(LEN(L202)&gt;0,L202&amp;newline,"")&amp;IF(LEN(M202)&gt;0,M202&amp;newline,"")&amp;IF(LEN(N202)&gt;0,N202&amp;newline,"")&amp;IF(LEN(O202)&gt;0,O202&amp;newline,"")&amp;indent&amp;"break;","")</f>
        <v xml:space="preserve">        case 0xC8: /* INY  */
            ++cpu.Y;
            cpu.PS_N =  (bool)(cpu.Y &amp; 0x80);
            cpu.PS_Z = (cpu.Y == 0);
            break;</v>
      </c>
      <c r="Q202" s="22" t="str">
        <f t="shared" si="6"/>
        <v xml:space="preserve">    {"INY", 0, AM_IMP, 2, 0},</v>
      </c>
    </row>
    <row r="203" spans="1:17" ht="92.4" x14ac:dyDescent="0.3">
      <c r="A203" s="22">
        <v>201</v>
      </c>
      <c r="B203" s="22" t="s">
        <v>111</v>
      </c>
      <c r="C203" s="22">
        <v>0</v>
      </c>
      <c r="D203" s="22" t="s">
        <v>130</v>
      </c>
      <c r="E203" s="22" t="str">
        <f>_xlfn.IFNA(VLOOKUP(D203,AccessModes!$D$2:$E$13,2,FALSE),"AM_IMP")</f>
        <v>AM_IMM</v>
      </c>
      <c r="F203" s="22">
        <v>2</v>
      </c>
      <c r="G203" s="22">
        <v>0</v>
      </c>
      <c r="H203" s="22" t="str">
        <f>$H$194</f>
        <v>value</v>
      </c>
      <c r="I203" s="22" t="str">
        <f>$I$194</f>
        <v>value</v>
      </c>
      <c r="J203" s="22" t="str">
        <f>$J$194</f>
        <v/>
      </c>
      <c r="K203" s="22" t="str">
        <f>IF(LEN(H203)&gt;0,indent&amp;H203&amp;" = "&amp;VLOOKUP($E203,AccessModes!$E$2:$I$13,4,FALSE),"")</f>
        <v xml:space="preserve">            value = memory_getImmediate();</v>
      </c>
      <c r="L203" s="15" t="str">
        <f>$L$195</f>
        <v xml:space="preserve">            value = cpu.A - value;</v>
      </c>
      <c r="M203" s="15" t="str">
        <f t="shared" si="8"/>
        <v xml:space="preserve">            cpu.PS_N =  (bool)(value &amp; 0x80);
            cpu.PS_Z = (value == 0);</v>
      </c>
      <c r="N203" s="22" t="str">
        <f>IF(LEN(J203)&gt;0,indent&amp;IF(J203="LAST",AccessModes!$I$15&amp;H203,VLOOKUP($E203,AccessModes!$E$2:$I$13,5,FALSE)&amp;J203)&amp;");","")</f>
        <v/>
      </c>
      <c r="O203" s="15" t="str">
        <f>$O$195</f>
        <v xml:space="preserve">            cpu.PS_C = !cpu.PS_N;</v>
      </c>
      <c r="P203" s="15" t="str">
        <f>IF(C203=0,indent0&amp;"case 0x"&amp;DEC2HEX(A203)&amp;": /* "&amp;B203&amp;" "&amp;VLOOKUP(E203,AccessModes!$E$2:$G$13,3,FALSE)&amp;" */"&amp;newline&amp;IF(LEN(K203)&gt;0,K203&amp;CHAR(10),"")&amp;IF(LEN(L203)&gt;0,L203&amp;newline,"")&amp;IF(LEN(M203)&gt;0,M203&amp;newline,"")&amp;IF(LEN(N203)&gt;0,N203&amp;newline,"")&amp;IF(LEN(O203)&gt;0,O203&amp;newline,"")&amp;indent&amp;"break;","")</f>
        <v xml:space="preserve">        case 0xC9: /* CMP #aa */
            value = memory_getImmediate();
            value = cpu.A - value;
            cpu.PS_N =  (bool)(value &amp; 0x80);
            cpu.PS_Z = (value == 0);
            cpu.PS_C = !cpu.PS_N;
            break;</v>
      </c>
      <c r="Q203" s="22" t="str">
        <f t="shared" si="6"/>
        <v xml:space="preserve">    {"CMP", 0, AM_IMM, 2, 0},</v>
      </c>
    </row>
    <row r="204" spans="1:17" ht="66" x14ac:dyDescent="0.3">
      <c r="A204" s="22">
        <v>202</v>
      </c>
      <c r="B204" s="22" t="s">
        <v>115</v>
      </c>
      <c r="C204" s="22">
        <v>0</v>
      </c>
      <c r="D204" s="22" t="s">
        <v>139</v>
      </c>
      <c r="E204" s="22" t="str">
        <f>_xlfn.IFNA(VLOOKUP(D204,AccessModes!$D$2:$E$13,2,FALSE),"AM_IMP")</f>
        <v>AM_IMP</v>
      </c>
      <c r="F204" s="22">
        <v>2</v>
      </c>
      <c r="G204" s="22">
        <v>0</v>
      </c>
      <c r="H204" s="28" t="str">
        <f>""</f>
        <v/>
      </c>
      <c r="I204" s="28" t="s">
        <v>226</v>
      </c>
      <c r="J204" s="28" t="str">
        <f>""</f>
        <v/>
      </c>
      <c r="K204" s="22" t="str">
        <f>IF(LEN(H204)&gt;0,indent&amp;H204&amp;" = "&amp;VLOOKUP($E204,AccessModes!$E$2:$I$13,4,FALSE),"")</f>
        <v/>
      </c>
      <c r="L204" s="29" t="str">
        <f>indent&amp;"--"&amp;I204&amp;";"</f>
        <v xml:space="preserve">            --cpu.X;</v>
      </c>
      <c r="M204" s="15" t="str">
        <f t="shared" si="8"/>
        <v xml:space="preserve">            cpu.PS_N =  (bool)(cpu.X &amp; 0x80);
            cpu.PS_Z = (cpu.X == 0);</v>
      </c>
      <c r="N204" s="22" t="str">
        <f>IF(LEN(J204)&gt;0,indent&amp;IF(J204="LAST",AccessModes!$I$15&amp;H204,VLOOKUP($E204,AccessModes!$E$2:$I$13,5,FALSE)&amp;J204)&amp;");","")</f>
        <v/>
      </c>
      <c r="O204" s="22"/>
      <c r="P204" s="15" t="str">
        <f>IF(C204=0,indent0&amp;"case 0x"&amp;DEC2HEX(A204)&amp;": /* "&amp;B204&amp;" "&amp;VLOOKUP(E204,AccessModes!$E$2:$G$13,3,FALSE)&amp;" */"&amp;newline&amp;IF(LEN(K204)&gt;0,K204&amp;CHAR(10),"")&amp;IF(LEN(L204)&gt;0,L204&amp;newline,"")&amp;IF(LEN(M204)&gt;0,M204&amp;newline,"")&amp;IF(LEN(N204)&gt;0,N204&amp;newline,"")&amp;IF(LEN(O204)&gt;0,O204&amp;newline,"")&amp;indent&amp;"break;","")</f>
        <v xml:space="preserve">        case 0xCA: /* DEX  */
            --cpu.X;
            cpu.PS_N =  (bool)(cpu.X &amp; 0x80);
            cpu.PS_Z = (cpu.X == 0);
            break;</v>
      </c>
      <c r="Q204" s="22" t="str">
        <f t="shared" si="6"/>
        <v xml:space="preserve">    {"DEX", 0, AM_IMP, 2, 0},</v>
      </c>
    </row>
    <row r="205" spans="1:17" x14ac:dyDescent="0.3">
      <c r="A205" s="23">
        <v>203</v>
      </c>
      <c r="B205" s="23" t="s">
        <v>116</v>
      </c>
      <c r="C205" s="23">
        <v>-1</v>
      </c>
      <c r="D205" s="23" t="s">
        <v>130</v>
      </c>
      <c r="E205" s="23" t="str">
        <f>_xlfn.IFNA(VLOOKUP(D205,AccessModes!$D$2:$E$13,2,FALSE),"AM_IMP")</f>
        <v>AM_IMM</v>
      </c>
      <c r="F205" s="23">
        <v>2</v>
      </c>
      <c r="G205" s="23">
        <v>0</v>
      </c>
      <c r="H205" s="23"/>
      <c r="I205" s="23"/>
      <c r="J205" s="23"/>
      <c r="K205" s="23" t="str">
        <f>IF(LEN(H205)&gt;0,indent&amp;H205&amp;" = "&amp;VLOOKUP($E205,AccessModes!$E$2:$I$13,4,FALSE),"")</f>
        <v/>
      </c>
      <c r="L205" s="17" t="str">
        <f>indent&amp;"/* TODO: implementation of the action */"</f>
        <v xml:space="preserve">            /* TODO: implementation of the action */</v>
      </c>
      <c r="M205" s="17" t="str">
        <f t="shared" si="8"/>
        <v/>
      </c>
      <c r="N205" s="23" t="str">
        <f>IF(LEN(J205)&gt;0,indent&amp;IF(J205="LAST",AccessModes!$I$15&amp;H205,VLOOKUP($E205,AccessModes!$E$2:$I$13,5,FALSE)&amp;J205)&amp;");","")</f>
        <v/>
      </c>
      <c r="O205" s="23"/>
      <c r="P205" s="17" t="str">
        <f>IF(C205=0,indent0&amp;"case 0x"&amp;DEC2HEX(A205)&amp;": /* "&amp;B205&amp;" "&amp;VLOOKUP(E205,AccessModes!$E$2:$G$13,3,FALSE)&amp;" */"&amp;newline&amp;IF(LEN(K205)&gt;0,K205&amp;CHAR(10),"")&amp;IF(LEN(L205)&gt;0,L205&amp;newline,"")&amp;IF(LEN(M205)&gt;0,M205&amp;newline,"")&amp;IF(LEN(N205)&gt;0,N205&amp;newline,"")&amp;IF(LEN(O205)&gt;0,O205&amp;newline,"")&amp;indent&amp;"break;","")</f>
        <v/>
      </c>
      <c r="Q205" s="23" t="str">
        <f t="shared" si="6"/>
        <v xml:space="preserve">    {"AXS", -1, AM_IMM, 2, 0},</v>
      </c>
    </row>
    <row r="206" spans="1:17" ht="92.4" x14ac:dyDescent="0.3">
      <c r="A206" s="22">
        <v>204</v>
      </c>
      <c r="B206" s="22" t="s">
        <v>110</v>
      </c>
      <c r="C206" s="22">
        <v>0</v>
      </c>
      <c r="D206" s="22" t="s">
        <v>131</v>
      </c>
      <c r="E206" s="22" t="str">
        <f>_xlfn.IFNA(VLOOKUP(D206,AccessModes!$D$2:$E$13,2,FALSE),"AM_IMP")</f>
        <v>AM_ABS</v>
      </c>
      <c r="F206" s="22">
        <v>4</v>
      </c>
      <c r="G206" s="22">
        <v>0</v>
      </c>
      <c r="H206" s="22" t="str">
        <f>$H$194</f>
        <v>value</v>
      </c>
      <c r="I206" s="22" t="str">
        <f>$I$194</f>
        <v>value</v>
      </c>
      <c r="J206" s="22" t="str">
        <f>$J$194</f>
        <v/>
      </c>
      <c r="K206" s="22" t="str">
        <f>IF(LEN(H206)&gt;0,indent&amp;H206&amp;" = "&amp;VLOOKUP($E206,AccessModes!$E$2:$I$13,4,FALSE),"")</f>
        <v xml:space="preserve">            value = memory_getAbsolute();</v>
      </c>
      <c r="L206" s="15" t="str">
        <f>$L$194</f>
        <v xml:space="preserve">            value = cpu.Y - value;</v>
      </c>
      <c r="M206" s="15" t="str">
        <f t="shared" si="8"/>
        <v xml:space="preserve">            cpu.PS_N =  (bool)(value &amp; 0x80);
            cpu.PS_Z = (value == 0);</v>
      </c>
      <c r="N206" s="22" t="str">
        <f>IF(LEN(J206)&gt;0,indent&amp;IF(J206="LAST",AccessModes!$I$15&amp;H206,VLOOKUP($E206,AccessModes!$E$2:$I$13,5,FALSE)&amp;J206)&amp;");","")</f>
        <v/>
      </c>
      <c r="O206" s="15" t="str">
        <f>$O$194</f>
        <v xml:space="preserve">            cpu.PS_C = !cpu.PS_N;</v>
      </c>
      <c r="P206" s="15" t="str">
        <f>IF(C206=0,indent0&amp;"case 0x"&amp;DEC2HEX(A206)&amp;": /* "&amp;B206&amp;" "&amp;VLOOKUP(E206,AccessModes!$E$2:$G$13,3,FALSE)&amp;" */"&amp;newline&amp;IF(LEN(K206)&gt;0,K206&amp;CHAR(10),"")&amp;IF(LEN(L206)&gt;0,L206&amp;newline,"")&amp;IF(LEN(M206)&gt;0,M206&amp;newline,"")&amp;IF(LEN(N206)&gt;0,N206&amp;newline,"")&amp;IF(LEN(O206)&gt;0,O206&amp;newline,"")&amp;indent&amp;"break;","")</f>
        <v xml:space="preserve">        case 0xCC: /* CPY aaaa */
            value = memory_getAbsolute();
            value = cpu.Y - value;
            cpu.PS_N =  (bool)(value &amp; 0x80);
            cpu.PS_Z = (value == 0);
            cpu.PS_C = !cpu.PS_N;
            break;</v>
      </c>
      <c r="Q206" s="22" t="str">
        <f t="shared" si="6"/>
        <v xml:space="preserve">    {"CPY", 0, AM_ABS, 4, 0},</v>
      </c>
    </row>
    <row r="207" spans="1:17" ht="92.4" x14ac:dyDescent="0.3">
      <c r="A207" s="22">
        <v>205</v>
      </c>
      <c r="B207" s="22" t="s">
        <v>111</v>
      </c>
      <c r="C207" s="22">
        <v>0</v>
      </c>
      <c r="D207" s="22" t="s">
        <v>131</v>
      </c>
      <c r="E207" s="22" t="str">
        <f>_xlfn.IFNA(VLOOKUP(D207,AccessModes!$D$2:$E$13,2,FALSE),"AM_IMP")</f>
        <v>AM_ABS</v>
      </c>
      <c r="F207" s="22">
        <v>4</v>
      </c>
      <c r="G207" s="22">
        <v>0</v>
      </c>
      <c r="H207" s="22" t="str">
        <f>$H$194</f>
        <v>value</v>
      </c>
      <c r="I207" s="22" t="str">
        <f>$I$194</f>
        <v>value</v>
      </c>
      <c r="J207" s="22" t="str">
        <f>$J$194</f>
        <v/>
      </c>
      <c r="K207" s="22" t="str">
        <f>IF(LEN(H207)&gt;0,indent&amp;H207&amp;" = "&amp;VLOOKUP($E207,AccessModes!$E$2:$I$13,4,FALSE),"")</f>
        <v xml:space="preserve">            value = memory_getAbsolute();</v>
      </c>
      <c r="L207" s="15" t="str">
        <f>$L$195</f>
        <v xml:space="preserve">            value = cpu.A - value;</v>
      </c>
      <c r="M207" s="15" t="str">
        <f t="shared" si="8"/>
        <v xml:space="preserve">            cpu.PS_N =  (bool)(value &amp; 0x80);
            cpu.PS_Z = (value == 0);</v>
      </c>
      <c r="N207" s="22" t="str">
        <f>IF(LEN(J207)&gt;0,indent&amp;IF(J207="LAST",AccessModes!$I$15&amp;H207,VLOOKUP($E207,AccessModes!$E$2:$I$13,5,FALSE)&amp;J207)&amp;");","")</f>
        <v/>
      </c>
      <c r="O207" s="15" t="str">
        <f>$O$195</f>
        <v xml:space="preserve">            cpu.PS_C = !cpu.PS_N;</v>
      </c>
      <c r="P207" s="15" t="str">
        <f>IF(C207=0,indent0&amp;"case 0x"&amp;DEC2HEX(A207)&amp;": /* "&amp;B207&amp;" "&amp;VLOOKUP(E207,AccessModes!$E$2:$G$13,3,FALSE)&amp;" */"&amp;newline&amp;IF(LEN(K207)&gt;0,K207&amp;CHAR(10),"")&amp;IF(LEN(L207)&gt;0,L207&amp;newline,"")&amp;IF(LEN(M207)&gt;0,M207&amp;newline,"")&amp;IF(LEN(N207)&gt;0,N207&amp;newline,"")&amp;IF(LEN(O207)&gt;0,O207&amp;newline,"")&amp;indent&amp;"break;","")</f>
        <v xml:space="preserve">        case 0xCD: /* CMP aaaa */
            value = memory_getAbsolute();
            value = cpu.A - value;
            cpu.PS_N =  (bool)(value &amp; 0x80);
            cpu.PS_Z = (value == 0);
            cpu.PS_C = !cpu.PS_N;
            break;</v>
      </c>
      <c r="Q207" s="22" t="str">
        <f t="shared" si="6"/>
        <v xml:space="preserve">    {"CMP", 0, AM_ABS, 4, 0},</v>
      </c>
    </row>
    <row r="208" spans="1:17" ht="92.4" x14ac:dyDescent="0.3">
      <c r="A208" s="22">
        <v>206</v>
      </c>
      <c r="B208" s="22" t="s">
        <v>113</v>
      </c>
      <c r="C208" s="22">
        <v>0</v>
      </c>
      <c r="D208" s="22" t="s">
        <v>131</v>
      </c>
      <c r="E208" s="22" t="str">
        <f>_xlfn.IFNA(VLOOKUP(D208,AccessModes!$D$2:$E$13,2,FALSE),"AM_IMP")</f>
        <v>AM_ABS</v>
      </c>
      <c r="F208" s="22">
        <v>6</v>
      </c>
      <c r="G208" s="22">
        <v>0</v>
      </c>
      <c r="H208" s="22" t="str">
        <f>$H$200</f>
        <v>value</v>
      </c>
      <c r="I208" s="22" t="str">
        <f>$I$200</f>
        <v>value</v>
      </c>
      <c r="J208" s="22" t="str">
        <f>$J$200</f>
        <v>LAST</v>
      </c>
      <c r="K208" s="22" t="str">
        <f>IF(LEN(H208)&gt;0,indent&amp;H208&amp;" = "&amp;VLOOKUP($E208,AccessModes!$E$2:$I$13,4,FALSE),"")</f>
        <v xml:space="preserve">            value = memory_getAbsolute();</v>
      </c>
      <c r="L208" s="15" t="str">
        <f>$L$200</f>
        <v xml:space="preserve">            --value;</v>
      </c>
      <c r="M208" s="15" t="str">
        <f t="shared" si="8"/>
        <v xml:space="preserve">            cpu.PS_N =  (bool)(value &amp; 0x80);
            cpu.PS_Z = (value == 0);</v>
      </c>
      <c r="N208" s="22" t="str">
        <f>IF(LEN(J208)&gt;0,indent&amp;IF(J208="LAST",AccessModes!$I$15&amp;H208,VLOOKUP($E208,AccessModes!$E$2:$I$13,5,FALSE)&amp;J208)&amp;");","")</f>
        <v xml:space="preserve">            memory_setLast(value);</v>
      </c>
      <c r="O208" s="22"/>
      <c r="P208" s="15" t="str">
        <f>IF(C208=0,indent0&amp;"case 0x"&amp;DEC2HEX(A208)&amp;": /* "&amp;B208&amp;" "&amp;VLOOKUP(E208,AccessModes!$E$2:$G$13,3,FALSE)&amp;" */"&amp;newline&amp;IF(LEN(K208)&gt;0,K208&amp;CHAR(10),"")&amp;IF(LEN(L208)&gt;0,L208&amp;newline,"")&amp;IF(LEN(M208)&gt;0,M208&amp;newline,"")&amp;IF(LEN(N208)&gt;0,N208&amp;newline,"")&amp;IF(LEN(O208)&gt;0,O208&amp;newline,"")&amp;indent&amp;"break;","")</f>
        <v xml:space="preserve">        case 0xCE: /* DEC aaaa */
            value = memory_getAbsolute();
            --value;
            cpu.PS_N =  (bool)(value &amp; 0x80);
            cpu.PS_Z = (value == 0);
            memory_setLast(value);
            break;</v>
      </c>
      <c r="Q208" s="22" t="str">
        <f t="shared" si="6"/>
        <v xml:space="preserve">    {"DEC", 0, AM_ABS, 6, 0},</v>
      </c>
    </row>
    <row r="209" spans="1:17" x14ac:dyDescent="0.3">
      <c r="A209" s="23">
        <v>207</v>
      </c>
      <c r="B209" s="23" t="s">
        <v>112</v>
      </c>
      <c r="C209" s="23">
        <v>-1</v>
      </c>
      <c r="D209" s="23" t="s">
        <v>131</v>
      </c>
      <c r="E209" s="23" t="str">
        <f>_xlfn.IFNA(VLOOKUP(D209,AccessModes!$D$2:$E$13,2,FALSE),"AM_IMP")</f>
        <v>AM_ABS</v>
      </c>
      <c r="F209" s="23">
        <v>6</v>
      </c>
      <c r="G209" s="23">
        <v>0</v>
      </c>
      <c r="H209" s="23"/>
      <c r="I209" s="23"/>
      <c r="J209" s="23"/>
      <c r="K209" s="23" t="str">
        <f>IF(LEN(H209)&gt;0,indent&amp;H209&amp;" = "&amp;VLOOKUP($E209,AccessModes!$E$2:$I$13,4,FALSE),"")</f>
        <v/>
      </c>
      <c r="L209" s="17" t="str">
        <f>indent&amp;"/* TODO: implementation of the action */"</f>
        <v xml:space="preserve">            /* TODO: implementation of the action */</v>
      </c>
      <c r="M209" s="17" t="str">
        <f t="shared" si="8"/>
        <v/>
      </c>
      <c r="N209" s="23" t="str">
        <f>IF(LEN(J209)&gt;0,indent&amp;IF(J209="LAST",AccessModes!$I$15&amp;H209,VLOOKUP($E209,AccessModes!$E$2:$I$13,5,FALSE)&amp;J209)&amp;");","")</f>
        <v/>
      </c>
      <c r="O209" s="23"/>
      <c r="P209" s="17" t="str">
        <f>IF(C209=0,indent0&amp;"case 0x"&amp;DEC2HEX(A209)&amp;": /* "&amp;B209&amp;" "&amp;VLOOKUP(E209,AccessModes!$E$2:$G$13,3,FALSE)&amp;" */"&amp;newline&amp;IF(LEN(K209)&gt;0,K209&amp;CHAR(10),"")&amp;IF(LEN(L209)&gt;0,L209&amp;newline,"")&amp;IF(LEN(M209)&gt;0,M209&amp;newline,"")&amp;IF(LEN(N209)&gt;0,N209&amp;newline,"")&amp;IF(LEN(O209)&gt;0,O209&amp;newline,"")&amp;indent&amp;"break;","")</f>
        <v/>
      </c>
      <c r="Q209" s="23" t="str">
        <f t="shared" si="6"/>
        <v xml:space="preserve">    {"DCP", -1, AM_ABS, 6, 0},</v>
      </c>
    </row>
    <row r="210" spans="1:17" ht="92.4" x14ac:dyDescent="0.3">
      <c r="A210" s="22">
        <v>208</v>
      </c>
      <c r="B210" s="22" t="s">
        <v>118</v>
      </c>
      <c r="C210" s="22">
        <v>0</v>
      </c>
      <c r="D210" s="22" t="s">
        <v>132</v>
      </c>
      <c r="E210" s="22" t="str">
        <f>_xlfn.IFNA(VLOOKUP(D210,AccessModes!$D$2:$E$13,2,FALSE),"AM_IMP")</f>
        <v>AM_REL</v>
      </c>
      <c r="F210" s="22">
        <v>2</v>
      </c>
      <c r="G210" s="22">
        <v>1</v>
      </c>
      <c r="H210" s="28" t="s">
        <v>240</v>
      </c>
      <c r="I210" s="28"/>
      <c r="J210" s="28"/>
      <c r="K210" s="22" t="str">
        <f>IF(LEN(H210)&gt;0,indent&amp;H210&amp;" = "&amp;VLOOKUP($E210,AccessModes!$E$2:$I$13,4,FALSE),"")</f>
        <v xml:space="preserve">            value_w = memory_getRelativeAddress();</v>
      </c>
      <c r="L210" s="29" t="str">
        <f>indent&amp;"if(!cpu.PS_Z) {"&amp;newline&amp;indent2&amp;"++cycles;"&amp;newline&amp;indent2&amp;"cpu.PC = "&amp;H210&amp;";"&amp;newline&amp;indent&amp;"}"</f>
        <v xml:space="preserve">            if(!cpu.PS_Z) {
                ++cycles;
                cpu.PC = value_w;
            }</v>
      </c>
      <c r="M210" s="15" t="str">
        <f t="shared" si="8"/>
        <v/>
      </c>
      <c r="N210" s="22" t="str">
        <f>IF(LEN(J210)&gt;0,indent&amp;IF(J210="LAST",AccessModes!$I$15&amp;H210,VLOOKUP($E210,AccessModes!$E$2:$I$13,5,FALSE)&amp;J210)&amp;");","")</f>
        <v/>
      </c>
      <c r="O210" s="22"/>
      <c r="P210" s="15" t="str">
        <f>IF(C210=0,indent0&amp;"case 0x"&amp;DEC2HEX(A210)&amp;": /* "&amp;B210&amp;" "&amp;VLOOKUP(E210,AccessModes!$E$2:$G$13,3,FALSE)&amp;" */"&amp;newline&amp;IF(LEN(K210)&gt;0,K210&amp;CHAR(10),"")&amp;IF(LEN(L210)&gt;0,L210&amp;newline,"")&amp;IF(LEN(M210)&gt;0,M210&amp;newline,"")&amp;IF(LEN(N210)&gt;0,N210&amp;newline,"")&amp;IF(LEN(O210)&gt;0,O210&amp;newline,"")&amp;indent&amp;"break;","")</f>
        <v xml:space="preserve">        case 0xD0: /* BNE aaaa */
            value_w = memory_getRelativeAddress();
            if(!cpu.PS_Z) {
                ++cycles;
                cpu.PC = value_w;
            }
            break;</v>
      </c>
      <c r="Q210" s="22" t="str">
        <f t="shared" si="6"/>
        <v xml:space="preserve">    {"BNE", 0, AM_REL, 2, 1},</v>
      </c>
    </row>
    <row r="211" spans="1:17" ht="92.4" x14ac:dyDescent="0.3">
      <c r="A211" s="22">
        <v>209</v>
      </c>
      <c r="B211" s="22" t="s">
        <v>111</v>
      </c>
      <c r="C211" s="22">
        <v>0</v>
      </c>
      <c r="D211" s="22" t="s">
        <v>133</v>
      </c>
      <c r="E211" s="22" t="str">
        <f>_xlfn.IFNA(VLOOKUP(D211,AccessModes!$D$2:$E$13,2,FALSE),"AM_IMP")</f>
        <v>AM_ZIY</v>
      </c>
      <c r="F211" s="22">
        <v>5</v>
      </c>
      <c r="G211" s="22">
        <v>1</v>
      </c>
      <c r="H211" s="22" t="str">
        <f>$H$194</f>
        <v>value</v>
      </c>
      <c r="I211" s="22" t="str">
        <f>$I$194</f>
        <v>value</v>
      </c>
      <c r="J211" s="22" t="str">
        <f>$J$194</f>
        <v/>
      </c>
      <c r="K211" s="22" t="str">
        <f>IF(LEN(H211)&gt;0,indent&amp;H211&amp;" = "&amp;VLOOKUP($E211,AccessModes!$E$2:$I$13,4,FALSE),"")</f>
        <v xml:space="preserve">            value = memory_getZeroPageIndexedY();</v>
      </c>
      <c r="L211" s="15" t="str">
        <f>$L$195</f>
        <v xml:space="preserve">            value = cpu.A - value;</v>
      </c>
      <c r="M211" s="15" t="str">
        <f t="shared" si="8"/>
        <v xml:space="preserve">            cpu.PS_N =  (bool)(value &amp; 0x80);
            cpu.PS_Z = (value == 0);</v>
      </c>
      <c r="N211" s="22" t="str">
        <f>IF(LEN(J211)&gt;0,indent&amp;IF(J211="LAST",AccessModes!$I$15&amp;H211,VLOOKUP($E211,AccessModes!$E$2:$I$13,5,FALSE)&amp;J211)&amp;");","")</f>
        <v/>
      </c>
      <c r="O211" s="15" t="str">
        <f>$O$195</f>
        <v xml:space="preserve">            cpu.PS_C = !cpu.PS_N;</v>
      </c>
      <c r="P211" s="15" t="str">
        <f>IF(C211=0,indent0&amp;"case 0x"&amp;DEC2HEX(A211)&amp;": /* "&amp;B211&amp;" "&amp;VLOOKUP(E211,AccessModes!$E$2:$G$13,3,FALSE)&amp;" */"&amp;newline&amp;IF(LEN(K211)&gt;0,K211&amp;CHAR(10),"")&amp;IF(LEN(L211)&gt;0,L211&amp;newline,"")&amp;IF(LEN(M211)&gt;0,M211&amp;newline,"")&amp;IF(LEN(N211)&gt;0,N211&amp;newline,"")&amp;IF(LEN(O211)&gt;0,O211&amp;newline,"")&amp;indent&amp;"break;","")</f>
        <v xml:space="preserve">        case 0xD1: /* CMP aa,Y */
            value = memory_getZeroPageIndexedY();
            value = cpu.A - value;
            cpu.PS_N =  (bool)(value &amp; 0x80);
            cpu.PS_Z = (value == 0);
            cpu.PS_C = !cpu.PS_N;
            break;</v>
      </c>
      <c r="Q211" s="22" t="str">
        <f t="shared" si="6"/>
        <v xml:space="preserve">    {"CMP", 0, AM_ZIY, 5, 1},</v>
      </c>
    </row>
    <row r="212" spans="1:17" x14ac:dyDescent="0.3">
      <c r="A212" s="23">
        <v>210</v>
      </c>
      <c r="B212" s="23" t="s">
        <v>20</v>
      </c>
      <c r="C212" s="23">
        <v>-1</v>
      </c>
      <c r="D212" s="23"/>
      <c r="E212" s="23" t="str">
        <f>_xlfn.IFNA(VLOOKUP(D212,AccessModes!$D$2:$E$13,2,FALSE),"AM_IMP")</f>
        <v>AM_IMP</v>
      </c>
      <c r="F212" s="23">
        <v>0</v>
      </c>
      <c r="G212" s="23">
        <v>0</v>
      </c>
      <c r="H212" s="23"/>
      <c r="I212" s="23"/>
      <c r="J212" s="23"/>
      <c r="K212" s="23" t="str">
        <f>IF(LEN(H212)&gt;0,indent&amp;H212&amp;" = "&amp;VLOOKUP($E212,AccessModes!$E$2:$I$13,4,FALSE),"")</f>
        <v/>
      </c>
      <c r="L212" s="17" t="str">
        <f>indent&amp;"/* TODO: implementation of the action */"</f>
        <v xml:space="preserve">            /* TODO: implementation of the action */</v>
      </c>
      <c r="M212" s="17" t="str">
        <f t="shared" si="8"/>
        <v/>
      </c>
      <c r="N212" s="23" t="str">
        <f>IF(LEN(J212)&gt;0,indent&amp;IF(J212="LAST",AccessModes!$I$15&amp;H212,VLOOKUP($E212,AccessModes!$E$2:$I$13,5,FALSE)&amp;J212)&amp;");","")</f>
        <v/>
      </c>
      <c r="O212" s="23"/>
      <c r="P212" s="17" t="str">
        <f>IF(C212=0,indent0&amp;"case 0x"&amp;DEC2HEX(A212)&amp;": /* "&amp;B212&amp;" "&amp;VLOOKUP(E212,AccessModes!$E$2:$G$13,3,FALSE)&amp;" */"&amp;newline&amp;IF(LEN(K212)&gt;0,K212&amp;CHAR(10),"")&amp;IF(LEN(L212)&gt;0,L212&amp;newline,"")&amp;IF(LEN(M212)&gt;0,M212&amp;newline,"")&amp;IF(LEN(N212)&gt;0,N212&amp;newline,"")&amp;IF(LEN(O212)&gt;0,O212&amp;newline,"")&amp;indent&amp;"break;","")</f>
        <v/>
      </c>
      <c r="Q212" s="23" t="str">
        <f t="shared" si="6"/>
        <v xml:space="preserve">    {"KIL", -1, AM_IMP, 0, 0},</v>
      </c>
    </row>
    <row r="213" spans="1:17" x14ac:dyDescent="0.3">
      <c r="A213" s="23">
        <v>211</v>
      </c>
      <c r="B213" s="23" t="s">
        <v>112</v>
      </c>
      <c r="C213" s="23">
        <v>-1</v>
      </c>
      <c r="D213" s="23" t="s">
        <v>133</v>
      </c>
      <c r="E213" s="23" t="str">
        <f>_xlfn.IFNA(VLOOKUP(D213,AccessModes!$D$2:$E$13,2,FALSE),"AM_IMP")</f>
        <v>AM_ZIY</v>
      </c>
      <c r="F213" s="23">
        <v>8</v>
      </c>
      <c r="G213" s="23">
        <v>0</v>
      </c>
      <c r="H213" s="23"/>
      <c r="I213" s="23"/>
      <c r="J213" s="23"/>
      <c r="K213" s="23" t="str">
        <f>IF(LEN(H213)&gt;0,indent&amp;H213&amp;" = "&amp;VLOOKUP($E213,AccessModes!$E$2:$I$13,4,FALSE),"")</f>
        <v/>
      </c>
      <c r="L213" s="17" t="str">
        <f>indent&amp;"/* TODO: implementation of the action */"</f>
        <v xml:space="preserve">            /* TODO: implementation of the action */</v>
      </c>
      <c r="M213" s="17" t="str">
        <f t="shared" si="8"/>
        <v/>
      </c>
      <c r="N213" s="23" t="str">
        <f>IF(LEN(J213)&gt;0,indent&amp;IF(J213="LAST",AccessModes!$I$15&amp;H213,VLOOKUP($E213,AccessModes!$E$2:$I$13,5,FALSE)&amp;J213)&amp;");","")</f>
        <v/>
      </c>
      <c r="O213" s="23"/>
      <c r="P213" s="17" t="str">
        <f>IF(C213=0,indent0&amp;"case 0x"&amp;DEC2HEX(A213)&amp;": /* "&amp;B213&amp;" "&amp;VLOOKUP(E213,AccessModes!$E$2:$G$13,3,FALSE)&amp;" */"&amp;newline&amp;IF(LEN(K213)&gt;0,K213&amp;CHAR(10),"")&amp;IF(LEN(L213)&gt;0,L213&amp;newline,"")&amp;IF(LEN(M213)&gt;0,M213&amp;newline,"")&amp;IF(LEN(N213)&gt;0,N213&amp;newline,"")&amp;IF(LEN(O213)&gt;0,O213&amp;newline,"")&amp;indent&amp;"break;","")</f>
        <v/>
      </c>
      <c r="Q213" s="23" t="str">
        <f t="shared" si="6"/>
        <v xml:space="preserve">    {"DCP", -1, AM_ZIY, 8, 0},</v>
      </c>
    </row>
    <row r="214" spans="1:17" x14ac:dyDescent="0.3">
      <c r="A214" s="23">
        <v>212</v>
      </c>
      <c r="B214" s="23" t="s">
        <v>23</v>
      </c>
      <c r="C214" s="23">
        <v>-1</v>
      </c>
      <c r="D214" s="23" t="s">
        <v>134</v>
      </c>
      <c r="E214" s="23" t="str">
        <f>_xlfn.IFNA(VLOOKUP(D214,AccessModes!$D$2:$E$13,2,FALSE),"AM_IMP")</f>
        <v>AM_IIX</v>
      </c>
      <c r="F214" s="23">
        <v>4</v>
      </c>
      <c r="G214" s="23">
        <v>0</v>
      </c>
      <c r="H214" s="23"/>
      <c r="I214" s="23"/>
      <c r="J214" s="23"/>
      <c r="K214" s="23" t="str">
        <f>IF(LEN(H214)&gt;0,indent&amp;H214&amp;" = "&amp;VLOOKUP($E214,AccessModes!$E$2:$I$13,4,FALSE),"")</f>
        <v/>
      </c>
      <c r="L214" s="17" t="str">
        <f>indent&amp;"/* TODO: implementation of the action */"</f>
        <v xml:space="preserve">            /* TODO: implementation of the action */</v>
      </c>
      <c r="M214" s="17" t="str">
        <f t="shared" si="8"/>
        <v/>
      </c>
      <c r="N214" s="23" t="str">
        <f>IF(LEN(J214)&gt;0,indent&amp;IF(J214="LAST",AccessModes!$I$15&amp;H214,VLOOKUP($E214,AccessModes!$E$2:$I$13,5,FALSE)&amp;J214)&amp;");","")</f>
        <v/>
      </c>
      <c r="O214" s="23"/>
      <c r="P214" s="17" t="str">
        <f>IF(C214=0,indent0&amp;"case 0x"&amp;DEC2HEX(A214)&amp;": /* "&amp;B214&amp;" "&amp;VLOOKUP(E214,AccessModes!$E$2:$G$13,3,FALSE)&amp;" */"&amp;newline&amp;IF(LEN(K214)&gt;0,K214&amp;CHAR(10),"")&amp;IF(LEN(L214)&gt;0,L214&amp;newline,"")&amp;IF(LEN(M214)&gt;0,M214&amp;newline,"")&amp;IF(LEN(N214)&gt;0,N214&amp;newline,"")&amp;IF(LEN(O214)&gt;0,O214&amp;newline,"")&amp;indent&amp;"break;","")</f>
        <v/>
      </c>
      <c r="Q214" s="23" t="str">
        <f t="shared" si="6"/>
        <v xml:space="preserve">    {"NOP", -1, AM_IIX, 4, 0},</v>
      </c>
    </row>
    <row r="215" spans="1:17" ht="92.4" x14ac:dyDescent="0.3">
      <c r="A215" s="22">
        <v>213</v>
      </c>
      <c r="B215" s="22" t="s">
        <v>111</v>
      </c>
      <c r="C215" s="22">
        <v>0</v>
      </c>
      <c r="D215" s="22" t="s">
        <v>134</v>
      </c>
      <c r="E215" s="22" t="str">
        <f>_xlfn.IFNA(VLOOKUP(D215,AccessModes!$D$2:$E$13,2,FALSE),"AM_IMP")</f>
        <v>AM_IIX</v>
      </c>
      <c r="F215" s="22">
        <v>4</v>
      </c>
      <c r="G215" s="22">
        <v>0</v>
      </c>
      <c r="H215" s="22" t="str">
        <f>$H$194</f>
        <v>value</v>
      </c>
      <c r="I215" s="22" t="str">
        <f>$I$194</f>
        <v>value</v>
      </c>
      <c r="J215" s="22" t="str">
        <f>$J$194</f>
        <v/>
      </c>
      <c r="K215" s="22" t="str">
        <f>IF(LEN(H215)&gt;0,indent&amp;H215&amp;" = "&amp;VLOOKUP($E215,AccessModes!$E$2:$I$13,4,FALSE),"")</f>
        <v xml:space="preserve">            value = memory_getIndexedIndirectX();</v>
      </c>
      <c r="L215" s="15" t="str">
        <f>$L$195</f>
        <v xml:space="preserve">            value = cpu.A - value;</v>
      </c>
      <c r="M215" s="15" t="str">
        <f t="shared" si="8"/>
        <v xml:space="preserve">            cpu.PS_N =  (bool)(value &amp; 0x80);
            cpu.PS_Z = (value == 0);</v>
      </c>
      <c r="N215" s="22" t="str">
        <f>IF(LEN(J215)&gt;0,indent&amp;IF(J215="LAST",AccessModes!$I$15&amp;H215,VLOOKUP($E215,AccessModes!$E$2:$I$13,5,FALSE)&amp;J215)&amp;");","")</f>
        <v/>
      </c>
      <c r="O215" s="15" t="str">
        <f>$O$195</f>
        <v xml:space="preserve">            cpu.PS_C = !cpu.PS_N;</v>
      </c>
      <c r="P215" s="15" t="str">
        <f>IF(C215=0,indent0&amp;"case 0x"&amp;DEC2HEX(A215)&amp;": /* "&amp;B215&amp;" "&amp;VLOOKUP(E215,AccessModes!$E$2:$G$13,3,FALSE)&amp;" */"&amp;newline&amp;IF(LEN(K215)&gt;0,K215&amp;CHAR(10),"")&amp;IF(LEN(L215)&gt;0,L215&amp;newline,"")&amp;IF(LEN(M215)&gt;0,M215&amp;newline,"")&amp;IF(LEN(N215)&gt;0,N215&amp;newline,"")&amp;IF(LEN(O215)&gt;0,O215&amp;newline,"")&amp;indent&amp;"break;","")</f>
        <v xml:space="preserve">        case 0xD5: /* CMP (aa,X) */
            value = memory_getIndexedIndirectX();
            value = cpu.A - value;
            cpu.PS_N =  (bool)(value &amp; 0x80);
            cpu.PS_Z = (value == 0);
            cpu.PS_C = !cpu.PS_N;
            break;</v>
      </c>
      <c r="Q215" s="22" t="str">
        <f t="shared" si="6"/>
        <v xml:space="preserve">    {"CMP", 0, AM_IIX, 4, 0},</v>
      </c>
    </row>
    <row r="216" spans="1:17" ht="92.4" x14ac:dyDescent="0.3">
      <c r="A216" s="22">
        <v>214</v>
      </c>
      <c r="B216" s="22" t="s">
        <v>113</v>
      </c>
      <c r="C216" s="22">
        <v>0</v>
      </c>
      <c r="D216" s="22" t="s">
        <v>134</v>
      </c>
      <c r="E216" s="22" t="str">
        <f>_xlfn.IFNA(VLOOKUP(D216,AccessModes!$D$2:$E$13,2,FALSE),"AM_IMP")</f>
        <v>AM_IIX</v>
      </c>
      <c r="F216" s="22">
        <v>6</v>
      </c>
      <c r="G216" s="22">
        <v>0</v>
      </c>
      <c r="H216" s="22" t="str">
        <f>$H$200</f>
        <v>value</v>
      </c>
      <c r="I216" s="22" t="str">
        <f>$I$200</f>
        <v>value</v>
      </c>
      <c r="J216" s="22" t="str">
        <f>$J$200</f>
        <v>LAST</v>
      </c>
      <c r="K216" s="22" t="str">
        <f>IF(LEN(H216)&gt;0,indent&amp;H216&amp;" = "&amp;VLOOKUP($E216,AccessModes!$E$2:$I$13,4,FALSE),"")</f>
        <v xml:space="preserve">            value = memory_getIndexedIndirectX();</v>
      </c>
      <c r="L216" s="15" t="str">
        <f>$L$200</f>
        <v xml:space="preserve">            --value;</v>
      </c>
      <c r="M216" s="15" t="str">
        <f t="shared" si="8"/>
        <v xml:space="preserve">            cpu.PS_N =  (bool)(value &amp; 0x80);
            cpu.PS_Z = (value == 0);</v>
      </c>
      <c r="N216" s="22" t="str">
        <f>IF(LEN(J216)&gt;0,indent&amp;IF(J216="LAST",AccessModes!$I$15&amp;H216,VLOOKUP($E216,AccessModes!$E$2:$I$13,5,FALSE)&amp;J216)&amp;");","")</f>
        <v xml:space="preserve">            memory_setLast(value);</v>
      </c>
      <c r="O216" s="22"/>
      <c r="P216" s="15" t="str">
        <f>IF(C216=0,indent0&amp;"case 0x"&amp;DEC2HEX(A216)&amp;": /* "&amp;B216&amp;" "&amp;VLOOKUP(E216,AccessModes!$E$2:$G$13,3,FALSE)&amp;" */"&amp;newline&amp;IF(LEN(K216)&gt;0,K216&amp;CHAR(10),"")&amp;IF(LEN(L216)&gt;0,L216&amp;newline,"")&amp;IF(LEN(M216)&gt;0,M216&amp;newline,"")&amp;IF(LEN(N216)&gt;0,N216&amp;newline,"")&amp;IF(LEN(O216)&gt;0,O216&amp;newline,"")&amp;indent&amp;"break;","")</f>
        <v xml:space="preserve">        case 0xD6: /* DEC (aa,X) */
            value = memory_getIndexedIndirectX();
            --value;
            cpu.PS_N =  (bool)(value &amp; 0x80);
            cpu.PS_Z = (value == 0);
            memory_setLast(value);
            break;</v>
      </c>
      <c r="Q216" s="22" t="str">
        <f t="shared" si="6"/>
        <v xml:space="preserve">    {"DEC", 0, AM_IIX, 6, 0},</v>
      </c>
    </row>
    <row r="217" spans="1:17" x14ac:dyDescent="0.3">
      <c r="A217" s="23">
        <v>215</v>
      </c>
      <c r="B217" s="23" t="s">
        <v>112</v>
      </c>
      <c r="C217" s="23">
        <v>-1</v>
      </c>
      <c r="D217" s="23" t="s">
        <v>134</v>
      </c>
      <c r="E217" s="23" t="str">
        <f>_xlfn.IFNA(VLOOKUP(D217,AccessModes!$D$2:$E$13,2,FALSE),"AM_IMP")</f>
        <v>AM_IIX</v>
      </c>
      <c r="F217" s="23">
        <v>6</v>
      </c>
      <c r="G217" s="23">
        <v>0</v>
      </c>
      <c r="H217" s="23"/>
      <c r="I217" s="23"/>
      <c r="J217" s="23"/>
      <c r="K217" s="23" t="str">
        <f>IF(LEN(H217)&gt;0,indent&amp;H217&amp;" = "&amp;VLOOKUP($E217,AccessModes!$E$2:$I$13,4,FALSE),"")</f>
        <v/>
      </c>
      <c r="L217" s="17" t="str">
        <f>indent&amp;"/* TODO: implementation of the action */"</f>
        <v xml:space="preserve">            /* TODO: implementation of the action */</v>
      </c>
      <c r="M217" s="17" t="str">
        <f t="shared" si="8"/>
        <v/>
      </c>
      <c r="N217" s="23" t="str">
        <f>IF(LEN(J217)&gt;0,indent&amp;IF(J217="LAST",AccessModes!$I$15&amp;H217,VLOOKUP($E217,AccessModes!$E$2:$I$13,5,FALSE)&amp;J217)&amp;");","")</f>
        <v/>
      </c>
      <c r="O217" s="23"/>
      <c r="P217" s="17" t="str">
        <f>IF(C217=0,indent0&amp;"case 0x"&amp;DEC2HEX(A217)&amp;": /* "&amp;B217&amp;" "&amp;VLOOKUP(E217,AccessModes!$E$2:$G$13,3,FALSE)&amp;" */"&amp;newline&amp;IF(LEN(K217)&gt;0,K217&amp;CHAR(10),"")&amp;IF(LEN(L217)&gt;0,L217&amp;newline,"")&amp;IF(LEN(M217)&gt;0,M217&amp;newline,"")&amp;IF(LEN(N217)&gt;0,N217&amp;newline,"")&amp;IF(LEN(O217)&gt;0,O217&amp;newline,"")&amp;indent&amp;"break;","")</f>
        <v/>
      </c>
      <c r="Q217" s="23" t="str">
        <f t="shared" si="6"/>
        <v xml:space="preserve">    {"DCP", -1, AM_IIX, 6, 0},</v>
      </c>
    </row>
    <row r="218" spans="1:17" ht="39.6" x14ac:dyDescent="0.3">
      <c r="A218" s="22">
        <v>216</v>
      </c>
      <c r="B218" s="22" t="s">
        <v>119</v>
      </c>
      <c r="C218" s="22">
        <v>0</v>
      </c>
      <c r="D218" s="22" t="s">
        <v>139</v>
      </c>
      <c r="E218" s="22" t="str">
        <f>_xlfn.IFNA(VLOOKUP(D218,AccessModes!$D$2:$E$13,2,FALSE),"AM_IMP")</f>
        <v>AM_IMP</v>
      </c>
      <c r="F218" s="22">
        <v>2</v>
      </c>
      <c r="G218" s="22">
        <v>0</v>
      </c>
      <c r="H218" s="28"/>
      <c r="I218" s="28"/>
      <c r="J218" s="28"/>
      <c r="K218" s="22" t="str">
        <f>IF(LEN(H218)&gt;0,indent&amp;H218&amp;" = "&amp;VLOOKUP($E218,AccessModes!$E$2:$I$13,4,FALSE),"")</f>
        <v/>
      </c>
      <c r="L218" s="29" t="str">
        <f>indent&amp;"cpu.PS_D = false;"</f>
        <v xml:space="preserve">            cpu.PS_D = false;</v>
      </c>
      <c r="M218" s="15" t="str">
        <f t="shared" si="8"/>
        <v/>
      </c>
      <c r="N218" s="22" t="str">
        <f>IF(LEN(J218)&gt;0,indent&amp;IF(J218="LAST",AccessModes!$I$15&amp;H218,VLOOKUP($E218,AccessModes!$E$2:$I$13,5,FALSE)&amp;J218)&amp;");","")</f>
        <v/>
      </c>
      <c r="O218" s="22"/>
      <c r="P218" s="15" t="str">
        <f>IF(C218=0,indent0&amp;"case 0x"&amp;DEC2HEX(A218)&amp;": /* "&amp;B218&amp;" "&amp;VLOOKUP(E218,AccessModes!$E$2:$G$13,3,FALSE)&amp;" */"&amp;newline&amp;IF(LEN(K218)&gt;0,K218&amp;CHAR(10),"")&amp;IF(LEN(L218)&gt;0,L218&amp;newline,"")&amp;IF(LEN(M218)&gt;0,M218&amp;newline,"")&amp;IF(LEN(N218)&gt;0,N218&amp;newline,"")&amp;IF(LEN(O218)&gt;0,O218&amp;newline,"")&amp;indent&amp;"break;","")</f>
        <v xml:space="preserve">        case 0xD8: /* CLD  */
            cpu.PS_D = false;
            break;</v>
      </c>
      <c r="Q218" s="22" t="str">
        <f t="shared" si="6"/>
        <v xml:space="preserve">    {"CLD", 0, AM_IMP, 2, 0},</v>
      </c>
    </row>
    <row r="219" spans="1:17" ht="92.4" x14ac:dyDescent="0.3">
      <c r="A219" s="22">
        <v>217</v>
      </c>
      <c r="B219" s="22" t="s">
        <v>111</v>
      </c>
      <c r="C219" s="22">
        <v>0</v>
      </c>
      <c r="D219" s="22" t="s">
        <v>135</v>
      </c>
      <c r="E219" s="22" t="str">
        <f>_xlfn.IFNA(VLOOKUP(D219,AccessModes!$D$2:$E$13,2,FALSE),"AM_IMP")</f>
        <v>AM_AIY</v>
      </c>
      <c r="F219" s="22">
        <v>4</v>
      </c>
      <c r="G219" s="22">
        <v>1</v>
      </c>
      <c r="H219" s="22" t="str">
        <f>$H$194</f>
        <v>value</v>
      </c>
      <c r="I219" s="22" t="str">
        <f>$I$194</f>
        <v>value</v>
      </c>
      <c r="J219" s="22" t="str">
        <f>$J$194</f>
        <v/>
      </c>
      <c r="K219" s="22" t="str">
        <f>IF(LEN(H219)&gt;0,indent&amp;H219&amp;" = "&amp;VLOOKUP($E219,AccessModes!$E$2:$I$13,4,FALSE),"")</f>
        <v xml:space="preserve">            value = memory_getAbsoluteIndexedY();</v>
      </c>
      <c r="L219" s="15" t="str">
        <f>$L$195</f>
        <v xml:space="preserve">            value = cpu.A - value;</v>
      </c>
      <c r="M219" s="15" t="str">
        <f t="shared" si="8"/>
        <v xml:space="preserve">            cpu.PS_N =  (bool)(value &amp; 0x80);
            cpu.PS_Z = (value == 0);</v>
      </c>
      <c r="N219" s="22" t="str">
        <f>IF(LEN(J219)&gt;0,indent&amp;IF(J219="LAST",AccessModes!$I$15&amp;H219,VLOOKUP($E219,AccessModes!$E$2:$I$13,5,FALSE)&amp;J219)&amp;");","")</f>
        <v/>
      </c>
      <c r="O219" s="15" t="str">
        <f>$O$195</f>
        <v xml:space="preserve">            cpu.PS_C = !cpu.PS_N;</v>
      </c>
      <c r="P219" s="15" t="str">
        <f>IF(C219=0,indent0&amp;"case 0x"&amp;DEC2HEX(A219)&amp;": /* "&amp;B219&amp;" "&amp;VLOOKUP(E219,AccessModes!$E$2:$G$13,3,FALSE)&amp;" */"&amp;newline&amp;IF(LEN(K219)&gt;0,K219&amp;CHAR(10),"")&amp;IF(LEN(L219)&gt;0,L219&amp;newline,"")&amp;IF(LEN(M219)&gt;0,M219&amp;newline,"")&amp;IF(LEN(N219)&gt;0,N219&amp;newline,"")&amp;IF(LEN(O219)&gt;0,O219&amp;newline,"")&amp;indent&amp;"break;","")</f>
        <v xml:space="preserve">        case 0xD9: /* CMP aaaa,Y */
            value = memory_getAbsoluteIndexedY();
            value = cpu.A - value;
            cpu.PS_N =  (bool)(value &amp; 0x80);
            cpu.PS_Z = (value == 0);
            cpu.PS_C = !cpu.PS_N;
            break;</v>
      </c>
      <c r="Q219" s="22" t="str">
        <f t="shared" si="6"/>
        <v xml:space="preserve">    {"CMP", 0, AM_AIY, 4, 1},</v>
      </c>
    </row>
    <row r="220" spans="1:17" x14ac:dyDescent="0.3">
      <c r="A220" s="23">
        <v>218</v>
      </c>
      <c r="B220" s="23" t="s">
        <v>23</v>
      </c>
      <c r="C220" s="23">
        <v>-1</v>
      </c>
      <c r="D220" s="23" t="s">
        <v>139</v>
      </c>
      <c r="E220" s="23" t="str">
        <f>_xlfn.IFNA(VLOOKUP(D220,AccessModes!$D$2:$E$13,2,FALSE),"AM_IMP")</f>
        <v>AM_IMP</v>
      </c>
      <c r="F220" s="23">
        <v>2</v>
      </c>
      <c r="G220" s="23">
        <v>0</v>
      </c>
      <c r="H220" s="23"/>
      <c r="I220" s="23"/>
      <c r="J220" s="23"/>
      <c r="K220" s="23" t="str">
        <f>IF(LEN(H220)&gt;0,indent&amp;H220&amp;" = "&amp;VLOOKUP($E220,AccessModes!$E$2:$I$13,4,FALSE),"")</f>
        <v/>
      </c>
      <c r="L220" s="17" t="str">
        <f>indent&amp;"/* TODO: implementation of the action */"</f>
        <v xml:space="preserve">            /* TODO: implementation of the action */</v>
      </c>
      <c r="M220" s="17" t="str">
        <f t="shared" si="8"/>
        <v/>
      </c>
      <c r="N220" s="23" t="str">
        <f>IF(LEN(J220)&gt;0,indent&amp;IF(J220="LAST",AccessModes!$I$15&amp;H220,VLOOKUP($E220,AccessModes!$E$2:$I$13,5,FALSE)&amp;J220)&amp;");","")</f>
        <v/>
      </c>
      <c r="O220" s="23"/>
      <c r="P220" s="17" t="str">
        <f>IF(C220=0,indent0&amp;"case 0x"&amp;DEC2HEX(A220)&amp;": /* "&amp;B220&amp;" "&amp;VLOOKUP(E220,AccessModes!$E$2:$G$13,3,FALSE)&amp;" */"&amp;newline&amp;IF(LEN(K220)&gt;0,K220&amp;CHAR(10),"")&amp;IF(LEN(L220)&gt;0,L220&amp;newline,"")&amp;IF(LEN(M220)&gt;0,M220&amp;newline,"")&amp;IF(LEN(N220)&gt;0,N220&amp;newline,"")&amp;IF(LEN(O220)&gt;0,O220&amp;newline,"")&amp;indent&amp;"break;","")</f>
        <v/>
      </c>
      <c r="Q220" s="23" t="str">
        <f t="shared" ref="Q220:Q257" si="9">"    {"&amp;CHAR(34)&amp;B220&amp;CHAR(34)&amp;", "&amp;C220&amp;", "&amp;E220&amp;", "&amp;F220&amp;", "&amp;G220&amp;"},"</f>
        <v xml:space="preserve">    {"NOP", -1, AM_IMP, 2, 0},</v>
      </c>
    </row>
    <row r="221" spans="1:17" x14ac:dyDescent="0.3">
      <c r="A221" s="23">
        <v>219</v>
      </c>
      <c r="B221" s="23" t="s">
        <v>112</v>
      </c>
      <c r="C221" s="23">
        <v>-1</v>
      </c>
      <c r="D221" s="23" t="s">
        <v>135</v>
      </c>
      <c r="E221" s="23" t="str">
        <f>_xlfn.IFNA(VLOOKUP(D221,AccessModes!$D$2:$E$13,2,FALSE),"AM_IMP")</f>
        <v>AM_AIY</v>
      </c>
      <c r="F221" s="23">
        <v>7</v>
      </c>
      <c r="G221" s="23">
        <v>0</v>
      </c>
      <c r="H221" s="23"/>
      <c r="I221" s="23"/>
      <c r="J221" s="23"/>
      <c r="K221" s="23" t="str">
        <f>IF(LEN(H221)&gt;0,indent&amp;H221&amp;" = "&amp;VLOOKUP($E221,AccessModes!$E$2:$I$13,4,FALSE),"")</f>
        <v/>
      </c>
      <c r="L221" s="17" t="str">
        <f>indent&amp;"/* TODO: implementation of the action */"</f>
        <v xml:space="preserve">            /* TODO: implementation of the action */</v>
      </c>
      <c r="M221" s="17" t="str">
        <f t="shared" si="8"/>
        <v/>
      </c>
      <c r="N221" s="23" t="str">
        <f>IF(LEN(J221)&gt;0,indent&amp;IF(J221="LAST",AccessModes!$I$15&amp;H221,VLOOKUP($E221,AccessModes!$E$2:$I$13,5,FALSE)&amp;J221)&amp;");","")</f>
        <v/>
      </c>
      <c r="O221" s="23"/>
      <c r="P221" s="17" t="str">
        <f>IF(C221=0,indent0&amp;"case 0x"&amp;DEC2HEX(A221)&amp;": /* "&amp;B221&amp;" "&amp;VLOOKUP(E221,AccessModes!$E$2:$G$13,3,FALSE)&amp;" */"&amp;newline&amp;IF(LEN(K221)&gt;0,K221&amp;CHAR(10),"")&amp;IF(LEN(L221)&gt;0,L221&amp;newline,"")&amp;IF(LEN(M221)&gt;0,M221&amp;newline,"")&amp;IF(LEN(N221)&gt;0,N221&amp;newline,"")&amp;IF(LEN(O221)&gt;0,O221&amp;newline,"")&amp;indent&amp;"break;","")</f>
        <v/>
      </c>
      <c r="Q221" s="23" t="str">
        <f t="shared" si="9"/>
        <v xml:space="preserve">    {"DCP", -1, AM_AIY, 7, 0},</v>
      </c>
    </row>
    <row r="222" spans="1:17" x14ac:dyDescent="0.3">
      <c r="A222" s="23">
        <v>220</v>
      </c>
      <c r="B222" s="23" t="s">
        <v>23</v>
      </c>
      <c r="C222" s="23">
        <v>-1</v>
      </c>
      <c r="D222" s="23" t="s">
        <v>136</v>
      </c>
      <c r="E222" s="23" t="str">
        <f>_xlfn.IFNA(VLOOKUP(D222,AccessModes!$D$2:$E$13,2,FALSE),"AM_IMP")</f>
        <v>AM_AIX</v>
      </c>
      <c r="F222" s="23">
        <v>4</v>
      </c>
      <c r="G222" s="23">
        <v>1</v>
      </c>
      <c r="H222" s="23"/>
      <c r="I222" s="23"/>
      <c r="J222" s="23"/>
      <c r="K222" s="23" t="str">
        <f>IF(LEN(H222)&gt;0,indent&amp;H222&amp;" = "&amp;VLOOKUP($E222,AccessModes!$E$2:$I$13,4,FALSE),"")</f>
        <v/>
      </c>
      <c r="L222" s="17" t="str">
        <f>indent&amp;"/* TODO: implementation of the action */"</f>
        <v xml:space="preserve">            /* TODO: implementation of the action */</v>
      </c>
      <c r="M222" s="17" t="str">
        <f t="shared" si="8"/>
        <v/>
      </c>
      <c r="N222" s="23" t="str">
        <f>IF(LEN(J222)&gt;0,indent&amp;IF(J222="LAST",AccessModes!$I$15&amp;H222,VLOOKUP($E222,AccessModes!$E$2:$I$13,5,FALSE)&amp;J222)&amp;");","")</f>
        <v/>
      </c>
      <c r="O222" s="23"/>
      <c r="P222" s="17" t="str">
        <f>IF(C222=0,indent0&amp;"case 0x"&amp;DEC2HEX(A222)&amp;": /* "&amp;B222&amp;" "&amp;VLOOKUP(E222,AccessModes!$E$2:$G$13,3,FALSE)&amp;" */"&amp;newline&amp;IF(LEN(K222)&gt;0,K222&amp;CHAR(10),"")&amp;IF(LEN(L222)&gt;0,L222&amp;newline,"")&amp;IF(LEN(M222)&gt;0,M222&amp;newline,"")&amp;IF(LEN(N222)&gt;0,N222&amp;newline,"")&amp;IF(LEN(O222)&gt;0,O222&amp;newline,"")&amp;indent&amp;"break;","")</f>
        <v/>
      </c>
      <c r="Q222" s="23" t="str">
        <f t="shared" si="9"/>
        <v xml:space="preserve">    {"NOP", -1, AM_AIX, 4, 1},</v>
      </c>
    </row>
    <row r="223" spans="1:17" ht="92.4" x14ac:dyDescent="0.3">
      <c r="A223" s="22">
        <v>221</v>
      </c>
      <c r="B223" s="22" t="s">
        <v>111</v>
      </c>
      <c r="C223" s="22">
        <v>0</v>
      </c>
      <c r="D223" s="22" t="s">
        <v>136</v>
      </c>
      <c r="E223" s="22" t="str">
        <f>_xlfn.IFNA(VLOOKUP(D223,AccessModes!$D$2:$E$13,2,FALSE),"AM_IMP")</f>
        <v>AM_AIX</v>
      </c>
      <c r="F223" s="22">
        <v>4</v>
      </c>
      <c r="G223" s="22">
        <v>1</v>
      </c>
      <c r="H223" s="22" t="str">
        <f>$H$194</f>
        <v>value</v>
      </c>
      <c r="I223" s="22" t="str">
        <f>$I$194</f>
        <v>value</v>
      </c>
      <c r="J223" s="22" t="str">
        <f>$J$194</f>
        <v/>
      </c>
      <c r="K223" s="22" t="str">
        <f>IF(LEN(H223)&gt;0,indent&amp;H223&amp;" = "&amp;VLOOKUP($E223,AccessModes!$E$2:$I$13,4,FALSE),"")</f>
        <v xml:space="preserve">            value = memory_getAbsoluteIndexedX();</v>
      </c>
      <c r="L223" s="15" t="str">
        <f>$L$195</f>
        <v xml:space="preserve">            value = cpu.A - value;</v>
      </c>
      <c r="M223" s="15" t="str">
        <f t="shared" si="8"/>
        <v xml:space="preserve">            cpu.PS_N =  (bool)(value &amp; 0x80);
            cpu.PS_Z = (value == 0);</v>
      </c>
      <c r="N223" s="22" t="str">
        <f>IF(LEN(J223)&gt;0,indent&amp;IF(J223="LAST",AccessModes!$I$15&amp;H223,VLOOKUP($E223,AccessModes!$E$2:$I$13,5,FALSE)&amp;J223)&amp;");","")</f>
        <v/>
      </c>
      <c r="O223" s="15" t="str">
        <f>$O$195</f>
        <v xml:space="preserve">            cpu.PS_C = !cpu.PS_N;</v>
      </c>
      <c r="P223" s="15" t="str">
        <f>IF(C223=0,indent0&amp;"case 0x"&amp;DEC2HEX(A223)&amp;": /* "&amp;B223&amp;" "&amp;VLOOKUP(E223,AccessModes!$E$2:$G$13,3,FALSE)&amp;" */"&amp;newline&amp;IF(LEN(K223)&gt;0,K223&amp;CHAR(10),"")&amp;IF(LEN(L223)&gt;0,L223&amp;newline,"")&amp;IF(LEN(M223)&gt;0,M223&amp;newline,"")&amp;IF(LEN(N223)&gt;0,N223&amp;newline,"")&amp;IF(LEN(O223)&gt;0,O223&amp;newline,"")&amp;indent&amp;"break;","")</f>
        <v xml:space="preserve">        case 0xDD: /* CMP aaaa,X */
            value = memory_getAbsoluteIndexedX();
            value = cpu.A - value;
            cpu.PS_N =  (bool)(value &amp; 0x80);
            cpu.PS_Z = (value == 0);
            cpu.PS_C = !cpu.PS_N;
            break;</v>
      </c>
      <c r="Q223" s="22" t="str">
        <f t="shared" si="9"/>
        <v xml:space="preserve">    {"CMP", 0, AM_AIX, 4, 1},</v>
      </c>
    </row>
    <row r="224" spans="1:17" ht="92.4" x14ac:dyDescent="0.3">
      <c r="A224" s="22">
        <v>222</v>
      </c>
      <c r="B224" s="22" t="s">
        <v>113</v>
      </c>
      <c r="C224" s="22">
        <v>0</v>
      </c>
      <c r="D224" s="22" t="s">
        <v>136</v>
      </c>
      <c r="E224" s="22" t="str">
        <f>_xlfn.IFNA(VLOOKUP(D224,AccessModes!$D$2:$E$13,2,FALSE),"AM_IMP")</f>
        <v>AM_AIX</v>
      </c>
      <c r="F224" s="22">
        <v>7</v>
      </c>
      <c r="G224" s="22">
        <v>0</v>
      </c>
      <c r="H224" s="22" t="str">
        <f>$H$200</f>
        <v>value</v>
      </c>
      <c r="I224" s="22" t="str">
        <f>$I$200</f>
        <v>value</v>
      </c>
      <c r="J224" s="22" t="str">
        <f>$J$200</f>
        <v>LAST</v>
      </c>
      <c r="K224" s="22" t="str">
        <f>IF(LEN(H224)&gt;0,indent&amp;H224&amp;" = "&amp;VLOOKUP($E224,AccessModes!$E$2:$I$13,4,FALSE),"")</f>
        <v xml:space="preserve">            value = memory_getAbsoluteIndexedX();</v>
      </c>
      <c r="L224" s="15" t="str">
        <f>$L$200</f>
        <v xml:space="preserve">            --value;</v>
      </c>
      <c r="M224" s="15" t="str">
        <f t="shared" si="8"/>
        <v xml:space="preserve">            cpu.PS_N =  (bool)(value &amp; 0x80);
            cpu.PS_Z = (value == 0);</v>
      </c>
      <c r="N224" s="22" t="str">
        <f>IF(LEN(J224)&gt;0,indent&amp;IF(J224="LAST",AccessModes!$I$15&amp;H224,VLOOKUP($E224,AccessModes!$E$2:$I$13,5,FALSE)&amp;J224)&amp;");","")</f>
        <v xml:space="preserve">            memory_setLast(value);</v>
      </c>
      <c r="O224" s="22"/>
      <c r="P224" s="15" t="str">
        <f>IF(C224=0,indent0&amp;"case 0x"&amp;DEC2HEX(A224)&amp;": /* "&amp;B224&amp;" "&amp;VLOOKUP(E224,AccessModes!$E$2:$G$13,3,FALSE)&amp;" */"&amp;newline&amp;IF(LEN(K224)&gt;0,K224&amp;CHAR(10),"")&amp;IF(LEN(L224)&gt;0,L224&amp;newline,"")&amp;IF(LEN(M224)&gt;0,M224&amp;newline,"")&amp;IF(LEN(N224)&gt;0,N224&amp;newline,"")&amp;IF(LEN(O224)&gt;0,O224&amp;newline,"")&amp;indent&amp;"break;","")</f>
        <v xml:space="preserve">        case 0xDE: /* DEC aaaa,X */
            value = memory_getAbsoluteIndexedX();
            --value;
            cpu.PS_N =  (bool)(value &amp; 0x80);
            cpu.PS_Z = (value == 0);
            memory_setLast(value);
            break;</v>
      </c>
      <c r="Q224" s="22" t="str">
        <f t="shared" si="9"/>
        <v xml:space="preserve">    {"DEC", 0, AM_AIX, 7, 0},</v>
      </c>
    </row>
    <row r="225" spans="1:17" x14ac:dyDescent="0.3">
      <c r="A225" s="23">
        <v>223</v>
      </c>
      <c r="B225" s="23" t="s">
        <v>112</v>
      </c>
      <c r="C225" s="23">
        <v>-1</v>
      </c>
      <c r="D225" s="23" t="s">
        <v>136</v>
      </c>
      <c r="E225" s="23" t="str">
        <f>_xlfn.IFNA(VLOOKUP(D225,AccessModes!$D$2:$E$13,2,FALSE),"AM_IMP")</f>
        <v>AM_AIX</v>
      </c>
      <c r="F225" s="23">
        <v>7</v>
      </c>
      <c r="G225" s="23">
        <v>0</v>
      </c>
      <c r="H225" s="23"/>
      <c r="I225" s="23"/>
      <c r="J225" s="23"/>
      <c r="K225" s="23" t="str">
        <f>IF(LEN(H225)&gt;0,indent&amp;H225&amp;" = "&amp;VLOOKUP($E225,AccessModes!$E$2:$I$13,4,FALSE),"")</f>
        <v/>
      </c>
      <c r="L225" s="17" t="str">
        <f>indent&amp;"/* TODO: implementation of the action */"</f>
        <v xml:space="preserve">            /* TODO: implementation of the action */</v>
      </c>
      <c r="M225" s="17" t="str">
        <f t="shared" si="8"/>
        <v/>
      </c>
      <c r="N225" s="23" t="str">
        <f>IF(LEN(J225)&gt;0,indent&amp;IF(J225="LAST",AccessModes!$I$15&amp;H225,VLOOKUP($E225,AccessModes!$E$2:$I$13,5,FALSE)&amp;J225)&amp;");","")</f>
        <v/>
      </c>
      <c r="O225" s="23"/>
      <c r="P225" s="17" t="str">
        <f>IF(C225=0,indent0&amp;"case 0x"&amp;DEC2HEX(A225)&amp;": /* "&amp;B225&amp;" "&amp;VLOOKUP(E225,AccessModes!$E$2:$G$13,3,FALSE)&amp;" */"&amp;newline&amp;IF(LEN(K225)&gt;0,K225&amp;CHAR(10),"")&amp;IF(LEN(L225)&gt;0,L225&amp;newline,"")&amp;IF(LEN(M225)&gt;0,M225&amp;newline,"")&amp;IF(LEN(N225)&gt;0,N225&amp;newline,"")&amp;IF(LEN(O225)&gt;0,O225&amp;newline,"")&amp;indent&amp;"break;","")</f>
        <v/>
      </c>
      <c r="Q225" s="23" t="str">
        <f t="shared" si="9"/>
        <v xml:space="preserve">    {"DCP", -1, AM_AIX, 7, 0},</v>
      </c>
    </row>
    <row r="226" spans="1:17" ht="92.4" x14ac:dyDescent="0.3">
      <c r="A226" s="22">
        <v>224</v>
      </c>
      <c r="B226" s="22" t="s">
        <v>121</v>
      </c>
      <c r="C226" s="22">
        <v>0</v>
      </c>
      <c r="D226" s="22" t="s">
        <v>130</v>
      </c>
      <c r="E226" s="22" t="str">
        <f>_xlfn.IFNA(VLOOKUP(D226,AccessModes!$D$2:$E$13,2,FALSE),"AM_IMP")</f>
        <v>AM_IMM</v>
      </c>
      <c r="F226" s="22">
        <v>2</v>
      </c>
      <c r="G226" s="22">
        <v>0</v>
      </c>
      <c r="H226" s="28" t="s">
        <v>224</v>
      </c>
      <c r="I226" s="28" t="s">
        <v>224</v>
      </c>
      <c r="J226" s="28" t="s">
        <v>139</v>
      </c>
      <c r="K226" s="22" t="str">
        <f>IF(LEN(H226)&gt;0,indent&amp;H226&amp;" = "&amp;VLOOKUP($E226,AccessModes!$E$2:$I$13,4,FALSE),"")</f>
        <v xml:space="preserve">            value = memory_getImmediate();</v>
      </c>
      <c r="L226" s="29" t="str">
        <f>indent&amp;"value = cpu.X - value;"</f>
        <v xml:space="preserve">            value = cpu.X - value;</v>
      </c>
      <c r="M226" s="15" t="str">
        <f t="shared" si="8"/>
        <v xml:space="preserve">            cpu.PS_N =  (bool)(value &amp; 0x80);
            cpu.PS_Z = (value == 0);</v>
      </c>
      <c r="N226" s="22" t="str">
        <f>IF(LEN(J226)&gt;0,indent&amp;IF(J226="LAST",AccessModes!$I$15&amp;H226,VLOOKUP($E226,AccessModes!$E$2:$I$13,5,FALSE)&amp;J226)&amp;");","")</f>
        <v/>
      </c>
      <c r="O226" s="29" t="str">
        <f>indent&amp;"cpu.PS_C = !cpu.PS_N;"</f>
        <v xml:space="preserve">            cpu.PS_C = !cpu.PS_N;</v>
      </c>
      <c r="P226" s="15" t="str">
        <f>IF(C226=0,indent0&amp;"case 0x"&amp;DEC2HEX(A226)&amp;": /* "&amp;B226&amp;" "&amp;VLOOKUP(E226,AccessModes!$E$2:$G$13,3,FALSE)&amp;" */"&amp;newline&amp;IF(LEN(K226)&gt;0,K226&amp;CHAR(10),"")&amp;IF(LEN(L226)&gt;0,L226&amp;newline,"")&amp;IF(LEN(M226)&gt;0,M226&amp;newline,"")&amp;IF(LEN(N226)&gt;0,N226&amp;newline,"")&amp;IF(LEN(O226)&gt;0,O226&amp;newline,"")&amp;indent&amp;"break;","")</f>
        <v xml:space="preserve">        case 0xE0: /* CPX #aa */
            value = memory_getImmediate();
            value = cpu.X - value;
            cpu.PS_N =  (bool)(value &amp; 0x80);
            cpu.PS_Z = (value == 0);
            cpu.PS_C = !cpu.PS_N;
            break;</v>
      </c>
      <c r="Q226" s="22" t="str">
        <f t="shared" si="9"/>
        <v xml:space="preserve">    {"CPX", 0, AM_IMM, 2, 0},</v>
      </c>
    </row>
    <row r="227" spans="1:17" ht="224.4" x14ac:dyDescent="0.3">
      <c r="A227" s="22">
        <v>225</v>
      </c>
      <c r="B227" s="22" t="s">
        <v>122</v>
      </c>
      <c r="C227" s="22">
        <v>0</v>
      </c>
      <c r="D227" s="22" t="s">
        <v>129</v>
      </c>
      <c r="E227" s="22" t="str">
        <f>_xlfn.IFNA(VLOOKUP(D227,AccessModes!$D$2:$E$13,2,FALSE),"AM_IMP")</f>
        <v>AM_ZIX</v>
      </c>
      <c r="F227" s="22">
        <v>6</v>
      </c>
      <c r="G227" s="22">
        <v>0</v>
      </c>
      <c r="H227" s="28" t="str">
        <f>$H$99</f>
        <v>value</v>
      </c>
      <c r="I227" s="28" t="str">
        <f>$I$99</f>
        <v/>
      </c>
      <c r="J227" s="28" t="str">
        <f>$J$99</f>
        <v/>
      </c>
      <c r="K227" s="15" t="str">
        <f>indent&amp;"/* SBC is ADC with inverted value */"&amp;newline&amp;indent&amp;H227&amp;" = ~"&amp;VLOOKUP($E227,AccessModes!$E$2:$I$13,4,FALSE)</f>
        <v xml:space="preserve">            /* SBC is ADC with inverted value */
            value = ~memory_getZeroPageIndexedX();</v>
      </c>
      <c r="L227" s="29" t="str">
        <f>$L$99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27" s="15" t="str">
        <f t="shared" si="8"/>
        <v/>
      </c>
      <c r="N227" s="15" t="str">
        <f>IF(LEN(J227)&gt;0,indent&amp;IF(J227="LAST",AccessModes!$I$15&amp;H227,VLOOKUP($E227,AccessModes!$E$2:$I$13,5,FALSE)&amp;J227)&amp;");","")</f>
        <v/>
      </c>
      <c r="O227" s="33"/>
      <c r="P227" s="15" t="str">
        <f>IF(C227=0,indent0&amp;"case 0x"&amp;DEC2HEX(A227)&amp;": /* "&amp;B227&amp;" "&amp;VLOOKUP(E227,AccessModes!$E$2:$G$13,3,FALSE)&amp;" */"&amp;newline&amp;IF(LEN(K227)&gt;0,K227&amp;CHAR(10),"")&amp;IF(LEN(L227)&gt;0,L227&amp;newline,"")&amp;IF(LEN(M227)&gt;0,M227&amp;newline,"")&amp;IF(LEN(N227)&gt;0,N227&amp;newline,"")&amp;IF(LEN(O227)&gt;0,O227&amp;newline,"")&amp;indent&amp;"break;","")</f>
        <v xml:space="preserve">        case 0xE1: /* SBC aa,X */
            /* SBC is ADC with inverted value */
            value = ~memory_getZeroPageIndexedX();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27" s="22" t="str">
        <f t="shared" si="9"/>
        <v xml:space="preserve">    {"SBC", 0, AM_ZIX, 6, 0},</v>
      </c>
    </row>
    <row r="228" spans="1:17" x14ac:dyDescent="0.3">
      <c r="A228" s="23">
        <v>226</v>
      </c>
      <c r="B228" s="23" t="s">
        <v>23</v>
      </c>
      <c r="C228" s="23">
        <v>-1</v>
      </c>
      <c r="D228" s="23" t="s">
        <v>130</v>
      </c>
      <c r="E228" s="23" t="str">
        <f>_xlfn.IFNA(VLOOKUP(D228,AccessModes!$D$2:$E$13,2,FALSE),"AM_IMP")</f>
        <v>AM_IMM</v>
      </c>
      <c r="F228" s="23">
        <v>2</v>
      </c>
      <c r="G228" s="23">
        <v>0</v>
      </c>
      <c r="H228" s="23"/>
      <c r="I228" s="23"/>
      <c r="J228" s="23"/>
      <c r="K228" s="23" t="str">
        <f>IF(LEN(H228)&gt;0,indent&amp;H228&amp;" = "&amp;VLOOKUP($E228,AccessModes!$E$2:$I$13,4,FALSE),"")</f>
        <v/>
      </c>
      <c r="L228" s="17" t="str">
        <f>indent&amp;"/* TODO: implementation of the action */"</f>
        <v xml:space="preserve">            /* TODO: implementation of the action */</v>
      </c>
      <c r="M228" s="17" t="str">
        <f t="shared" si="8"/>
        <v/>
      </c>
      <c r="N228" s="23" t="str">
        <f>IF(LEN(J228)&gt;0,indent&amp;IF(J228="LAST",AccessModes!$I$15&amp;H228,VLOOKUP($E228,AccessModes!$E$2:$I$13,5,FALSE)&amp;J228)&amp;");","")</f>
        <v/>
      </c>
      <c r="O228" s="23"/>
      <c r="P228" s="17" t="str">
        <f>IF(C228=0,indent0&amp;"case 0x"&amp;DEC2HEX(A228)&amp;": /* "&amp;B228&amp;" "&amp;VLOOKUP(E228,AccessModes!$E$2:$G$13,3,FALSE)&amp;" */"&amp;newline&amp;IF(LEN(K228)&gt;0,K228&amp;CHAR(10),"")&amp;IF(LEN(L228)&gt;0,L228&amp;newline,"")&amp;IF(LEN(M228)&gt;0,M228&amp;newline,"")&amp;IF(LEN(N228)&gt;0,N228&amp;newline,"")&amp;IF(LEN(O228)&gt;0,O228&amp;newline,"")&amp;indent&amp;"break;","")</f>
        <v/>
      </c>
      <c r="Q228" s="23" t="str">
        <f t="shared" si="9"/>
        <v xml:space="preserve">    {"NOP", -1, AM_IMM, 2, 0},</v>
      </c>
    </row>
    <row r="229" spans="1:17" x14ac:dyDescent="0.3">
      <c r="A229" s="23">
        <v>227</v>
      </c>
      <c r="B229" s="23" t="s">
        <v>123</v>
      </c>
      <c r="C229" s="23">
        <v>-1</v>
      </c>
      <c r="D229" s="23" t="s">
        <v>129</v>
      </c>
      <c r="E229" s="23" t="str">
        <f>_xlfn.IFNA(VLOOKUP(D229,AccessModes!$D$2:$E$13,2,FALSE),"AM_IMP")</f>
        <v>AM_ZIX</v>
      </c>
      <c r="F229" s="23">
        <v>8</v>
      </c>
      <c r="G229" s="23">
        <v>0</v>
      </c>
      <c r="H229" s="23"/>
      <c r="I229" s="23"/>
      <c r="J229" s="23"/>
      <c r="K229" s="23" t="str">
        <f>IF(LEN(H229)&gt;0,indent&amp;H229&amp;" = "&amp;VLOOKUP($E229,AccessModes!$E$2:$I$13,4,FALSE),"")</f>
        <v/>
      </c>
      <c r="L229" s="17" t="str">
        <f>indent&amp;"/* TODO: implementation of the action */"</f>
        <v xml:space="preserve">            /* TODO: implementation of the action */</v>
      </c>
      <c r="M229" s="17" t="str">
        <f t="shared" si="8"/>
        <v/>
      </c>
      <c r="N229" s="23" t="str">
        <f>IF(LEN(J229)&gt;0,indent&amp;IF(J229="LAST",AccessModes!$I$15&amp;H229,VLOOKUP($E229,AccessModes!$E$2:$I$13,5,FALSE)&amp;J229)&amp;");","")</f>
        <v/>
      </c>
      <c r="O229" s="23"/>
      <c r="P229" s="17" t="str">
        <f>IF(C229=0,indent0&amp;"case 0x"&amp;DEC2HEX(A229)&amp;": /* "&amp;B229&amp;" "&amp;VLOOKUP(E229,AccessModes!$E$2:$G$13,3,FALSE)&amp;" */"&amp;newline&amp;IF(LEN(K229)&gt;0,K229&amp;CHAR(10),"")&amp;IF(LEN(L229)&gt;0,L229&amp;newline,"")&amp;IF(LEN(M229)&gt;0,M229&amp;newline,"")&amp;IF(LEN(N229)&gt;0,N229&amp;newline,"")&amp;IF(LEN(O229)&gt;0,O229&amp;newline,"")&amp;indent&amp;"break;","")</f>
        <v/>
      </c>
      <c r="Q229" s="23" t="str">
        <f t="shared" si="9"/>
        <v xml:space="preserve">    {"ISC", -1, AM_ZIX, 8, 0},</v>
      </c>
    </row>
    <row r="230" spans="1:17" ht="92.4" x14ac:dyDescent="0.3">
      <c r="A230" s="22">
        <v>228</v>
      </c>
      <c r="B230" s="22" t="s">
        <v>121</v>
      </c>
      <c r="C230" s="22">
        <v>0</v>
      </c>
      <c r="D230" s="22" t="s">
        <v>144</v>
      </c>
      <c r="E230" s="22" t="str">
        <f>_xlfn.IFNA(VLOOKUP(D230,AccessModes!$D$2:$E$13,2,FALSE),"AM_IMP")</f>
        <v>AM_ZPG</v>
      </c>
      <c r="F230" s="22">
        <v>3</v>
      </c>
      <c r="G230" s="22">
        <v>0</v>
      </c>
      <c r="H230" s="22" t="str">
        <f>$H$194</f>
        <v>value</v>
      </c>
      <c r="I230" s="22" t="str">
        <f>$I$194</f>
        <v>value</v>
      </c>
      <c r="J230" s="22" t="str">
        <f>$J$194</f>
        <v/>
      </c>
      <c r="K230" s="22" t="str">
        <f>IF(LEN(H230)&gt;0,indent&amp;H230&amp;" = "&amp;VLOOKUP($E230,AccessModes!$E$2:$I$13,4,FALSE),"")</f>
        <v xml:space="preserve">            value = memory_getZeroPage();</v>
      </c>
      <c r="L230" s="15" t="str">
        <f>$L$226</f>
        <v xml:space="preserve">            value = cpu.X - value;</v>
      </c>
      <c r="M230" s="15" t="str">
        <f t="shared" si="8"/>
        <v xml:space="preserve">            cpu.PS_N =  (bool)(value &amp; 0x80);
            cpu.PS_Z = (value == 0);</v>
      </c>
      <c r="N230" s="22" t="str">
        <f>IF(LEN(J230)&gt;0,indent&amp;IF(J230="LAST",AccessModes!$I$15&amp;H230,VLOOKUP($E230,AccessModes!$E$2:$I$13,5,FALSE)&amp;J230)&amp;");","")</f>
        <v/>
      </c>
      <c r="O230" s="15" t="str">
        <f>$O$226</f>
        <v xml:space="preserve">            cpu.PS_C = !cpu.PS_N;</v>
      </c>
      <c r="P230" s="15" t="str">
        <f>IF(C230=0,indent0&amp;"case 0x"&amp;DEC2HEX(A230)&amp;": /* "&amp;B230&amp;" "&amp;VLOOKUP(E230,AccessModes!$E$2:$G$13,3,FALSE)&amp;" */"&amp;newline&amp;IF(LEN(K230)&gt;0,K230&amp;CHAR(10),"")&amp;IF(LEN(L230)&gt;0,L230&amp;newline,"")&amp;IF(LEN(M230)&gt;0,M230&amp;newline,"")&amp;IF(LEN(N230)&gt;0,N230&amp;newline,"")&amp;IF(LEN(O230)&gt;0,O230&amp;newline,"")&amp;indent&amp;"break;","")</f>
        <v xml:space="preserve">        case 0xE4: /* CPX aa */
            value = memory_getZeroPage();
            value = cpu.X - value;
            cpu.PS_N =  (bool)(value &amp; 0x80);
            cpu.PS_Z = (value == 0);
            cpu.PS_C = !cpu.PS_N;
            break;</v>
      </c>
      <c r="Q230" s="22" t="str">
        <f t="shared" si="9"/>
        <v xml:space="preserve">    {"CPX", 0, AM_ZPG, 3, 0},</v>
      </c>
    </row>
    <row r="231" spans="1:17" ht="211.2" x14ac:dyDescent="0.3">
      <c r="A231" s="22">
        <v>229</v>
      </c>
      <c r="B231" s="22" t="s">
        <v>122</v>
      </c>
      <c r="C231" s="22">
        <v>0</v>
      </c>
      <c r="D231" s="22" t="s">
        <v>144</v>
      </c>
      <c r="E231" s="22" t="str">
        <f>_xlfn.IFNA(VLOOKUP(D231,AccessModes!$D$2:$E$13,2,FALSE),"AM_IMP")</f>
        <v>AM_ZPG</v>
      </c>
      <c r="F231" s="22">
        <v>3</v>
      </c>
      <c r="G231" s="22">
        <v>0</v>
      </c>
      <c r="H231" s="22" t="str">
        <f>$H$227</f>
        <v>value</v>
      </c>
      <c r="I231" s="22" t="str">
        <f>$I$227</f>
        <v/>
      </c>
      <c r="J231" s="22" t="str">
        <f>$J$227</f>
        <v/>
      </c>
      <c r="K231" s="15" t="str">
        <f>IF(LEN(H231)&gt;0,indent&amp;H231&amp;" = "&amp;VLOOKUP($E231,AccessModes!$E$2:$I$13,4,FALSE),"")</f>
        <v xml:space="preserve">            value = memory_getZeroPage();</v>
      </c>
      <c r="L231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31" s="15" t="str">
        <f t="shared" si="8"/>
        <v/>
      </c>
      <c r="N231" s="15" t="str">
        <f>IF(LEN(J231)&gt;0,indent&amp;IF(J231="LAST",AccessModes!$I$15&amp;H231,VLOOKUP($E231,AccessModes!$E$2:$I$13,5,FALSE)&amp;J231)&amp;");","")</f>
        <v/>
      </c>
      <c r="O231" s="22"/>
      <c r="P231" s="15" t="str">
        <f>IF(C231=0,indent0&amp;"case 0x"&amp;DEC2HEX(A231)&amp;": /* "&amp;B231&amp;" "&amp;VLOOKUP(E231,AccessModes!$E$2:$G$13,3,FALSE)&amp;" */"&amp;newline&amp;IF(LEN(K231)&gt;0,K231&amp;CHAR(10),"")&amp;IF(LEN(L231)&gt;0,L231&amp;newline,"")&amp;IF(LEN(M231)&gt;0,M231&amp;newline,"")&amp;IF(LEN(N231)&gt;0,N231&amp;newline,"")&amp;IF(LEN(O231)&gt;0,O231&amp;newline,"")&amp;indent&amp;"break;","")</f>
        <v xml:space="preserve">        case 0xE5: /* SBC aa */
            value = memory_getZeroPage();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31" s="22" t="str">
        <f t="shared" si="9"/>
        <v xml:space="preserve">    {"SBC", 0, AM_ZPG, 3, 0},</v>
      </c>
    </row>
    <row r="232" spans="1:17" ht="92.4" x14ac:dyDescent="0.3">
      <c r="A232" s="22">
        <v>230</v>
      </c>
      <c r="B232" s="22" t="s">
        <v>124</v>
      </c>
      <c r="C232" s="22">
        <v>0</v>
      </c>
      <c r="D232" s="22" t="s">
        <v>144</v>
      </c>
      <c r="E232" s="22" t="str">
        <f>_xlfn.IFNA(VLOOKUP(D232,AccessModes!$D$2:$E$13,2,FALSE),"AM_IMP")</f>
        <v>AM_ZPG</v>
      </c>
      <c r="F232" s="22">
        <v>5</v>
      </c>
      <c r="G232" s="22">
        <v>0</v>
      </c>
      <c r="H232" s="28" t="s">
        <v>224</v>
      </c>
      <c r="I232" s="28" t="s">
        <v>224</v>
      </c>
      <c r="J232" s="28" t="s">
        <v>227</v>
      </c>
      <c r="K232" s="22" t="str">
        <f>IF(LEN(H232)&gt;0,indent&amp;H232&amp;" = "&amp;VLOOKUP($E232,AccessModes!$E$2:$I$13,4,FALSE),"")</f>
        <v xml:space="preserve">            value = memory_getZeroPage();</v>
      </c>
      <c r="L232" s="29" t="str">
        <f>indent&amp;"++"&amp;I232&amp;";"</f>
        <v xml:space="preserve">            ++value;</v>
      </c>
      <c r="M232" s="15" t="str">
        <f t="shared" si="8"/>
        <v xml:space="preserve">            cpu.PS_N =  (bool)(value &amp; 0x80);
            cpu.PS_Z = (value == 0);</v>
      </c>
      <c r="N232" s="22" t="str">
        <f>IF(LEN(J232)&gt;0,indent&amp;IF(J232="LAST",AccessModes!$I$15&amp;H232,VLOOKUP($E232,AccessModes!$E$2:$I$13,5,FALSE)&amp;J232)&amp;");","")</f>
        <v xml:space="preserve">            memory_setLast(value);</v>
      </c>
      <c r="O232" s="22"/>
      <c r="P232" s="15" t="str">
        <f>IF(C232=0,indent0&amp;"case 0x"&amp;DEC2HEX(A232)&amp;": /* "&amp;B232&amp;" "&amp;VLOOKUP(E232,AccessModes!$E$2:$G$13,3,FALSE)&amp;" */"&amp;newline&amp;IF(LEN(K232)&gt;0,K232&amp;CHAR(10),"")&amp;IF(LEN(L232)&gt;0,L232&amp;newline,"")&amp;IF(LEN(M232)&gt;0,M232&amp;newline,"")&amp;IF(LEN(N232)&gt;0,N232&amp;newline,"")&amp;IF(LEN(O232)&gt;0,O232&amp;newline,"")&amp;indent&amp;"break;","")</f>
        <v xml:space="preserve">        case 0xE6: /* INC aa */
            value = memory_getZeroPage();
            ++value;
            cpu.PS_N =  (bool)(value &amp; 0x80);
            cpu.PS_Z = (value == 0);
            memory_setLast(value);
            break;</v>
      </c>
      <c r="Q232" s="22" t="str">
        <f t="shared" si="9"/>
        <v xml:space="preserve">    {"INC", 0, AM_ZPG, 5, 0},</v>
      </c>
    </row>
    <row r="233" spans="1:17" x14ac:dyDescent="0.3">
      <c r="A233" s="23">
        <v>231</v>
      </c>
      <c r="B233" s="23" t="s">
        <v>123</v>
      </c>
      <c r="C233" s="23">
        <v>-1</v>
      </c>
      <c r="D233" s="23" t="s">
        <v>144</v>
      </c>
      <c r="E233" s="23" t="str">
        <f>_xlfn.IFNA(VLOOKUP(D233,AccessModes!$D$2:$E$13,2,FALSE),"AM_IMP")</f>
        <v>AM_ZPG</v>
      </c>
      <c r="F233" s="23">
        <v>5</v>
      </c>
      <c r="G233" s="23">
        <v>0</v>
      </c>
      <c r="H233" s="23"/>
      <c r="I233" s="23"/>
      <c r="J233" s="23"/>
      <c r="K233" s="23" t="str">
        <f>IF(LEN(H233)&gt;0,indent&amp;H233&amp;" = "&amp;VLOOKUP($E233,AccessModes!$E$2:$I$13,4,FALSE),"")</f>
        <v/>
      </c>
      <c r="L233" s="17" t="str">
        <f>indent&amp;"/* TODO: implementation of the action */"</f>
        <v xml:space="preserve">            /* TODO: implementation of the action */</v>
      </c>
      <c r="M233" s="17" t="str">
        <f t="shared" si="8"/>
        <v/>
      </c>
      <c r="N233" s="23" t="str">
        <f>IF(LEN(J233)&gt;0,indent&amp;IF(J233="LAST",AccessModes!$I$15&amp;H233,VLOOKUP($E233,AccessModes!$E$2:$I$13,5,FALSE)&amp;J233)&amp;");","")</f>
        <v/>
      </c>
      <c r="O233" s="23"/>
      <c r="P233" s="17" t="str">
        <f>IF(C233=0,indent0&amp;"case 0x"&amp;DEC2HEX(A233)&amp;": /* "&amp;B233&amp;" "&amp;VLOOKUP(E233,AccessModes!$E$2:$G$13,3,FALSE)&amp;" */"&amp;newline&amp;IF(LEN(K233)&gt;0,K233&amp;CHAR(10),"")&amp;IF(LEN(L233)&gt;0,L233&amp;newline,"")&amp;IF(LEN(M233)&gt;0,M233&amp;newline,"")&amp;IF(LEN(N233)&gt;0,N233&amp;newline,"")&amp;IF(LEN(O233)&gt;0,O233&amp;newline,"")&amp;indent&amp;"break;","")</f>
        <v/>
      </c>
      <c r="Q233" s="23" t="str">
        <f t="shared" si="9"/>
        <v xml:space="preserve">    {"ISC", -1, AM_ZPG, 5, 0},</v>
      </c>
    </row>
    <row r="234" spans="1:17" ht="66" x14ac:dyDescent="0.3">
      <c r="A234" s="22">
        <v>232</v>
      </c>
      <c r="B234" s="22" t="s">
        <v>125</v>
      </c>
      <c r="C234" s="22">
        <v>0</v>
      </c>
      <c r="D234" s="22" t="s">
        <v>139</v>
      </c>
      <c r="E234" s="22" t="str">
        <f>_xlfn.IFNA(VLOOKUP(D234,AccessModes!$D$2:$E$13,2,FALSE),"AM_IMP")</f>
        <v>AM_IMP</v>
      </c>
      <c r="F234" s="22">
        <v>2</v>
      </c>
      <c r="G234" s="22">
        <v>0</v>
      </c>
      <c r="H234" s="28" t="str">
        <f>""</f>
        <v/>
      </c>
      <c r="I234" s="28" t="str">
        <f>$I$204</f>
        <v>cpu.X</v>
      </c>
      <c r="J234" s="28" t="str">
        <f>""</f>
        <v/>
      </c>
      <c r="K234" s="22" t="str">
        <f>IF(LEN(H234)&gt;0,indent&amp;H234&amp;" = "&amp;VLOOKUP($E234,AccessModes!$E$2:$I$13,4,FALSE),"")</f>
        <v/>
      </c>
      <c r="L234" s="29" t="str">
        <f>indent&amp;"++"&amp;I234&amp;";"</f>
        <v xml:space="preserve">            ++cpu.X;</v>
      </c>
      <c r="M234" s="15" t="str">
        <f t="shared" si="8"/>
        <v xml:space="preserve">            cpu.PS_N =  (bool)(cpu.X &amp; 0x80);
            cpu.PS_Z = (cpu.X == 0);</v>
      </c>
      <c r="N234" s="22" t="str">
        <f>IF(LEN(J234)&gt;0,indent&amp;IF(J234="LAST",AccessModes!$I$15&amp;H234,VLOOKUP($E234,AccessModes!$E$2:$I$13,5,FALSE)&amp;J234)&amp;");","")</f>
        <v/>
      </c>
      <c r="O234" s="22"/>
      <c r="P234" s="15" t="str">
        <f>IF(C234=0,indent0&amp;"case 0x"&amp;DEC2HEX(A234)&amp;": /* "&amp;B234&amp;" "&amp;VLOOKUP(E234,AccessModes!$E$2:$G$13,3,FALSE)&amp;" */"&amp;newline&amp;IF(LEN(K234)&gt;0,K234&amp;CHAR(10),"")&amp;IF(LEN(L234)&gt;0,L234&amp;newline,"")&amp;IF(LEN(M234)&gt;0,M234&amp;newline,"")&amp;IF(LEN(N234)&gt;0,N234&amp;newline,"")&amp;IF(LEN(O234)&gt;0,O234&amp;newline,"")&amp;indent&amp;"break;","")</f>
        <v xml:space="preserve">        case 0xE8: /* INX  */
            ++cpu.X;
            cpu.PS_N =  (bool)(cpu.X &amp; 0x80);
            cpu.PS_Z = (cpu.X == 0);
            break;</v>
      </c>
      <c r="Q234" s="22" t="str">
        <f t="shared" si="9"/>
        <v xml:space="preserve">    {"INX", 0, AM_IMP, 2, 0},</v>
      </c>
    </row>
    <row r="235" spans="1:17" ht="211.2" x14ac:dyDescent="0.3">
      <c r="A235" s="22">
        <v>233</v>
      </c>
      <c r="B235" s="22" t="s">
        <v>122</v>
      </c>
      <c r="C235" s="22">
        <v>0</v>
      </c>
      <c r="D235" s="22" t="s">
        <v>130</v>
      </c>
      <c r="E235" s="22" t="str">
        <f>_xlfn.IFNA(VLOOKUP(D235,AccessModes!$D$2:$E$13,2,FALSE),"AM_IMP")</f>
        <v>AM_IMM</v>
      </c>
      <c r="F235" s="22">
        <v>2</v>
      </c>
      <c r="G235" s="22">
        <v>0</v>
      </c>
      <c r="H235" s="22" t="str">
        <f>$H$227</f>
        <v>value</v>
      </c>
      <c r="I235" s="22" t="str">
        <f>$I$227</f>
        <v/>
      </c>
      <c r="J235" s="22" t="str">
        <f>$J$227</f>
        <v/>
      </c>
      <c r="K235" s="15" t="str">
        <f>IF(LEN(H235)&gt;0,indent&amp;H235&amp;" = "&amp;VLOOKUP($E235,AccessModes!$E$2:$I$13,4,FALSE),"")</f>
        <v xml:space="preserve">            value = memory_getImmediate();</v>
      </c>
      <c r="L235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35" s="15" t="str">
        <f t="shared" si="8"/>
        <v/>
      </c>
      <c r="N235" s="15" t="str">
        <f>IF(LEN(J235)&gt;0,indent&amp;IF(J235="LAST",AccessModes!$I$15&amp;H235,VLOOKUP($E235,AccessModes!$E$2:$I$13,5,FALSE)&amp;J235)&amp;");","")</f>
        <v/>
      </c>
      <c r="O235" s="22"/>
      <c r="P235" s="15" t="str">
        <f>IF(C235=0,indent0&amp;"case 0x"&amp;DEC2HEX(A235)&amp;": /* "&amp;B235&amp;" "&amp;VLOOKUP(E235,AccessModes!$E$2:$G$13,3,FALSE)&amp;" */"&amp;newline&amp;IF(LEN(K235)&gt;0,K235&amp;CHAR(10),"")&amp;IF(LEN(L235)&gt;0,L235&amp;newline,"")&amp;IF(LEN(M235)&gt;0,M235&amp;newline,"")&amp;IF(LEN(N235)&gt;0,N235&amp;newline,"")&amp;IF(LEN(O235)&gt;0,O235&amp;newline,"")&amp;indent&amp;"break;","")</f>
        <v xml:space="preserve">        case 0xE9: /* SBC #aa */
            value = memory_getImmediate();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35" s="22" t="str">
        <f t="shared" si="9"/>
        <v xml:space="preserve">    {"SBC", 0, AM_IMM, 2, 0},</v>
      </c>
    </row>
    <row r="236" spans="1:17" ht="39.6" x14ac:dyDescent="0.3">
      <c r="A236" s="22">
        <v>234</v>
      </c>
      <c r="B236" s="22" t="s">
        <v>23</v>
      </c>
      <c r="C236" s="22">
        <v>0</v>
      </c>
      <c r="D236" s="22" t="s">
        <v>139</v>
      </c>
      <c r="E236" s="22" t="str">
        <f>_xlfn.IFNA(VLOOKUP(D236,AccessModes!$D$2:$E$13,2,FALSE),"AM_IMP")</f>
        <v>AM_IMP</v>
      </c>
      <c r="F236" s="22">
        <v>2</v>
      </c>
      <c r="G236" s="22">
        <v>0</v>
      </c>
      <c r="H236" s="28"/>
      <c r="I236" s="28"/>
      <c r="J236" s="28"/>
      <c r="K236" s="22" t="str">
        <f>IF(LEN(H236)&gt;0,indent&amp;H236&amp;" = "&amp;VLOOKUP($E236,AccessModes!$E$2:$I$13,4,FALSE),"")</f>
        <v/>
      </c>
      <c r="L236" s="29" t="str">
        <f>indent&amp;"/* do nothing */"</f>
        <v xml:space="preserve">            /* do nothing */</v>
      </c>
      <c r="M236" s="15" t="str">
        <f t="shared" si="8"/>
        <v/>
      </c>
      <c r="N236" s="22" t="str">
        <f>IF(LEN(J236)&gt;0,indent&amp;IF(J236="LAST",AccessModes!$I$15&amp;H236,VLOOKUP($E236,AccessModes!$E$2:$I$13,5,FALSE)&amp;J236)&amp;");","")</f>
        <v/>
      </c>
      <c r="O236" s="22"/>
      <c r="P236" s="15" t="str">
        <f>IF(C236=0,indent0&amp;"case 0x"&amp;DEC2HEX(A236)&amp;": /* "&amp;B236&amp;" "&amp;VLOOKUP(E236,AccessModes!$E$2:$G$13,3,FALSE)&amp;" */"&amp;newline&amp;IF(LEN(K236)&gt;0,K236&amp;CHAR(10),"")&amp;IF(LEN(L236)&gt;0,L236&amp;newline,"")&amp;IF(LEN(M236)&gt;0,M236&amp;newline,"")&amp;IF(LEN(N236)&gt;0,N236&amp;newline,"")&amp;IF(LEN(O236)&gt;0,O236&amp;newline,"")&amp;indent&amp;"break;","")</f>
        <v xml:space="preserve">        case 0xEA: /* NOP  */
            /* do nothing */
            break;</v>
      </c>
      <c r="Q236" s="22" t="str">
        <f t="shared" si="9"/>
        <v xml:space="preserve">    {"NOP", 0, AM_IMP, 2, 0},</v>
      </c>
    </row>
    <row r="237" spans="1:17" x14ac:dyDescent="0.3">
      <c r="A237" s="23">
        <v>235</v>
      </c>
      <c r="B237" s="23" t="s">
        <v>122</v>
      </c>
      <c r="C237" s="23">
        <v>-1</v>
      </c>
      <c r="D237" s="23" t="s">
        <v>130</v>
      </c>
      <c r="E237" s="23" t="str">
        <f>_xlfn.IFNA(VLOOKUP(D237,AccessModes!$D$2:$E$13,2,FALSE),"AM_IMP")</f>
        <v>AM_IMM</v>
      </c>
      <c r="F237" s="23">
        <v>2</v>
      </c>
      <c r="G237" s="23">
        <v>0</v>
      </c>
      <c r="H237" s="23"/>
      <c r="I237" s="23"/>
      <c r="J237" s="23"/>
      <c r="K237" s="23" t="str">
        <f>IF(LEN(H237)&gt;0,indent&amp;H237&amp;" = "&amp;VLOOKUP($E237,AccessModes!$E$2:$I$13,4,FALSE),"")</f>
        <v/>
      </c>
      <c r="L237" s="17" t="str">
        <f>indent&amp;"/* TODO: implementation of the action */"</f>
        <v xml:space="preserve">            /* TODO: implementation of the action */</v>
      </c>
      <c r="M237" s="17" t="str">
        <f t="shared" si="8"/>
        <v/>
      </c>
      <c r="N237" s="23" t="str">
        <f>IF(LEN(J237)&gt;0,indent&amp;IF(J237="LAST",AccessModes!$I$15&amp;H237,VLOOKUP($E237,AccessModes!$E$2:$I$13,5,FALSE)&amp;J237)&amp;");","")</f>
        <v/>
      </c>
      <c r="O237" s="23"/>
      <c r="P237" s="17" t="str">
        <f>IF(C237=0,indent0&amp;"case 0x"&amp;DEC2HEX(A237)&amp;": /* "&amp;B237&amp;" "&amp;VLOOKUP(E237,AccessModes!$E$2:$G$13,3,FALSE)&amp;" */"&amp;newline&amp;IF(LEN(K237)&gt;0,K237&amp;CHAR(10),"")&amp;IF(LEN(L237)&gt;0,L237&amp;newline,"")&amp;IF(LEN(M237)&gt;0,M237&amp;newline,"")&amp;IF(LEN(N237)&gt;0,N237&amp;newline,"")&amp;IF(LEN(O237)&gt;0,O237&amp;newline,"")&amp;indent&amp;"break;","")</f>
        <v/>
      </c>
      <c r="Q237" s="23" t="str">
        <f t="shared" si="9"/>
        <v xml:space="preserve">    {"SBC", -1, AM_IMM, 2, 0},</v>
      </c>
    </row>
    <row r="238" spans="1:17" ht="92.4" x14ac:dyDescent="0.3">
      <c r="A238" s="22">
        <v>236</v>
      </c>
      <c r="B238" s="22" t="s">
        <v>121</v>
      </c>
      <c r="C238" s="22">
        <v>0</v>
      </c>
      <c r="D238" s="22" t="s">
        <v>131</v>
      </c>
      <c r="E238" s="22" t="str">
        <f>_xlfn.IFNA(VLOOKUP(D238,AccessModes!$D$2:$E$13,2,FALSE),"AM_IMP")</f>
        <v>AM_ABS</v>
      </c>
      <c r="F238" s="22">
        <v>4</v>
      </c>
      <c r="G238" s="22">
        <v>0</v>
      </c>
      <c r="H238" s="22" t="str">
        <f>$H$194</f>
        <v>value</v>
      </c>
      <c r="I238" s="22" t="str">
        <f>$I$194</f>
        <v>value</v>
      </c>
      <c r="J238" s="22" t="str">
        <f>$J$194</f>
        <v/>
      </c>
      <c r="K238" s="22" t="str">
        <f>IF(LEN(H238)&gt;0,indent&amp;H238&amp;" = "&amp;VLOOKUP($E238,AccessModes!$E$2:$I$13,4,FALSE),"")</f>
        <v xml:space="preserve">            value = memory_getAbsolute();</v>
      </c>
      <c r="L238" s="15" t="str">
        <f>$L$226</f>
        <v xml:space="preserve">            value = cpu.X - value;</v>
      </c>
      <c r="M238" s="15" t="str">
        <f t="shared" si="8"/>
        <v xml:space="preserve">            cpu.PS_N =  (bool)(value &amp; 0x80);
            cpu.PS_Z = (value == 0);</v>
      </c>
      <c r="N238" s="22" t="str">
        <f>IF(LEN(J238)&gt;0,indent&amp;IF(J238="LAST",AccessModes!$I$15&amp;H238,VLOOKUP($E238,AccessModes!$E$2:$I$13,5,FALSE)&amp;J238)&amp;");","")</f>
        <v/>
      </c>
      <c r="O238" s="15" t="str">
        <f>$O$226</f>
        <v xml:space="preserve">            cpu.PS_C = !cpu.PS_N;</v>
      </c>
      <c r="P238" s="15" t="str">
        <f>IF(C238=0,indent0&amp;"case 0x"&amp;DEC2HEX(A238)&amp;": /* "&amp;B238&amp;" "&amp;VLOOKUP(E238,AccessModes!$E$2:$G$13,3,FALSE)&amp;" */"&amp;newline&amp;IF(LEN(K238)&gt;0,K238&amp;CHAR(10),"")&amp;IF(LEN(L238)&gt;0,L238&amp;newline,"")&amp;IF(LEN(M238)&gt;0,M238&amp;newline,"")&amp;IF(LEN(N238)&gt;0,N238&amp;newline,"")&amp;IF(LEN(O238)&gt;0,O238&amp;newline,"")&amp;indent&amp;"break;","")</f>
        <v xml:space="preserve">        case 0xEC: /* CPX aaaa */
            value = memory_getAbsolute();
            value = cpu.X - value;
            cpu.PS_N =  (bool)(value &amp; 0x80);
            cpu.PS_Z = (value == 0);
            cpu.PS_C = !cpu.PS_N;
            break;</v>
      </c>
      <c r="Q238" s="22" t="str">
        <f t="shared" si="9"/>
        <v xml:space="preserve">    {"CPX", 0, AM_ABS, 4, 0},</v>
      </c>
    </row>
    <row r="239" spans="1:17" ht="211.2" x14ac:dyDescent="0.3">
      <c r="A239" s="22">
        <v>237</v>
      </c>
      <c r="B239" s="22" t="s">
        <v>122</v>
      </c>
      <c r="C239" s="22">
        <v>0</v>
      </c>
      <c r="D239" s="22" t="s">
        <v>131</v>
      </c>
      <c r="E239" s="22" t="str">
        <f>_xlfn.IFNA(VLOOKUP(D239,AccessModes!$D$2:$E$13,2,FALSE),"AM_IMP")</f>
        <v>AM_ABS</v>
      </c>
      <c r="F239" s="22">
        <v>4</v>
      </c>
      <c r="G239" s="22">
        <v>0</v>
      </c>
      <c r="H239" s="22" t="str">
        <f>$H$227</f>
        <v>value</v>
      </c>
      <c r="I239" s="22" t="str">
        <f>$I$227</f>
        <v/>
      </c>
      <c r="J239" s="22" t="str">
        <f>$J$227</f>
        <v/>
      </c>
      <c r="K239" s="15" t="str">
        <f>IF(LEN(H239)&gt;0,indent&amp;H239&amp;" = "&amp;VLOOKUP($E239,AccessModes!$E$2:$I$13,4,FALSE),"")</f>
        <v xml:space="preserve">            value = memory_getAbsolute();</v>
      </c>
      <c r="L239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39" s="15" t="str">
        <f t="shared" si="8"/>
        <v/>
      </c>
      <c r="N239" s="15" t="str">
        <f>IF(LEN(J239)&gt;0,indent&amp;IF(J239="LAST",AccessModes!$I$15&amp;H239,VLOOKUP($E239,AccessModes!$E$2:$I$13,5,FALSE)&amp;J239)&amp;");","")</f>
        <v/>
      </c>
      <c r="O239" s="22"/>
      <c r="P239" s="15" t="str">
        <f>IF(C239=0,indent0&amp;"case 0x"&amp;DEC2HEX(A239)&amp;": /* "&amp;B239&amp;" "&amp;VLOOKUP(E239,AccessModes!$E$2:$G$13,3,FALSE)&amp;" */"&amp;newline&amp;IF(LEN(K239)&gt;0,K239&amp;CHAR(10),"")&amp;IF(LEN(L239)&gt;0,L239&amp;newline,"")&amp;IF(LEN(M239)&gt;0,M239&amp;newline,"")&amp;IF(LEN(N239)&gt;0,N239&amp;newline,"")&amp;IF(LEN(O239)&gt;0,O239&amp;newline,"")&amp;indent&amp;"break;","")</f>
        <v xml:space="preserve">        case 0xED: /* SBC aaaa */
            value = memory_getAbsolute();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39" s="22" t="str">
        <f t="shared" si="9"/>
        <v xml:space="preserve">    {"SBC", 0, AM_ABS, 4, 0},</v>
      </c>
    </row>
    <row r="240" spans="1:17" ht="92.4" x14ac:dyDescent="0.3">
      <c r="A240" s="22">
        <v>238</v>
      </c>
      <c r="B240" s="22" t="s">
        <v>124</v>
      </c>
      <c r="C240" s="22">
        <v>0</v>
      </c>
      <c r="D240" s="22" t="s">
        <v>131</v>
      </c>
      <c r="E240" s="22" t="str">
        <f>_xlfn.IFNA(VLOOKUP(D240,AccessModes!$D$2:$E$13,2,FALSE),"AM_IMP")</f>
        <v>AM_ABS</v>
      </c>
      <c r="F240" s="22">
        <v>6</v>
      </c>
      <c r="G240" s="22">
        <v>0</v>
      </c>
      <c r="H240" s="22" t="str">
        <f>$H$200</f>
        <v>value</v>
      </c>
      <c r="I240" s="22" t="str">
        <f>$I$200</f>
        <v>value</v>
      </c>
      <c r="J240" s="22" t="str">
        <f>$J$200</f>
        <v>LAST</v>
      </c>
      <c r="K240" s="22" t="str">
        <f>IF(LEN(H240)&gt;0,indent&amp;H240&amp;" = "&amp;VLOOKUP($E240,AccessModes!$E$2:$I$13,4,FALSE),"")</f>
        <v xml:space="preserve">            value = memory_getAbsolute();</v>
      </c>
      <c r="L240" s="15" t="str">
        <f>$L$232</f>
        <v xml:space="preserve">            ++value;</v>
      </c>
      <c r="M240" s="15" t="str">
        <f t="shared" si="8"/>
        <v xml:space="preserve">            cpu.PS_N =  (bool)(value &amp; 0x80);
            cpu.PS_Z = (value == 0);</v>
      </c>
      <c r="N240" s="22" t="str">
        <f>IF(LEN(J240)&gt;0,indent&amp;IF(J240="LAST",AccessModes!$I$15&amp;H240,VLOOKUP($E240,AccessModes!$E$2:$I$13,5,FALSE)&amp;J240)&amp;");","")</f>
        <v xml:space="preserve">            memory_setLast(value);</v>
      </c>
      <c r="O240" s="22"/>
      <c r="P240" s="15" t="str">
        <f>IF(C240=0,indent0&amp;"case 0x"&amp;DEC2HEX(A240)&amp;": /* "&amp;B240&amp;" "&amp;VLOOKUP(E240,AccessModes!$E$2:$G$13,3,FALSE)&amp;" */"&amp;newline&amp;IF(LEN(K240)&gt;0,K240&amp;CHAR(10),"")&amp;IF(LEN(L240)&gt;0,L240&amp;newline,"")&amp;IF(LEN(M240)&gt;0,M240&amp;newline,"")&amp;IF(LEN(N240)&gt;0,N240&amp;newline,"")&amp;IF(LEN(O240)&gt;0,O240&amp;newline,"")&amp;indent&amp;"break;","")</f>
        <v xml:space="preserve">        case 0xEE: /* INC aaaa */
            value = memory_getAbsolute();
            ++value;
            cpu.PS_N =  (bool)(value &amp; 0x80);
            cpu.PS_Z = (value == 0);
            memory_setLast(value);
            break;</v>
      </c>
      <c r="Q240" s="22" t="str">
        <f t="shared" si="9"/>
        <v xml:space="preserve">    {"INC", 0, AM_ABS, 6, 0},</v>
      </c>
    </row>
    <row r="241" spans="1:17" x14ac:dyDescent="0.3">
      <c r="A241" s="23">
        <v>239</v>
      </c>
      <c r="B241" s="23" t="s">
        <v>123</v>
      </c>
      <c r="C241" s="23">
        <v>-1</v>
      </c>
      <c r="D241" s="23" t="s">
        <v>131</v>
      </c>
      <c r="E241" s="23" t="str">
        <f>_xlfn.IFNA(VLOOKUP(D241,AccessModes!$D$2:$E$13,2,FALSE),"AM_IMP")</f>
        <v>AM_ABS</v>
      </c>
      <c r="F241" s="23">
        <v>6</v>
      </c>
      <c r="G241" s="23">
        <v>0</v>
      </c>
      <c r="H241" s="23"/>
      <c r="I241" s="23"/>
      <c r="J241" s="23"/>
      <c r="K241" s="23" t="str">
        <f>IF(LEN(H241)&gt;0,indent&amp;H241&amp;" = "&amp;VLOOKUP($E241,AccessModes!$E$2:$I$13,4,FALSE),"")</f>
        <v/>
      </c>
      <c r="L241" s="17" t="str">
        <f>indent&amp;"/* TODO: implementation of the action */"</f>
        <v xml:space="preserve">            /* TODO: implementation of the action */</v>
      </c>
      <c r="M241" s="17" t="str">
        <f t="shared" si="8"/>
        <v/>
      </c>
      <c r="N241" s="23" t="str">
        <f>IF(LEN(J241)&gt;0,indent&amp;IF(J241="LAST",AccessModes!$I$15&amp;H241,VLOOKUP($E241,AccessModes!$E$2:$I$13,5,FALSE)&amp;J241)&amp;");","")</f>
        <v/>
      </c>
      <c r="O241" s="23"/>
      <c r="P241" s="17" t="str">
        <f>IF(C241=0,indent0&amp;"case 0x"&amp;DEC2HEX(A241)&amp;": /* "&amp;B241&amp;" "&amp;VLOOKUP(E241,AccessModes!$E$2:$G$13,3,FALSE)&amp;" */"&amp;newline&amp;IF(LEN(K241)&gt;0,K241&amp;CHAR(10),"")&amp;IF(LEN(L241)&gt;0,L241&amp;newline,"")&amp;IF(LEN(M241)&gt;0,M241&amp;newline,"")&amp;IF(LEN(N241)&gt;0,N241&amp;newline,"")&amp;IF(LEN(O241)&gt;0,O241&amp;newline,"")&amp;indent&amp;"break;","")</f>
        <v/>
      </c>
      <c r="Q241" s="23" t="str">
        <f t="shared" si="9"/>
        <v xml:space="preserve">    {"ISC", -1, AM_ABS, 6, 0},</v>
      </c>
    </row>
    <row r="242" spans="1:17" ht="92.4" x14ac:dyDescent="0.3">
      <c r="A242" s="22">
        <v>240</v>
      </c>
      <c r="B242" s="22" t="s">
        <v>127</v>
      </c>
      <c r="C242" s="22">
        <v>0</v>
      </c>
      <c r="D242" s="22" t="s">
        <v>132</v>
      </c>
      <c r="E242" s="22" t="str">
        <f>_xlfn.IFNA(VLOOKUP(D242,AccessModes!$D$2:$E$13,2,FALSE),"AM_IMP")</f>
        <v>AM_REL</v>
      </c>
      <c r="F242" s="22">
        <v>2</v>
      </c>
      <c r="G242" s="22">
        <v>1</v>
      </c>
      <c r="H242" s="28" t="s">
        <v>240</v>
      </c>
      <c r="I242" s="28"/>
      <c r="J242" s="28"/>
      <c r="K242" s="22" t="str">
        <f>IF(LEN(H242)&gt;0,indent&amp;H242&amp;" = "&amp;VLOOKUP($E242,AccessModes!$E$2:$I$13,4,FALSE),"")</f>
        <v xml:space="preserve">            value_w = memory_getRelativeAddress();</v>
      </c>
      <c r="L242" s="29" t="str">
        <f>indent&amp;"if(cpu.PS_Z) {"&amp;newline&amp;indent2&amp;"++cycles;"&amp;newline&amp;indent2&amp;"cpu.PC = "&amp;H242&amp;";"&amp;newline&amp;indent&amp;"}"</f>
        <v xml:space="preserve">            if(cpu.PS_Z) {
                ++cycles;
                cpu.PC = value_w;
            }</v>
      </c>
      <c r="M242" s="15" t="str">
        <f t="shared" si="8"/>
        <v/>
      </c>
      <c r="N242" s="22" t="str">
        <f>IF(LEN(J242)&gt;0,indent&amp;IF(J242="LAST",AccessModes!$I$15&amp;H242,VLOOKUP($E242,AccessModes!$E$2:$I$13,5,FALSE)&amp;J242)&amp;");","")</f>
        <v/>
      </c>
      <c r="O242" s="22"/>
      <c r="P242" s="15" t="str">
        <f>IF(C242=0,indent0&amp;"case 0x"&amp;DEC2HEX(A242)&amp;": /* "&amp;B242&amp;" "&amp;VLOOKUP(E242,AccessModes!$E$2:$G$13,3,FALSE)&amp;" */"&amp;newline&amp;IF(LEN(K242)&gt;0,K242&amp;CHAR(10),"")&amp;IF(LEN(L242)&gt;0,L242&amp;newline,"")&amp;IF(LEN(M242)&gt;0,M242&amp;newline,"")&amp;IF(LEN(N242)&gt;0,N242&amp;newline,"")&amp;IF(LEN(O242)&gt;0,O242&amp;newline,"")&amp;indent&amp;"break;","")</f>
        <v xml:space="preserve">        case 0xF0: /* BEQ aaaa */
            value_w = memory_getRelativeAddress();
            if(cpu.PS_Z) {
                ++cycles;
                cpu.PC = value_w;
            }
            break;</v>
      </c>
      <c r="Q242" s="22" t="str">
        <f t="shared" si="9"/>
        <v xml:space="preserve">    {"BEQ", 0, AM_REL, 2, 1},</v>
      </c>
    </row>
    <row r="243" spans="1:17" ht="211.2" x14ac:dyDescent="0.3">
      <c r="A243" s="22">
        <v>241</v>
      </c>
      <c r="B243" s="22" t="s">
        <v>122</v>
      </c>
      <c r="C243" s="22">
        <v>0</v>
      </c>
      <c r="D243" s="22" t="s">
        <v>133</v>
      </c>
      <c r="E243" s="22" t="str">
        <f>_xlfn.IFNA(VLOOKUP(D243,AccessModes!$D$2:$E$13,2,FALSE),"AM_IMP")</f>
        <v>AM_ZIY</v>
      </c>
      <c r="F243" s="22">
        <v>5</v>
      </c>
      <c r="G243" s="22">
        <v>1</v>
      </c>
      <c r="H243" s="22" t="str">
        <f>$H$227</f>
        <v>value</v>
      </c>
      <c r="I243" s="22" t="str">
        <f>$I$227</f>
        <v/>
      </c>
      <c r="J243" s="22" t="str">
        <f>$J$227</f>
        <v/>
      </c>
      <c r="K243" s="15" t="str">
        <f>IF(LEN(H243)&gt;0,indent&amp;H243&amp;" = "&amp;VLOOKUP($E243,AccessModes!$E$2:$I$13,4,FALSE),"")</f>
        <v xml:space="preserve">            value = memory_getZeroPageIndexedY();</v>
      </c>
      <c r="L243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43" s="15" t="str">
        <f t="shared" si="8"/>
        <v/>
      </c>
      <c r="N243" s="15" t="str">
        <f>IF(LEN(J243)&gt;0,indent&amp;IF(J243="LAST",AccessModes!$I$15&amp;H243,VLOOKUP($E243,AccessModes!$E$2:$I$13,5,FALSE)&amp;J243)&amp;");","")</f>
        <v/>
      </c>
      <c r="O243" s="22"/>
      <c r="P243" s="15" t="str">
        <f>IF(C243=0,indent0&amp;"case 0x"&amp;DEC2HEX(A243)&amp;": /* "&amp;B243&amp;" "&amp;VLOOKUP(E243,AccessModes!$E$2:$G$13,3,FALSE)&amp;" */"&amp;newline&amp;IF(LEN(K243)&gt;0,K243&amp;CHAR(10),"")&amp;IF(LEN(L243)&gt;0,L243&amp;newline,"")&amp;IF(LEN(M243)&gt;0,M243&amp;newline,"")&amp;IF(LEN(N243)&gt;0,N243&amp;newline,"")&amp;IF(LEN(O243)&gt;0,O243&amp;newline,"")&amp;indent&amp;"break;","")</f>
        <v xml:space="preserve">        case 0xF1: /* SBC aa,Y */
            value = memory_getZeroPageIndexedY();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43" s="22" t="str">
        <f t="shared" si="9"/>
        <v xml:space="preserve">    {"SBC", 0, AM_ZIY, 5, 1},</v>
      </c>
    </row>
    <row r="244" spans="1:17" x14ac:dyDescent="0.3">
      <c r="A244" s="23">
        <v>242</v>
      </c>
      <c r="B244" s="23" t="s">
        <v>20</v>
      </c>
      <c r="C244" s="23">
        <v>-1</v>
      </c>
      <c r="D244" s="23"/>
      <c r="E244" s="23" t="str">
        <f>_xlfn.IFNA(VLOOKUP(D244,AccessModes!$D$2:$E$13,2,FALSE),"AM_IMP")</f>
        <v>AM_IMP</v>
      </c>
      <c r="F244" s="23">
        <v>0</v>
      </c>
      <c r="G244" s="23">
        <v>0</v>
      </c>
      <c r="H244" s="23"/>
      <c r="I244" s="23"/>
      <c r="J244" s="23"/>
      <c r="K244" s="23" t="str">
        <f>IF(LEN(H244)&gt;0,indent&amp;H244&amp;" = "&amp;VLOOKUP($E244,AccessModes!$E$2:$I$13,4,FALSE),"")</f>
        <v/>
      </c>
      <c r="L244" s="17" t="str">
        <f>indent&amp;"/* TODO: implementation of the action */"</f>
        <v xml:space="preserve">            /* TODO: implementation of the action */</v>
      </c>
      <c r="M244" s="17" t="str">
        <f t="shared" si="8"/>
        <v/>
      </c>
      <c r="N244" s="23" t="str">
        <f>IF(LEN(J244)&gt;0,indent&amp;IF(J244="LAST",AccessModes!$I$15&amp;H244,VLOOKUP($E244,AccessModes!$E$2:$I$13,5,FALSE)&amp;J244)&amp;");","")</f>
        <v/>
      </c>
      <c r="O244" s="23"/>
      <c r="P244" s="17" t="str">
        <f>IF(C244=0,indent0&amp;"case 0x"&amp;DEC2HEX(A244)&amp;": /* "&amp;B244&amp;" "&amp;VLOOKUP(E244,AccessModes!$E$2:$G$13,3,FALSE)&amp;" */"&amp;newline&amp;IF(LEN(K244)&gt;0,K244&amp;CHAR(10),"")&amp;IF(LEN(L244)&gt;0,L244&amp;newline,"")&amp;IF(LEN(M244)&gt;0,M244&amp;newline,"")&amp;IF(LEN(N244)&gt;0,N244&amp;newline,"")&amp;IF(LEN(O244)&gt;0,O244&amp;newline,"")&amp;indent&amp;"break;","")</f>
        <v/>
      </c>
      <c r="Q244" s="23" t="str">
        <f t="shared" si="9"/>
        <v xml:space="preserve">    {"KIL", -1, AM_IMP, 0, 0},</v>
      </c>
    </row>
    <row r="245" spans="1:17" x14ac:dyDescent="0.3">
      <c r="A245" s="23">
        <v>243</v>
      </c>
      <c r="B245" s="23" t="s">
        <v>123</v>
      </c>
      <c r="C245" s="23">
        <v>-1</v>
      </c>
      <c r="D245" s="23" t="s">
        <v>133</v>
      </c>
      <c r="E245" s="23" t="str">
        <f>_xlfn.IFNA(VLOOKUP(D245,AccessModes!$D$2:$E$13,2,FALSE),"AM_IMP")</f>
        <v>AM_ZIY</v>
      </c>
      <c r="F245" s="23">
        <v>8</v>
      </c>
      <c r="G245" s="23">
        <v>0</v>
      </c>
      <c r="H245" s="23"/>
      <c r="I245" s="23"/>
      <c r="J245" s="23"/>
      <c r="K245" s="23" t="str">
        <f>IF(LEN(H245)&gt;0,indent&amp;H245&amp;" = "&amp;VLOOKUP($E245,AccessModes!$E$2:$I$13,4,FALSE),"")</f>
        <v/>
      </c>
      <c r="L245" s="17" t="str">
        <f>indent&amp;"/* TODO: implementation of the action */"</f>
        <v xml:space="preserve">            /* TODO: implementation of the action */</v>
      </c>
      <c r="M245" s="17" t="str">
        <f t="shared" si="8"/>
        <v/>
      </c>
      <c r="N245" s="23" t="str">
        <f>IF(LEN(J245)&gt;0,indent&amp;IF(J245="LAST",AccessModes!$I$15&amp;H245,VLOOKUP($E245,AccessModes!$E$2:$I$13,5,FALSE)&amp;J245)&amp;");","")</f>
        <v/>
      </c>
      <c r="O245" s="23"/>
      <c r="P245" s="17" t="str">
        <f>IF(C245=0,indent0&amp;"case 0x"&amp;DEC2HEX(A245)&amp;": /* "&amp;B245&amp;" "&amp;VLOOKUP(E245,AccessModes!$E$2:$G$13,3,FALSE)&amp;" */"&amp;newline&amp;IF(LEN(K245)&gt;0,K245&amp;CHAR(10),"")&amp;IF(LEN(L245)&gt;0,L245&amp;newline,"")&amp;IF(LEN(M245)&gt;0,M245&amp;newline,"")&amp;IF(LEN(N245)&gt;0,N245&amp;newline,"")&amp;IF(LEN(O245)&gt;0,O245&amp;newline,"")&amp;indent&amp;"break;","")</f>
        <v/>
      </c>
      <c r="Q245" s="23" t="str">
        <f t="shared" si="9"/>
        <v xml:space="preserve">    {"ISC", -1, AM_ZIY, 8, 0},</v>
      </c>
    </row>
    <row r="246" spans="1:17" x14ac:dyDescent="0.3">
      <c r="A246" s="23">
        <v>244</v>
      </c>
      <c r="B246" s="23" t="s">
        <v>23</v>
      </c>
      <c r="C246" s="23">
        <v>-1</v>
      </c>
      <c r="D246" s="23" t="s">
        <v>134</v>
      </c>
      <c r="E246" s="23" t="str">
        <f>_xlfn.IFNA(VLOOKUP(D246,AccessModes!$D$2:$E$13,2,FALSE),"AM_IMP")</f>
        <v>AM_IIX</v>
      </c>
      <c r="F246" s="23">
        <v>4</v>
      </c>
      <c r="G246" s="23">
        <v>0</v>
      </c>
      <c r="H246" s="23"/>
      <c r="I246" s="23"/>
      <c r="J246" s="23"/>
      <c r="K246" s="23" t="str">
        <f>IF(LEN(H246)&gt;0,indent&amp;H246&amp;" = "&amp;VLOOKUP($E246,AccessModes!$E$2:$I$13,4,FALSE),"")</f>
        <v/>
      </c>
      <c r="L246" s="17" t="str">
        <f>indent&amp;"/* TODO: implementation of the action */"</f>
        <v xml:space="preserve">            /* TODO: implementation of the action */</v>
      </c>
      <c r="M246" s="17" t="str">
        <f t="shared" si="8"/>
        <v/>
      </c>
      <c r="N246" s="23" t="str">
        <f>IF(LEN(J246)&gt;0,indent&amp;IF(J246="LAST",AccessModes!$I$15&amp;H246,VLOOKUP($E246,AccessModes!$E$2:$I$13,5,FALSE)&amp;J246)&amp;");","")</f>
        <v/>
      </c>
      <c r="O246" s="23"/>
      <c r="P246" s="17" t="str">
        <f>IF(C246=0,indent0&amp;"case 0x"&amp;DEC2HEX(A246)&amp;": /* "&amp;B246&amp;" "&amp;VLOOKUP(E246,AccessModes!$E$2:$G$13,3,FALSE)&amp;" */"&amp;newline&amp;IF(LEN(K246)&gt;0,K246&amp;CHAR(10),"")&amp;IF(LEN(L246)&gt;0,L246&amp;newline,"")&amp;IF(LEN(M246)&gt;0,M246&amp;newline,"")&amp;IF(LEN(N246)&gt;0,N246&amp;newline,"")&amp;IF(LEN(O246)&gt;0,O246&amp;newline,"")&amp;indent&amp;"break;","")</f>
        <v/>
      </c>
      <c r="Q246" s="23" t="str">
        <f t="shared" si="9"/>
        <v xml:space="preserve">    {"NOP", -1, AM_IIX, 4, 0},</v>
      </c>
    </row>
    <row r="247" spans="1:17" ht="211.2" x14ac:dyDescent="0.3">
      <c r="A247" s="22">
        <v>245</v>
      </c>
      <c r="B247" s="22" t="s">
        <v>122</v>
      </c>
      <c r="C247" s="22">
        <v>0</v>
      </c>
      <c r="D247" s="22" t="s">
        <v>134</v>
      </c>
      <c r="E247" s="22" t="str">
        <f>_xlfn.IFNA(VLOOKUP(D247,AccessModes!$D$2:$E$13,2,FALSE),"AM_IMP")</f>
        <v>AM_IIX</v>
      </c>
      <c r="F247" s="22">
        <v>4</v>
      </c>
      <c r="G247" s="22">
        <v>0</v>
      </c>
      <c r="H247" s="22" t="str">
        <f>$H$227</f>
        <v>value</v>
      </c>
      <c r="I247" s="22" t="str">
        <f>$I$227</f>
        <v/>
      </c>
      <c r="J247" s="22" t="str">
        <f>$J$227</f>
        <v/>
      </c>
      <c r="K247" s="15" t="str">
        <f>IF(LEN(H247)&gt;0,indent&amp;H247&amp;" = "&amp;VLOOKUP($E247,AccessModes!$E$2:$I$13,4,FALSE),"")</f>
        <v xml:space="preserve">            value = memory_getIndexedIndirectX();</v>
      </c>
      <c r="L247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47" s="15" t="str">
        <f t="shared" si="8"/>
        <v/>
      </c>
      <c r="N247" s="15" t="str">
        <f>IF(LEN(J247)&gt;0,indent&amp;IF(J247="LAST",AccessModes!$I$15&amp;H247,VLOOKUP($E247,AccessModes!$E$2:$I$13,5,FALSE)&amp;J247)&amp;");","")</f>
        <v/>
      </c>
      <c r="O247" s="22"/>
      <c r="P247" s="15" t="str">
        <f>IF(C247=0,indent0&amp;"case 0x"&amp;DEC2HEX(A247)&amp;": /* "&amp;B247&amp;" "&amp;VLOOKUP(E247,AccessModes!$E$2:$G$13,3,FALSE)&amp;" */"&amp;newline&amp;IF(LEN(K247)&gt;0,K247&amp;CHAR(10),"")&amp;IF(LEN(L247)&gt;0,L247&amp;newline,"")&amp;IF(LEN(M247)&gt;0,M247&amp;newline,"")&amp;IF(LEN(N247)&gt;0,N247&amp;newline,"")&amp;IF(LEN(O247)&gt;0,O247&amp;newline,"")&amp;indent&amp;"break;","")</f>
        <v xml:space="preserve">        case 0xF5: /* SBC (aa,X) */
            value = memory_getIndexedIndirectX();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47" s="22" t="str">
        <f t="shared" si="9"/>
        <v xml:space="preserve">    {"SBC", 0, AM_IIX, 4, 0},</v>
      </c>
    </row>
    <row r="248" spans="1:17" ht="92.4" x14ac:dyDescent="0.3">
      <c r="A248" s="22">
        <v>246</v>
      </c>
      <c r="B248" s="22" t="s">
        <v>124</v>
      </c>
      <c r="C248" s="22">
        <v>0</v>
      </c>
      <c r="D248" s="22" t="s">
        <v>134</v>
      </c>
      <c r="E248" s="22" t="str">
        <f>_xlfn.IFNA(VLOOKUP(D248,AccessModes!$D$2:$E$13,2,FALSE),"AM_IMP")</f>
        <v>AM_IIX</v>
      </c>
      <c r="F248" s="22">
        <v>6</v>
      </c>
      <c r="G248" s="22">
        <v>0</v>
      </c>
      <c r="H248" s="22" t="str">
        <f>$H$200</f>
        <v>value</v>
      </c>
      <c r="I248" s="22" t="str">
        <f>$I$200</f>
        <v>value</v>
      </c>
      <c r="J248" s="22" t="str">
        <f>$J$200</f>
        <v>LAST</v>
      </c>
      <c r="K248" s="22" t="str">
        <f>IF(LEN(H248)&gt;0,indent&amp;H248&amp;" = "&amp;VLOOKUP($E248,AccessModes!$E$2:$I$13,4,FALSE),"")</f>
        <v xml:space="preserve">            value = memory_getIndexedIndirectX();</v>
      </c>
      <c r="L248" s="15" t="str">
        <f>$L$232</f>
        <v xml:space="preserve">            ++value;</v>
      </c>
      <c r="M248" s="15" t="str">
        <f t="shared" si="8"/>
        <v xml:space="preserve">            cpu.PS_N =  (bool)(value &amp; 0x80);
            cpu.PS_Z = (value == 0);</v>
      </c>
      <c r="N248" s="22" t="str">
        <f>IF(LEN(J248)&gt;0,indent&amp;IF(J248="LAST",AccessModes!$I$15&amp;H248,VLOOKUP($E248,AccessModes!$E$2:$I$13,5,FALSE)&amp;J248)&amp;");","")</f>
        <v xml:space="preserve">            memory_setLast(value);</v>
      </c>
      <c r="O248" s="22"/>
      <c r="P248" s="15" t="str">
        <f>IF(C248=0,indent0&amp;"case 0x"&amp;DEC2HEX(A248)&amp;": /* "&amp;B248&amp;" "&amp;VLOOKUP(E248,AccessModes!$E$2:$G$13,3,FALSE)&amp;" */"&amp;newline&amp;IF(LEN(K248)&gt;0,K248&amp;CHAR(10),"")&amp;IF(LEN(L248)&gt;0,L248&amp;newline,"")&amp;IF(LEN(M248)&gt;0,M248&amp;newline,"")&amp;IF(LEN(N248)&gt;0,N248&amp;newline,"")&amp;IF(LEN(O248)&gt;0,O248&amp;newline,"")&amp;indent&amp;"break;","")</f>
        <v xml:space="preserve">        case 0xF6: /* INC (aa,X) */
            value = memory_getIndexedIndirectX();
            ++value;
            cpu.PS_N =  (bool)(value &amp; 0x80);
            cpu.PS_Z = (value == 0);
            memory_setLast(value);
            break;</v>
      </c>
      <c r="Q248" s="22" t="str">
        <f t="shared" si="9"/>
        <v xml:space="preserve">    {"INC", 0, AM_IIX, 6, 0},</v>
      </c>
    </row>
    <row r="249" spans="1:17" x14ac:dyDescent="0.3">
      <c r="A249" s="23">
        <v>247</v>
      </c>
      <c r="B249" s="23" t="s">
        <v>123</v>
      </c>
      <c r="C249" s="23">
        <v>-1</v>
      </c>
      <c r="D249" s="23" t="s">
        <v>134</v>
      </c>
      <c r="E249" s="23" t="str">
        <f>_xlfn.IFNA(VLOOKUP(D249,AccessModes!$D$2:$E$13,2,FALSE),"AM_IMP")</f>
        <v>AM_IIX</v>
      </c>
      <c r="F249" s="23">
        <v>6</v>
      </c>
      <c r="G249" s="23">
        <v>0</v>
      </c>
      <c r="H249" s="23"/>
      <c r="I249" s="23"/>
      <c r="J249" s="23"/>
      <c r="K249" s="23" t="str">
        <f>IF(LEN(H249)&gt;0,indent&amp;H249&amp;" = "&amp;VLOOKUP($E249,AccessModes!$E$2:$I$13,4,FALSE),"")</f>
        <v/>
      </c>
      <c r="L249" s="17" t="str">
        <f>indent&amp;"/* TODO: implementation of the action */"</f>
        <v xml:space="preserve">            /* TODO: implementation of the action */</v>
      </c>
      <c r="M249" s="17" t="str">
        <f t="shared" si="8"/>
        <v/>
      </c>
      <c r="N249" s="23" t="str">
        <f>IF(LEN(J249)&gt;0,indent&amp;IF(J249="LAST",AccessModes!$I$15&amp;H249,VLOOKUP($E249,AccessModes!$E$2:$I$13,5,FALSE)&amp;J249)&amp;");","")</f>
        <v/>
      </c>
      <c r="O249" s="23"/>
      <c r="P249" s="17" t="str">
        <f>IF(C249=0,indent0&amp;"case 0x"&amp;DEC2HEX(A249)&amp;": /* "&amp;B249&amp;" "&amp;VLOOKUP(E249,AccessModes!$E$2:$G$13,3,FALSE)&amp;" */"&amp;newline&amp;IF(LEN(K249)&gt;0,K249&amp;CHAR(10),"")&amp;IF(LEN(L249)&gt;0,L249&amp;newline,"")&amp;IF(LEN(M249)&gt;0,M249&amp;newline,"")&amp;IF(LEN(N249)&gt;0,N249&amp;newline,"")&amp;IF(LEN(O249)&gt;0,O249&amp;newline,"")&amp;indent&amp;"break;","")</f>
        <v/>
      </c>
      <c r="Q249" s="23" t="str">
        <f t="shared" si="9"/>
        <v xml:space="preserve">    {"ISC", -1, AM_IIX, 6, 0},</v>
      </c>
    </row>
    <row r="250" spans="1:17" ht="39.6" x14ac:dyDescent="0.3">
      <c r="A250" s="22">
        <v>248</v>
      </c>
      <c r="B250" s="22" t="s">
        <v>128</v>
      </c>
      <c r="C250" s="22">
        <v>0</v>
      </c>
      <c r="D250" s="22" t="s">
        <v>139</v>
      </c>
      <c r="E250" s="22" t="str">
        <f>_xlfn.IFNA(VLOOKUP(D250,AccessModes!$D$2:$E$13,2,FALSE),"AM_IMP")</f>
        <v>AM_IMP</v>
      </c>
      <c r="F250" s="22">
        <v>2</v>
      </c>
      <c r="G250" s="22">
        <v>0</v>
      </c>
      <c r="H250" s="28"/>
      <c r="I250" s="28"/>
      <c r="J250" s="28"/>
      <c r="K250" s="22" t="str">
        <f>IF(LEN(H250)&gt;0,indent&amp;H250&amp;" = "&amp;VLOOKUP($E250,AccessModes!$E$2:$I$13,4,FALSE),"")</f>
        <v/>
      </c>
      <c r="L250" s="29" t="str">
        <f>indent&amp;"cpu.PS_D = true;"</f>
        <v xml:space="preserve">            cpu.PS_D = true;</v>
      </c>
      <c r="M250" s="15" t="str">
        <f t="shared" si="8"/>
        <v/>
      </c>
      <c r="N250" s="22" t="str">
        <f>IF(LEN(J250)&gt;0,indent&amp;IF(J250="LAST",AccessModes!$I$15&amp;H250,VLOOKUP($E250,AccessModes!$E$2:$I$13,5,FALSE)&amp;J250)&amp;");","")</f>
        <v/>
      </c>
      <c r="O250" s="22"/>
      <c r="P250" s="15" t="str">
        <f>IF(C250=0,indent0&amp;"case 0x"&amp;DEC2HEX(A250)&amp;": /* "&amp;B250&amp;" "&amp;VLOOKUP(E250,AccessModes!$E$2:$G$13,3,FALSE)&amp;" */"&amp;newline&amp;IF(LEN(K250)&gt;0,K250&amp;CHAR(10),"")&amp;IF(LEN(L250)&gt;0,L250&amp;newline,"")&amp;IF(LEN(M250)&gt;0,M250&amp;newline,"")&amp;IF(LEN(N250)&gt;0,N250&amp;newline,"")&amp;IF(LEN(O250)&gt;0,O250&amp;newline,"")&amp;indent&amp;"break;","")</f>
        <v xml:space="preserve">        case 0xF8: /* SED  */
            cpu.PS_D = true;
            break;</v>
      </c>
      <c r="Q250" s="22" t="str">
        <f t="shared" si="9"/>
        <v xml:space="preserve">    {"SED", 0, AM_IMP, 2, 0},</v>
      </c>
    </row>
    <row r="251" spans="1:17" ht="211.2" x14ac:dyDescent="0.3">
      <c r="A251" s="22">
        <v>249</v>
      </c>
      <c r="B251" s="22" t="s">
        <v>122</v>
      </c>
      <c r="C251" s="22">
        <v>0</v>
      </c>
      <c r="D251" s="22" t="s">
        <v>135</v>
      </c>
      <c r="E251" s="22" t="str">
        <f>_xlfn.IFNA(VLOOKUP(D251,AccessModes!$D$2:$E$13,2,FALSE),"AM_IMP")</f>
        <v>AM_AIY</v>
      </c>
      <c r="F251" s="22">
        <v>4</v>
      </c>
      <c r="G251" s="22">
        <v>1</v>
      </c>
      <c r="H251" s="22" t="str">
        <f>$H$227</f>
        <v>value</v>
      </c>
      <c r="I251" s="22" t="str">
        <f>$I$227</f>
        <v/>
      </c>
      <c r="J251" s="22" t="str">
        <f>$J$227</f>
        <v/>
      </c>
      <c r="K251" s="15" t="str">
        <f>IF(LEN(H251)&gt;0,indent&amp;H251&amp;" = "&amp;VLOOKUP($E251,AccessModes!$E$2:$I$13,4,FALSE),"")</f>
        <v xml:space="preserve">            value = memory_getAbsoluteIndexedY();</v>
      </c>
      <c r="L251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51" s="15" t="str">
        <f t="shared" si="8"/>
        <v/>
      </c>
      <c r="N251" s="15" t="str">
        <f>IF(LEN(J251)&gt;0,indent&amp;IF(J251="LAST",AccessModes!$I$15&amp;H251,VLOOKUP($E251,AccessModes!$E$2:$I$13,5,FALSE)&amp;J251)&amp;");","")</f>
        <v/>
      </c>
      <c r="O251" s="22"/>
      <c r="P251" s="15" t="str">
        <f>IF(C251=0,indent0&amp;"case 0x"&amp;DEC2HEX(A251)&amp;": /* "&amp;B251&amp;" "&amp;VLOOKUP(E251,AccessModes!$E$2:$G$13,3,FALSE)&amp;" */"&amp;newline&amp;IF(LEN(K251)&gt;0,K251&amp;CHAR(10),"")&amp;IF(LEN(L251)&gt;0,L251&amp;newline,"")&amp;IF(LEN(M251)&gt;0,M251&amp;newline,"")&amp;IF(LEN(N251)&gt;0,N251&amp;newline,"")&amp;IF(LEN(O251)&gt;0,O251&amp;newline,"")&amp;indent&amp;"break;","")</f>
        <v xml:space="preserve">        case 0xF9: /* SBC aaaa,Y */
            value = memory_getAbsoluteIndexedY();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51" s="22" t="str">
        <f t="shared" si="9"/>
        <v xml:space="preserve">    {"SBC", 0, AM_AIY, 4, 1},</v>
      </c>
    </row>
    <row r="252" spans="1:17" x14ac:dyDescent="0.3">
      <c r="A252" s="23">
        <v>250</v>
      </c>
      <c r="B252" s="23" t="s">
        <v>23</v>
      </c>
      <c r="C252" s="23">
        <v>-1</v>
      </c>
      <c r="D252" s="23" t="s">
        <v>139</v>
      </c>
      <c r="E252" s="23" t="str">
        <f>_xlfn.IFNA(VLOOKUP(D252,AccessModes!$D$2:$E$13,2,FALSE),"AM_IMP")</f>
        <v>AM_IMP</v>
      </c>
      <c r="F252" s="23">
        <v>2</v>
      </c>
      <c r="G252" s="23">
        <v>0</v>
      </c>
      <c r="H252" s="23"/>
      <c r="I252" s="23"/>
      <c r="J252" s="23"/>
      <c r="K252" s="23" t="str">
        <f>IF(LEN(H252)&gt;0,indent&amp;H252&amp;" = "&amp;VLOOKUP($E252,AccessModes!$E$2:$I$13,4,FALSE),"")</f>
        <v/>
      </c>
      <c r="L252" s="17" t="str">
        <f>indent&amp;"/* TODO: implementation of the action */"</f>
        <v xml:space="preserve">            /* TODO: implementation of the action */</v>
      </c>
      <c r="M252" s="17" t="str">
        <f t="shared" si="8"/>
        <v/>
      </c>
      <c r="N252" s="23" t="str">
        <f>IF(LEN(J252)&gt;0,indent&amp;IF(J252="LAST",AccessModes!$I$15&amp;H252,VLOOKUP($E252,AccessModes!$E$2:$I$13,5,FALSE)&amp;J252)&amp;");","")</f>
        <v/>
      </c>
      <c r="O252" s="23"/>
      <c r="P252" s="17" t="str">
        <f>IF(C252=0,indent0&amp;"case 0x"&amp;DEC2HEX(A252)&amp;": /* "&amp;B252&amp;" "&amp;VLOOKUP(E252,AccessModes!$E$2:$G$13,3,FALSE)&amp;" */"&amp;newline&amp;IF(LEN(K252)&gt;0,K252&amp;CHAR(10),"")&amp;IF(LEN(L252)&gt;0,L252&amp;newline,"")&amp;IF(LEN(M252)&gt;0,M252&amp;newline,"")&amp;IF(LEN(N252)&gt;0,N252&amp;newline,"")&amp;IF(LEN(O252)&gt;0,O252&amp;newline,"")&amp;indent&amp;"break;","")</f>
        <v/>
      </c>
      <c r="Q252" s="23" t="str">
        <f t="shared" si="9"/>
        <v xml:space="preserve">    {"NOP", -1, AM_IMP, 2, 0},</v>
      </c>
    </row>
    <row r="253" spans="1:17" x14ac:dyDescent="0.3">
      <c r="A253" s="23">
        <v>251</v>
      </c>
      <c r="B253" s="23" t="s">
        <v>123</v>
      </c>
      <c r="C253" s="23">
        <v>-1</v>
      </c>
      <c r="D253" s="23" t="s">
        <v>135</v>
      </c>
      <c r="E253" s="23" t="str">
        <f>_xlfn.IFNA(VLOOKUP(D253,AccessModes!$D$2:$E$13,2,FALSE),"AM_IMP")</f>
        <v>AM_AIY</v>
      </c>
      <c r="F253" s="23">
        <v>7</v>
      </c>
      <c r="G253" s="23">
        <v>0</v>
      </c>
      <c r="H253" s="23"/>
      <c r="I253" s="23"/>
      <c r="J253" s="23"/>
      <c r="K253" s="23" t="str">
        <f>IF(LEN(H253)&gt;0,indent&amp;H253&amp;" = "&amp;VLOOKUP($E253,AccessModes!$E$2:$I$13,4,FALSE),"")</f>
        <v/>
      </c>
      <c r="L253" s="17" t="str">
        <f>indent&amp;"/* TODO: implementation of the action */"</f>
        <v xml:space="preserve">            /* TODO: implementation of the action */</v>
      </c>
      <c r="M253" s="17" t="str">
        <f t="shared" si="8"/>
        <v/>
      </c>
      <c r="N253" s="23" t="str">
        <f>IF(LEN(J253)&gt;0,indent&amp;IF(J253="LAST",AccessModes!$I$15&amp;H253,VLOOKUP($E253,AccessModes!$E$2:$I$13,5,FALSE)&amp;J253)&amp;");","")</f>
        <v/>
      </c>
      <c r="O253" s="23"/>
      <c r="P253" s="17" t="str">
        <f>IF(C253=0,indent0&amp;"case 0x"&amp;DEC2HEX(A253)&amp;": /* "&amp;B253&amp;" "&amp;VLOOKUP(E253,AccessModes!$E$2:$G$13,3,FALSE)&amp;" */"&amp;newline&amp;IF(LEN(K253)&gt;0,K253&amp;CHAR(10),"")&amp;IF(LEN(L253)&gt;0,L253&amp;newline,"")&amp;IF(LEN(M253)&gt;0,M253&amp;newline,"")&amp;IF(LEN(N253)&gt;0,N253&amp;newline,"")&amp;IF(LEN(O253)&gt;0,O253&amp;newline,"")&amp;indent&amp;"break;","")</f>
        <v/>
      </c>
      <c r="Q253" s="23" t="str">
        <f t="shared" si="9"/>
        <v xml:space="preserve">    {"ISC", -1, AM_AIY, 7, 0},</v>
      </c>
    </row>
    <row r="254" spans="1:17" x14ac:dyDescent="0.3">
      <c r="A254" s="23">
        <v>252</v>
      </c>
      <c r="B254" s="23" t="s">
        <v>23</v>
      </c>
      <c r="C254" s="23">
        <v>-1</v>
      </c>
      <c r="D254" s="23" t="s">
        <v>136</v>
      </c>
      <c r="E254" s="23" t="str">
        <f>_xlfn.IFNA(VLOOKUP(D254,AccessModes!$D$2:$E$13,2,FALSE),"AM_IMP")</f>
        <v>AM_AIX</v>
      </c>
      <c r="F254" s="23">
        <v>4</v>
      </c>
      <c r="G254" s="23">
        <v>1</v>
      </c>
      <c r="H254" s="23"/>
      <c r="I254" s="23"/>
      <c r="J254" s="23"/>
      <c r="K254" s="23" t="str">
        <f>IF(LEN(H254)&gt;0,indent&amp;H254&amp;" = "&amp;VLOOKUP($E254,AccessModes!$E$2:$I$13,4,FALSE),"")</f>
        <v/>
      </c>
      <c r="L254" s="17" t="str">
        <f>indent&amp;"/* TODO: implementation of the action */"</f>
        <v xml:space="preserve">            /* TODO: implementation of the action */</v>
      </c>
      <c r="M254" s="17" t="str">
        <f t="shared" si="8"/>
        <v/>
      </c>
      <c r="N254" s="23" t="str">
        <f>IF(LEN(J254)&gt;0,indent&amp;IF(J254="LAST",AccessModes!$I$15&amp;H254,VLOOKUP($E254,AccessModes!$E$2:$I$13,5,FALSE)&amp;J254)&amp;");","")</f>
        <v/>
      </c>
      <c r="O254" s="23"/>
      <c r="P254" s="17" t="str">
        <f>IF(C254=0,indent0&amp;"case 0x"&amp;DEC2HEX(A254)&amp;": /* "&amp;B254&amp;" "&amp;VLOOKUP(E254,AccessModes!$E$2:$G$13,3,FALSE)&amp;" */"&amp;newline&amp;IF(LEN(K254)&gt;0,K254&amp;CHAR(10),"")&amp;IF(LEN(L254)&gt;0,L254&amp;newline,"")&amp;IF(LEN(M254)&gt;0,M254&amp;newline,"")&amp;IF(LEN(N254)&gt;0,N254&amp;newline,"")&amp;IF(LEN(O254)&gt;0,O254&amp;newline,"")&amp;indent&amp;"break;","")</f>
        <v/>
      </c>
      <c r="Q254" s="23" t="str">
        <f t="shared" si="9"/>
        <v xml:space="preserve">    {"NOP", -1, AM_AIX, 4, 1},</v>
      </c>
    </row>
    <row r="255" spans="1:17" ht="211.2" x14ac:dyDescent="0.3">
      <c r="A255" s="22">
        <v>253</v>
      </c>
      <c r="B255" s="22" t="s">
        <v>122</v>
      </c>
      <c r="C255" s="22">
        <v>0</v>
      </c>
      <c r="D255" s="22" t="s">
        <v>136</v>
      </c>
      <c r="E255" s="22" t="str">
        <f>_xlfn.IFNA(VLOOKUP(D255,AccessModes!$D$2:$E$13,2,FALSE),"AM_IMP")</f>
        <v>AM_AIX</v>
      </c>
      <c r="F255" s="22">
        <v>4</v>
      </c>
      <c r="G255" s="22">
        <v>1</v>
      </c>
      <c r="H255" s="22" t="str">
        <f>$H$227</f>
        <v>value</v>
      </c>
      <c r="I255" s="22" t="str">
        <f>$I$227</f>
        <v/>
      </c>
      <c r="J255" s="22" t="str">
        <f>$J$227</f>
        <v/>
      </c>
      <c r="K255" s="15" t="str">
        <f>IF(LEN(H255)&gt;0,indent&amp;H255&amp;" = "&amp;VLOOKUP($E255,AccessModes!$E$2:$I$13,4,FALSE),"")</f>
        <v xml:space="preserve">            value = memory_getAbsoluteIndexedX();</v>
      </c>
      <c r="L255" s="15" t="str">
        <f>$L$227</f>
        <v xml:space="preserve">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</v>
      </c>
      <c r="M255" s="15" t="str">
        <f t="shared" si="8"/>
        <v/>
      </c>
      <c r="N255" s="15" t="str">
        <f>IF(LEN(J255)&gt;0,indent&amp;IF(J255="LAST",AccessModes!$I$15&amp;H255,VLOOKUP($E255,AccessModes!$E$2:$I$13,5,FALSE)&amp;J255)&amp;");","")</f>
        <v/>
      </c>
      <c r="O255" s="22"/>
      <c r="P255" s="15" t="str">
        <f>IF(C255=0,indent0&amp;"case 0x"&amp;DEC2HEX(A255)&amp;": /* "&amp;B255&amp;" "&amp;VLOOKUP(E255,AccessModes!$E$2:$G$13,3,FALSE)&amp;" */"&amp;newline&amp;IF(LEN(K255)&gt;0,K255&amp;CHAR(10),"")&amp;IF(LEN(L255)&gt;0,L255&amp;newline,"")&amp;IF(LEN(M255)&gt;0,M255&amp;newline,"")&amp;IF(LEN(N255)&gt;0,N255&amp;newline,"")&amp;IF(LEN(O255)&gt;0,O255&amp;newline,"")&amp;indent&amp;"break;","")</f>
        <v xml:space="preserve">        case 0xFD: /* SBC aaaa,X */
            value = memory_getAbsoluteIndexedX();
            if(cpu.PS_D) {
            } else {
                s1 =  (bool)(cpu.A &amp; 0x80);
                s2 =  (bool)(value &amp; 0x80);
                value_w = (word)cpu.A + (word)value + (word)cpu.PS_C;
                cpu.A = (byte)(value_w &amp; 0xFF);
                cpu.PS_C =  (bool)(cpu.A &amp; 0xFF00);
                cpu.PS_Z = (bool)value_w;
                cpu.PS_N =  (bool)(cpu.A &amp; 0x80);
                cpu.PS_V =  (s1 &amp;&amp; s2 &amp;&amp; !cpu.PS_N) || (!s1 &amp;&amp; !s2 &amp;&amp; cpu.PS_N);
            }
            break;</v>
      </c>
      <c r="Q255" s="22" t="str">
        <f t="shared" si="9"/>
        <v xml:space="preserve">    {"SBC", 0, AM_AIX, 4, 1},</v>
      </c>
    </row>
    <row r="256" spans="1:17" ht="92.4" x14ac:dyDescent="0.3">
      <c r="A256" s="22">
        <v>254</v>
      </c>
      <c r="B256" s="22" t="s">
        <v>124</v>
      </c>
      <c r="C256" s="22">
        <v>0</v>
      </c>
      <c r="D256" s="22" t="s">
        <v>136</v>
      </c>
      <c r="E256" s="22" t="str">
        <f>_xlfn.IFNA(VLOOKUP(D256,AccessModes!$D$2:$E$13,2,FALSE),"AM_IMP")</f>
        <v>AM_AIX</v>
      </c>
      <c r="F256" s="22">
        <v>7</v>
      </c>
      <c r="G256" s="22">
        <v>0</v>
      </c>
      <c r="H256" s="22" t="str">
        <f>$H$200</f>
        <v>value</v>
      </c>
      <c r="I256" s="22" t="str">
        <f>$I$200</f>
        <v>value</v>
      </c>
      <c r="J256" s="22" t="str">
        <f>$J$200</f>
        <v>LAST</v>
      </c>
      <c r="K256" s="22" t="str">
        <f>IF(LEN(H256)&gt;0,indent&amp;H256&amp;" = "&amp;VLOOKUP($E256,AccessModes!$E$2:$I$13,4,FALSE),"")</f>
        <v xml:space="preserve">            value = memory_getAbsoluteIndexedX();</v>
      </c>
      <c r="L256" s="15" t="str">
        <f>$L$232</f>
        <v xml:space="preserve">            ++value;</v>
      </c>
      <c r="M256" s="15" t="str">
        <f t="shared" si="8"/>
        <v xml:space="preserve">            cpu.PS_N =  (bool)(value &amp; 0x80);
            cpu.PS_Z = (value == 0);</v>
      </c>
      <c r="N256" s="22" t="str">
        <f>IF(LEN(J256)&gt;0,indent&amp;IF(J256="LAST",AccessModes!$I$15&amp;H256,VLOOKUP($E256,AccessModes!$E$2:$I$13,5,FALSE)&amp;J256)&amp;");","")</f>
        <v xml:space="preserve">            memory_setLast(value);</v>
      </c>
      <c r="O256" s="22"/>
      <c r="P256" s="15" t="str">
        <f>IF(C256=0,indent0&amp;"case 0x"&amp;DEC2HEX(A256)&amp;": /* "&amp;B256&amp;" "&amp;VLOOKUP(E256,AccessModes!$E$2:$G$13,3,FALSE)&amp;" */"&amp;newline&amp;IF(LEN(K256)&gt;0,K256&amp;CHAR(10),"")&amp;IF(LEN(L256)&gt;0,L256&amp;newline,"")&amp;IF(LEN(M256)&gt;0,M256&amp;newline,"")&amp;IF(LEN(N256)&gt;0,N256&amp;newline,"")&amp;IF(LEN(O256)&gt;0,O256&amp;newline,"")&amp;indent&amp;"break;","")</f>
        <v xml:space="preserve">        case 0xFE: /* INC aaaa,X */
            value = memory_getAbsoluteIndexedX();
            ++value;
            cpu.PS_N =  (bool)(value &amp; 0x80);
            cpu.PS_Z = (value == 0);
            memory_setLast(value);
            break;</v>
      </c>
      <c r="Q256" s="22" t="str">
        <f t="shared" si="9"/>
        <v xml:space="preserve">    {"INC", 0, AM_AIX, 7, 0},</v>
      </c>
    </row>
    <row r="257" spans="1:17" x14ac:dyDescent="0.3">
      <c r="A257" s="23">
        <v>255</v>
      </c>
      <c r="B257" s="23" t="s">
        <v>123</v>
      </c>
      <c r="C257" s="23">
        <v>-1</v>
      </c>
      <c r="D257" s="23" t="s">
        <v>136</v>
      </c>
      <c r="E257" s="23" t="str">
        <f>_xlfn.IFNA(VLOOKUP(D257,AccessModes!$D$2:$E$13,2,FALSE),"AM_IMP")</f>
        <v>AM_AIX</v>
      </c>
      <c r="F257" s="23">
        <v>7</v>
      </c>
      <c r="G257" s="23">
        <v>0</v>
      </c>
      <c r="H257" s="23"/>
      <c r="I257" s="23"/>
      <c r="J257" s="23"/>
      <c r="K257" s="23" t="str">
        <f>IF(LEN(H257)&gt;0,indent&amp;H257&amp;" = "&amp;VLOOKUP($E257,AccessModes!$E$2:$I$13,4,FALSE),"")</f>
        <v/>
      </c>
      <c r="L257" s="17" t="str">
        <f>indent&amp;"/* TODO: implementation of the action */"</f>
        <v xml:space="preserve">            /* TODO: implementation of the action */</v>
      </c>
      <c r="M257" s="17" t="str">
        <f t="shared" si="8"/>
        <v/>
      </c>
      <c r="N257" s="23" t="str">
        <f>IF(LEN(J257)&gt;0,indent&amp;IF(J257="LAST",AccessModes!$I$15&amp;H257,VLOOKUP($E257,AccessModes!$E$2:$I$13,5,FALSE)&amp;J257)&amp;");","")</f>
        <v/>
      </c>
      <c r="O257" s="23"/>
      <c r="P257" s="17" t="str">
        <f>IF(C257=0,indent0&amp;"case 0x"&amp;DEC2HEX(A257)&amp;": /* "&amp;B257&amp;" "&amp;VLOOKUP(E257,AccessModes!$E$2:$G$13,3,FALSE)&amp;" */"&amp;newline&amp;IF(LEN(K257)&gt;0,K257&amp;CHAR(10),"")&amp;IF(LEN(L257)&gt;0,L257&amp;newline,"")&amp;IF(LEN(M257)&gt;0,M257&amp;newline,"")&amp;IF(LEN(N257)&gt;0,N257&amp;newline,"")&amp;IF(LEN(O257)&gt;0,O257&amp;newline,"")&amp;indent&amp;"break;","")</f>
        <v/>
      </c>
      <c r="Q257" s="23" t="str">
        <f t="shared" si="9"/>
        <v xml:space="preserve">    {"ISC", -1, AM_AIX, 7, 0},</v>
      </c>
    </row>
  </sheetData>
  <autoFilter ref="A1:Q25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4" sqref="B14"/>
    </sheetView>
  </sheetViews>
  <sheetFormatPr defaultRowHeight="14.4" x14ac:dyDescent="0.3"/>
  <sheetData>
    <row r="1" spans="1:4" x14ac:dyDescent="0.3">
      <c r="A1" s="30" t="s">
        <v>235</v>
      </c>
      <c r="B1" s="31" t="s">
        <v>233</v>
      </c>
      <c r="C1" s="31" t="s">
        <v>234</v>
      </c>
      <c r="D1" s="31"/>
    </row>
    <row r="2" spans="1:4" x14ac:dyDescent="0.3">
      <c r="A2" s="31" t="s">
        <v>229</v>
      </c>
      <c r="B2" s="31">
        <v>0</v>
      </c>
      <c r="C2" s="31">
        <v>1</v>
      </c>
      <c r="D2" s="31" t="s">
        <v>231</v>
      </c>
    </row>
    <row r="3" spans="1:4" x14ac:dyDescent="0.3">
      <c r="A3" s="31" t="s">
        <v>229</v>
      </c>
      <c r="B3" s="31">
        <v>0</v>
      </c>
      <c r="C3" s="31">
        <v>0</v>
      </c>
      <c r="D3" s="31" t="s">
        <v>232</v>
      </c>
    </row>
    <row r="4" spans="1:4" x14ac:dyDescent="0.3">
      <c r="A4" s="31" t="s">
        <v>230</v>
      </c>
      <c r="B4" s="31">
        <v>0</v>
      </c>
      <c r="C4" s="31">
        <v>0</v>
      </c>
      <c r="D4" s="31" t="s">
        <v>231</v>
      </c>
    </row>
    <row r="5" spans="1:4" x14ac:dyDescent="0.3">
      <c r="A5" s="31" t="s">
        <v>230</v>
      </c>
      <c r="B5" s="31">
        <v>1</v>
      </c>
      <c r="C5" s="31">
        <v>0</v>
      </c>
      <c r="D5" s="31" t="s">
        <v>232</v>
      </c>
    </row>
    <row r="7" spans="1:4" x14ac:dyDescent="0.3">
      <c r="B7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3" sqref="H13"/>
    </sheetView>
  </sheetViews>
  <sheetFormatPr defaultRowHeight="14.4" x14ac:dyDescent="0.3"/>
  <cols>
    <col min="1" max="1" width="19.21875" bestFit="1" customWidth="1"/>
    <col min="4" max="4" width="4.77734375" bestFit="1" customWidth="1"/>
    <col min="5" max="5" width="8.6640625" bestFit="1" customWidth="1"/>
    <col min="6" max="6" width="25.88671875" bestFit="1" customWidth="1"/>
    <col min="7" max="7" width="8.33203125" bestFit="1" customWidth="1"/>
    <col min="8" max="8" width="33.21875" bestFit="1" customWidth="1"/>
    <col min="9" max="9" width="27.21875" bestFit="1" customWidth="1"/>
  </cols>
  <sheetData>
    <row r="1" spans="1:9" s="13" customFormat="1" x14ac:dyDescent="0.3">
      <c r="A1" s="13" t="s">
        <v>218</v>
      </c>
      <c r="B1" t="str">
        <f>CHAR(10)</f>
        <v xml:space="preserve">
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</row>
    <row r="2" spans="1:9" x14ac:dyDescent="0.3">
      <c r="A2" s="13" t="s">
        <v>216</v>
      </c>
      <c r="B2" t="str">
        <f>REPT(" ", 8)</f>
        <v xml:space="preserve">        </v>
      </c>
      <c r="D2" t="s">
        <v>130</v>
      </c>
      <c r="E2" t="s">
        <v>165</v>
      </c>
      <c r="F2" s="10" t="s">
        <v>150</v>
      </c>
      <c r="G2" s="10" t="s">
        <v>219</v>
      </c>
      <c r="H2" t="s">
        <v>179</v>
      </c>
    </row>
    <row r="3" spans="1:9" x14ac:dyDescent="0.3">
      <c r="A3" s="13" t="s">
        <v>217</v>
      </c>
      <c r="B3" t="str">
        <f>REPT(" ", 12)</f>
        <v xml:space="preserve">            </v>
      </c>
      <c r="D3" t="s">
        <v>131</v>
      </c>
      <c r="E3" t="s">
        <v>166</v>
      </c>
      <c r="F3" s="10" t="s">
        <v>151</v>
      </c>
      <c r="G3" s="10" t="s">
        <v>220</v>
      </c>
      <c r="H3" t="s">
        <v>180</v>
      </c>
      <c r="I3" t="s">
        <v>189</v>
      </c>
    </row>
    <row r="4" spans="1:9" x14ac:dyDescent="0.3">
      <c r="A4" s="13" t="s">
        <v>228</v>
      </c>
      <c r="B4" t="str">
        <f>REPT(" ", 16)</f>
        <v xml:space="preserve">                </v>
      </c>
      <c r="D4" t="s">
        <v>144</v>
      </c>
      <c r="E4" t="s">
        <v>167</v>
      </c>
      <c r="F4" s="10" t="s">
        <v>152</v>
      </c>
      <c r="G4" s="10" t="s">
        <v>221</v>
      </c>
      <c r="H4" t="s">
        <v>181</v>
      </c>
      <c r="I4" t="s">
        <v>190</v>
      </c>
    </row>
    <row r="5" spans="1:9" x14ac:dyDescent="0.3">
      <c r="D5" t="s">
        <v>163</v>
      </c>
      <c r="E5" t="s">
        <v>168</v>
      </c>
      <c r="F5" s="10" t="s">
        <v>153</v>
      </c>
      <c r="G5" s="10"/>
    </row>
    <row r="6" spans="1:9" x14ac:dyDescent="0.3">
      <c r="D6" t="s">
        <v>137</v>
      </c>
      <c r="E6" t="s">
        <v>169</v>
      </c>
      <c r="F6" s="10" t="s">
        <v>154</v>
      </c>
      <c r="G6" s="10" t="s">
        <v>145</v>
      </c>
      <c r="H6" t="s">
        <v>182</v>
      </c>
    </row>
    <row r="7" spans="1:9" x14ac:dyDescent="0.3">
      <c r="D7" t="s">
        <v>136</v>
      </c>
      <c r="E7" t="s">
        <v>170</v>
      </c>
      <c r="F7" s="10" t="s">
        <v>155</v>
      </c>
      <c r="G7" s="10" t="s">
        <v>146</v>
      </c>
      <c r="H7" t="s">
        <v>183</v>
      </c>
      <c r="I7" t="s">
        <v>191</v>
      </c>
    </row>
    <row r="8" spans="1:9" x14ac:dyDescent="0.3">
      <c r="D8" t="s">
        <v>135</v>
      </c>
      <c r="E8" t="s">
        <v>171</v>
      </c>
      <c r="F8" s="10" t="s">
        <v>156</v>
      </c>
      <c r="G8" s="10" t="s">
        <v>147</v>
      </c>
      <c r="H8" t="s">
        <v>184</v>
      </c>
      <c r="I8" t="s">
        <v>192</v>
      </c>
    </row>
    <row r="9" spans="1:9" x14ac:dyDescent="0.3">
      <c r="D9" t="s">
        <v>129</v>
      </c>
      <c r="E9" t="s">
        <v>172</v>
      </c>
      <c r="F9" s="10" t="s">
        <v>157</v>
      </c>
      <c r="G9" s="10" t="s">
        <v>222</v>
      </c>
      <c r="H9" t="s">
        <v>185</v>
      </c>
      <c r="I9" t="s">
        <v>193</v>
      </c>
    </row>
    <row r="10" spans="1:9" x14ac:dyDescent="0.3">
      <c r="D10" t="s">
        <v>133</v>
      </c>
      <c r="E10" t="s">
        <v>173</v>
      </c>
      <c r="F10" s="10" t="s">
        <v>158</v>
      </c>
      <c r="G10" s="10" t="s">
        <v>223</v>
      </c>
      <c r="H10" t="s">
        <v>186</v>
      </c>
      <c r="I10" t="s">
        <v>194</v>
      </c>
    </row>
    <row r="11" spans="1:9" x14ac:dyDescent="0.3">
      <c r="D11" t="s">
        <v>134</v>
      </c>
      <c r="E11" t="s">
        <v>174</v>
      </c>
      <c r="F11" s="10" t="s">
        <v>159</v>
      </c>
      <c r="G11" s="10" t="s">
        <v>148</v>
      </c>
      <c r="H11" t="s">
        <v>187</v>
      </c>
      <c r="I11" t="s">
        <v>195</v>
      </c>
    </row>
    <row r="12" spans="1:9" x14ac:dyDescent="0.3">
      <c r="D12" t="s">
        <v>138</v>
      </c>
      <c r="E12" t="s">
        <v>175</v>
      </c>
      <c r="F12" s="10" t="s">
        <v>160</v>
      </c>
      <c r="G12" s="10" t="s">
        <v>149</v>
      </c>
      <c r="H12" t="s">
        <v>242</v>
      </c>
      <c r="I12" t="s">
        <v>196</v>
      </c>
    </row>
    <row r="13" spans="1:9" x14ac:dyDescent="0.3">
      <c r="D13" t="s">
        <v>132</v>
      </c>
      <c r="E13" t="s">
        <v>176</v>
      </c>
      <c r="F13" s="10" t="s">
        <v>161</v>
      </c>
      <c r="G13" s="10" t="s">
        <v>220</v>
      </c>
      <c r="H13" t="s">
        <v>188</v>
      </c>
    </row>
    <row r="14" spans="1:9" x14ac:dyDescent="0.3">
      <c r="D14" s="11" t="s">
        <v>164</v>
      </c>
      <c r="E14" s="11" t="s">
        <v>177</v>
      </c>
      <c r="F14" s="12" t="s">
        <v>162</v>
      </c>
      <c r="G14" s="12" t="s">
        <v>214</v>
      </c>
    </row>
    <row r="15" spans="1:9" x14ac:dyDescent="0.3">
      <c r="F15" s="10" t="s">
        <v>238</v>
      </c>
      <c r="I15" t="s">
        <v>239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Table</vt:lpstr>
      <vt:lpstr>List</vt:lpstr>
      <vt:lpstr>Blad1</vt:lpstr>
      <vt:lpstr>AccessModes</vt:lpstr>
      <vt:lpstr>indent</vt:lpstr>
      <vt:lpstr>indent0</vt:lpstr>
      <vt:lpstr>indent2</vt:lpstr>
      <vt:lpstr>newline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Maanen, Remco van</dc:creator>
  <cp:lastModifiedBy>Maanen, Remco van</cp:lastModifiedBy>
  <dcterms:created xsi:type="dcterms:W3CDTF">2017-05-29T19:24:22Z</dcterms:created>
  <dcterms:modified xsi:type="dcterms:W3CDTF">2017-06-07T12:03:45Z</dcterms:modified>
</cp:coreProperties>
</file>