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t.engr.oregonstate.edu\users\lundeens\Windows.Documents\My Documents\Heat Sink Research\"/>
    </mc:Choice>
  </mc:AlternateContent>
  <bookViews>
    <workbookView xWindow="-90" yWindow="-90" windowWidth="23235" windowHeight="12630" tabRatio="766"/>
  </bookViews>
  <sheets>
    <sheet name="Thermal Model" sheetId="2" r:id="rId1"/>
    <sheet name="Ranges" sheetId="7" r:id="rId2"/>
    <sheet name="Plots" sheetId="6" r:id="rId3"/>
    <sheet name="Dry Air" sheetId="4" r:id="rId4"/>
    <sheet name="Bessel" sheetId="5" r:id="rId5"/>
    <sheet name="Thermal Resistance" sheetId="10" r:id="rId6"/>
    <sheet name="K Al" sheetId="15" r:id="rId7"/>
    <sheet name="K Cu" sheetId="16" r:id="rId8"/>
    <sheet name="Rig Geometry" sheetId="9" r:id="rId9"/>
    <sheet name="Roughness Matrix" sheetId="11" r:id="rId10"/>
    <sheet name="Simulation Matrix" sheetId="8" r:id="rId11"/>
    <sheet name="Test Matrix" sheetId="12" r:id="rId12"/>
    <sheet name="Surface Area" sheetId="14" r:id="rId13"/>
    <sheet name="Scratch" sheetId="3" r:id="rId14"/>
    <sheet name="Slice Study" sheetId="13" r:id="rId15"/>
  </sheets>
  <externalReferences>
    <externalReference r:id="rId16"/>
  </externalReferences>
  <definedNames>
    <definedName name="Ab">'Thermal Model'!$Q$12</definedName>
    <definedName name="Ac">'Thermal Model'!$Q$9</definedName>
    <definedName name="Af">'Thermal Model'!$Q$11</definedName>
    <definedName name="alpha">'Thermal Model'!$F$7</definedName>
    <definedName name="As">'Thermal Model'!$Q$10</definedName>
    <definedName name="Atot">'Thermal Model'!$Q$13</definedName>
    <definedName name="cp">'Thermal Model'!$F$4</definedName>
    <definedName name="Dh">'Thermal Model'!$Q$7</definedName>
    <definedName name="Dt">'Thermal Model'!$B$4</definedName>
    <definedName name="eff">'Thermal Model'!$F$17</definedName>
    <definedName name="em">'Thermal Model'!$F$14</definedName>
    <definedName name="epsilon">'Thermal Model'!$F$11</definedName>
    <definedName name="eta">'Thermal Model'!$F$18</definedName>
    <definedName name="Etao">'Thermal Model'!$F$22</definedName>
    <definedName name="f">'Thermal Model'!$F$10</definedName>
    <definedName name="h">'Thermal Model'!$F$13</definedName>
    <definedName name="k">'Thermal Model'!$D$2</definedName>
    <definedName name="ka">'Thermal Model'!$F$2</definedName>
    <definedName name="L">'Thermal Model'!$Q$2</definedName>
    <definedName name="Lc">'Thermal Model'!$Q$8</definedName>
    <definedName name="M">'Thermal Model'!$F$15</definedName>
    <definedName name="mu">'Thermal Model'!$F$5</definedName>
    <definedName name="N">'Thermal Model'!$B$6</definedName>
    <definedName name="nu">'Thermal Model'!$F$6</definedName>
    <definedName name="Nus">'Thermal Model'!$F$12</definedName>
    <definedName name="nuu">'Thermal Model'!$F$6</definedName>
    <definedName name="P">'Thermal Model'!$Q$6</definedName>
    <definedName name="Pr">'Thermal Model'!$F$8</definedName>
    <definedName name="qf">'Thermal Model'!$F$16</definedName>
    <definedName name="qt">'Thermal Model'!$F$21</definedName>
    <definedName name="Rb">'Thermal Model'!$F$20</definedName>
    <definedName name="Re">'Thermal Model'!$F$9</definedName>
    <definedName name="Rf">'Thermal Model'!$F$19</definedName>
    <definedName name="rho">'Thermal Model'!$F$3</definedName>
    <definedName name="s">'Thermal Model'!$Q$3</definedName>
    <definedName name="t">'Thermal Model'!$Q$5</definedName>
    <definedName name="Ta">'Thermal Model'!$B$3</definedName>
    <definedName name="Tb">'Thermal Model'!$B$2</definedName>
    <definedName name="V">'Thermal Model'!$B$5</definedName>
    <definedName name="w">'Thermal Model'!$Q$4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4" l="1"/>
  <c r="N23" i="14" s="1"/>
  <c r="N22" i="14"/>
  <c r="M22" i="14"/>
  <c r="N21" i="14"/>
  <c r="M21" i="14"/>
  <c r="N20" i="14"/>
  <c r="M20" i="14"/>
  <c r="L19" i="14"/>
  <c r="N19" i="14" s="1"/>
  <c r="N18" i="14"/>
  <c r="M18" i="14"/>
  <c r="N17" i="14"/>
  <c r="M17" i="14"/>
  <c r="N16" i="14"/>
  <c r="M16" i="14"/>
  <c r="M15" i="14"/>
  <c r="L15" i="14"/>
  <c r="N15" i="14" s="1"/>
  <c r="L14" i="14"/>
  <c r="N14" i="14" s="1"/>
  <c r="N13" i="14"/>
  <c r="M13" i="14"/>
  <c r="N12" i="14"/>
  <c r="M12" i="14"/>
  <c r="N11" i="14"/>
  <c r="M11" i="14"/>
  <c r="N10" i="14"/>
  <c r="M10" i="14"/>
  <c r="L10" i="14"/>
  <c r="N9" i="14"/>
  <c r="M9" i="14"/>
  <c r="N8" i="14"/>
  <c r="M8" i="14"/>
  <c r="N7" i="14"/>
  <c r="M7" i="14"/>
  <c r="N6" i="14"/>
  <c r="M6" i="14"/>
  <c r="L6" i="14"/>
  <c r="L5" i="14"/>
  <c r="N5" i="14" s="1"/>
  <c r="N4" i="14"/>
  <c r="D17" i="14"/>
  <c r="C17" i="14"/>
  <c r="B17" i="14"/>
  <c r="D16" i="14"/>
  <c r="C16" i="14"/>
  <c r="B16" i="14"/>
  <c r="D15" i="14"/>
  <c r="C15" i="14"/>
  <c r="B15" i="14"/>
  <c r="E14" i="14"/>
  <c r="D14" i="14"/>
  <c r="C14" i="14"/>
  <c r="B14" i="14"/>
  <c r="C9" i="14"/>
  <c r="B9" i="14"/>
  <c r="D8" i="14"/>
  <c r="C8" i="14"/>
  <c r="B8" i="14"/>
  <c r="C7" i="14"/>
  <c r="B7" i="14"/>
  <c r="C6" i="14"/>
  <c r="D6" i="14" s="1"/>
  <c r="B6" i="14"/>
  <c r="F5" i="14"/>
  <c r="D5" i="14"/>
  <c r="B1" i="14"/>
  <c r="E15" i="14" s="1"/>
  <c r="Q8" i="2"/>
  <c r="M14" i="14" l="1"/>
  <c r="M5" i="14"/>
  <c r="M19" i="14"/>
  <c r="M23" i="14"/>
  <c r="D9" i="14"/>
  <c r="E13" i="14"/>
  <c r="E17" i="14"/>
  <c r="D7" i="14"/>
  <c r="E16" i="14"/>
  <c r="F16" i="2" l="1"/>
  <c r="F12" i="2"/>
  <c r="M9" i="2"/>
  <c r="E19" i="12"/>
  <c r="E20" i="12" s="1"/>
  <c r="E21" i="12" s="1"/>
  <c r="E17" i="12"/>
  <c r="E15" i="12"/>
  <c r="E6" i="12"/>
  <c r="E10" i="12"/>
  <c r="E11" i="12" s="1"/>
  <c r="E12" i="12" s="1"/>
  <c r="E8" i="12"/>
  <c r="E4" i="12"/>
  <c r="F7" i="2"/>
  <c r="F6" i="2"/>
  <c r="F5" i="2"/>
  <c r="Q12" i="2"/>
  <c r="P10" i="2"/>
  <c r="P9" i="2"/>
  <c r="P6" i="2"/>
  <c r="F9" i="2"/>
  <c r="F2" i="2" l="1"/>
  <c r="P3" i="10"/>
  <c r="K7" i="10" s="1"/>
  <c r="L7" i="10" s="1"/>
  <c r="I8" i="10"/>
  <c r="M3" i="10"/>
  <c r="J7" i="10" s="1"/>
  <c r="X23" i="12"/>
  <c r="Q40" i="12" s="1"/>
  <c r="X21" i="12"/>
  <c r="P40" i="12"/>
  <c r="P38" i="12"/>
  <c r="P37" i="12"/>
  <c r="Q37" i="12" s="1"/>
  <c r="P35" i="12"/>
  <c r="P33" i="12"/>
  <c r="P31" i="12"/>
  <c r="O42" i="12"/>
  <c r="P42" i="12" s="1"/>
  <c r="Q42" i="12" s="1"/>
  <c r="P41" i="12"/>
  <c r="Q41" i="12" s="1"/>
  <c r="P39" i="12"/>
  <c r="P36" i="12"/>
  <c r="P34" i="12"/>
  <c r="Q34" i="12" s="1"/>
  <c r="P32" i="12"/>
  <c r="Q32" i="12" s="1"/>
  <c r="U21" i="12"/>
  <c r="U22" i="12"/>
  <c r="U23" i="12"/>
  <c r="T24" i="12"/>
  <c r="U24" i="12" s="1"/>
  <c r="U20" i="12"/>
  <c r="O13" i="12"/>
  <c r="P13" i="12" s="1"/>
  <c r="O14" i="12"/>
  <c r="P14" i="12" s="1"/>
  <c r="O15" i="12"/>
  <c r="P15" i="12" s="1"/>
  <c r="O16" i="12"/>
  <c r="P16" i="12" s="1"/>
  <c r="O12" i="12"/>
  <c r="P12" i="12" s="1"/>
  <c r="O9" i="12"/>
  <c r="P9" i="12" s="1"/>
  <c r="P4" i="12"/>
  <c r="P5" i="12"/>
  <c r="P6" i="12"/>
  <c r="P7" i="12"/>
  <c r="P8" i="12"/>
  <c r="P3" i="12"/>
  <c r="Q38" i="12" l="1"/>
  <c r="Q39" i="12"/>
  <c r="U32" i="12"/>
  <c r="R31" i="12"/>
  <c r="Q33" i="12"/>
  <c r="Q35" i="12"/>
  <c r="U36" i="12"/>
  <c r="R32" i="12"/>
  <c r="R39" i="12"/>
  <c r="S40" i="12"/>
  <c r="R38" i="12"/>
  <c r="T40" i="12"/>
  <c r="R37" i="12"/>
  <c r="T39" i="12"/>
  <c r="U34" i="12"/>
  <c r="T38" i="12"/>
  <c r="R35" i="12"/>
  <c r="U40" i="12"/>
  <c r="R42" i="12"/>
  <c r="R34" i="12"/>
  <c r="S39" i="12"/>
  <c r="T36" i="12"/>
  <c r="U39" i="12"/>
  <c r="Q36" i="12"/>
  <c r="T37" i="12"/>
  <c r="T31" i="12"/>
  <c r="R41" i="12"/>
  <c r="R33" i="12"/>
  <c r="S38" i="12"/>
  <c r="U31" i="12"/>
  <c r="T35" i="12"/>
  <c r="U38" i="12"/>
  <c r="Q31" i="12"/>
  <c r="I9" i="10"/>
  <c r="S31" i="12"/>
  <c r="T32" i="12"/>
  <c r="S34" i="12"/>
  <c r="R36" i="12"/>
  <c r="S33" i="12"/>
  <c r="U41" i="12"/>
  <c r="J8" i="10"/>
  <c r="S32" i="12"/>
  <c r="R40" i="12"/>
  <c r="S37" i="12"/>
  <c r="T42" i="12"/>
  <c r="T34" i="12"/>
  <c r="U37" i="12"/>
  <c r="S36" i="12"/>
  <c r="T41" i="12"/>
  <c r="T33" i="12"/>
  <c r="K8" i="10"/>
  <c r="L8" i="10" s="1"/>
  <c r="S35" i="12"/>
  <c r="U35" i="12"/>
  <c r="S42" i="12"/>
  <c r="U42" i="12"/>
  <c r="S41" i="12"/>
  <c r="U33" i="12"/>
  <c r="F18" i="13"/>
  <c r="F19" i="13"/>
  <c r="F20" i="13"/>
  <c r="F21" i="13"/>
  <c r="F22" i="13"/>
  <c r="F14" i="13"/>
  <c r="F15" i="13"/>
  <c r="F16" i="13"/>
  <c r="F17" i="13"/>
  <c r="F13" i="13"/>
  <c r="F8" i="13"/>
  <c r="F9" i="13"/>
  <c r="F10" i="13"/>
  <c r="F11" i="13"/>
  <c r="F12" i="13"/>
  <c r="F3" i="13"/>
  <c r="F4" i="13"/>
  <c r="F5" i="13"/>
  <c r="F6" i="13"/>
  <c r="F7" i="13"/>
  <c r="F23" i="13"/>
  <c r="F24" i="13"/>
  <c r="F25" i="13"/>
  <c r="F26" i="13"/>
  <c r="F27" i="13"/>
  <c r="F28" i="13"/>
  <c r="F29" i="13"/>
  <c r="F30" i="13"/>
  <c r="F31" i="13"/>
  <c r="F32" i="13"/>
  <c r="J9" i="10" l="1"/>
  <c r="K9" i="10"/>
  <c r="L9" i="10" s="1"/>
  <c r="I10" i="10"/>
  <c r="D35" i="11"/>
  <c r="D30" i="11"/>
  <c r="Q25" i="11"/>
  <c r="Q26" i="11" s="1"/>
  <c r="P25" i="11"/>
  <c r="P26" i="11" s="1"/>
  <c r="O25" i="11"/>
  <c r="O26" i="11" s="1"/>
  <c r="N25" i="11"/>
  <c r="N26" i="11" s="1"/>
  <c r="Q24" i="11"/>
  <c r="Q28" i="11" s="1"/>
  <c r="P24" i="11"/>
  <c r="P28" i="11" s="1"/>
  <c r="O24" i="11"/>
  <c r="O28" i="11" s="1"/>
  <c r="N24" i="11"/>
  <c r="N20" i="11" s="1"/>
  <c r="E24" i="11"/>
  <c r="H18" i="11"/>
  <c r="G18" i="11"/>
  <c r="F18" i="11"/>
  <c r="E18" i="11"/>
  <c r="Q15" i="11"/>
  <c r="P15" i="11"/>
  <c r="O15" i="11"/>
  <c r="N14" i="11"/>
  <c r="N12" i="11"/>
  <c r="N16" i="11" s="1"/>
  <c r="E10" i="11"/>
  <c r="Q7" i="11"/>
  <c r="P7" i="11"/>
  <c r="O7" i="11"/>
  <c r="M4" i="11"/>
  <c r="L4" i="11"/>
  <c r="H4" i="11"/>
  <c r="G4" i="11"/>
  <c r="F4" i="11"/>
  <c r="E4" i="11"/>
  <c r="L2" i="11"/>
  <c r="O1" i="11"/>
  <c r="O2" i="11" s="1"/>
  <c r="B4" i="10"/>
  <c r="O15" i="9"/>
  <c r="S12" i="9"/>
  <c r="E8" i="9"/>
  <c r="F8" i="9" s="1"/>
  <c r="B8" i="9"/>
  <c r="K7" i="9"/>
  <c r="L7" i="9" s="1"/>
  <c r="B7" i="9"/>
  <c r="T6" i="9"/>
  <c r="L6" i="9"/>
  <c r="AE5" i="9"/>
  <c r="AF5" i="9" s="1"/>
  <c r="AB5" i="9"/>
  <c r="X5" i="9"/>
  <c r="T5" i="9"/>
  <c r="L5" i="9"/>
  <c r="F5" i="9"/>
  <c r="F6" i="9" s="1"/>
  <c r="E5" i="9"/>
  <c r="E6" i="9" s="1"/>
  <c r="AF4" i="9"/>
  <c r="AA4" i="9"/>
  <c r="O18" i="9" s="1"/>
  <c r="X4" i="9"/>
  <c r="S4" i="9"/>
  <c r="T4" i="9" s="1"/>
  <c r="P4" i="9"/>
  <c r="P15" i="9" s="1"/>
  <c r="K4" i="9"/>
  <c r="K15" i="9" s="1"/>
  <c r="AE3" i="9"/>
  <c r="AF3" i="9" s="1"/>
  <c r="AB3" i="9"/>
  <c r="X3" i="9"/>
  <c r="T3" i="9"/>
  <c r="P3" i="9"/>
  <c r="L3" i="9"/>
  <c r="O16" i="11" l="1"/>
  <c r="O17" i="11" s="1"/>
  <c r="O8" i="11"/>
  <c r="O29" i="11"/>
  <c r="P8" i="11"/>
  <c r="P29" i="11"/>
  <c r="J10" i="10"/>
  <c r="K10" i="10"/>
  <c r="L10" i="10" s="1"/>
  <c r="I11" i="10"/>
  <c r="Q8" i="11"/>
  <c r="Q29" i="11"/>
  <c r="N8" i="11"/>
  <c r="T12" i="9"/>
  <c r="E9" i="9"/>
  <c r="N17" i="11"/>
  <c r="P16" i="11"/>
  <c r="P17" i="11" s="1"/>
  <c r="Q16" i="11"/>
  <c r="Q17" i="11" s="1"/>
  <c r="B9" i="9"/>
  <c r="O20" i="11"/>
  <c r="O21" i="11" s="1"/>
  <c r="O22" i="11" s="1"/>
  <c r="P20" i="11"/>
  <c r="Q20" i="11"/>
  <c r="Q21" i="11" s="1"/>
  <c r="Q22" i="11" s="1"/>
  <c r="F7" i="9"/>
  <c r="N9" i="11"/>
  <c r="N10" i="11" s="1"/>
  <c r="Q9" i="11"/>
  <c r="Q10" i="11" s="1"/>
  <c r="N21" i="11"/>
  <c r="N22" i="11" s="1"/>
  <c r="P21" i="11"/>
  <c r="P22" i="11" s="1"/>
  <c r="O9" i="11"/>
  <c r="O10" i="11" s="1"/>
  <c r="N28" i="11"/>
  <c r="N29" i="11" s="1"/>
  <c r="P9" i="11"/>
  <c r="P10" i="11" s="1"/>
  <c r="F9" i="9"/>
  <c r="AB4" i="9"/>
  <c r="P18" i="9" s="1"/>
  <c r="K12" i="9"/>
  <c r="L4" i="9"/>
  <c r="O12" i="9"/>
  <c r="I12" i="10" l="1"/>
  <c r="J11" i="10"/>
  <c r="K11" i="10"/>
  <c r="L11" i="10" s="1"/>
  <c r="L15" i="9"/>
  <c r="L12" i="9"/>
  <c r="P12" i="9"/>
  <c r="I13" i="10" l="1"/>
  <c r="K12" i="10"/>
  <c r="L12" i="10"/>
  <c r="J12" i="10"/>
  <c r="O11" i="3"/>
  <c r="O13" i="3" s="1"/>
  <c r="L15" i="3"/>
  <c r="K21" i="3"/>
  <c r="K22" i="3"/>
  <c r="K23" i="3"/>
  <c r="K24" i="3"/>
  <c r="K25" i="3"/>
  <c r="K26" i="3"/>
  <c r="K13" i="3"/>
  <c r="K14" i="3"/>
  <c r="K15" i="3"/>
  <c r="K16" i="3"/>
  <c r="K17" i="3"/>
  <c r="K18" i="3"/>
  <c r="K19" i="3"/>
  <c r="K20" i="3"/>
  <c r="I14" i="10" l="1"/>
  <c r="K13" i="10"/>
  <c r="L13" i="10"/>
  <c r="J13" i="10"/>
  <c r="J3" i="2"/>
  <c r="A21" i="7"/>
  <c r="A22" i="7" s="1"/>
  <c r="A23" i="7" s="1"/>
  <c r="A24" i="7" s="1"/>
  <c r="A25" i="7" s="1"/>
  <c r="A26" i="7" s="1"/>
  <c r="A28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C3" i="2"/>
  <c r="I15" i="10" l="1"/>
  <c r="K14" i="10"/>
  <c r="L14" i="10"/>
  <c r="J14" i="10"/>
  <c r="A29" i="7"/>
  <c r="A30" i="7" s="1"/>
  <c r="A31" i="7" s="1"/>
  <c r="A32" i="7" s="1"/>
  <c r="A33" i="7" s="1"/>
  <c r="A34" i="7" s="1"/>
  <c r="A35" i="7" s="1"/>
  <c r="B3" i="2"/>
  <c r="C2" i="2"/>
  <c r="D12" i="4"/>
  <c r="E12" i="4"/>
  <c r="F12" i="4"/>
  <c r="G12" i="4"/>
  <c r="H12" i="4"/>
  <c r="I12" i="4"/>
  <c r="C12" i="4"/>
  <c r="B12" i="4"/>
  <c r="F11" i="2"/>
  <c r="Q2" i="2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I16" i="10" l="1"/>
  <c r="K15" i="10"/>
  <c r="L15" i="10"/>
  <c r="J15" i="10"/>
  <c r="Q4" i="2"/>
  <c r="Q5" i="2"/>
  <c r="P8" i="2" s="1"/>
  <c r="Q6" i="2"/>
  <c r="Q9" i="2"/>
  <c r="Q11" i="2" s="1"/>
  <c r="Q13" i="2" s="1"/>
  <c r="P7" i="2"/>
  <c r="Q7" i="2" s="1"/>
  <c r="K4" i="3"/>
  <c r="K5" i="3"/>
  <c r="K6" i="3"/>
  <c r="K7" i="3"/>
  <c r="K8" i="3"/>
  <c r="K9" i="3"/>
  <c r="K10" i="3"/>
  <c r="K11" i="3"/>
  <c r="K12" i="3"/>
  <c r="B5" i="3"/>
  <c r="B6" i="3" s="1"/>
  <c r="J3" i="3"/>
  <c r="K3" i="3" s="1"/>
  <c r="I17" i="10" l="1"/>
  <c r="K16" i="10"/>
  <c r="L16" i="10" s="1"/>
  <c r="J16" i="10"/>
  <c r="I13" i="2"/>
  <c r="P11" i="2"/>
  <c r="Q3" i="2"/>
  <c r="P12" i="2" s="1"/>
  <c r="Q10" i="2"/>
  <c r="J6" i="2"/>
  <c r="J17" i="10" l="1"/>
  <c r="K17" i="10"/>
  <c r="I18" i="10"/>
  <c r="L17" i="10"/>
  <c r="M10" i="2"/>
  <c r="M11" i="2" s="1"/>
  <c r="M12" i="2" s="1"/>
  <c r="M13" i="2" s="1"/>
  <c r="M14" i="2" s="1"/>
  <c r="F10" i="2" s="1"/>
  <c r="J7" i="2"/>
  <c r="J9" i="2"/>
  <c r="J8" i="2"/>
  <c r="F13" i="2" l="1"/>
  <c r="J18" i="10"/>
  <c r="K18" i="10"/>
  <c r="L18" i="10"/>
  <c r="P13" i="2"/>
  <c r="B2" i="2"/>
  <c r="F14" i="2" l="1"/>
  <c r="F20" i="2"/>
  <c r="B4" i="2"/>
  <c r="F15" i="2" s="1"/>
  <c r="M19" i="2"/>
  <c r="F19" i="2" l="1"/>
  <c r="N19" i="2"/>
  <c r="O19" i="2"/>
  <c r="F17" i="2" l="1"/>
  <c r="I14" i="2"/>
  <c r="M25" i="2" l="1"/>
  <c r="N25" i="2" s="1"/>
  <c r="M23" i="2"/>
  <c r="O23" i="2" s="1"/>
  <c r="I16" i="2"/>
  <c r="M28" i="2"/>
  <c r="N28" i="2" s="1"/>
  <c r="M29" i="2"/>
  <c r="O29" i="2" s="1"/>
  <c r="M24" i="2"/>
  <c r="O24" i="2" s="1"/>
  <c r="M20" i="2"/>
  <c r="O20" i="2" s="1"/>
  <c r="M27" i="2"/>
  <c r="O27" i="2" s="1"/>
  <c r="M22" i="2"/>
  <c r="N22" i="2" s="1"/>
  <c r="M21" i="2"/>
  <c r="N21" i="2" s="1"/>
  <c r="M26" i="2"/>
  <c r="N26" i="2" s="1"/>
  <c r="N24" i="2" l="1"/>
  <c r="O25" i="2"/>
  <c r="N29" i="2"/>
  <c r="O22" i="2"/>
  <c r="N23" i="2"/>
  <c r="N20" i="2"/>
  <c r="O28" i="2"/>
  <c r="O21" i="2"/>
  <c r="N27" i="2"/>
  <c r="O26" i="2"/>
  <c r="F18" i="2"/>
  <c r="I17" i="2" l="1"/>
  <c r="F21" i="2"/>
  <c r="F23" i="2" s="1"/>
  <c r="F22" i="2" l="1"/>
</calcChain>
</file>

<file path=xl/sharedStrings.xml><?xml version="1.0" encoding="utf-8"?>
<sst xmlns="http://schemas.openxmlformats.org/spreadsheetml/2006/main" count="751" uniqueCount="339">
  <si>
    <t>N</t>
  </si>
  <si>
    <t>AlSi7Mg</t>
  </si>
  <si>
    <t>P (kW)</t>
  </si>
  <si>
    <t>e (%)</t>
  </si>
  <si>
    <r>
      <t>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</si>
  <si>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q (W)</t>
  </si>
  <si>
    <r>
      <t>q''(W/m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</si>
  <si>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Air</t>
  </si>
  <si>
    <t>T (k)</t>
  </si>
  <si>
    <t>Pr</t>
  </si>
  <si>
    <t>rho (kg/m^3)</t>
  </si>
  <si>
    <t>k (W/m*k)</t>
  </si>
  <si>
    <t>mu (N*s/m^2)</t>
  </si>
  <si>
    <t>Re</t>
  </si>
  <si>
    <t>V (m/s)</t>
  </si>
  <si>
    <t>c_p (KJ/kg*k)</t>
  </si>
  <si>
    <t>nu (m^2/s)</t>
  </si>
  <si>
    <t>alpha (m^2/s)</t>
  </si>
  <si>
    <t>L</t>
  </si>
  <si>
    <t>Nu</t>
  </si>
  <si>
    <t>q/N (W)</t>
  </si>
  <si>
    <r>
      <t>A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</si>
  <si>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q''(W/mm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</si>
  <si>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 (W/m^2*k)</t>
  </si>
  <si>
    <t>t</t>
  </si>
  <si>
    <t>f</t>
  </si>
  <si>
    <t>m</t>
  </si>
  <si>
    <t>w</t>
  </si>
  <si>
    <t>s</t>
  </si>
  <si>
    <t>Ac</t>
  </si>
  <si>
    <t>As</t>
  </si>
  <si>
    <t>P</t>
  </si>
  <si>
    <t>M</t>
  </si>
  <si>
    <t>mm</t>
  </si>
  <si>
    <t>Turbulent</t>
  </si>
  <si>
    <t>eta</t>
  </si>
  <si>
    <t>eta/DH</t>
  </si>
  <si>
    <t>Guess</t>
  </si>
  <si>
    <t>Guess #</t>
  </si>
  <si>
    <t>Temperature</t>
  </si>
  <si>
    <r>
      <t>(</t>
    </r>
    <r>
      <rPr>
        <b/>
        <i/>
        <sz val="8.8000000000000007"/>
        <color rgb="FF000000"/>
        <rFont val="Arial"/>
        <family val="2"/>
      </rPr>
      <t>K</t>
    </r>
    <r>
      <rPr>
        <b/>
        <sz val="8.8000000000000007"/>
        <color rgb="FF000000"/>
        <rFont val="Arial"/>
        <family val="2"/>
      </rPr>
      <t>)</t>
    </r>
  </si>
  <si>
    <t>Specific Heat</t>
  </si>
  <si>
    <t>Ratio of Specific Heats</t>
  </si>
  <si>
    <r>
      <t>- </t>
    </r>
    <r>
      <rPr>
        <b/>
        <i/>
        <sz val="8.8000000000000007"/>
        <color rgb="FF000000"/>
        <rFont val="Arial"/>
        <family val="2"/>
      </rPr>
      <t>k</t>
    </r>
    <r>
      <rPr>
        <b/>
        <sz val="8.8000000000000007"/>
        <color rgb="FF000000"/>
        <rFont val="Arial"/>
        <family val="2"/>
      </rPr>
      <t> -</t>
    </r>
  </si>
  <si>
    <r>
      <t>(</t>
    </r>
    <r>
      <rPr>
        <b/>
        <i/>
        <sz val="8.8000000000000007"/>
        <color rgb="FF000000"/>
        <rFont val="Arial"/>
        <family val="2"/>
      </rPr>
      <t>c</t>
    </r>
    <r>
      <rPr>
        <b/>
        <i/>
        <vertAlign val="subscript"/>
        <sz val="8.8000000000000007"/>
        <color rgb="FF000000"/>
        <rFont val="Arial"/>
        <family val="2"/>
      </rPr>
      <t>p</t>
    </r>
    <r>
      <rPr>
        <b/>
        <i/>
        <sz val="8.8000000000000007"/>
        <color rgb="FF000000"/>
        <rFont val="Arial"/>
        <family val="2"/>
      </rPr>
      <t>/c</t>
    </r>
    <r>
      <rPr>
        <b/>
        <i/>
        <vertAlign val="subscript"/>
        <sz val="8.8000000000000007"/>
        <color rgb="FF000000"/>
        <rFont val="Arial"/>
        <family val="2"/>
      </rPr>
      <t>v</t>
    </r>
    <r>
      <rPr>
        <b/>
        <i/>
        <sz val="8.8000000000000007"/>
        <color rgb="FF000000"/>
        <rFont val="Arial"/>
        <family val="2"/>
      </rPr>
      <t>)</t>
    </r>
  </si>
  <si>
    <t>Dynamic Viscosity</t>
  </si>
  <si>
    <r>
      <t>- </t>
    </r>
    <r>
      <rPr>
        <b/>
        <i/>
        <sz val="8.8000000000000007"/>
        <color rgb="FF000000"/>
        <rFont val="Arial"/>
        <family val="2"/>
      </rPr>
      <t>μ</t>
    </r>
    <r>
      <rPr>
        <b/>
        <sz val="8.8000000000000007"/>
        <color rgb="FF000000"/>
        <rFont val="Arial"/>
        <family val="2"/>
      </rPr>
      <t> -</t>
    </r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</si>
  <si>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-5</t>
    </r>
    <r>
      <rPr>
        <b/>
        <i/>
        <sz val="8.8000000000000007"/>
        <color rgb="FF000000"/>
        <rFont val="Arial"/>
        <family val="2"/>
      </rPr>
      <t> kg/m s)</t>
    </r>
  </si>
  <si>
    <t>Thermal Conductivity</t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</si>
  <si>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-5</t>
    </r>
    <r>
      <rPr>
        <b/>
        <i/>
        <sz val="8.8000000000000007"/>
        <color rgb="FF000000"/>
        <rFont val="Arial"/>
        <family val="2"/>
      </rPr>
      <t> kW/m K)</t>
    </r>
  </si>
  <si>
    <t>Prandtl Number</t>
  </si>
  <si>
    <t>Kinematic Viscosity1)</t>
  </si>
  <si>
    <r>
      <t>- </t>
    </r>
    <r>
      <rPr>
        <b/>
        <i/>
        <sz val="8.8000000000000007"/>
        <color rgb="FF000000"/>
        <rFont val="Arial"/>
        <family val="2"/>
      </rPr>
      <t>ν</t>
    </r>
    <r>
      <rPr>
        <b/>
        <sz val="8.8000000000000007"/>
        <color rgb="FF000000"/>
        <rFont val="Arial"/>
        <family val="2"/>
      </rPr>
      <t> -</t>
    </r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</si>
  <si>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-5 </t>
    </r>
    <r>
      <rPr>
        <b/>
        <i/>
        <sz val="8.8000000000000007"/>
        <color rgb="FF000000"/>
        <rFont val="Arial"/>
        <family val="2"/>
      </rPr>
      <t>m</t>
    </r>
    <r>
      <rPr>
        <b/>
        <i/>
        <vertAlign val="superscript"/>
        <sz val="8.8000000000000007"/>
        <color rgb="FF000000"/>
        <rFont val="Arial"/>
        <family val="2"/>
      </rPr>
      <t>2</t>
    </r>
    <r>
      <rPr>
        <b/>
        <i/>
        <sz val="8.8000000000000007"/>
        <color rgb="FF000000"/>
        <rFont val="Arial"/>
        <family val="2"/>
      </rPr>
      <t>/s)</t>
    </r>
  </si>
  <si>
    <t>Density1)</t>
  </si>
  <si>
    <r>
      <t>- </t>
    </r>
    <r>
      <rPr>
        <b/>
        <i/>
        <sz val="8.8000000000000007"/>
        <color rgb="FF000000"/>
        <rFont val="Arial"/>
        <family val="2"/>
      </rPr>
      <t>ρ</t>
    </r>
    <r>
      <rPr>
        <b/>
        <sz val="8.8000000000000007"/>
        <color rgb="FF000000"/>
        <rFont val="Arial"/>
        <family val="2"/>
      </rPr>
      <t> -</t>
    </r>
  </si>
  <si>
    <r>
      <t>(kg/m</t>
    </r>
    <r>
      <rPr>
        <b/>
        <i/>
        <vertAlign val="superscript"/>
        <sz val="8.8000000000000007"/>
        <color rgb="FF000000"/>
        <rFont val="Arial"/>
        <family val="2"/>
      </rPr>
      <t>3</t>
    </r>
    <r>
      <rPr>
        <b/>
        <i/>
        <sz val="8.8000000000000007"/>
        <color rgb="FF000000"/>
        <rFont val="Arial"/>
        <family val="2"/>
      </rPr>
      <t>)</t>
    </r>
  </si>
  <si>
    <t>Diffusivity</t>
  </si>
  <si>
    <t>- α - </t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</si>
  <si>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-6</t>
    </r>
    <r>
      <rPr>
        <b/>
        <i/>
        <sz val="8.8000000000000007"/>
        <color rgb="FF000000"/>
        <rFont val="Arial"/>
        <family val="2"/>
      </rPr>
      <t> m</t>
    </r>
    <r>
      <rPr>
        <b/>
        <i/>
        <vertAlign val="superscript"/>
        <sz val="8.8000000000000007"/>
        <color rgb="FF000000"/>
        <rFont val="Arial"/>
        <family val="2"/>
      </rPr>
      <t>2</t>
    </r>
    <r>
      <rPr>
        <b/>
        <i/>
        <sz val="8.8000000000000007"/>
        <color rgb="FF000000"/>
        <rFont val="Arial"/>
        <family val="2"/>
      </rPr>
      <t>/s)</t>
    </r>
  </si>
  <si>
    <r>
      <t>- </t>
    </r>
    <r>
      <rPr>
        <b/>
        <i/>
        <sz val="8.8000000000000007"/>
        <color rgb="FF000000"/>
        <rFont val="Arial"/>
        <family val="2"/>
      </rPr>
      <t>c</t>
    </r>
    <r>
      <rPr>
        <b/>
        <i/>
        <vertAlign val="subscript"/>
        <sz val="8.8000000000000007"/>
        <color rgb="FF000000"/>
        <rFont val="Arial"/>
        <family val="2"/>
      </rPr>
      <t>p</t>
    </r>
    <r>
      <rPr>
        <b/>
        <sz val="8.8000000000000007"/>
        <color rgb="FF000000"/>
        <rFont val="Arial"/>
        <family val="2"/>
      </rPr>
      <t> -</t>
    </r>
  </si>
  <si>
    <t>(kJ/kgK)</t>
  </si>
  <si>
    <r>
      <t>- </t>
    </r>
    <r>
      <rPr>
        <b/>
        <i/>
        <sz val="8.8000000000000007"/>
        <color rgb="FF000000"/>
        <rFont val="Arial"/>
        <family val="2"/>
      </rPr>
      <t>c</t>
    </r>
    <r>
      <rPr>
        <b/>
        <i/>
        <vertAlign val="subscript"/>
        <sz val="8.8000000000000007"/>
        <color rgb="FF000000"/>
        <rFont val="Arial"/>
        <family val="2"/>
      </rPr>
      <t>v</t>
    </r>
    <r>
      <rPr>
        <b/>
        <sz val="8.8000000000000007"/>
        <color rgb="FF000000"/>
        <rFont val="Arial"/>
        <family val="2"/>
      </rPr>
      <t> -</t>
    </r>
  </si>
  <si>
    <t>at 1 atm</t>
  </si>
  <si>
    <t>Tb (k)(c)</t>
  </si>
  <si>
    <t>Ta</t>
  </si>
  <si>
    <t>dTb</t>
  </si>
  <si>
    <t>qf (W)</t>
  </si>
  <si>
    <t>Temperature Distribution</t>
  </si>
  <si>
    <t>x (m)</t>
  </si>
  <si>
    <t>T (c)</t>
  </si>
  <si>
    <t>dt (k)</t>
  </si>
  <si>
    <t>eff</t>
  </si>
  <si>
    <t>mL</t>
  </si>
  <si>
    <t>need 2.65</t>
  </si>
  <si>
    <t>Rf (k/W)</t>
  </si>
  <si>
    <t>Rb (k/W)</t>
  </si>
  <si>
    <t>Fin Heat Rate</t>
  </si>
  <si>
    <t>Af</t>
  </si>
  <si>
    <t>epsilon (m)</t>
  </si>
  <si>
    <t>Effectiveness</t>
  </si>
  <si>
    <t>Efficiency</t>
  </si>
  <si>
    <t>Lc</t>
  </si>
  <si>
    <t>qf appx</t>
  </si>
  <si>
    <t xml:space="preserve">x </t>
  </si>
  <si>
    <t xml:space="preserve">J0(x) </t>
  </si>
  <si>
    <t>J1(x)</t>
  </si>
  <si>
    <t>Bessel Functions of the First Kind</t>
  </si>
  <si>
    <t>_x0002_e^-xI0(x)</t>
  </si>
  <si>
    <t>e^-xI1(x)</t>
  </si>
  <si>
    <t>e^xK0(x)</t>
  </si>
  <si>
    <t>e^xK1(x)</t>
  </si>
  <si>
    <t>inf</t>
  </si>
  <si>
    <t>Modified Bessel Functions of the First and Second Kind</t>
  </si>
  <si>
    <t>Rf appx</t>
  </si>
  <si>
    <t>Ab</t>
  </si>
  <si>
    <t>Dh</t>
  </si>
  <si>
    <t>AT</t>
  </si>
  <si>
    <t>Total Heat Rate</t>
  </si>
  <si>
    <t>qt</t>
  </si>
  <si>
    <t>qt (W)</t>
  </si>
  <si>
    <t>Overall Eta</t>
  </si>
  <si>
    <t>EtaO</t>
  </si>
  <si>
    <t>Fin Resistance</t>
  </si>
  <si>
    <t>Base Resistance</t>
  </si>
  <si>
    <t>Overall Res</t>
  </si>
  <si>
    <t>Ro (k/W)</t>
  </si>
  <si>
    <t>Conv HX Coeff</t>
  </si>
  <si>
    <t>Nusselt</t>
  </si>
  <si>
    <t>Reynolds</t>
  </si>
  <si>
    <t>Surface Rough.</t>
  </si>
  <si>
    <t>Darcy F.F.</t>
  </si>
  <si>
    <t>Current Geometry</t>
  </si>
  <si>
    <t>h (W/m^2k)</t>
  </si>
  <si>
    <t>ε</t>
  </si>
  <si>
    <t>ηf</t>
  </si>
  <si>
    <t>ηt</t>
  </si>
  <si>
    <t>120 C Surface, 38 C Dry Air</t>
  </si>
  <si>
    <t>As a function of V</t>
  </si>
  <si>
    <t>Valid only for Re &gt; 3000</t>
  </si>
  <si>
    <t>Standard Geometry</t>
  </si>
  <si>
    <t>L (mm)</t>
  </si>
  <si>
    <t>Standard Air Speed</t>
  </si>
  <si>
    <t>As a function of L</t>
  </si>
  <si>
    <t>120 C Surface, 38 C Dry Air, 50 m/s</t>
  </si>
  <si>
    <t>x</t>
  </si>
  <si>
    <t>Fins Ra Whole, h</t>
  </si>
  <si>
    <t>Max</t>
  </si>
  <si>
    <t>Whole</t>
  </si>
  <si>
    <t>Fins Ra Combined Inverted Reversed, h</t>
  </si>
  <si>
    <t>-</t>
  </si>
  <si>
    <t>Fins Ra Combined Inverted , h</t>
  </si>
  <si>
    <t>Fins Ra Combined Inverted, h</t>
  </si>
  <si>
    <t>+</t>
  </si>
  <si>
    <t>Fins Ra Combined Reversed, h</t>
  </si>
  <si>
    <t>Fins Ra Combined, h</t>
  </si>
  <si>
    <t>Combined</t>
  </si>
  <si>
    <t>Fins Ra Height Inverted, h</t>
  </si>
  <si>
    <t>Fins Ra Height, h</t>
  </si>
  <si>
    <t>Height</t>
  </si>
  <si>
    <t>Fins Ra Length Reversed, h</t>
  </si>
  <si>
    <t>Fins Ra Length, h</t>
  </si>
  <si>
    <t>Length</t>
  </si>
  <si>
    <t>Size</t>
  </si>
  <si>
    <t>Fins Ra Whole</t>
  </si>
  <si>
    <t>Fins Ra Combined Inverted Reversed</t>
  </si>
  <si>
    <t xml:space="preserve">Fins Ra Combined Inverted </t>
  </si>
  <si>
    <t>Fins Ra Combined Inverted</t>
  </si>
  <si>
    <t>Fins Ra Combined Reversed</t>
  </si>
  <si>
    <t>Fins Ra Combined</t>
  </si>
  <si>
    <t>Fins Ra Height Inverted</t>
  </si>
  <si>
    <t>Fins Ra Height</t>
  </si>
  <si>
    <t>Fins Ra Length Reversed</t>
  </si>
  <si>
    <t>Fins Ra Length</t>
  </si>
  <si>
    <t>Spacing</t>
  </si>
  <si>
    <t>Fins</t>
  </si>
  <si>
    <t>Min</t>
  </si>
  <si>
    <t>Bare</t>
  </si>
  <si>
    <t>Reference</t>
  </si>
  <si>
    <t>z</t>
  </si>
  <si>
    <t>Simulated</t>
  </si>
  <si>
    <t>Created</t>
  </si>
  <si>
    <t>.sldprt used</t>
  </si>
  <si>
    <t>.SAT Name</t>
  </si>
  <si>
    <t>Direction</t>
  </si>
  <si>
    <t>Simulation Matrix</t>
  </si>
  <si>
    <t>WT</t>
  </si>
  <si>
    <t>TS</t>
  </si>
  <si>
    <t>Heaters</t>
  </si>
  <si>
    <t>in</t>
  </si>
  <si>
    <t>Copper</t>
  </si>
  <si>
    <t>PTFE</t>
  </si>
  <si>
    <t>Heat Sink</t>
  </si>
  <si>
    <t>TC</t>
  </si>
  <si>
    <t>sTC</t>
  </si>
  <si>
    <t>rho</t>
  </si>
  <si>
    <t>h</t>
  </si>
  <si>
    <t>D</t>
  </si>
  <si>
    <t>H</t>
  </si>
  <si>
    <t>W</t>
  </si>
  <si>
    <t>v</t>
  </si>
  <si>
    <t>R</t>
  </si>
  <si>
    <t>a</t>
  </si>
  <si>
    <t>A</t>
  </si>
  <si>
    <t>Diag</t>
  </si>
  <si>
    <r>
      <t>D</t>
    </r>
    <r>
      <rPr>
        <vertAlign val="subscript"/>
        <sz val="11"/>
        <color theme="1"/>
        <rFont val="Calibri"/>
        <family val="2"/>
        <scheme val="minor"/>
      </rPr>
      <t>lead</t>
    </r>
  </si>
  <si>
    <t>T</t>
  </si>
  <si>
    <t>V</t>
  </si>
  <si>
    <r>
      <t>R</t>
    </r>
    <r>
      <rPr>
        <vertAlign val="subscript"/>
        <sz val="11"/>
        <color theme="1"/>
        <rFont val="Calibri"/>
        <family val="2"/>
        <scheme val="minor"/>
      </rPr>
      <t>lead</t>
    </r>
  </si>
  <si>
    <t>mu</t>
  </si>
  <si>
    <t>Q</t>
  </si>
  <si>
    <t>Re_d</t>
  </si>
  <si>
    <t>Heaters x Copper</t>
  </si>
  <si>
    <t>Copper x PTFE</t>
  </si>
  <si>
    <t>PTFE x Heat Sink</t>
  </si>
  <si>
    <r>
      <t>A</t>
    </r>
    <r>
      <rPr>
        <vertAlign val="subscript"/>
        <sz val="11"/>
        <color theme="1"/>
        <rFont val="Calibri"/>
        <family val="2"/>
        <scheme val="minor"/>
      </rPr>
      <t>contact</t>
    </r>
  </si>
  <si>
    <t>Heaters x PTFE</t>
  </si>
  <si>
    <t>Copper x Heat Sink</t>
  </si>
  <si>
    <t>PTFE x TC</t>
  </si>
  <si>
    <t>Copper x TC</t>
  </si>
  <si>
    <t>PTFE x sTC</t>
  </si>
  <si>
    <t>PTFE x Air</t>
  </si>
  <si>
    <t>Copper (@ 300k)</t>
  </si>
  <si>
    <t>AlSiMg</t>
  </si>
  <si>
    <t>TIM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</si>
  <si>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air </t>
    </r>
    <r>
      <rPr>
        <sz val="11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</si>
  <si>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cart </t>
    </r>
    <r>
      <rPr>
        <sz val="11"/>
        <color theme="1"/>
        <rFont val="Calibri"/>
        <family val="2"/>
        <scheme val="minor"/>
      </rPr>
      <t>(W)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</si>
  <si>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(J/kg*k)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</si>
  <si>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tot </t>
    </r>
    <r>
      <rPr>
        <sz val="11"/>
        <color theme="1"/>
        <rFont val="Calibri"/>
        <family val="2"/>
        <scheme val="minor"/>
      </rPr>
      <t>(W)</t>
    </r>
  </si>
  <si>
    <t>Zones</t>
  </si>
  <si>
    <t>A_T</t>
  </si>
  <si>
    <t>B</t>
  </si>
  <si>
    <t>C</t>
  </si>
  <si>
    <t>E</t>
  </si>
  <si>
    <t>A_b</t>
  </si>
  <si>
    <t>A_s</t>
  </si>
  <si>
    <t>Equivalent Ra in each zone (Gradient)</t>
  </si>
  <si>
    <t>Varied Size</t>
  </si>
  <si>
    <t>Sidelength (in)</t>
  </si>
  <si>
    <t>Height (in)</t>
  </si>
  <si>
    <t>Ra_l</t>
  </si>
  <si>
    <t>Spacing (in)</t>
  </si>
  <si>
    <t>MxN Pyramids</t>
  </si>
  <si>
    <t>4 x 10</t>
  </si>
  <si>
    <t>Section WxH (in)</t>
  </si>
  <si>
    <t>0.4 x 1</t>
  </si>
  <si>
    <t xml:space="preserve"> Varied Spacing</t>
  </si>
  <si>
    <r>
      <t>Ra (</t>
    </r>
    <r>
      <rPr>
        <sz val="11"/>
        <color theme="1"/>
        <rFont val="Calibri"/>
        <family val="2"/>
      </rPr>
      <t>μm)</t>
    </r>
  </si>
  <si>
    <r>
      <t>A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</si>
  <si>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Varied Spacing</t>
  </si>
  <si>
    <r>
      <t>h</t>
    </r>
    <r>
      <rPr>
        <vertAlign val="subscript"/>
        <sz val="11"/>
        <color theme="1"/>
        <rFont val="Calibri"/>
        <family val="2"/>
        <scheme val="minor"/>
      </rPr>
      <t>bar</t>
    </r>
    <r>
      <rPr>
        <sz val="11"/>
        <color theme="1"/>
        <rFont val="Calibri"/>
        <family val="2"/>
        <scheme val="minor"/>
      </rPr>
      <t xml:space="preserve"> (in)</t>
    </r>
  </si>
  <si>
    <t>Ra (in)</t>
  </si>
  <si>
    <t>s (in)</t>
  </si>
  <si>
    <t>6 x 15</t>
  </si>
  <si>
    <t>8 x 20</t>
  </si>
  <si>
    <t>14 x 35</t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</si>
  <si>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</si>
  <si>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 (in)</t>
  </si>
  <si>
    <r>
      <t>Ra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(in)</t>
    </r>
  </si>
  <si>
    <t>Varied Height</t>
  </si>
  <si>
    <t>2 x 20</t>
  </si>
  <si>
    <t>0.2 x 2</t>
  </si>
  <si>
    <t>3 x 30</t>
  </si>
  <si>
    <t>4 x 40</t>
  </si>
  <si>
    <t>7 x 70</t>
  </si>
  <si>
    <t>Equivalent Ra in each zone (Constant @ Max Ra)</t>
  </si>
  <si>
    <t>Constant Size</t>
  </si>
  <si>
    <t>Gwyddion</t>
  </si>
  <si>
    <t>x4 (um)</t>
  </si>
  <si>
    <t>x8</t>
  </si>
  <si>
    <t>x12</t>
  </si>
  <si>
    <t>x16</t>
  </si>
  <si>
    <t>70 x 35</t>
  </si>
  <si>
    <t>hbar</t>
  </si>
  <si>
    <t>2 x 1</t>
  </si>
  <si>
    <t>Ra</t>
  </si>
  <si>
    <t>Constant Spacing</t>
  </si>
  <si>
    <t>Rms</t>
  </si>
  <si>
    <t>Sk</t>
  </si>
  <si>
    <t>Ku</t>
  </si>
  <si>
    <t>20 x 10</t>
  </si>
  <si>
    <t>b025</t>
  </si>
  <si>
    <t>b039</t>
  </si>
  <si>
    <t>b052</t>
  </si>
  <si>
    <t>b063</t>
  </si>
  <si>
    <t>Test Name</t>
  </si>
  <si>
    <t>Part Used</t>
  </si>
  <si>
    <t>Test Matrix</t>
  </si>
  <si>
    <t>Tested</t>
  </si>
  <si>
    <t>~</t>
  </si>
  <si>
    <t>Plots</t>
  </si>
  <si>
    <t>Pressure</t>
  </si>
  <si>
    <t>Fin</t>
  </si>
  <si>
    <t>Airfoil</t>
  </si>
  <si>
    <t>Slant</t>
  </si>
  <si>
    <t>Flat</t>
  </si>
  <si>
    <t>Slant w/ Swoosh</t>
  </si>
  <si>
    <t>Flat w/ Swoosh</t>
  </si>
  <si>
    <t>Done</t>
  </si>
  <si>
    <t>P1 (Pa)</t>
  </si>
  <si>
    <t>P2 (Pa)</t>
  </si>
  <si>
    <t>ΔP (Pa)</t>
  </si>
  <si>
    <t>Comment</t>
  </si>
  <si>
    <t>Large back pressures suggest fins are too tall if geometry to guide the upper flow is not included.</t>
  </si>
  <si>
    <t>Suggestion</t>
  </si>
  <si>
    <t>Cut in height in half, Add upper support to guide flow.</t>
  </si>
  <si>
    <t>Little to no heat transfer, minimal pressure differential</t>
  </si>
  <si>
    <t>Add Fin to increase thermal performance</t>
  </si>
  <si>
    <t>Thermal performance increased to managable thermal loads, poor pressures</t>
  </si>
  <si>
    <t>Improve form drag of plate fin</t>
  </si>
  <si>
    <t>Slightly better pressure drop than w/o swoosh. Comparable thermal performance</t>
  </si>
  <si>
    <t>Try taking out the slant to further improve pressure drop</t>
  </si>
  <si>
    <r>
      <t>T</t>
    </r>
    <r>
      <rPr>
        <vertAlign val="subscript"/>
        <sz val="11"/>
        <color theme="1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 xml:space="preserve"> (k)</t>
    </r>
  </si>
  <si>
    <t>Significant decrease in thermal performance with slight increase in hydraulic performance</t>
  </si>
  <si>
    <t>Add rib for better pressure drop</t>
  </si>
  <si>
    <t xml:space="preserve">Slight improvement in pressure drop, but much higher average </t>
  </si>
  <si>
    <t>Add top section to control flow</t>
  </si>
  <si>
    <t>12 w/cm^2 @ 70% efficiency</t>
  </si>
  <si>
    <t>#</t>
  </si>
  <si>
    <t>Wind Tunnel Speeds</t>
  </si>
  <si>
    <t>% Power</t>
  </si>
  <si>
    <t>Speed (mph)</t>
  </si>
  <si>
    <t>Speed (m/s)</t>
  </si>
  <si>
    <t>m/s</t>
  </si>
  <si>
    <t>mph</t>
  </si>
  <si>
    <t>% P</t>
  </si>
  <si>
    <t>L_c</t>
  </si>
  <si>
    <t>D_h</t>
  </si>
  <si>
    <t>S</t>
  </si>
  <si>
    <t>FR (CFM)</t>
  </si>
  <si>
    <t>in2</t>
  </si>
  <si>
    <t>cm2</t>
  </si>
  <si>
    <t>P (W)</t>
  </si>
  <si>
    <t>Q'' (W/cm2)</t>
  </si>
  <si>
    <t>Req</t>
  </si>
  <si>
    <t>R1</t>
  </si>
  <si>
    <t>R2</t>
  </si>
  <si>
    <t>R3</t>
  </si>
  <si>
    <t>R4</t>
  </si>
  <si>
    <t>I (amps)</t>
  </si>
  <si>
    <t>V (v)</t>
  </si>
  <si>
    <t>delrin melting point</t>
  </si>
  <si>
    <t>F</t>
  </si>
  <si>
    <t>k</t>
  </si>
  <si>
    <t>Ra ave</t>
  </si>
  <si>
    <t>Exposed surface area (in^2)</t>
  </si>
  <si>
    <t>Single Fin Surface Area (In^2)</t>
  </si>
  <si>
    <t>per unit</t>
  </si>
  <si>
    <t>in^2</t>
  </si>
  <si>
    <t>constant spacing (8 / unit)</t>
  </si>
  <si>
    <t>size</t>
  </si>
  <si>
    <t>base</t>
  </si>
  <si>
    <t>pyramid</t>
  </si>
  <si>
    <t>sa / unit</t>
  </si>
  <si>
    <t>Single face surface area (in^2)</t>
  </si>
  <si>
    <t>Single Fin surface area</t>
  </si>
  <si>
    <t>constant size</t>
  </si>
  <si>
    <t>https://www.researchgate.net/figure/Temperature-dependence-of-thermal-conductivity-of-aluminum-5_fig7_277757532</t>
  </si>
  <si>
    <t>https://www.researchgate.net/figure/SEM-detail-within-the-melted-zone_fig4_226659980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</si>
</sst>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"/>
    <numFmt numFmtId="166" formatCode="0.000000"/>
    <numFmt numFmtId="167" formatCode="0.0000"/>
    <numFmt numFmtId="168" formatCode="0.0000000"/>
    <numFmt numFmtId="169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b/>
      <i/>
      <sz val="8.8000000000000007"/>
      <color rgb="FF000000"/>
      <name val="Arial"/>
      <family val="2"/>
    </font>
    <font>
      <b/>
      <i/>
      <vertAlign val="subscript"/>
      <sz val="8.8000000000000007"/>
      <color rgb="FF000000"/>
      <name val="Arial"/>
      <family val="2"/>
    </font>
    <font>
      <b/>
      <i/>
      <vertAlign val="superscript"/>
      <sz val="8.8000000000000007"/>
      <color rgb="FF000000"/>
      <name val="Arial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ck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/>
      <top style="thick">
        <color rgb="FFC0C0C0"/>
      </top>
      <bottom/>
      <diagonal/>
    </border>
    <border>
      <left/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thick">
        <color rgb="FFC0C0C0"/>
      </right>
      <top/>
      <bottom/>
      <diagonal/>
    </border>
    <border>
      <left style="thick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/>
      <bottom style="medium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0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11" xfId="1" applyBorder="1" applyAlignment="1">
      <alignment horizontal="center" vertical="center" wrapText="1"/>
    </xf>
    <xf numFmtId="0" fontId="10" fillId="0" borderId="14" xfId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4" fillId="0" borderId="23" xfId="0" applyFont="1" applyBorder="1"/>
    <xf numFmtId="0" fontId="4" fillId="0" borderId="0" xfId="0" applyFont="1" applyBorder="1"/>
    <xf numFmtId="0" fontId="4" fillId="0" borderId="24" xfId="0" applyFont="1" applyBorder="1"/>
    <xf numFmtId="167" fontId="0" fillId="0" borderId="23" xfId="0" applyNumberFormat="1" applyBorder="1"/>
    <xf numFmtId="165" fontId="0" fillId="0" borderId="0" xfId="0" applyNumberFormat="1" applyBorder="1"/>
    <xf numFmtId="165" fontId="0" fillId="0" borderId="24" xfId="0" applyNumberFormat="1" applyBorder="1"/>
    <xf numFmtId="167" fontId="4" fillId="0" borderId="25" xfId="0" applyNumberFormat="1" applyFont="1" applyBorder="1"/>
    <xf numFmtId="165" fontId="4" fillId="0" borderId="28" xfId="0" applyNumberFormat="1" applyFont="1" applyBorder="1"/>
    <xf numFmtId="165" fontId="4" fillId="0" borderId="26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0" xfId="0" applyFont="1"/>
    <xf numFmtId="165" fontId="4" fillId="0" borderId="0" xfId="0" applyNumberFormat="1" applyFont="1"/>
    <xf numFmtId="1" fontId="4" fillId="0" borderId="0" xfId="0" applyNumberFormat="1" applyFont="1"/>
    <xf numFmtId="167" fontId="4" fillId="0" borderId="0" xfId="0" applyNumberFormat="1" applyFont="1"/>
    <xf numFmtId="164" fontId="4" fillId="0" borderId="0" xfId="0" applyNumberFormat="1" applyFont="1"/>
    <xf numFmtId="0" fontId="0" fillId="0" borderId="29" xfId="0" applyBorder="1"/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0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4" xfId="0" applyBorder="1"/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Border="1"/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8" xfId="0" applyBorder="1"/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4" fillId="0" borderId="64" xfId="0" applyFont="1" applyBorder="1"/>
    <xf numFmtId="0" fontId="0" fillId="0" borderId="64" xfId="0" applyBorder="1"/>
    <xf numFmtId="0" fontId="0" fillId="0" borderId="64" xfId="0" applyFill="1" applyBorder="1"/>
    <xf numFmtId="0" fontId="0" fillId="0" borderId="21" xfId="0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6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0" xfId="0" applyAlignment="1">
      <alignment horizontal="center" vertical="center" wrapText="1"/>
    </xf>
    <xf numFmtId="0" fontId="0" fillId="0" borderId="63" xfId="0" applyBorder="1"/>
    <xf numFmtId="0" fontId="0" fillId="0" borderId="69" xfId="0" applyBorder="1"/>
    <xf numFmtId="0" fontId="0" fillId="0" borderId="62" xfId="0" applyBorder="1"/>
    <xf numFmtId="0" fontId="0" fillId="0" borderId="51" xfId="0" applyBorder="1" applyAlignment="1">
      <alignment horizontal="center"/>
    </xf>
    <xf numFmtId="0" fontId="0" fillId="0" borderId="56" xfId="0" applyBorder="1"/>
    <xf numFmtId="0" fontId="0" fillId="0" borderId="68" xfId="0" applyBorder="1"/>
    <xf numFmtId="0" fontId="0" fillId="0" borderId="55" xfId="0" applyBorder="1"/>
    <xf numFmtId="0" fontId="0" fillId="0" borderId="37" xfId="0" applyBorder="1" applyAlignment="1">
      <alignment horizontal="center"/>
    </xf>
    <xf numFmtId="0" fontId="0" fillId="0" borderId="42" xfId="0" applyBorder="1"/>
    <xf numFmtId="0" fontId="0" fillId="0" borderId="4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5" xfId="0" applyBorder="1"/>
    <xf numFmtId="0" fontId="0" fillId="0" borderId="79" xfId="0" applyBorder="1"/>
    <xf numFmtId="0" fontId="0" fillId="0" borderId="71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51" xfId="0" applyFill="1" applyBorder="1" applyAlignment="1">
      <alignment horizontal="center"/>
    </xf>
    <xf numFmtId="0" fontId="0" fillId="4" borderId="56" xfId="0" applyFill="1" applyBorder="1"/>
    <xf numFmtId="166" fontId="0" fillId="0" borderId="0" xfId="0" applyNumberFormat="1" applyFill="1" applyBorder="1" applyAlignment="1">
      <alignment horizontal="center" vertical="center"/>
    </xf>
    <xf numFmtId="0" fontId="0" fillId="0" borderId="8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166" fontId="0" fillId="0" borderId="69" xfId="0" applyNumberFormat="1" applyFill="1" applyBorder="1" applyAlignment="1">
      <alignment horizontal="center" vertical="center"/>
    </xf>
    <xf numFmtId="166" fontId="0" fillId="0" borderId="62" xfId="0" applyNumberFormat="1" applyFill="1" applyBorder="1" applyAlignment="1">
      <alignment horizontal="center" vertical="center"/>
    </xf>
    <xf numFmtId="0" fontId="0" fillId="4" borderId="37" xfId="0" applyFill="1" applyBorder="1" applyAlignment="1">
      <alignment horizontal="center"/>
    </xf>
    <xf numFmtId="0" fontId="0" fillId="4" borderId="42" xfId="0" applyFill="1" applyBorder="1"/>
    <xf numFmtId="0" fontId="0" fillId="0" borderId="0" xfId="0" applyFill="1" applyBorder="1" applyAlignment="1">
      <alignment horizontal="center"/>
    </xf>
    <xf numFmtId="0" fontId="0" fillId="0" borderId="81" xfId="0" applyBorder="1" applyAlignment="1">
      <alignment horizontal="center"/>
    </xf>
    <xf numFmtId="166" fontId="0" fillId="0" borderId="79" xfId="0" applyNumberFormat="1" applyFill="1" applyBorder="1" applyAlignment="1">
      <alignment horizontal="center" vertical="center"/>
    </xf>
    <xf numFmtId="166" fontId="0" fillId="0" borderId="34" xfId="0" applyNumberFormat="1" applyFill="1" applyBorder="1" applyAlignment="1">
      <alignment horizontal="center" vertical="center"/>
    </xf>
    <xf numFmtId="0" fontId="0" fillId="4" borderId="64" xfId="0" applyFill="1" applyBorder="1" applyAlignment="1"/>
    <xf numFmtId="0" fontId="0" fillId="4" borderId="41" xfId="0" applyFill="1" applyBorder="1" applyAlignment="1"/>
    <xf numFmtId="0" fontId="0" fillId="0" borderId="49" xfId="0" applyBorder="1" applyAlignment="1">
      <alignment horizontal="center"/>
    </xf>
    <xf numFmtId="0" fontId="0" fillId="4" borderId="64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5" xfId="0" applyFill="1" applyBorder="1"/>
    <xf numFmtId="0" fontId="0" fillId="4" borderId="79" xfId="0" applyFill="1" applyBorder="1"/>
    <xf numFmtId="0" fontId="0" fillId="4" borderId="34" xfId="0" applyFill="1" applyBorder="1"/>
    <xf numFmtId="167" fontId="0" fillId="0" borderId="0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84" xfId="0" applyBorder="1" applyAlignment="1">
      <alignment horizontal="center"/>
    </xf>
    <xf numFmtId="166" fontId="0" fillId="0" borderId="85" xfId="0" applyNumberFormat="1" applyFill="1" applyBorder="1" applyAlignment="1">
      <alignment horizontal="center" vertical="center"/>
    </xf>
    <xf numFmtId="166" fontId="0" fillId="0" borderId="86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30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66" fontId="0" fillId="0" borderId="24" xfId="0" applyNumberFormat="1" applyBorder="1"/>
    <xf numFmtId="166" fontId="0" fillId="0" borderId="26" xfId="0" applyNumberFormat="1" applyBorder="1"/>
    <xf numFmtId="0" fontId="0" fillId="5" borderId="0" xfId="0" applyFill="1"/>
    <xf numFmtId="0" fontId="0" fillId="0" borderId="66" xfId="0" applyBorder="1" applyAlignment="1">
      <alignment horizontal="center"/>
    </xf>
    <xf numFmtId="164" fontId="0" fillId="0" borderId="66" xfId="0" applyNumberFormat="1" applyFill="1" applyBorder="1" applyAlignment="1">
      <alignment horizontal="center"/>
    </xf>
    <xf numFmtId="169" fontId="0" fillId="0" borderId="51" xfId="0" applyNumberFormat="1" applyBorder="1" applyAlignment="1">
      <alignment horizontal="center"/>
    </xf>
    <xf numFmtId="169" fontId="0" fillId="0" borderId="30" xfId="0" applyNumberFormat="1" applyBorder="1" applyAlignment="1">
      <alignment horizontal="center"/>
    </xf>
    <xf numFmtId="167" fontId="0" fillId="0" borderId="51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0" borderId="66" xfId="0" applyNumberForma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66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12" xfId="1" applyBorder="1" applyAlignment="1">
      <alignment horizontal="center" vertical="center" wrapText="1"/>
    </xf>
    <xf numFmtId="0" fontId="10" fillId="0" borderId="13" xfId="1" applyBorder="1" applyAlignment="1">
      <alignment horizontal="center" vertical="center" wrapText="1"/>
    </xf>
    <xf numFmtId="0" fontId="10" fillId="0" borderId="9" xfId="1" applyBorder="1" applyAlignment="1">
      <alignment horizontal="center" vertical="center" wrapText="1"/>
    </xf>
    <xf numFmtId="0" fontId="10" fillId="0" borderId="10" xfId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168" fontId="0" fillId="0" borderId="31" xfId="0" applyNumberFormat="1" applyFont="1" applyBorder="1" applyAlignment="1">
      <alignment horizontal="center"/>
    </xf>
    <xf numFmtId="168" fontId="0" fillId="0" borderId="29" xfId="0" applyNumberFormat="1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4" borderId="70" xfId="0" applyFill="1" applyBorder="1" applyAlignment="1">
      <alignment horizontal="center" vertical="center" wrapText="1"/>
    </xf>
    <xf numFmtId="0" fontId="0" fillId="4" borderId="71" xfId="0" applyFill="1" applyBorder="1" applyAlignment="1">
      <alignment horizontal="center" vertical="center" wrapText="1"/>
    </xf>
    <xf numFmtId="0" fontId="0" fillId="4" borderId="78" xfId="0" applyFill="1" applyBorder="1" applyAlignment="1">
      <alignment horizontal="center" vertical="center" wrapText="1"/>
    </xf>
    <xf numFmtId="0" fontId="0" fillId="4" borderId="68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4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3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0" fillId="4" borderId="45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0" fillId="0" borderId="70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 vertical="center" wrapText="1"/>
    </xf>
    <xf numFmtId="0" fontId="0" fillId="0" borderId="78" xfId="0" applyFont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31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82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79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0" borderId="78" xfId="0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2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1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65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5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left" wrapText="1"/>
    </xf>
    <xf numFmtId="0" fontId="0" fillId="0" borderId="67" xfId="0" applyBorder="1" applyAlignment="1">
      <alignment horizontal="left" wrapText="1"/>
    </xf>
    <xf numFmtId="0" fontId="0" fillId="0" borderId="8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65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Model'!$L$19:$L$29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8.8999999999999995E-4</c:v>
                </c:pt>
                <c:pt idx="2">
                  <c:v>1.7799999999999999E-3</c:v>
                </c:pt>
                <c:pt idx="3">
                  <c:v>2.6699999999999996E-3</c:v>
                </c:pt>
                <c:pt idx="4">
                  <c:v>3.5599999999999998E-3</c:v>
                </c:pt>
                <c:pt idx="5">
                  <c:v>4.45E-3</c:v>
                </c:pt>
                <c:pt idx="6">
                  <c:v>5.3400000000000001E-3</c:v>
                </c:pt>
                <c:pt idx="7">
                  <c:v>6.2300000000000003E-3</c:v>
                </c:pt>
                <c:pt idx="8">
                  <c:v>7.1200000000000005E-3</c:v>
                </c:pt>
                <c:pt idx="9">
                  <c:v>8.0099999999999998E-3</c:v>
                </c:pt>
                <c:pt idx="10">
                  <c:v>8.8999999999999999E-3</c:v>
                </c:pt>
              </c:numCache>
            </c:numRef>
          </c:xVal>
          <c:yVal>
            <c:numRef>
              <c:f>'Thermal Model'!$M$19:$M$29</c:f>
              <c:numCache>
                <c:formatCode>0.0</c:formatCode>
                <c:ptCount val="11"/>
                <c:pt idx="0" formatCode="General">
                  <c:v>393</c:v>
                </c:pt>
                <c:pt idx="1">
                  <c:v>390.73346434535358</c:v>
                </c:pt>
                <c:pt idx="2">
                  <c:v>388.71619373703487</c:v>
                </c:pt>
                <c:pt idx="3">
                  <c:v>386.94188172572842</c:v>
                </c:pt>
                <c:pt idx="4">
                  <c:v>385.404981406263</c:v>
                </c:pt>
                <c:pt idx="5">
                  <c:v>384.1006880767174</c:v>
                </c:pt>
                <c:pt idx="6">
                  <c:v>383.02492421782296</c:v>
                </c:pt>
                <c:pt idx="7">
                  <c:v>382.17432674570614</c:v>
                </c:pt>
                <c:pt idx="8">
                  <c:v>381.5462364981189</c:v>
                </c:pt>
                <c:pt idx="9">
                  <c:v>381.13868992128937</c:v>
                </c:pt>
                <c:pt idx="10">
                  <c:v>380.95041293140349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82D-A15E-D38450E2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56480"/>
        <c:axId val="441058776"/>
      </c:scatterChart>
      <c:valAx>
        <c:axId val="4410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8776"/>
        <c:crosses val="autoZero"/>
        <c:crossBetween val="midCat"/>
      </c:valAx>
      <c:valAx>
        <c:axId val="4410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Aluminum Thermal Conductivity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0322789143126858"/>
                  <c:y val="-7.0015150545206239E-2"/>
                </c:manualLayout>
              </c:layout>
              <c:numFmt formatCode="0.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'[1]K Al'!$A$2:$A$55</c:f>
              <c:numCache>
                <c:formatCode>General</c:formatCode>
                <c:ptCount val="54"/>
                <c:pt idx="0">
                  <c:v>272.59100642398198</c:v>
                </c:pt>
                <c:pt idx="1">
                  <c:v>278.15845824411099</c:v>
                </c:pt>
                <c:pt idx="2">
                  <c:v>282.44111349036399</c:v>
                </c:pt>
                <c:pt idx="3">
                  <c:v>286.29550321199099</c:v>
                </c:pt>
                <c:pt idx="4">
                  <c:v>289.29336188436798</c:v>
                </c:pt>
                <c:pt idx="5">
                  <c:v>291.86295503211898</c:v>
                </c:pt>
                <c:pt idx="6">
                  <c:v>294.00428265524602</c:v>
                </c:pt>
                <c:pt idx="7">
                  <c:v>295.717344753747</c:v>
                </c:pt>
                <c:pt idx="8">
                  <c:v>297.00214132762301</c:v>
                </c:pt>
                <c:pt idx="9">
                  <c:v>300.42826552462498</c:v>
                </c:pt>
                <c:pt idx="10">
                  <c:v>304.71092077087701</c:v>
                </c:pt>
                <c:pt idx="11">
                  <c:v>309.85010706638099</c:v>
                </c:pt>
                <c:pt idx="12">
                  <c:v>314.56102783725902</c:v>
                </c:pt>
                <c:pt idx="13">
                  <c:v>319.70021413276203</c:v>
                </c:pt>
                <c:pt idx="14">
                  <c:v>325.69593147751601</c:v>
                </c:pt>
                <c:pt idx="15">
                  <c:v>332.11991434689497</c:v>
                </c:pt>
                <c:pt idx="16">
                  <c:v>338.97216274089902</c:v>
                </c:pt>
                <c:pt idx="17">
                  <c:v>345.82441113490302</c:v>
                </c:pt>
                <c:pt idx="18">
                  <c:v>353.53319057815798</c:v>
                </c:pt>
                <c:pt idx="19">
                  <c:v>360.38543897216198</c:v>
                </c:pt>
                <c:pt idx="20">
                  <c:v>368.094218415417</c:v>
                </c:pt>
                <c:pt idx="21">
                  <c:v>377.51605995717301</c:v>
                </c:pt>
                <c:pt idx="22">
                  <c:v>387.79443254817897</c:v>
                </c:pt>
                <c:pt idx="23">
                  <c:v>396.35974304068498</c:v>
                </c:pt>
                <c:pt idx="24">
                  <c:v>404.92505353319001</c:v>
                </c:pt>
                <c:pt idx="25">
                  <c:v>414.34689507494602</c:v>
                </c:pt>
                <c:pt idx="26">
                  <c:v>424.62526766595198</c:v>
                </c:pt>
                <c:pt idx="27">
                  <c:v>434.47537473233399</c:v>
                </c:pt>
                <c:pt idx="28">
                  <c:v>442.61241970021399</c:v>
                </c:pt>
                <c:pt idx="29">
                  <c:v>451.17773019271903</c:v>
                </c:pt>
                <c:pt idx="30">
                  <c:v>461.45610278372499</c:v>
                </c:pt>
                <c:pt idx="31">
                  <c:v>471.73447537473203</c:v>
                </c:pt>
                <c:pt idx="32">
                  <c:v>480.29978586723701</c:v>
                </c:pt>
                <c:pt idx="33">
                  <c:v>489.72162740899302</c:v>
                </c:pt>
                <c:pt idx="34">
                  <c:v>497.43040685224798</c:v>
                </c:pt>
                <c:pt idx="35">
                  <c:v>505.99571734475302</c:v>
                </c:pt>
                <c:pt idx="36">
                  <c:v>514.56102783725896</c:v>
                </c:pt>
                <c:pt idx="37">
                  <c:v>522.26980728051296</c:v>
                </c:pt>
                <c:pt idx="38">
                  <c:v>529.97858672376799</c:v>
                </c:pt>
                <c:pt idx="39">
                  <c:v>538.54389721627399</c:v>
                </c:pt>
                <c:pt idx="40">
                  <c:v>546.25267665952799</c:v>
                </c:pt>
                <c:pt idx="41">
                  <c:v>556.53104925053503</c:v>
                </c:pt>
                <c:pt idx="42">
                  <c:v>567.66595289079203</c:v>
                </c:pt>
                <c:pt idx="43">
                  <c:v>577.94432548179805</c:v>
                </c:pt>
                <c:pt idx="44">
                  <c:v>589.07922912205504</c:v>
                </c:pt>
                <c:pt idx="45">
                  <c:v>599.35760171306197</c:v>
                </c:pt>
                <c:pt idx="46">
                  <c:v>610.49250535331896</c:v>
                </c:pt>
                <c:pt idx="47">
                  <c:v>627.62312633832903</c:v>
                </c:pt>
                <c:pt idx="48">
                  <c:v>645.61027837258996</c:v>
                </c:pt>
                <c:pt idx="49">
                  <c:v>665.31049250535295</c:v>
                </c:pt>
                <c:pt idx="50">
                  <c:v>684.15417558886497</c:v>
                </c:pt>
                <c:pt idx="51">
                  <c:v>700.42826552462498</c:v>
                </c:pt>
                <c:pt idx="52">
                  <c:v>713.27623126338301</c:v>
                </c:pt>
                <c:pt idx="53">
                  <c:v>723.98286937901401</c:v>
                </c:pt>
              </c:numCache>
            </c:numRef>
          </c:xVal>
          <c:yVal>
            <c:numRef>
              <c:f>'[1]K Al'!$B$2:$B$55</c:f>
              <c:numCache>
                <c:formatCode>General</c:formatCode>
                <c:ptCount val="54"/>
                <c:pt idx="0">
                  <c:v>234.40092165898599</c:v>
                </c:pt>
                <c:pt idx="1">
                  <c:v>234.49308755760299</c:v>
                </c:pt>
                <c:pt idx="2">
                  <c:v>234.72350230414699</c:v>
                </c:pt>
                <c:pt idx="3">
                  <c:v>235.06912442396299</c:v>
                </c:pt>
                <c:pt idx="4">
                  <c:v>235.41474654377799</c:v>
                </c:pt>
                <c:pt idx="5">
                  <c:v>235.82949308755701</c:v>
                </c:pt>
                <c:pt idx="6">
                  <c:v>236.22119815668199</c:v>
                </c:pt>
                <c:pt idx="7">
                  <c:v>236.566820276497</c:v>
                </c:pt>
                <c:pt idx="8">
                  <c:v>236.912442396313</c:v>
                </c:pt>
                <c:pt idx="9">
                  <c:v>237.18894009216501</c:v>
                </c:pt>
                <c:pt idx="10">
                  <c:v>237.58064516128999</c:v>
                </c:pt>
                <c:pt idx="11">
                  <c:v>237.94930875576</c:v>
                </c:pt>
                <c:pt idx="12">
                  <c:v>238.271889400921</c:v>
                </c:pt>
                <c:pt idx="13">
                  <c:v>238.59447004608199</c:v>
                </c:pt>
                <c:pt idx="14">
                  <c:v>238.91705069124399</c:v>
                </c:pt>
                <c:pt idx="15">
                  <c:v>239.216589861751</c:v>
                </c:pt>
                <c:pt idx="16">
                  <c:v>239.47004608294901</c:v>
                </c:pt>
                <c:pt idx="17">
                  <c:v>239.70046082949301</c:v>
                </c:pt>
                <c:pt idx="18">
                  <c:v>239.861751152073</c:v>
                </c:pt>
                <c:pt idx="19">
                  <c:v>239.976958525345</c:v>
                </c:pt>
                <c:pt idx="20">
                  <c:v>240.06912442396299</c:v>
                </c:pt>
                <c:pt idx="21">
                  <c:v>240.06912442396299</c:v>
                </c:pt>
                <c:pt idx="22">
                  <c:v>240.02304147465401</c:v>
                </c:pt>
                <c:pt idx="23">
                  <c:v>239.90783410138201</c:v>
                </c:pt>
                <c:pt idx="24">
                  <c:v>239.769585253456</c:v>
                </c:pt>
                <c:pt idx="25">
                  <c:v>239.56221198156601</c:v>
                </c:pt>
                <c:pt idx="26">
                  <c:v>239.28571428571399</c:v>
                </c:pt>
                <c:pt idx="27">
                  <c:v>238.986175115207</c:v>
                </c:pt>
                <c:pt idx="28">
                  <c:v>238.68663594469999</c:v>
                </c:pt>
                <c:pt idx="29">
                  <c:v>238.36405529953899</c:v>
                </c:pt>
                <c:pt idx="30">
                  <c:v>237.94930875576</c:v>
                </c:pt>
                <c:pt idx="31">
                  <c:v>237.511520737327</c:v>
                </c:pt>
                <c:pt idx="32">
                  <c:v>237.142857142857</c:v>
                </c:pt>
                <c:pt idx="33">
                  <c:v>236.682027649769</c:v>
                </c:pt>
                <c:pt idx="34">
                  <c:v>236.31336405529899</c:v>
                </c:pt>
                <c:pt idx="35">
                  <c:v>235.921658986175</c:v>
                </c:pt>
                <c:pt idx="36">
                  <c:v>235.48387096774101</c:v>
                </c:pt>
                <c:pt idx="37">
                  <c:v>235.092165898617</c:v>
                </c:pt>
                <c:pt idx="38">
                  <c:v>234.67741935483801</c:v>
                </c:pt>
                <c:pt idx="39">
                  <c:v>234.23963133640501</c:v>
                </c:pt>
                <c:pt idx="40">
                  <c:v>233.82488479262599</c:v>
                </c:pt>
                <c:pt idx="41">
                  <c:v>233.271889400921</c:v>
                </c:pt>
                <c:pt idx="42">
                  <c:v>232.67281105990699</c:v>
                </c:pt>
                <c:pt idx="43">
                  <c:v>232.09677419354799</c:v>
                </c:pt>
                <c:pt idx="44">
                  <c:v>231.47465437788</c:v>
                </c:pt>
                <c:pt idx="45">
                  <c:v>230.921658986175</c:v>
                </c:pt>
                <c:pt idx="46">
                  <c:v>230.25345622119801</c:v>
                </c:pt>
                <c:pt idx="47">
                  <c:v>229.26267281105899</c:v>
                </c:pt>
                <c:pt idx="48">
                  <c:v>228.179723502304</c:v>
                </c:pt>
                <c:pt idx="49">
                  <c:v>226.98156682027599</c:v>
                </c:pt>
                <c:pt idx="50">
                  <c:v>225.806451612903</c:v>
                </c:pt>
                <c:pt idx="51">
                  <c:v>224.746543778801</c:v>
                </c:pt>
                <c:pt idx="52">
                  <c:v>223.870967741935</c:v>
                </c:pt>
                <c:pt idx="53">
                  <c:v>223.156682027649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E-4B70-B557-7253FD5C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97528"/>
        <c:axId val="623897856"/>
      </c:scatterChart>
      <c:valAx>
        <c:axId val="623897528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7856"/>
        <c:crosses val="autoZero"/>
        <c:crossBetween val="midCat"/>
        <c:majorUnit val="20"/>
      </c:valAx>
      <c:valAx>
        <c:axId val="623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(W/m*k)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Aluminum Thermal Conductivity vs. Temperature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2828346456692916"/>
                  <c:y val="-0.51216061533974921"/>
                </c:manualLayout>
              </c:layout>
              <c:numFmt formatCode="0.000E+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 Cu'!$A$2:$A$14</c:f>
              <c:numCache>
                <c:formatCode>0.00</c:formatCode>
                <c:ptCount val="13"/>
                <c:pt idx="0">
                  <c:v>26.9430051813471</c:v>
                </c:pt>
                <c:pt idx="1">
                  <c:v>75.647668393782396</c:v>
                </c:pt>
                <c:pt idx="2">
                  <c:v>125.38860103626899</c:v>
                </c:pt>
                <c:pt idx="3">
                  <c:v>225.906735751295</c:v>
                </c:pt>
                <c:pt idx="4">
                  <c:v>327.46113989637303</c:v>
                </c:pt>
                <c:pt idx="5">
                  <c:v>426.94300518134702</c:v>
                </c:pt>
                <c:pt idx="6">
                  <c:v>526.42487046632095</c:v>
                </c:pt>
                <c:pt idx="7">
                  <c:v>627.97927461139898</c:v>
                </c:pt>
                <c:pt idx="8">
                  <c:v>727.46113989637297</c:v>
                </c:pt>
                <c:pt idx="9">
                  <c:v>829.01554404144997</c:v>
                </c:pt>
                <c:pt idx="10">
                  <c:v>927.46113989637297</c:v>
                </c:pt>
                <c:pt idx="11">
                  <c:v>1029.0155440414501</c:v>
                </c:pt>
              </c:numCache>
            </c:numRef>
          </c:xVal>
          <c:yVal>
            <c:numRef>
              <c:f>'K Cu'!$B$2:$B$14</c:f>
              <c:numCache>
                <c:formatCode>0.00</c:formatCode>
                <c:ptCount val="13"/>
                <c:pt idx="0">
                  <c:v>399.03381642511999</c:v>
                </c:pt>
                <c:pt idx="1">
                  <c:v>394.202898550724</c:v>
                </c:pt>
                <c:pt idx="2">
                  <c:v>392.27053140096598</c:v>
                </c:pt>
                <c:pt idx="3">
                  <c:v>388.40579710144902</c:v>
                </c:pt>
                <c:pt idx="4">
                  <c:v>383.57487922705297</c:v>
                </c:pt>
                <c:pt idx="5">
                  <c:v>376.81159420289799</c:v>
                </c:pt>
                <c:pt idx="6">
                  <c:v>371.01449275362302</c:v>
                </c:pt>
                <c:pt idx="7">
                  <c:v>364.25120772946798</c:v>
                </c:pt>
                <c:pt idx="8">
                  <c:v>357.48792270531402</c:v>
                </c:pt>
                <c:pt idx="9">
                  <c:v>350.72463768115898</c:v>
                </c:pt>
                <c:pt idx="10">
                  <c:v>342.02898550724598</c:v>
                </c:pt>
                <c:pt idx="11">
                  <c:v>334.29951690821201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E-42CD-91F3-2CA0E54C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91928"/>
        <c:axId val="561790288"/>
      </c:scatterChart>
      <c:valAx>
        <c:axId val="56179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90288"/>
        <c:crosses val="autoZero"/>
        <c:crossBetween val="midCat"/>
      </c:valAx>
      <c:valAx>
        <c:axId val="5617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(W/m*k)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9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Airspeed</a:t>
            </a:r>
            <a:r>
              <a:rPr lang="en-US" baseline="0"/>
              <a:t> vs Fan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75587388925784"/>
                  <c:y val="8.8425925925925929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Matrix'!$N$3:$N$8</c:f>
              <c:numCache>
                <c:formatCode>General</c:formatCode>
                <c:ptCount val="6"/>
                <c:pt idx="0">
                  <c:v>33</c:v>
                </c:pt>
                <c:pt idx="1">
                  <c:v>46</c:v>
                </c:pt>
                <c:pt idx="2">
                  <c:v>59</c:v>
                </c:pt>
                <c:pt idx="3">
                  <c:v>71</c:v>
                </c:pt>
                <c:pt idx="4">
                  <c:v>84</c:v>
                </c:pt>
                <c:pt idx="5">
                  <c:v>97</c:v>
                </c:pt>
              </c:numCache>
            </c:numRef>
          </c:xVal>
          <c:yVal>
            <c:numRef>
              <c:f>'Test Matrix'!$O$3:$O$8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E-43D2-BE7C-9F163435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2992"/>
        <c:axId val="594082664"/>
      </c:scatterChart>
      <c:valAx>
        <c:axId val="594082992"/>
        <c:scaling>
          <c:orientation val="minMax"/>
          <c:max val="1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2664"/>
        <c:crosses val="autoZero"/>
        <c:crossBetween val="midCat"/>
        <c:majorUnit val="10"/>
      </c:valAx>
      <c:valAx>
        <c:axId val="5940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Matrix'!$P$31:$P$42</c:f>
              <c:numCache>
                <c:formatCode>0.00</c:formatCode>
                <c:ptCount val="12"/>
                <c:pt idx="0">
                  <c:v>10.000284800000001</c:v>
                </c:pt>
                <c:pt idx="1">
                  <c:v>11.176</c:v>
                </c:pt>
                <c:pt idx="2">
                  <c:v>14.998191999999998</c:v>
                </c:pt>
                <c:pt idx="3">
                  <c:v>15.6464</c:v>
                </c:pt>
                <c:pt idx="4">
                  <c:v>20.000569600000002</c:v>
                </c:pt>
                <c:pt idx="5">
                  <c:v>20.116800000000001</c:v>
                </c:pt>
                <c:pt idx="6">
                  <c:v>24.587199999999999</c:v>
                </c:pt>
                <c:pt idx="7">
                  <c:v>24.998476799999999</c:v>
                </c:pt>
                <c:pt idx="8">
                  <c:v>29.057600000000001</c:v>
                </c:pt>
                <c:pt idx="9">
                  <c:v>30.000854399999998</c:v>
                </c:pt>
                <c:pt idx="10">
                  <c:v>33.527999999999999</c:v>
                </c:pt>
                <c:pt idx="11">
                  <c:v>34.630937088000003</c:v>
                </c:pt>
              </c:numCache>
            </c:numRef>
          </c:xVal>
          <c:yVal>
            <c:numRef>
              <c:f>'Test Matrix'!$R$31:$R$42</c:f>
              <c:numCache>
                <c:formatCode>General</c:formatCode>
                <c:ptCount val="12"/>
                <c:pt idx="0">
                  <c:v>33532.308108250829</c:v>
                </c:pt>
                <c:pt idx="1">
                  <c:v>37474.640264026399</c:v>
                </c:pt>
                <c:pt idx="2">
                  <c:v>50290.967234323427</c:v>
                </c:pt>
                <c:pt idx="3">
                  <c:v>52464.49636963696</c:v>
                </c:pt>
                <c:pt idx="4">
                  <c:v>67064.616216501658</c:v>
                </c:pt>
                <c:pt idx="5">
                  <c:v>67454.352475247535</c:v>
                </c:pt>
                <c:pt idx="6">
                  <c:v>82444.208580858074</c:v>
                </c:pt>
                <c:pt idx="7">
                  <c:v>83823.275342574256</c:v>
                </c:pt>
                <c:pt idx="8">
                  <c:v>97434.064686468657</c:v>
                </c:pt>
                <c:pt idx="9">
                  <c:v>100596.92432475246</c:v>
                </c:pt>
                <c:pt idx="10">
                  <c:v>112423.92079207918</c:v>
                </c:pt>
                <c:pt idx="11">
                  <c:v>116122.21809045544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E-4A24-881C-B2A3FB3B04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Matrix'!$P$31:$P$42</c:f>
              <c:numCache>
                <c:formatCode>0.00</c:formatCode>
                <c:ptCount val="12"/>
                <c:pt idx="0">
                  <c:v>10.000284800000001</c:v>
                </c:pt>
                <c:pt idx="1">
                  <c:v>11.176</c:v>
                </c:pt>
                <c:pt idx="2">
                  <c:v>14.998191999999998</c:v>
                </c:pt>
                <c:pt idx="3">
                  <c:v>15.6464</c:v>
                </c:pt>
                <c:pt idx="4">
                  <c:v>20.000569600000002</c:v>
                </c:pt>
                <c:pt idx="5">
                  <c:v>20.116800000000001</c:v>
                </c:pt>
                <c:pt idx="6">
                  <c:v>24.587199999999999</c:v>
                </c:pt>
                <c:pt idx="7">
                  <c:v>24.998476799999999</c:v>
                </c:pt>
                <c:pt idx="8">
                  <c:v>29.057600000000001</c:v>
                </c:pt>
                <c:pt idx="9">
                  <c:v>30.000854399999998</c:v>
                </c:pt>
                <c:pt idx="10">
                  <c:v>33.527999999999999</c:v>
                </c:pt>
                <c:pt idx="11">
                  <c:v>34.630937088000003</c:v>
                </c:pt>
              </c:numCache>
            </c:numRef>
          </c:xVal>
          <c:yVal>
            <c:numRef>
              <c:f>'Test Matrix'!$S$31:$S$42</c:f>
              <c:numCache>
                <c:formatCode>General</c:formatCode>
                <c:ptCount val="12"/>
                <c:pt idx="0">
                  <c:v>1676.6154054125418</c:v>
                </c:pt>
                <c:pt idx="1">
                  <c:v>1873.7320132013201</c:v>
                </c:pt>
                <c:pt idx="2">
                  <c:v>2514.5483617161717</c:v>
                </c:pt>
                <c:pt idx="3">
                  <c:v>2623.2248184818482</c:v>
                </c:pt>
                <c:pt idx="4">
                  <c:v>3353.2308108250836</c:v>
                </c:pt>
                <c:pt idx="5">
                  <c:v>3372.7176237623767</c:v>
                </c:pt>
                <c:pt idx="6">
                  <c:v>4122.2104290429052</c:v>
                </c:pt>
                <c:pt idx="7">
                  <c:v>4191.1637671287126</c:v>
                </c:pt>
                <c:pt idx="8">
                  <c:v>4871.7032343234332</c:v>
                </c:pt>
                <c:pt idx="9">
                  <c:v>5029.8462162376236</c:v>
                </c:pt>
                <c:pt idx="10">
                  <c:v>5621.1960396039603</c:v>
                </c:pt>
                <c:pt idx="11">
                  <c:v>5806.1109045227731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E-4A24-881C-B2A3FB3B04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Matrix'!$P$31:$P$42</c:f>
              <c:numCache>
                <c:formatCode>0.00</c:formatCode>
                <c:ptCount val="12"/>
                <c:pt idx="0">
                  <c:v>10.000284800000001</c:v>
                </c:pt>
                <c:pt idx="1">
                  <c:v>11.176</c:v>
                </c:pt>
                <c:pt idx="2">
                  <c:v>14.998191999999998</c:v>
                </c:pt>
                <c:pt idx="3">
                  <c:v>15.6464</c:v>
                </c:pt>
                <c:pt idx="4">
                  <c:v>20.000569600000002</c:v>
                </c:pt>
                <c:pt idx="5">
                  <c:v>20.116800000000001</c:v>
                </c:pt>
                <c:pt idx="6">
                  <c:v>24.587199999999999</c:v>
                </c:pt>
                <c:pt idx="7">
                  <c:v>24.998476799999999</c:v>
                </c:pt>
                <c:pt idx="8">
                  <c:v>29.057600000000001</c:v>
                </c:pt>
                <c:pt idx="9">
                  <c:v>30.000854399999998</c:v>
                </c:pt>
                <c:pt idx="10">
                  <c:v>33.527999999999999</c:v>
                </c:pt>
                <c:pt idx="11">
                  <c:v>34.630937088000003</c:v>
                </c:pt>
              </c:numCache>
            </c:numRef>
          </c:xVal>
          <c:yVal>
            <c:numRef>
              <c:f>'Test Matrix'!$T$31:$T$42</c:f>
              <c:numCache>
                <c:formatCode>General</c:formatCode>
                <c:ptCount val="12"/>
                <c:pt idx="0">
                  <c:v>16766.154054125414</c:v>
                </c:pt>
                <c:pt idx="1">
                  <c:v>18737.320132013199</c:v>
                </c:pt>
                <c:pt idx="2">
                  <c:v>25145.483617161713</c:v>
                </c:pt>
                <c:pt idx="3">
                  <c:v>26232.24818481848</c:v>
                </c:pt>
                <c:pt idx="4">
                  <c:v>33532.308108250829</c:v>
                </c:pt>
                <c:pt idx="5">
                  <c:v>33727.176237623768</c:v>
                </c:pt>
                <c:pt idx="6">
                  <c:v>41222.104290429037</c:v>
                </c:pt>
                <c:pt idx="7">
                  <c:v>41911.637671287128</c:v>
                </c:pt>
                <c:pt idx="8">
                  <c:v>48717.032343234328</c:v>
                </c:pt>
                <c:pt idx="9">
                  <c:v>50298.462162376229</c:v>
                </c:pt>
                <c:pt idx="10">
                  <c:v>56211.960396039591</c:v>
                </c:pt>
                <c:pt idx="11">
                  <c:v>58061.10904522772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0E-4A24-881C-B2A3FB3B04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Matrix'!$P$31:$P$42</c:f>
              <c:numCache>
                <c:formatCode>0.00</c:formatCode>
                <c:ptCount val="12"/>
                <c:pt idx="0">
                  <c:v>10.000284800000001</c:v>
                </c:pt>
                <c:pt idx="1">
                  <c:v>11.176</c:v>
                </c:pt>
                <c:pt idx="2">
                  <c:v>14.998191999999998</c:v>
                </c:pt>
                <c:pt idx="3">
                  <c:v>15.6464</c:v>
                </c:pt>
                <c:pt idx="4">
                  <c:v>20.000569600000002</c:v>
                </c:pt>
                <c:pt idx="5">
                  <c:v>20.116800000000001</c:v>
                </c:pt>
                <c:pt idx="6">
                  <c:v>24.587199999999999</c:v>
                </c:pt>
                <c:pt idx="7">
                  <c:v>24.998476799999999</c:v>
                </c:pt>
                <c:pt idx="8">
                  <c:v>29.057600000000001</c:v>
                </c:pt>
                <c:pt idx="9">
                  <c:v>30.000854399999998</c:v>
                </c:pt>
                <c:pt idx="10">
                  <c:v>33.527999999999999</c:v>
                </c:pt>
                <c:pt idx="11">
                  <c:v>34.630937088000003</c:v>
                </c:pt>
              </c:numCache>
            </c:numRef>
          </c:xVal>
          <c:yVal>
            <c:numRef>
              <c:f>'Test Matrix'!$U$31:$U$42</c:f>
              <c:numCache>
                <c:formatCode>General</c:formatCode>
                <c:ptCount val="12"/>
                <c:pt idx="0">
                  <c:v>2196.3661810904296</c:v>
                </c:pt>
                <c:pt idx="1">
                  <c:v>2454.5889372937295</c:v>
                </c:pt>
                <c:pt idx="2">
                  <c:v>3294.0583538481847</c:v>
                </c:pt>
                <c:pt idx="3">
                  <c:v>3436.4245122112206</c:v>
                </c:pt>
                <c:pt idx="4">
                  <c:v>4392.7323621808591</c:v>
                </c:pt>
                <c:pt idx="5">
                  <c:v>4418.2600871287132</c:v>
                </c:pt>
                <c:pt idx="6">
                  <c:v>5400.0956620462039</c:v>
                </c:pt>
                <c:pt idx="7">
                  <c:v>5490.4245349386138</c:v>
                </c:pt>
                <c:pt idx="8">
                  <c:v>6381.9312369636973</c:v>
                </c:pt>
                <c:pt idx="9">
                  <c:v>6589.0985432712869</c:v>
                </c:pt>
                <c:pt idx="10">
                  <c:v>7363.766811881188</c:v>
                </c:pt>
                <c:pt idx="11">
                  <c:v>7606.0052849248332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E-4A24-881C-B2A3FB3B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49984"/>
        <c:axId val="658048344"/>
      </c:scatterChart>
      <c:valAx>
        <c:axId val="6580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8344"/>
        <c:crosses val="autoZero"/>
        <c:crossBetween val="midCat"/>
      </c:valAx>
      <c:valAx>
        <c:axId val="658048344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vs Air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Plate Fin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Study'!$C$8:$C$12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Study'!$G$8:$G$12</c:f>
              <c:numCache>
                <c:formatCode>0</c:formatCode>
                <c:ptCount val="5"/>
                <c:pt idx="0">
                  <c:v>781.59</c:v>
                </c:pt>
                <c:pt idx="1">
                  <c:v>580.4</c:v>
                </c:pt>
                <c:pt idx="2">
                  <c:v>498.27</c:v>
                </c:pt>
                <c:pt idx="3">
                  <c:v>454.86</c:v>
                </c:pt>
                <c:pt idx="4">
                  <c:v>428.94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9-4F14-AA4E-080109D26F39}"/>
            </c:ext>
          </c:extLst>
        </c:ser>
        <c:ser>
          <c:idx val="0"/>
          <c:order val="2"/>
          <c:tx>
            <c:v>Airfoil, High Slope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Study'!$C$13:$C$17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Study'!$G$13:$G$17</c:f>
              <c:numCache>
                <c:formatCode>0</c:formatCode>
                <c:ptCount val="5"/>
                <c:pt idx="0">
                  <c:v>765.85</c:v>
                </c:pt>
                <c:pt idx="1">
                  <c:v>574.14</c:v>
                </c:pt>
                <c:pt idx="2">
                  <c:v>492.94</c:v>
                </c:pt>
                <c:pt idx="3">
                  <c:v>448.6</c:v>
                </c:pt>
                <c:pt idx="4">
                  <c:v>420.71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9-4F14-AA4E-080109D26F39}"/>
            </c:ext>
          </c:extLst>
        </c:ser>
        <c:ser>
          <c:idx val="3"/>
          <c:order val="3"/>
          <c:tx>
            <c:v>Airfoil, High Slope, Rib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Study'!$C$18:$C$22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Study'!$G$18:$G$22</c:f>
              <c:numCache>
                <c:formatCode>0</c:formatCode>
                <c:ptCount val="5"/>
                <c:pt idx="0">
                  <c:v>755.97</c:v>
                </c:pt>
                <c:pt idx="1">
                  <c:v>572.92999999999995</c:v>
                </c:pt>
                <c:pt idx="2">
                  <c:v>493.91</c:v>
                </c:pt>
                <c:pt idx="3">
                  <c:v>449.96</c:v>
                </c:pt>
                <c:pt idx="4">
                  <c:v>422.26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9-4F14-AA4E-080109D26F39}"/>
            </c:ext>
          </c:extLst>
        </c:ser>
        <c:ser>
          <c:idx val="4"/>
          <c:order val="4"/>
          <c:tx>
            <c:v>Airfoil, Flat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Study'!$C$23:$C$27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Study'!$G$23:$G$27</c:f>
              <c:numCache>
                <c:formatCode>0</c:formatCode>
                <c:ptCount val="5"/>
                <c:pt idx="0">
                  <c:v>797.65</c:v>
                </c:pt>
                <c:pt idx="1">
                  <c:v>639.13</c:v>
                </c:pt>
                <c:pt idx="2">
                  <c:v>552.44000000000005</c:v>
                </c:pt>
                <c:pt idx="3">
                  <c:v>492.88</c:v>
                </c:pt>
                <c:pt idx="4">
                  <c:v>451.51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9-4F14-AA4E-080109D26F39}"/>
            </c:ext>
          </c:extLst>
        </c:ser>
        <c:ser>
          <c:idx val="5"/>
          <c:order val="5"/>
          <c:tx>
            <c:v>Airfoil, Flat, Rib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'Slice Study'!$C$28:$C$32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'Slice Study'!$G$28:$G$32</c:f>
              <c:numCache>
                <c:formatCode>0</c:formatCode>
                <c:ptCount val="5"/>
                <c:pt idx="0">
                  <c:v>824.53</c:v>
                </c:pt>
                <c:pt idx="1">
                  <c:v>647.80999999999995</c:v>
                </c:pt>
                <c:pt idx="2">
                  <c:v>557.17999999999995</c:v>
                </c:pt>
                <c:pt idx="3">
                  <c:v>499.96</c:v>
                </c:pt>
                <c:pt idx="4">
                  <c:v>460.66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9-4F14-AA4E-080109D2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73120"/>
        <c:axId val="58756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Bare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'Slice Study'!$C$3:$C$7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'Slice Study'!$G$3:$G$7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2643</c:v>
                      </c:pt>
                      <c:pt idx="1">
                        <c:v>1333.1</c:v>
                      </c:pt>
                      <c:pt idx="2">
                        <c:v>960.18</c:v>
                      </c:pt>
                      <c:pt idx="3">
                        <c:v>757.54</c:v>
                      </c:pt>
                      <c:pt idx="4">
                        <c:v>658.43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E09-4F14-AA4E-080109D26F39}"/>
                  </c:ext>
                </c:extLst>
              </c15:ser>
            </c15:filteredScatterSeries>
          </c:ext>
        </c:extLst>
      </c:scatterChart>
      <c:valAx>
        <c:axId val="5875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9184"/>
        <c:crosses val="autoZero"/>
        <c:crossBetween val="midCat"/>
      </c:valAx>
      <c:valAx>
        <c:axId val="587569184"/>
        <c:scaling>
          <c:orientation val="minMax"/>
          <c:max val="8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Drop vs Air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Study'!$F$3:$F$7</c:f>
              <c:numCache>
                <c:formatCode>0.00</c:formatCode>
                <c:ptCount val="5"/>
                <c:pt idx="0">
                  <c:v>-2.11449</c:v>
                </c:pt>
                <c:pt idx="1">
                  <c:v>-4.6590000000000007</c:v>
                </c:pt>
                <c:pt idx="2">
                  <c:v>-6.5140000000000002</c:v>
                </c:pt>
                <c:pt idx="3">
                  <c:v>-8.9899000000000004</c:v>
                </c:pt>
                <c:pt idx="4">
                  <c:v>-8.8109999999999999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7-4E8F-BE24-CBA327016AFF}"/>
            </c:ext>
          </c:extLst>
        </c:ser>
        <c:ser>
          <c:idx val="2"/>
          <c:order val="1"/>
          <c:tx>
            <c:v>Plate Fin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Study'!$F$8:$F$12</c:f>
              <c:numCache>
                <c:formatCode>0.00</c:formatCode>
                <c:ptCount val="5"/>
                <c:pt idx="0">
                  <c:v>-2.8329499999999999</c:v>
                </c:pt>
                <c:pt idx="1">
                  <c:v>-8.3506999999999998</c:v>
                </c:pt>
                <c:pt idx="2">
                  <c:v>-13.918600000000001</c:v>
                </c:pt>
                <c:pt idx="3">
                  <c:v>-17.794140000000002</c:v>
                </c:pt>
                <c:pt idx="4">
                  <c:v>-19.183199999999999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7-4E8F-BE24-CBA327016AFF}"/>
            </c:ext>
          </c:extLst>
        </c:ser>
        <c:ser>
          <c:idx val="0"/>
          <c:order val="2"/>
          <c:tx>
            <c:v>Airfoil, High Slope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'Slice Study'!$C$13:$C$17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'Slice Study'!$F$13:$F$17</c:f>
              <c:numCache>
                <c:formatCode>0.00</c:formatCode>
                <c:ptCount val="5"/>
                <c:pt idx="0">
                  <c:v>-1.0923500000000002</c:v>
                </c:pt>
                <c:pt idx="1">
                  <c:v>-1.1588000000000003</c:v>
                </c:pt>
                <c:pt idx="2">
                  <c:v>1.9218999999999991</c:v>
                </c:pt>
                <c:pt idx="3">
                  <c:v>8.9670000000000023</c:v>
                </c:pt>
                <c:pt idx="4">
                  <c:v>20.576999999999998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E8F-BE24-CBA327016AFF}"/>
            </c:ext>
          </c:extLst>
        </c:ser>
        <c:ser>
          <c:idx val="3"/>
          <c:order val="3"/>
          <c:tx>
            <c:v>Airfoil, High Slope, Rib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Study'!$F$18:$F$22</c:f>
              <c:numCache>
                <c:formatCode>0.00</c:formatCode>
                <c:ptCount val="5"/>
                <c:pt idx="0">
                  <c:v>-0.87351999999999996</c:v>
                </c:pt>
                <c:pt idx="1">
                  <c:v>-0.40479999999999983</c:v>
                </c:pt>
                <c:pt idx="2">
                  <c:v>3.4182999999999986</c:v>
                </c:pt>
                <c:pt idx="3">
                  <c:v>11.314999999999998</c:v>
                </c:pt>
                <c:pt idx="4">
                  <c:v>23.812999999999999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7-4E8F-BE24-CBA327016AFF}"/>
            </c:ext>
          </c:extLst>
        </c:ser>
        <c:ser>
          <c:idx val="4"/>
          <c:order val="4"/>
          <c:tx>
            <c:v>Airfoil, Flat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Study'!$F$23:$F$27</c:f>
              <c:numCache>
                <c:formatCode>0.00</c:formatCode>
                <c:ptCount val="5"/>
                <c:pt idx="0">
                  <c:v>-0.95589000000000002</c:v>
                </c:pt>
                <c:pt idx="1">
                  <c:v>-0.28150000000000008</c:v>
                </c:pt>
                <c:pt idx="2">
                  <c:v>3.8205999999999989</c:v>
                </c:pt>
                <c:pt idx="3">
                  <c:v>12.612400000000001</c:v>
                </c:pt>
                <c:pt idx="4">
                  <c:v>26.911999999999999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57-4E8F-BE24-CBA327016AFF}"/>
            </c:ext>
          </c:extLst>
        </c:ser>
        <c:ser>
          <c:idx val="5"/>
          <c:order val="5"/>
          <c:tx>
            <c:v>Airfoil, Flat, Rib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'Slice Study'!$F$28:$F$32</c:f>
              <c:numCache>
                <c:formatCode>0.00</c:formatCode>
                <c:ptCount val="5"/>
                <c:pt idx="0">
                  <c:v>-0.84331999999999996</c:v>
                </c:pt>
                <c:pt idx="1">
                  <c:v>4.8200000000000021E-2</c:v>
                </c:pt>
                <c:pt idx="2">
                  <c:v>4.4837999999999996</c:v>
                </c:pt>
                <c:pt idx="3">
                  <c:v>13.534999999999998</c:v>
                </c:pt>
                <c:pt idx="4">
                  <c:v>28.393000000000001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7-4E8F-BE24-CBA32701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60704"/>
        <c:axId val="707151192"/>
      </c:lineChart>
      <c:catAx>
        <c:axId val="7071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51192"/>
        <c:crossesAt val="-30"/>
        <c:auto val="1"/>
        <c:lblAlgn val="ctr"/>
        <c:lblOffset val="100"/>
        <c:noMultiLvlLbl val="0"/>
      </c:catAx>
      <c:valAx>
        <c:axId val="70715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Ranges!$C$19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Ranges!$A$20:$A$35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Ranges!$C$20:$C$35</c:f>
              <c:numCache>
                <c:formatCode>0</c:formatCode>
                <c:ptCount val="16"/>
                <c:pt idx="0">
                  <c:v>6379.5853269537456</c:v>
                </c:pt>
                <c:pt idx="1">
                  <c:v>7386.8882733148657</c:v>
                </c:pt>
                <c:pt idx="2">
                  <c:v>7797.2709551656908</c:v>
                </c:pt>
                <c:pt idx="3">
                  <c:v>8020.0501253132825</c:v>
                </c:pt>
                <c:pt idx="4">
                  <c:v>8159.9347205222348</c:v>
                </c:pt>
                <c:pt idx="5">
                  <c:v>8255.9339525283795</c:v>
                </c:pt>
                <c:pt idx="6">
                  <c:v>8325.899494498959</c:v>
                </c:pt>
                <c:pt idx="7">
                  <c:v>8354.2188805346686</c:v>
                </c:pt>
                <c:pt idx="8">
                  <c:v>8379.156847342234</c:v>
                </c:pt>
                <c:pt idx="9">
                  <c:v>8421.0526315789448</c:v>
                </c:pt>
                <c:pt idx="10">
                  <c:v>8454.8721200591826</c:v>
                </c:pt>
                <c:pt idx="11">
                  <c:v>8482.7453248505881</c:v>
                </c:pt>
                <c:pt idx="12">
                  <c:v>8506.1137692716638</c:v>
                </c:pt>
                <c:pt idx="13">
                  <c:v>8525.9878668634192</c:v>
                </c:pt>
                <c:pt idx="14">
                  <c:v>8543.0968726163228</c:v>
                </c:pt>
                <c:pt idx="15">
                  <c:v>8557.9803166452693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7-4DBB-BF6F-5FC83335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00736"/>
        <c:axId val="594499752"/>
      </c:scatterChart>
      <c:valAx>
        <c:axId val="5945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752"/>
        <c:crosses val="autoZero"/>
        <c:crossBetween val="midCat"/>
      </c:valAx>
      <c:valAx>
        <c:axId val="5944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Ranges!$E$19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Ranges!$A$20:$A$35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Ranges!$E$20:$E$35</c:f>
              <c:numCache>
                <c:formatCode>0.00</c:formatCode>
                <c:ptCount val="16"/>
                <c:pt idx="0">
                  <c:v>56.456070867140795</c:v>
                </c:pt>
                <c:pt idx="1">
                  <c:v>61.50643693763508</c:v>
                </c:pt>
                <c:pt idx="2">
                  <c:v>63.474984485650246</c:v>
                </c:pt>
                <c:pt idx="3">
                  <c:v>64.524992542158714</c:v>
                </c:pt>
                <c:pt idx="4">
                  <c:v>65.178007151383923</c:v>
                </c:pt>
                <c:pt idx="5">
                  <c:v>65.623444353773422</c:v>
                </c:pt>
                <c:pt idx="6">
                  <c:v>65.946727387834486</c:v>
                </c:pt>
                <c:pt idx="7">
                  <c:v>66.077259338400196</c:v>
                </c:pt>
                <c:pt idx="8">
                  <c:v>66.192053753233139</c:v>
                </c:pt>
                <c:pt idx="9">
                  <c:v>66.384590932907344</c:v>
                </c:pt>
                <c:pt idx="10">
                  <c:v>66.539724356955901</c:v>
                </c:pt>
                <c:pt idx="11">
                  <c:v>66.667389530433553</c:v>
                </c:pt>
                <c:pt idx="12">
                  <c:v>66.774289043510976</c:v>
                </c:pt>
                <c:pt idx="13">
                  <c:v>66.865108687013986</c:v>
                </c:pt>
                <c:pt idx="14">
                  <c:v>66.943222990651108</c:v>
                </c:pt>
                <c:pt idx="15">
                  <c:v>67.011123931021544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2-45F9-97AC-738C9983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53320"/>
        <c:axId val="445053648"/>
      </c:scatterChart>
      <c:valAx>
        <c:axId val="44505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3648"/>
        <c:crosses val="autoZero"/>
        <c:crossBetween val="midCat"/>
      </c:valAx>
      <c:valAx>
        <c:axId val="445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Ranges!$F$19</c:f>
              <c:strCache>
                <c:ptCount val="1"/>
                <c:pt idx="0">
                  <c:v>h (W/m^2k)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Ranges!$A$20:$A$35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Ranges!$F$20:$F$35</c:f>
              <c:numCache>
                <c:formatCode>0.00</c:formatCode>
                <c:ptCount val="16"/>
                <c:pt idx="0">
                  <c:v>703.56025981888104</c:v>
                </c:pt>
                <c:pt idx="1">
                  <c:v>661.97584138232628</c:v>
                </c:pt>
                <c:pt idx="2">
                  <c:v>647.20681056181138</c:v>
                </c:pt>
                <c:pt idx="3">
                  <c:v>639.63759534109738</c:v>
                </c:pt>
                <c:pt idx="4">
                  <c:v>635.03475517652964</c:v>
                </c:pt>
                <c:pt idx="5">
                  <c:v>631.94009757593096</c:v>
                </c:pt>
                <c:pt idx="6">
                  <c:v>629.71666394546412</c:v>
                </c:pt>
                <c:pt idx="7">
                  <c:v>628.82423849388556</c:v>
                </c:pt>
                <c:pt idx="8">
                  <c:v>628.04192752019492</c:v>
                </c:pt>
                <c:pt idx="9">
                  <c:v>626.7350789811635</c:v>
                </c:pt>
                <c:pt idx="10">
                  <c:v>625.68689057103074</c:v>
                </c:pt>
                <c:pt idx="11">
                  <c:v>624.82748197445619</c:v>
                </c:pt>
                <c:pt idx="12">
                  <c:v>624.1100659382405</c:v>
                </c:pt>
                <c:pt idx="13">
                  <c:v>623.50213671920005</c:v>
                </c:pt>
                <c:pt idx="14">
                  <c:v>622.98040716761136</c:v>
                </c:pt>
                <c:pt idx="15">
                  <c:v>622.52775705886256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0-48A3-AD2F-6C775B7E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40128"/>
        <c:axId val="446139800"/>
      </c:scatterChart>
      <c:valAx>
        <c:axId val="4461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9800"/>
        <c:crosses val="autoZero"/>
        <c:crossBetween val="midCat"/>
      </c:valAx>
      <c:valAx>
        <c:axId val="4461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Convective Heat Transfer</a:t>
            </a:r>
            <a:r>
              <a:rPr lang="en-US" sz="1050" baseline="0"/>
              <a:t> Coefficient vs Air Speed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Ranges!$E$3</c:f>
              <c:strCache>
                <c:ptCount val="1"/>
                <c:pt idx="0">
                  <c:v>h (W/m^2k)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Ranges!$E$4:$E$15</c:f>
              <c:numCache>
                <c:formatCode>0.0</c:formatCode>
                <c:ptCount val="12"/>
                <c:pt idx="0">
                  <c:v>211.75039206588352</c:v>
                </c:pt>
                <c:pt idx="1">
                  <c:v>282.18234742963841</c:v>
                </c:pt>
                <c:pt idx="2">
                  <c:v>352.01083500874216</c:v>
                </c:pt>
                <c:pt idx="3">
                  <c:v>421.485873039127</c:v>
                </c:pt>
                <c:pt idx="4">
                  <c:v>490.73594522113785</c:v>
                </c:pt>
                <c:pt idx="5">
                  <c:v>559.833921910345</c:v>
                </c:pt>
                <c:pt idx="6">
                  <c:v>628.82423849388556</c:v>
                </c:pt>
                <c:pt idx="7">
                  <c:v>697.73554293557368</c:v>
                </c:pt>
                <c:pt idx="8">
                  <c:v>766.5871399216943</c:v>
                </c:pt>
                <c:pt idx="9">
                  <c:v>835.39251499915861</c:v>
                </c:pt>
                <c:pt idx="10">
                  <c:v>904.16137470101012</c:v>
                </c:pt>
                <c:pt idx="11">
                  <c:v>972.9008842294819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A-4723-BB18-0018ABA2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09304"/>
        <c:axId val="439706680"/>
      </c:scatterChart>
      <c:valAx>
        <c:axId val="43970930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6680"/>
        <c:crosses val="autoZero"/>
        <c:crossBetween val="midCat"/>
      </c:valAx>
      <c:valAx>
        <c:axId val="4397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h (W/m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k)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Cooling Rate vs Air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Ranges!$F$3</c:f>
              <c:strCache>
                <c:ptCount val="1"/>
                <c:pt idx="0">
                  <c:v>qf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Ranges!$F$4:$F$15</c:f>
              <c:numCache>
                <c:formatCode>0.0</c:formatCode>
                <c:ptCount val="12"/>
                <c:pt idx="0">
                  <c:v>3.8021217459913976</c:v>
                </c:pt>
                <c:pt idx="1">
                  <c:v>4.7765941043069713</c:v>
                </c:pt>
                <c:pt idx="2">
                  <c:v>5.6471024577624727</c:v>
                </c:pt>
                <c:pt idx="3">
                  <c:v>6.4360526578071342</c:v>
                </c:pt>
                <c:pt idx="4">
                  <c:v>7.1589391422364521</c:v>
                </c:pt>
                <c:pt idx="5">
                  <c:v>7.8271354893391472</c:v>
                </c:pt>
                <c:pt idx="6">
                  <c:v>8.4493113470138734</c:v>
                </c:pt>
                <c:pt idx="7">
                  <c:v>9.0322515933002183</c:v>
                </c:pt>
                <c:pt idx="8">
                  <c:v>9.5813724271300433</c:v>
                </c:pt>
                <c:pt idx="9">
                  <c:v>10.10106628536621</c:v>
                </c:pt>
                <c:pt idx="10">
                  <c:v>10.594942315306973</c:v>
                </c:pt>
                <c:pt idx="11">
                  <c:v>11.065999420057606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3-4093-82C8-94A73828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61504"/>
        <c:axId val="452805712"/>
      </c:scatterChart>
      <c:valAx>
        <c:axId val="44726150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V (m/s)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5712"/>
        <c:crosses val="autoZero"/>
        <c:crossBetween val="midCat"/>
      </c:valAx>
      <c:valAx>
        <c:axId val="4528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q</a:t>
                </a:r>
                <a:r>
                  <a:rPr lang="en-US" sz="1200" b="0" i="0" baseline="-25000">
                    <a:effectLst/>
                  </a:rPr>
                  <a:t>f</a:t>
                </a:r>
                <a:r>
                  <a:rPr lang="en-US" sz="1200" b="0" i="0" baseline="0">
                    <a:effectLst/>
                  </a:rPr>
                  <a:t> (W)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Effectiveness vs Air Speed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Ranges!$G$3</c:f>
              <c:strCache>
                <c:ptCount val="1"/>
                <c:pt idx="0">
                  <c:v>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Ranges!$G$4:$G$15</c:f>
              <c:numCache>
                <c:formatCode>0.0</c:formatCode>
                <c:ptCount val="12"/>
                <c:pt idx="0">
                  <c:v>28.073291868389134</c:v>
                </c:pt>
                <c:pt idx="1">
                  <c:v>26.46549621516181</c:v>
                </c:pt>
                <c:pt idx="2">
                  <c:v>25.081943251553195</c:v>
                </c:pt>
                <c:pt idx="3">
                  <c:v>23.874160582541407</c:v>
                </c:pt>
                <c:pt idx="4">
                  <c:v>22.808269992142296</c:v>
                </c:pt>
                <c:pt idx="5">
                  <c:v>21.859246448709431</c:v>
                </c:pt>
                <c:pt idx="6">
                  <c:v>21.007945641913267</c:v>
                </c:pt>
                <c:pt idx="7">
                  <c:v>20.239357636290972</c:v>
                </c:pt>
                <c:pt idx="8">
                  <c:v>19.541492803537889</c:v>
                </c:pt>
                <c:pt idx="9">
                  <c:v>18.904630193511085</c:v>
                </c:pt>
                <c:pt idx="10">
                  <c:v>18.320789767405671</c:v>
                </c:pt>
                <c:pt idx="11">
                  <c:v>17.78335056810548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8-4E1F-8E67-5D5F6992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06024"/>
        <c:axId val="439706352"/>
      </c:scatterChart>
      <c:valAx>
        <c:axId val="43970602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V (m/s)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6352"/>
        <c:crosses val="autoZero"/>
        <c:crossBetween val="midCat"/>
      </c:valAx>
      <c:valAx>
        <c:axId val="439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ε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Ranges!$H$3</c:f>
              <c:strCache>
                <c:ptCount val="1"/>
                <c:pt idx="0">
                  <c:v>ηf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Ranges!$H$4:$H$15</c:f>
              <c:numCache>
                <c:formatCode>0.000</c:formatCode>
                <c:ptCount val="12"/>
                <c:pt idx="0">
                  <c:v>0.80563530748136569</c:v>
                </c:pt>
                <c:pt idx="1">
                  <c:v>0.75949547637329695</c:v>
                </c:pt>
                <c:pt idx="2">
                  <c:v>0.71979086593861275</c:v>
                </c:pt>
                <c:pt idx="3">
                  <c:v>0.68513043614357239</c:v>
                </c:pt>
                <c:pt idx="4">
                  <c:v>0.6545419644544147</c:v>
                </c:pt>
                <c:pt idx="5">
                  <c:v>0.62730729323007206</c:v>
                </c:pt>
                <c:pt idx="6">
                  <c:v>0.60287702725137404</c:v>
                </c:pt>
                <c:pt idx="7">
                  <c:v>0.5808204178185048</c:v>
                </c:pt>
                <c:pt idx="8">
                  <c:v>0.56079339171300779</c:v>
                </c:pt>
                <c:pt idx="9">
                  <c:v>0.54251698127073766</c:v>
                </c:pt>
                <c:pt idx="10">
                  <c:v>0.52576217875557119</c:v>
                </c:pt>
                <c:pt idx="11">
                  <c:v>0.51033897877565404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8-48A0-BA76-97C290EE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0112"/>
        <c:axId val="445161096"/>
      </c:scatterChart>
      <c:valAx>
        <c:axId val="44516011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1096"/>
        <c:crosses val="autoZero"/>
        <c:crossBetween val="midCat"/>
      </c:valAx>
      <c:valAx>
        <c:axId val="4451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Ranges!$I$3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Ranges!$A$4:$A$15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Ranges!$I$4:$I$15</c:f>
              <c:numCache>
                <c:formatCode>0.0</c:formatCode>
                <c:ptCount val="12"/>
                <c:pt idx="0">
                  <c:v>829.09193993285703</c:v>
                </c:pt>
                <c:pt idx="1">
                  <c:v>1044.7952086252099</c:v>
                </c:pt>
                <c:pt idx="2">
                  <c:v>1238.858082144061</c:v>
                </c:pt>
                <c:pt idx="3">
                  <c:v>1415.9682243109808</c:v>
                </c:pt>
                <c:pt idx="4">
                  <c:v>1579.3585000728935</c:v>
                </c:pt>
                <c:pt idx="5">
                  <c:v>1731.397711882126</c:v>
                </c:pt>
                <c:pt idx="6">
                  <c:v>1873.8893015349558</c:v>
                </c:pt>
                <c:pt idx="7">
                  <c:v>2008.2434281508697</c:v>
                </c:pt>
                <c:pt idx="8">
                  <c:v>2135.5850787383793</c:v>
                </c:pt>
                <c:pt idx="9">
                  <c:v>2256.8261659010755</c:v>
                </c:pt>
                <c:pt idx="10">
                  <c:v>2372.7157108063902</c:v>
                </c:pt>
                <c:pt idx="11">
                  <c:v>2483.875909376186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D-40C6-936A-56A0074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21056"/>
        <c:axId val="317222040"/>
      </c:scatterChart>
      <c:valAx>
        <c:axId val="3172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2040"/>
        <c:crosses val="autoZero"/>
        <c:crossBetween val="midCat"/>
      </c:valAx>
      <c:valAx>
        <c:axId val="31722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7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5" Type="http://schemas.openxmlformats.org/officeDocument/2006/relationships/chart" Target="../charts/chart1.xml"/><Relationship Id="rId2" Type="http://schemas.openxmlformats.org/officeDocument/2006/relationships/hyperlink" Target="https://en.wikipedia.org/wiki/Hydraulic_diameter" TargetMode="External"/><Relationship Id="rId16" Type="http://schemas.openxmlformats.org/officeDocument/2006/relationships/image" Target="../media/image12.png"/><Relationship Id="rId20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hyperlink" Target="https://en.wikipedia.org/wiki/Nusselt_number" TargetMode="External"/><Relationship Id="rId11" Type="http://schemas.openxmlformats.org/officeDocument/2006/relationships/image" Target="../media/image7.png"/><Relationship Id="rId24" Type="http://schemas.openxmlformats.org/officeDocument/2006/relationships/image" Target="../media/image20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4" Type="http://schemas.openxmlformats.org/officeDocument/2006/relationships/hyperlink" Target="https://en.wikipedia.org/wiki/Reynolds_number#Flow_in_an_open_channel" TargetMode="External"/><Relationship Id="rId9" Type="http://schemas.openxmlformats.org/officeDocument/2006/relationships/hyperlink" Target="https://en.wikipedia.org/wiki/Darcy_friction_factor_formulae" TargetMode="External"/><Relationship Id="rId14" Type="http://schemas.openxmlformats.org/officeDocument/2006/relationships/image" Target="../media/image10.png"/><Relationship Id="rId22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123826</xdr:colOff>
      <xdr:row>0</xdr:row>
      <xdr:rowOff>53628</xdr:rowOff>
    </xdr:from>
    <xdr:to>
      <xdr:col>22</xdr:col>
      <xdr:colOff>523876</xdr:colOff>
      <xdr:row>13</xdr:row>
      <xdr:rowOff>27804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1" y="53628"/>
          <a:ext cx="2228850" cy="2574501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228600</xdr:colOff>
      <xdr:row>3</xdr:row>
      <xdr:rowOff>28575</xdr:rowOff>
    </xdr:from>
    <xdr:to>
      <xdr:col>18</xdr:col>
      <xdr:colOff>590429</xdr:colOff>
      <xdr:row>5</xdr:row>
      <xdr:rowOff>57098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1850" y="657225"/>
          <a:ext cx="971429" cy="41904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66675</xdr:colOff>
      <xdr:row>0</xdr:row>
      <xdr:rowOff>104775</xdr:rowOff>
    </xdr:from>
    <xdr:to>
      <xdr:col>18</xdr:col>
      <xdr:colOff>761837</xdr:colOff>
      <xdr:row>2</xdr:row>
      <xdr:rowOff>161867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29925" y="104775"/>
          <a:ext cx="1304762" cy="46666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23</xdr:col>
      <xdr:colOff>95250</xdr:colOff>
      <xdr:row>5</xdr:row>
      <xdr:rowOff>9525</xdr:rowOff>
    </xdr:from>
    <xdr:to>
      <xdr:col>27</xdr:col>
      <xdr:colOff>457901</xdr:colOff>
      <xdr:row>10</xdr:row>
      <xdr:rowOff>158530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4848417" y="1036108"/>
          <a:ext cx="2817984" cy="1165005"/>
          <a:chOff x="14830425" y="1076325"/>
          <a:chExt cx="2801051" cy="1101505"/>
        </a:xfrm>
      </xdr:grpSpPr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839950" y="1076325"/>
            <a:ext cx="2791526" cy="69532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830425" y="1781175"/>
            <a:ext cx="2799921" cy="39665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23</xdr:col>
      <xdr:colOff>142875</xdr:colOff>
      <xdr:row>1</xdr:row>
      <xdr:rowOff>0</xdr:rowOff>
    </xdr:from>
    <xdr:to>
      <xdr:col>27</xdr:col>
      <xdr:colOff>447989</xdr:colOff>
      <xdr:row>4</xdr:row>
      <xdr:rowOff>38100</xdr:rowOff>
    </xdr:to>
    <xdr:pic>
      <xdr:nvPicPr>
        <xdr:cNvPr id="9" name="Picture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78050" y="219075"/>
          <a:ext cx="2743514" cy="6667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152401</xdr:colOff>
      <xdr:row>5</xdr:row>
      <xdr:rowOff>85726</xdr:rowOff>
    </xdr:from>
    <xdr:to>
      <xdr:col>18</xdr:col>
      <xdr:colOff>709685</xdr:colOff>
      <xdr:row>7</xdr:row>
      <xdr:rowOff>190501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15651" y="1152526"/>
          <a:ext cx="1166884" cy="5143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142876</xdr:colOff>
      <xdr:row>13</xdr:row>
      <xdr:rowOff>57902</xdr:rowOff>
    </xdr:from>
    <xdr:to>
      <xdr:col>22</xdr:col>
      <xdr:colOff>514350</xdr:colOff>
      <xdr:row>20</xdr:row>
      <xdr:rowOff>56397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01551" y="2658227"/>
          <a:ext cx="2200274" cy="135104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23</xdr:col>
      <xdr:colOff>85726</xdr:colOff>
      <xdr:row>11</xdr:row>
      <xdr:rowOff>86889</xdr:rowOff>
    </xdr:from>
    <xdr:to>
      <xdr:col>27</xdr:col>
      <xdr:colOff>466725</xdr:colOff>
      <xdr:row>16</xdr:row>
      <xdr:rowOff>177988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16126" y="2296689"/>
          <a:ext cx="2819399" cy="106264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285750</xdr:colOff>
      <xdr:row>8</xdr:row>
      <xdr:rowOff>132455</xdr:rowOff>
    </xdr:from>
    <xdr:to>
      <xdr:col>18</xdr:col>
      <xdr:colOff>600075</xdr:colOff>
      <xdr:row>11</xdr:row>
      <xdr:rowOff>47519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049000" y="1770755"/>
          <a:ext cx="923925" cy="48656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371475</xdr:colOff>
      <xdr:row>11</xdr:row>
      <xdr:rowOff>119853</xdr:rowOff>
    </xdr:from>
    <xdr:to>
      <xdr:col>18</xdr:col>
      <xdr:colOff>523875</xdr:colOff>
      <xdr:row>14</xdr:row>
      <xdr:rowOff>85574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134725" y="2339178"/>
          <a:ext cx="762000" cy="54674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38100</xdr:colOff>
      <xdr:row>14</xdr:row>
      <xdr:rowOff>182048</xdr:rowOff>
    </xdr:from>
    <xdr:to>
      <xdr:col>19</xdr:col>
      <xdr:colOff>57150</xdr:colOff>
      <xdr:row>17</xdr:row>
      <xdr:rowOff>114093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868025" y="2982398"/>
          <a:ext cx="1447800" cy="51307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28576</xdr:colOff>
      <xdr:row>18</xdr:row>
      <xdr:rowOff>57150</xdr:rowOff>
    </xdr:from>
    <xdr:to>
      <xdr:col>19</xdr:col>
      <xdr:colOff>47018</xdr:colOff>
      <xdr:row>20</xdr:row>
      <xdr:rowOff>152250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858501" y="3629025"/>
          <a:ext cx="1447192" cy="4761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47626</xdr:colOff>
      <xdr:row>21</xdr:row>
      <xdr:rowOff>30347</xdr:rowOff>
    </xdr:from>
    <xdr:to>
      <xdr:col>19</xdr:col>
      <xdr:colOff>9526</xdr:colOff>
      <xdr:row>22</xdr:row>
      <xdr:rowOff>161843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77551" y="4173722"/>
          <a:ext cx="1390650" cy="32199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266701</xdr:colOff>
      <xdr:row>20</xdr:row>
      <xdr:rowOff>123826</xdr:rowOff>
    </xdr:from>
    <xdr:to>
      <xdr:col>22</xdr:col>
      <xdr:colOff>403032</xdr:colOff>
      <xdr:row>22</xdr:row>
      <xdr:rowOff>38018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525376" y="4076701"/>
          <a:ext cx="1965131" cy="29519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66677</xdr:colOff>
      <xdr:row>23</xdr:row>
      <xdr:rowOff>109890</xdr:rowOff>
    </xdr:from>
    <xdr:to>
      <xdr:col>19</xdr:col>
      <xdr:colOff>1</xdr:colOff>
      <xdr:row>26</xdr:row>
      <xdr:rowOff>37948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896602" y="4634265"/>
          <a:ext cx="1362074" cy="49955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266700</xdr:colOff>
      <xdr:row>22</xdr:row>
      <xdr:rowOff>133350</xdr:rowOff>
    </xdr:from>
    <xdr:to>
      <xdr:col>27</xdr:col>
      <xdr:colOff>8948</xdr:colOff>
      <xdr:row>43</xdr:row>
      <xdr:rowOff>113801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525375" y="4467225"/>
          <a:ext cx="4619048" cy="399047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533400</xdr:colOff>
      <xdr:row>26</xdr:row>
      <xdr:rowOff>157296</xdr:rowOff>
    </xdr:from>
    <xdr:to>
      <xdr:col>19</xdr:col>
      <xdr:colOff>104775</xdr:colOff>
      <xdr:row>29</xdr:row>
      <xdr:rowOff>95157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687050" y="5253171"/>
          <a:ext cx="1676400" cy="51888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457200</xdr:colOff>
      <xdr:row>30</xdr:row>
      <xdr:rowOff>19409</xdr:rowOff>
    </xdr:from>
    <xdr:to>
      <xdr:col>19</xdr:col>
      <xdr:colOff>190500</xdr:colOff>
      <xdr:row>32</xdr:row>
      <xdr:rowOff>171344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610850" y="5886809"/>
          <a:ext cx="1838325" cy="53293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504825</xdr:colOff>
      <xdr:row>33</xdr:row>
      <xdr:rowOff>129003</xdr:rowOff>
    </xdr:from>
    <xdr:to>
      <xdr:col>19</xdr:col>
      <xdr:colOff>104775</xdr:colOff>
      <xdr:row>35</xdr:row>
      <xdr:rowOff>18993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658475" y="6567903"/>
          <a:ext cx="1704975" cy="27099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11</xdr:col>
      <xdr:colOff>0</xdr:colOff>
      <xdr:row>29</xdr:row>
      <xdr:rowOff>152400</xdr:rowOff>
    </xdr:from>
    <xdr:to>
      <xdr:col>15</xdr:col>
      <xdr:colOff>19050</xdr:colOff>
      <xdr:row>40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47625</xdr:rowOff>
    </xdr:from>
    <xdr:to>
      <xdr:col>18</xdr:col>
      <xdr:colOff>419100</xdr:colOff>
      <xdr:row>15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1</xdr:row>
      <xdr:rowOff>38100</xdr:rowOff>
    </xdr:from>
    <xdr:to>
      <xdr:col>26</xdr:col>
      <xdr:colOff>228600</xdr:colOff>
      <xdr:row>15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16</xdr:row>
      <xdr:rowOff>38100</xdr:rowOff>
    </xdr:from>
    <xdr:to>
      <xdr:col>18</xdr:col>
      <xdr:colOff>419100</xdr:colOff>
      <xdr:row>30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2</xdr:row>
      <xdr:rowOff>19050</xdr:rowOff>
    </xdr:from>
    <xdr:to>
      <xdr:col>5</xdr:col>
      <xdr:colOff>533400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</xdr:row>
      <xdr:rowOff>28575</xdr:rowOff>
    </xdr:from>
    <xdr:to>
      <xdr:col>11</xdr:col>
      <xdr:colOff>161925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16</xdr:row>
      <xdr:rowOff>123825</xdr:rowOff>
    </xdr:from>
    <xdr:to>
      <xdr:col>5</xdr:col>
      <xdr:colOff>542925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16</xdr:row>
      <xdr:rowOff>133350</xdr:rowOff>
    </xdr:from>
    <xdr:to>
      <xdr:col>12</xdr:col>
      <xdr:colOff>342900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31</xdr:row>
      <xdr:rowOff>57150</xdr:rowOff>
    </xdr:from>
    <xdr:to>
      <xdr:col>7</xdr:col>
      <xdr:colOff>352425</xdr:colOff>
      <xdr:row>45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104775</xdr:rowOff>
    </xdr:from>
    <xdr:to>
      <xdr:col>13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EC6E1-1540-4C76-9E1C-E3C803042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176212</xdr:rowOff>
    </xdr:from>
    <xdr:to>
      <xdr:col>11</xdr:col>
      <xdr:colOff>485775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0</xdr:row>
      <xdr:rowOff>28575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EB912D-5016-4733-B41A-04520E280077}"/>
                </a:ext>
              </a:extLst>
            </xdr:cNvPr>
            <xdr:cNvSpPr txBox="1"/>
          </xdr:nvSpPr>
          <xdr:spPr>
            <a:xfrm>
              <a:off x="981075" y="285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EB912D-5016-4733-B41A-04520E280077}"/>
                </a:ext>
              </a:extLst>
            </xdr:cNvPr>
            <xdr:cNvSpPr txBox="1"/>
          </xdr:nvSpPr>
          <xdr:spPr>
            <a:xfrm>
              <a:off x="981075" y="285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18</xdr:row>
      <xdr:rowOff>133350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22E6AF-19CE-44C0-9CAA-BDF1C6FE27B1}"/>
                </a:ext>
              </a:extLst>
            </xdr:cNvPr>
            <xdr:cNvSpPr txBox="1"/>
          </xdr:nvSpPr>
          <xdr:spPr>
            <a:xfrm>
              <a:off x="6848475" y="38766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22E6AF-19CE-44C0-9CAA-BDF1C6FE27B1}"/>
                </a:ext>
              </a:extLst>
            </xdr:cNvPr>
            <xdr:cNvSpPr txBox="1"/>
          </xdr:nvSpPr>
          <xdr:spPr>
            <a:xfrm>
              <a:off x="6848475" y="38766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14</xdr:row>
      <xdr:rowOff>57150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96A8EE-3BF7-4A22-99D5-58668CAF078F}"/>
                </a:ext>
              </a:extLst>
            </xdr:cNvPr>
            <xdr:cNvSpPr txBox="1"/>
          </xdr:nvSpPr>
          <xdr:spPr>
            <a:xfrm>
              <a:off x="933450" y="294322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96A8EE-3BF7-4A22-99D5-58668CAF078F}"/>
                </a:ext>
              </a:extLst>
            </xdr:cNvPr>
            <xdr:cNvSpPr txBox="1"/>
          </xdr:nvSpPr>
          <xdr:spPr>
            <a:xfrm>
              <a:off x="933450" y="294322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26</xdr:row>
      <xdr:rowOff>152400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8FD5A14-9F4C-4264-A231-D2A6BA5CBBC6}"/>
                </a:ext>
              </a:extLst>
            </xdr:cNvPr>
            <xdr:cNvSpPr txBox="1"/>
          </xdr:nvSpPr>
          <xdr:spPr>
            <a:xfrm>
              <a:off x="6848475" y="55911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8FD5A14-9F4C-4264-A231-D2A6BA5CBBC6}"/>
                </a:ext>
              </a:extLst>
            </xdr:cNvPr>
            <xdr:cNvSpPr txBox="1"/>
          </xdr:nvSpPr>
          <xdr:spPr>
            <a:xfrm>
              <a:off x="6848475" y="55911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18</xdr:row>
      <xdr:rowOff>133350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8EB281C-83E1-4D50-B3DB-D1DC996299EC}"/>
                </a:ext>
              </a:extLst>
            </xdr:cNvPr>
            <xdr:cNvSpPr txBox="1"/>
          </xdr:nvSpPr>
          <xdr:spPr>
            <a:xfrm>
              <a:off x="6848475" y="38766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8EB281C-83E1-4D50-B3DB-D1DC996299EC}"/>
                </a:ext>
              </a:extLst>
            </xdr:cNvPr>
            <xdr:cNvSpPr txBox="1"/>
          </xdr:nvSpPr>
          <xdr:spPr>
            <a:xfrm>
              <a:off x="6848475" y="38766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26</xdr:row>
      <xdr:rowOff>152400</xdr:rowOff>
    </xdr:from>
    <xdr:ext cx="447675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0210EF9-7FCD-45CF-A24C-4BE408C6F5D7}"/>
                </a:ext>
              </a:extLst>
            </xdr:cNvPr>
            <xdr:cNvSpPr txBox="1"/>
          </xdr:nvSpPr>
          <xdr:spPr>
            <a:xfrm>
              <a:off x="6848475" y="55911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0210EF9-7FCD-45CF-A24C-4BE408C6F5D7}"/>
                </a:ext>
              </a:extLst>
            </xdr:cNvPr>
            <xdr:cNvSpPr txBox="1"/>
          </xdr:nvSpPr>
          <xdr:spPr>
            <a:xfrm>
              <a:off x="6848475" y="5591175"/>
              <a:ext cx="44767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𝑅𝑎/</a:t>
              </a:r>
              <a:r>
                <a:rPr lang="en-US" sz="110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66674</xdr:colOff>
      <xdr:row>0</xdr:row>
      <xdr:rowOff>100012</xdr:rowOff>
    </xdr:from>
    <xdr:to>
      <xdr:col>22</xdr:col>
      <xdr:colOff>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28</xdr:row>
      <xdr:rowOff>147636</xdr:rowOff>
    </xdr:from>
    <xdr:to>
      <xdr:col>10</xdr:col>
      <xdr:colOff>161925</xdr:colOff>
      <xdr:row>49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16</xdr:row>
      <xdr:rowOff>71437</xdr:rowOff>
    </xdr:from>
    <xdr:to>
      <xdr:col>20</xdr:col>
      <xdr:colOff>590549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2F1CD-80D6-4A86-AB54-92807015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</xdr:row>
      <xdr:rowOff>138112</xdr:rowOff>
    </xdr:from>
    <xdr:to>
      <xdr:col>20</xdr:col>
      <xdr:colOff>571500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6F5D8-9BC1-4742-9C2F-9822F19E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%20Heat%20Sin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 Model"/>
      <sheetName val="Ranges"/>
      <sheetName val="Plots"/>
      <sheetName val="Dry Air"/>
      <sheetName val="Bessel"/>
      <sheetName val="Thermal Resistance"/>
      <sheetName val="K Al"/>
      <sheetName val="Rig Geometry"/>
      <sheetName val="Roughness Matrix"/>
      <sheetName val="Simulation Matrix"/>
      <sheetName val="Test Matrix"/>
      <sheetName val="Scratch"/>
      <sheetName val="Slice Stud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272.59100642398198</v>
          </cell>
          <cell r="B2">
            <v>234.40092165898599</v>
          </cell>
        </row>
        <row r="3">
          <cell r="A3">
            <v>278.15845824411099</v>
          </cell>
          <cell r="B3">
            <v>234.49308755760299</v>
          </cell>
        </row>
        <row r="4">
          <cell r="A4">
            <v>282.44111349036399</v>
          </cell>
          <cell r="B4">
            <v>234.72350230414699</v>
          </cell>
        </row>
        <row r="5">
          <cell r="A5">
            <v>286.29550321199099</v>
          </cell>
          <cell r="B5">
            <v>235.06912442396299</v>
          </cell>
        </row>
        <row r="6">
          <cell r="A6">
            <v>289.29336188436798</v>
          </cell>
          <cell r="B6">
            <v>235.41474654377799</v>
          </cell>
        </row>
        <row r="7">
          <cell r="A7">
            <v>291.86295503211898</v>
          </cell>
          <cell r="B7">
            <v>235.82949308755701</v>
          </cell>
        </row>
        <row r="8">
          <cell r="A8">
            <v>294.00428265524602</v>
          </cell>
          <cell r="B8">
            <v>236.22119815668199</v>
          </cell>
        </row>
        <row r="9">
          <cell r="A9">
            <v>295.717344753747</v>
          </cell>
          <cell r="B9">
            <v>236.566820276497</v>
          </cell>
        </row>
        <row r="10">
          <cell r="A10">
            <v>297.00214132762301</v>
          </cell>
          <cell r="B10">
            <v>236.912442396313</v>
          </cell>
        </row>
        <row r="11">
          <cell r="A11">
            <v>300.42826552462498</v>
          </cell>
          <cell r="B11">
            <v>237.18894009216501</v>
          </cell>
        </row>
        <row r="12">
          <cell r="A12">
            <v>304.71092077087701</v>
          </cell>
          <cell r="B12">
            <v>237.58064516128999</v>
          </cell>
        </row>
        <row r="13">
          <cell r="A13">
            <v>309.85010706638099</v>
          </cell>
          <cell r="B13">
            <v>237.94930875576</v>
          </cell>
        </row>
        <row r="14">
          <cell r="A14">
            <v>314.56102783725902</v>
          </cell>
          <cell r="B14">
            <v>238.271889400921</v>
          </cell>
        </row>
        <row r="15">
          <cell r="A15">
            <v>319.70021413276203</v>
          </cell>
          <cell r="B15">
            <v>238.59447004608199</v>
          </cell>
        </row>
        <row r="16">
          <cell r="A16">
            <v>325.69593147751601</v>
          </cell>
          <cell r="B16">
            <v>238.91705069124399</v>
          </cell>
        </row>
        <row r="17">
          <cell r="A17">
            <v>332.11991434689497</v>
          </cell>
          <cell r="B17">
            <v>239.216589861751</v>
          </cell>
        </row>
        <row r="18">
          <cell r="A18">
            <v>338.97216274089902</v>
          </cell>
          <cell r="B18">
            <v>239.47004608294901</v>
          </cell>
        </row>
        <row r="19">
          <cell r="A19">
            <v>345.82441113490302</v>
          </cell>
          <cell r="B19">
            <v>239.70046082949301</v>
          </cell>
        </row>
        <row r="20">
          <cell r="A20">
            <v>353.53319057815798</v>
          </cell>
          <cell r="B20">
            <v>239.861751152073</v>
          </cell>
        </row>
        <row r="21">
          <cell r="A21">
            <v>360.38543897216198</v>
          </cell>
          <cell r="B21">
            <v>239.976958525345</v>
          </cell>
        </row>
        <row r="22">
          <cell r="A22">
            <v>368.094218415417</v>
          </cell>
          <cell r="B22">
            <v>240.06912442396299</v>
          </cell>
        </row>
        <row r="23">
          <cell r="A23">
            <v>377.51605995717301</v>
          </cell>
          <cell r="B23">
            <v>240.06912442396299</v>
          </cell>
        </row>
        <row r="24">
          <cell r="A24">
            <v>387.79443254817897</v>
          </cell>
          <cell r="B24">
            <v>240.02304147465401</v>
          </cell>
        </row>
        <row r="25">
          <cell r="A25">
            <v>396.35974304068498</v>
          </cell>
          <cell r="B25">
            <v>239.90783410138201</v>
          </cell>
        </row>
        <row r="26">
          <cell r="A26">
            <v>404.92505353319001</v>
          </cell>
          <cell r="B26">
            <v>239.769585253456</v>
          </cell>
        </row>
        <row r="27">
          <cell r="A27">
            <v>414.34689507494602</v>
          </cell>
          <cell r="B27">
            <v>239.56221198156601</v>
          </cell>
        </row>
        <row r="28">
          <cell r="A28">
            <v>424.62526766595198</v>
          </cell>
          <cell r="B28">
            <v>239.28571428571399</v>
          </cell>
        </row>
        <row r="29">
          <cell r="A29">
            <v>434.47537473233399</v>
          </cell>
          <cell r="B29">
            <v>238.986175115207</v>
          </cell>
        </row>
        <row r="30">
          <cell r="A30">
            <v>442.61241970021399</v>
          </cell>
          <cell r="B30">
            <v>238.68663594469999</v>
          </cell>
        </row>
        <row r="31">
          <cell r="A31">
            <v>451.17773019271903</v>
          </cell>
          <cell r="B31">
            <v>238.36405529953899</v>
          </cell>
        </row>
        <row r="32">
          <cell r="A32">
            <v>461.45610278372499</v>
          </cell>
          <cell r="B32">
            <v>237.94930875576</v>
          </cell>
        </row>
        <row r="33">
          <cell r="A33">
            <v>471.73447537473203</v>
          </cell>
          <cell r="B33">
            <v>237.511520737327</v>
          </cell>
        </row>
        <row r="34">
          <cell r="A34">
            <v>480.29978586723701</v>
          </cell>
          <cell r="B34">
            <v>237.142857142857</v>
          </cell>
        </row>
        <row r="35">
          <cell r="A35">
            <v>489.72162740899302</v>
          </cell>
          <cell r="B35">
            <v>236.682027649769</v>
          </cell>
        </row>
        <row r="36">
          <cell r="A36">
            <v>497.43040685224798</v>
          </cell>
          <cell r="B36">
            <v>236.31336405529899</v>
          </cell>
        </row>
        <row r="37">
          <cell r="A37">
            <v>505.99571734475302</v>
          </cell>
          <cell r="B37">
            <v>235.921658986175</v>
          </cell>
        </row>
        <row r="38">
          <cell r="A38">
            <v>514.56102783725896</v>
          </cell>
          <cell r="B38">
            <v>235.48387096774101</v>
          </cell>
        </row>
        <row r="39">
          <cell r="A39">
            <v>522.26980728051296</v>
          </cell>
          <cell r="B39">
            <v>235.092165898617</v>
          </cell>
        </row>
        <row r="40">
          <cell r="A40">
            <v>529.97858672376799</v>
          </cell>
          <cell r="B40">
            <v>234.67741935483801</v>
          </cell>
        </row>
        <row r="41">
          <cell r="A41">
            <v>538.54389721627399</v>
          </cell>
          <cell r="B41">
            <v>234.23963133640501</v>
          </cell>
        </row>
        <row r="42">
          <cell r="A42">
            <v>546.25267665952799</v>
          </cell>
          <cell r="B42">
            <v>233.82488479262599</v>
          </cell>
        </row>
        <row r="43">
          <cell r="A43">
            <v>556.53104925053503</v>
          </cell>
          <cell r="B43">
            <v>233.271889400921</v>
          </cell>
        </row>
        <row r="44">
          <cell r="A44">
            <v>567.66595289079203</v>
          </cell>
          <cell r="B44">
            <v>232.67281105990699</v>
          </cell>
        </row>
        <row r="45">
          <cell r="A45">
            <v>577.94432548179805</v>
          </cell>
          <cell r="B45">
            <v>232.09677419354799</v>
          </cell>
        </row>
        <row r="46">
          <cell r="A46">
            <v>589.07922912205504</v>
          </cell>
          <cell r="B46">
            <v>231.47465437788</v>
          </cell>
        </row>
        <row r="47">
          <cell r="A47">
            <v>599.35760171306197</v>
          </cell>
          <cell r="B47">
            <v>230.921658986175</v>
          </cell>
        </row>
        <row r="48">
          <cell r="A48">
            <v>610.49250535331896</v>
          </cell>
          <cell r="B48">
            <v>230.25345622119801</v>
          </cell>
        </row>
        <row r="49">
          <cell r="A49">
            <v>627.62312633832903</v>
          </cell>
          <cell r="B49">
            <v>229.26267281105899</v>
          </cell>
        </row>
        <row r="50">
          <cell r="A50">
            <v>645.61027837258996</v>
          </cell>
          <cell r="B50">
            <v>228.179723502304</v>
          </cell>
        </row>
        <row r="51">
          <cell r="A51">
            <v>665.31049250535295</v>
          </cell>
          <cell r="B51">
            <v>226.98156682027599</v>
          </cell>
        </row>
        <row r="52">
          <cell r="A52">
            <v>684.15417558886497</v>
          </cell>
          <cell r="B52">
            <v>225.806451612903</v>
          </cell>
        </row>
        <row r="53">
          <cell r="A53">
            <v>700.42826552462498</v>
          </cell>
          <cell r="B53">
            <v>224.746543778801</v>
          </cell>
        </row>
        <row r="54">
          <cell r="A54">
            <v>713.27623126338301</v>
          </cell>
          <cell r="B54">
            <v>223.870967741935</v>
          </cell>
        </row>
        <row r="55">
          <cell r="A55">
            <v>723.98286937901401</v>
          </cell>
          <cell r="B55">
            <v>223.156682027649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specific-heat-ratio-d_608.html" TargetMode="External"/><Relationship Id="rId7" Type="http://schemas.openxmlformats.org/officeDocument/2006/relationships/hyperlink" Target="https://www.engineeringtoolbox.com/air-density-specific-weight-d_600.html" TargetMode="External"/><Relationship Id="rId2" Type="http://schemas.openxmlformats.org/officeDocument/2006/relationships/hyperlink" Target="https://www.engineeringtoolbox.com/specific-heat-capacity-converter-d_673.html" TargetMode="External"/><Relationship Id="rId1" Type="http://schemas.openxmlformats.org/officeDocument/2006/relationships/hyperlink" Target="https://www.engineeringtoolbox.com/temperature-d_291.html" TargetMode="External"/><Relationship Id="rId6" Type="http://schemas.openxmlformats.org/officeDocument/2006/relationships/hyperlink" Target="https://www.engineeringtoolbox.com/dynamic-absolute-kinematic-viscosity-d_412.html" TargetMode="External"/><Relationship Id="rId5" Type="http://schemas.openxmlformats.org/officeDocument/2006/relationships/hyperlink" Target="https://www.engineeringtoolbox.com/conductive-heat-transfer-d_428.html" TargetMode="External"/><Relationship Id="rId4" Type="http://schemas.openxmlformats.org/officeDocument/2006/relationships/hyperlink" Target="https://www.engineeringtoolbox.com/dynamic-absolute-kinematic-viscosity-d_412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29"/>
  <sheetViews>
    <sheetView tabSelected="1" zoomScale="90" zoomScaleNormal="90" workbookViewId="0">
      <selection activeCell="I33" sqref="I33"/>
    </sheetView>
  </sheetViews>
  <sheetFormatPr defaultRowHeight="15" x14ac:dyDescent="0.25"/>
  <cols>
    <col min="2" max="3" width="5.7109375" customWidth="1"/>
    <col min="5" max="5" width="13.140625" bestFit="1" customWidth="1"/>
    <col min="6" max="6" width="12" bestFit="1" customWidth="1"/>
    <col min="7" max="7" width="9.7109375" bestFit="1" customWidth="1"/>
    <col min="8" max="8" width="11.28515625" bestFit="1" customWidth="1"/>
    <col min="10" max="10" width="10.42578125" customWidth="1"/>
    <col min="12" max="12" width="10.28515625" bestFit="1" customWidth="1"/>
    <col min="14" max="14" width="10" bestFit="1" customWidth="1"/>
    <col min="17" max="17" width="10.140625" customWidth="1"/>
    <col min="19" max="19" width="12.28515625" customWidth="1"/>
  </cols>
  <sheetData>
    <row r="1" spans="1:22" x14ac:dyDescent="0.25">
      <c r="D1" s="4" t="s">
        <v>1</v>
      </c>
      <c r="F1" t="s">
        <v>7</v>
      </c>
      <c r="P1" t="s">
        <v>33</v>
      </c>
      <c r="Q1" t="s">
        <v>26</v>
      </c>
    </row>
    <row r="2" spans="1:22" ht="17.25" x14ac:dyDescent="0.25">
      <c r="A2" t="s">
        <v>64</v>
      </c>
      <c r="B2">
        <f>273+C2</f>
        <v>393</v>
      </c>
      <c r="C2">
        <f>120</f>
        <v>120</v>
      </c>
      <c r="D2">
        <v>150</v>
      </c>
      <c r="E2" s="8" t="s">
        <v>11</v>
      </c>
      <c r="F2">
        <f>27.19/1000</f>
        <v>2.7190000000000002E-2</v>
      </c>
      <c r="I2" t="s">
        <v>21</v>
      </c>
      <c r="J2">
        <v>1317</v>
      </c>
      <c r="O2" t="s">
        <v>18</v>
      </c>
      <c r="P2">
        <v>8.9</v>
      </c>
      <c r="Q2" s="1">
        <f t="shared" ref="Q2:Q7" si="0">P2/1000</f>
        <v>8.8999999999999999E-3</v>
      </c>
    </row>
    <row r="3" spans="1:22" ht="17.25" x14ac:dyDescent="0.25">
      <c r="A3" t="s">
        <v>65</v>
      </c>
      <c r="B3">
        <f>273+C3</f>
        <v>311</v>
      </c>
      <c r="C3">
        <f>38</f>
        <v>38</v>
      </c>
      <c r="E3" s="8" t="s">
        <v>10</v>
      </c>
      <c r="F3">
        <v>1.04</v>
      </c>
      <c r="I3" t="s">
        <v>4</v>
      </c>
      <c r="J3">
        <f>J2*10^-6</f>
        <v>1.317E-3</v>
      </c>
      <c r="O3" t="s">
        <v>28</v>
      </c>
      <c r="P3">
        <v>1.8</v>
      </c>
      <c r="Q3">
        <f t="shared" si="0"/>
        <v>1.8E-3</v>
      </c>
    </row>
    <row r="4" spans="1:22" x14ac:dyDescent="0.25">
      <c r="A4" t="s">
        <v>66</v>
      </c>
      <c r="B4">
        <f>B2-B3</f>
        <v>82</v>
      </c>
      <c r="E4" s="8" t="s">
        <v>15</v>
      </c>
      <c r="F4" s="200">
        <v>1.0069999999999999</v>
      </c>
      <c r="I4" t="s">
        <v>2</v>
      </c>
      <c r="J4">
        <v>6</v>
      </c>
      <c r="O4" t="s">
        <v>27</v>
      </c>
      <c r="P4">
        <v>7.8</v>
      </c>
      <c r="Q4">
        <f t="shared" si="0"/>
        <v>7.7999999999999996E-3</v>
      </c>
    </row>
    <row r="5" spans="1:22" ht="15.75" thickBot="1" x14ac:dyDescent="0.3">
      <c r="A5" t="s">
        <v>14</v>
      </c>
      <c r="B5">
        <v>20</v>
      </c>
      <c r="E5" s="8" t="s">
        <v>12</v>
      </c>
      <c r="F5">
        <f>190.27*10^-7</f>
        <v>1.9026999999999999E-5</v>
      </c>
      <c r="I5" t="s">
        <v>3</v>
      </c>
      <c r="J5" s="5">
        <v>0.65</v>
      </c>
      <c r="O5" t="s">
        <v>24</v>
      </c>
      <c r="P5">
        <v>0.7</v>
      </c>
      <c r="Q5">
        <f t="shared" si="0"/>
        <v>6.9999999999999999E-4</v>
      </c>
    </row>
    <row r="6" spans="1:22" x14ac:dyDescent="0.25">
      <c r="A6" t="s">
        <v>0</v>
      </c>
      <c r="B6">
        <v>180</v>
      </c>
      <c r="E6" s="8" t="s">
        <v>16</v>
      </c>
      <c r="F6" s="200">
        <f>17.1 *10^-6</f>
        <v>1.7100000000000002E-5</v>
      </c>
      <c r="I6" t="s">
        <v>5</v>
      </c>
      <c r="J6">
        <f>J4*(1-J5)*1000</f>
        <v>2099.9999999999995</v>
      </c>
      <c r="L6" s="212" t="s">
        <v>25</v>
      </c>
      <c r="M6" s="213"/>
      <c r="O6" t="s">
        <v>31</v>
      </c>
      <c r="P6">
        <f>2*P4+2*P5</f>
        <v>17</v>
      </c>
      <c r="Q6">
        <f t="shared" si="0"/>
        <v>1.7000000000000001E-2</v>
      </c>
    </row>
    <row r="7" spans="1:22" ht="17.25" x14ac:dyDescent="0.25">
      <c r="E7" s="8" t="s">
        <v>17</v>
      </c>
      <c r="F7" s="200">
        <f>24.28*10^-6</f>
        <v>2.4280000000000001E-5</v>
      </c>
      <c r="I7" t="s">
        <v>22</v>
      </c>
      <c r="J7">
        <f>J6/J2</f>
        <v>1.594533029612756</v>
      </c>
      <c r="L7" s="36" t="s">
        <v>38</v>
      </c>
      <c r="M7" s="37" t="s">
        <v>37</v>
      </c>
      <c r="O7" t="s">
        <v>96</v>
      </c>
      <c r="P7" s="2">
        <f>4*P10/(2*P2+P3)</f>
        <v>3.2693877551020405</v>
      </c>
      <c r="Q7" s="9">
        <f t="shared" si="0"/>
        <v>3.2693877551020407E-3</v>
      </c>
    </row>
    <row r="8" spans="1:22" ht="17.25" x14ac:dyDescent="0.25">
      <c r="E8" s="8" t="s">
        <v>9</v>
      </c>
      <c r="F8">
        <v>0.7</v>
      </c>
      <c r="I8" t="s">
        <v>6</v>
      </c>
      <c r="J8">
        <f>J6/J3</f>
        <v>1594533.0296127559</v>
      </c>
      <c r="L8" s="36">
        <v>1</v>
      </c>
      <c r="M8" s="198">
        <v>0.01</v>
      </c>
      <c r="O8" t="s">
        <v>82</v>
      </c>
      <c r="P8">
        <f>Q8*10^3</f>
        <v>9.25</v>
      </c>
      <c r="Q8">
        <f>L+t/2</f>
        <v>9.2499999999999995E-3</v>
      </c>
    </row>
    <row r="9" spans="1:22" x14ac:dyDescent="0.25">
      <c r="C9" s="215" t="s">
        <v>109</v>
      </c>
      <c r="D9" s="215"/>
      <c r="E9" s="8" t="s">
        <v>13</v>
      </c>
      <c r="F9" s="7">
        <f>rho*V*Dh/mu</f>
        <v>3574.0403272256508</v>
      </c>
      <c r="G9" t="s">
        <v>34</v>
      </c>
      <c r="I9" t="s">
        <v>20</v>
      </c>
      <c r="J9">
        <f>J6/B6</f>
        <v>11.666666666666664</v>
      </c>
      <c r="L9" s="36">
        <v>2</v>
      </c>
      <c r="M9" s="198">
        <f>(1/(-2*LOG10(epsilon/(3.7*Dh) + 2.51/(Re*SQRT(M8)))))^2</f>
        <v>8.5328066115724063E-2</v>
      </c>
      <c r="O9" t="s">
        <v>29</v>
      </c>
      <c r="P9">
        <f>P5*P4</f>
        <v>5.46</v>
      </c>
      <c r="Q9">
        <f>P9/10^6</f>
        <v>5.4600000000000002E-6</v>
      </c>
    </row>
    <row r="10" spans="1:22" x14ac:dyDescent="0.25">
      <c r="C10" s="215" t="s">
        <v>111</v>
      </c>
      <c r="D10" s="215"/>
      <c r="E10" s="8" t="s">
        <v>25</v>
      </c>
      <c r="F10" s="10">
        <f>M14</f>
        <v>7.5063347464359026E-2</v>
      </c>
      <c r="L10" s="36">
        <v>3</v>
      </c>
      <c r="M10" s="198">
        <f t="shared" ref="M10:M14" si="1">(1/(-2*LOG10(epsilon/(3.7*Dh) + 2.51/(Re*SQRT(M9)))))^2</f>
        <v>7.468286092552763E-2</v>
      </c>
      <c r="O10" t="s">
        <v>30</v>
      </c>
      <c r="P10" s="2">
        <f>P3*P2</f>
        <v>16.02</v>
      </c>
      <c r="Q10" s="9">
        <f>P10/10^6</f>
        <v>1.6019999999999999E-5</v>
      </c>
    </row>
    <row r="11" spans="1:22" x14ac:dyDescent="0.25">
      <c r="C11" s="215" t="s">
        <v>110</v>
      </c>
      <c r="D11" s="215"/>
      <c r="E11" s="8" t="s">
        <v>79</v>
      </c>
      <c r="F11">
        <f>0.15*10^-3</f>
        <v>1.4999999999999999E-4</v>
      </c>
      <c r="L11" s="36">
        <v>4</v>
      </c>
      <c r="M11" s="198">
        <f t="shared" si="1"/>
        <v>7.5078917787056623E-2</v>
      </c>
      <c r="O11" t="s">
        <v>78</v>
      </c>
      <c r="P11">
        <f>Q11*10^6</f>
        <v>156.76</v>
      </c>
      <c r="Q11">
        <f>2*L*w+2*L*t+Ac</f>
        <v>1.5675999999999998E-4</v>
      </c>
      <c r="V11" s="2"/>
    </row>
    <row r="12" spans="1:22" x14ac:dyDescent="0.25">
      <c r="C12" s="215" t="s">
        <v>108</v>
      </c>
      <c r="D12" s="215"/>
      <c r="E12" s="8" t="s">
        <v>19</v>
      </c>
      <c r="F12" s="6">
        <f>(f/8)*(Re-1000)*Pr/(1+12.7*((Pr^(2/3))-1)*SQRT(f/8))</f>
        <v>22.857031691015795</v>
      </c>
      <c r="L12" s="36">
        <v>5</v>
      </c>
      <c r="M12" s="198">
        <f t="shared" si="1"/>
        <v>7.5062713916731222E-2</v>
      </c>
      <c r="O12" t="s">
        <v>95</v>
      </c>
      <c r="P12">
        <f>Q12*10^6</f>
        <v>2541.2399999999998</v>
      </c>
      <c r="Q12">
        <f>s*w*(N+1)</f>
        <v>2.5412399999999997E-3</v>
      </c>
    </row>
    <row r="13" spans="1:22" x14ac:dyDescent="0.25">
      <c r="C13" s="215" t="s">
        <v>107</v>
      </c>
      <c r="D13" s="215"/>
      <c r="E13" s="8" t="s">
        <v>23</v>
      </c>
      <c r="F13" s="6">
        <f>Nus*ka/Dh</f>
        <v>190.09146000160584</v>
      </c>
      <c r="H13" t="s">
        <v>36</v>
      </c>
      <c r="I13" s="1">
        <f>F11/Q7</f>
        <v>4.5880149812734083E-2</v>
      </c>
      <c r="L13" s="36">
        <v>6</v>
      </c>
      <c r="M13" s="198">
        <f t="shared" si="1"/>
        <v>7.5063374389461313E-2</v>
      </c>
      <c r="O13" t="s">
        <v>97</v>
      </c>
      <c r="P13">
        <f>Q13*10^6</f>
        <v>30758.039999999997</v>
      </c>
      <c r="Q13">
        <f>N*Af + Ab</f>
        <v>3.0758039999999997E-2</v>
      </c>
    </row>
    <row r="14" spans="1:22" ht="15.75" thickBot="1" x14ac:dyDescent="0.3">
      <c r="E14" s="8" t="s">
        <v>26</v>
      </c>
      <c r="F14" s="6">
        <f>SQRT(h*P/(k*Ac))</f>
        <v>62.815064920651906</v>
      </c>
      <c r="H14" s="8" t="s">
        <v>73</v>
      </c>
      <c r="I14" s="1">
        <f>em*L</f>
        <v>0.55905407779380201</v>
      </c>
      <c r="J14" t="s">
        <v>74</v>
      </c>
      <c r="L14" s="38">
        <v>7</v>
      </c>
      <c r="M14" s="199">
        <f t="shared" si="1"/>
        <v>7.5063347464359026E-2</v>
      </c>
    </row>
    <row r="15" spans="1:22" x14ac:dyDescent="0.25">
      <c r="E15" s="8" t="s">
        <v>32</v>
      </c>
      <c r="F15" s="6">
        <f>SQRT(h*P*k*Ac)*Dt</f>
        <v>4.2185341299411405</v>
      </c>
    </row>
    <row r="16" spans="1:22" ht="15.75" thickBot="1" x14ac:dyDescent="0.3">
      <c r="C16" s="215" t="s">
        <v>77</v>
      </c>
      <c r="D16" s="215"/>
      <c r="E16" s="49" t="s">
        <v>67</v>
      </c>
      <c r="F16" s="35">
        <f>M*(SINH(em*L)+(h/(em*k))*COSH(em*L))/(COSH(em*L)+(h/(em*k))*SINH(em*L))</f>
        <v>2.2025248071315744</v>
      </c>
      <c r="H16" t="s">
        <v>83</v>
      </c>
      <c r="I16" s="2">
        <f>M*TANH(em*Lc)</f>
        <v>2.2080669942089211</v>
      </c>
    </row>
    <row r="17" spans="3:15" x14ac:dyDescent="0.25">
      <c r="C17" s="215" t="s">
        <v>80</v>
      </c>
      <c r="D17" s="215"/>
      <c r="E17" s="8" t="s">
        <v>72</v>
      </c>
      <c r="F17" s="2">
        <f>qf/(h*Ac*Dt)</f>
        <v>25.879251262983303</v>
      </c>
      <c r="H17" t="s">
        <v>94</v>
      </c>
      <c r="I17" s="2">
        <f>1/(h*Af*eta)</f>
        <v>37.230000649478036</v>
      </c>
      <c r="L17" s="212" t="s">
        <v>68</v>
      </c>
      <c r="M17" s="214"/>
      <c r="N17" s="214"/>
      <c r="O17" s="213"/>
    </row>
    <row r="18" spans="3:15" x14ac:dyDescent="0.25">
      <c r="C18" s="215" t="s">
        <v>81</v>
      </c>
      <c r="D18" s="215"/>
      <c r="E18" s="8" t="s">
        <v>35</v>
      </c>
      <c r="F18" s="1">
        <f>qf/(h*Af*Dt)</f>
        <v>0.90138244383700483</v>
      </c>
      <c r="L18" s="36" t="s">
        <v>69</v>
      </c>
      <c r="M18" s="39" t="s">
        <v>8</v>
      </c>
      <c r="N18" s="39" t="s">
        <v>70</v>
      </c>
      <c r="O18" s="37" t="s">
        <v>71</v>
      </c>
    </row>
    <row r="19" spans="3:15" x14ac:dyDescent="0.25">
      <c r="C19" s="215" t="s">
        <v>103</v>
      </c>
      <c r="D19" s="215"/>
      <c r="E19" s="8" t="s">
        <v>75</v>
      </c>
      <c r="F19" s="2">
        <f>Dt/qf</f>
        <v>37.230000649478036</v>
      </c>
      <c r="H19" s="2"/>
      <c r="L19" s="40">
        <v>0</v>
      </c>
      <c r="M19" s="41">
        <f>Tb</f>
        <v>393</v>
      </c>
      <c r="N19" s="41">
        <f>M19-273</f>
        <v>120</v>
      </c>
      <c r="O19" s="42">
        <f t="shared" ref="O19:O29" si="2">M19-Ta</f>
        <v>82</v>
      </c>
    </row>
    <row r="20" spans="3:15" x14ac:dyDescent="0.25">
      <c r="C20" s="215" t="s">
        <v>104</v>
      </c>
      <c r="D20" s="215"/>
      <c r="E20" s="8" t="s">
        <v>76</v>
      </c>
      <c r="F20" s="2">
        <f>1/(h*Ac)</f>
        <v>963.48454132887366</v>
      </c>
      <c r="L20" s="43">
        <f t="shared" ref="L20:L29" si="3">L19+L/10</f>
        <v>8.8999999999999995E-4</v>
      </c>
      <c r="M20" s="44">
        <f t="shared" ref="M20:M29" si="4">Ta+Dt*(COSH(em*(L-L20))+(h/(em*k))*SINH(em*(L-L20)))/(COSH(em*L)+(h/(em*k))*SINH(em*L))</f>
        <v>390.73346434535358</v>
      </c>
      <c r="N20" s="44">
        <f t="shared" ref="N20:N29" si="5">M20-273</f>
        <v>117.73346434535358</v>
      </c>
      <c r="O20" s="45">
        <f t="shared" si="2"/>
        <v>79.733464345353582</v>
      </c>
    </row>
    <row r="21" spans="3:15" x14ac:dyDescent="0.25">
      <c r="C21" s="215" t="s">
        <v>98</v>
      </c>
      <c r="D21" s="215"/>
      <c r="E21" s="49" t="s">
        <v>100</v>
      </c>
      <c r="F21" s="57">
        <f>N*eta*h*Af*Dt+h*Ab*Dt</f>
        <v>436.06604307247079</v>
      </c>
      <c r="L21" s="43">
        <f t="shared" si="3"/>
        <v>1.7799999999999999E-3</v>
      </c>
      <c r="M21" s="44">
        <f t="shared" si="4"/>
        <v>388.71619373703487</v>
      </c>
      <c r="N21" s="44">
        <f t="shared" si="5"/>
        <v>115.71619373703487</v>
      </c>
      <c r="O21" s="45">
        <f t="shared" si="2"/>
        <v>77.716193737034871</v>
      </c>
    </row>
    <row r="22" spans="3:15" x14ac:dyDescent="0.25">
      <c r="C22" s="215" t="s">
        <v>101</v>
      </c>
      <c r="D22" s="215"/>
      <c r="E22" s="11" t="s">
        <v>102</v>
      </c>
      <c r="F22" s="10">
        <f>qt/(h*Atot*Dt)</f>
        <v>0.90953026074678334</v>
      </c>
      <c r="L22" s="43">
        <f t="shared" si="3"/>
        <v>2.6699999999999996E-3</v>
      </c>
      <c r="M22" s="44">
        <f t="shared" si="4"/>
        <v>386.94188172572842</v>
      </c>
      <c r="N22" s="44">
        <f t="shared" si="5"/>
        <v>113.94188172572842</v>
      </c>
      <c r="O22" s="45">
        <f t="shared" si="2"/>
        <v>75.941881725728422</v>
      </c>
    </row>
    <row r="23" spans="3:15" x14ac:dyDescent="0.25">
      <c r="C23" s="215" t="s">
        <v>105</v>
      </c>
      <c r="D23" s="215"/>
      <c r="E23" s="11" t="s">
        <v>106</v>
      </c>
      <c r="F23" s="1">
        <f>Dt/qt</f>
        <v>0.18804491040448254</v>
      </c>
      <c r="L23" s="43">
        <f t="shared" si="3"/>
        <v>3.5599999999999998E-3</v>
      </c>
      <c r="M23" s="44">
        <f t="shared" si="4"/>
        <v>385.404981406263</v>
      </c>
      <c r="N23" s="44">
        <f t="shared" si="5"/>
        <v>112.404981406263</v>
      </c>
      <c r="O23" s="45">
        <f t="shared" si="2"/>
        <v>74.404981406263005</v>
      </c>
    </row>
    <row r="24" spans="3:15" x14ac:dyDescent="0.25">
      <c r="L24" s="43">
        <f t="shared" si="3"/>
        <v>4.45E-3</v>
      </c>
      <c r="M24" s="44">
        <f t="shared" si="4"/>
        <v>384.1006880767174</v>
      </c>
      <c r="N24" s="44">
        <f t="shared" si="5"/>
        <v>111.1006880767174</v>
      </c>
      <c r="O24" s="45">
        <f t="shared" si="2"/>
        <v>73.100688076717404</v>
      </c>
    </row>
    <row r="25" spans="3:15" x14ac:dyDescent="0.25">
      <c r="L25" s="43">
        <f t="shared" si="3"/>
        <v>5.3400000000000001E-3</v>
      </c>
      <c r="M25" s="44">
        <f t="shared" si="4"/>
        <v>383.02492421782296</v>
      </c>
      <c r="N25" s="44">
        <f t="shared" si="5"/>
        <v>110.02492421782296</v>
      </c>
      <c r="O25" s="45">
        <f t="shared" si="2"/>
        <v>72.024924217822957</v>
      </c>
    </row>
    <row r="26" spans="3:15" x14ac:dyDescent="0.25">
      <c r="L26" s="43">
        <f t="shared" si="3"/>
        <v>6.2300000000000003E-3</v>
      </c>
      <c r="M26" s="44">
        <f t="shared" si="4"/>
        <v>382.17432674570614</v>
      </c>
      <c r="N26" s="44">
        <f t="shared" si="5"/>
        <v>109.17432674570614</v>
      </c>
      <c r="O26" s="45">
        <f t="shared" si="2"/>
        <v>71.174326745706139</v>
      </c>
    </row>
    <row r="27" spans="3:15" x14ac:dyDescent="0.25">
      <c r="L27" s="43">
        <f t="shared" si="3"/>
        <v>7.1200000000000005E-3</v>
      </c>
      <c r="M27" s="44">
        <f t="shared" si="4"/>
        <v>381.5462364981189</v>
      </c>
      <c r="N27" s="44">
        <f t="shared" si="5"/>
        <v>108.5462364981189</v>
      </c>
      <c r="O27" s="45">
        <f t="shared" si="2"/>
        <v>70.546236498118901</v>
      </c>
    </row>
    <row r="28" spans="3:15" x14ac:dyDescent="0.25">
      <c r="L28" s="43">
        <f t="shared" si="3"/>
        <v>8.0099999999999998E-3</v>
      </c>
      <c r="M28" s="44">
        <f t="shared" si="4"/>
        <v>381.13868992128937</v>
      </c>
      <c r="N28" s="44">
        <f t="shared" si="5"/>
        <v>108.13868992128937</v>
      </c>
      <c r="O28" s="45">
        <f t="shared" si="2"/>
        <v>70.13868992128937</v>
      </c>
    </row>
    <row r="29" spans="3:15" ht="15.75" thickBot="1" x14ac:dyDescent="0.3">
      <c r="L29" s="46">
        <f t="shared" si="3"/>
        <v>8.8999999999999999E-3</v>
      </c>
      <c r="M29" s="47">
        <f t="shared" si="4"/>
        <v>380.95041293140349</v>
      </c>
      <c r="N29" s="47">
        <f t="shared" si="5"/>
        <v>107.95041293140349</v>
      </c>
      <c r="O29" s="48">
        <f t="shared" si="2"/>
        <v>69.950412931403491</v>
      </c>
    </row>
  </sheetData>
  <mergeCells count="15">
    <mergeCell ref="C21:D21"/>
    <mergeCell ref="C22:D22"/>
    <mergeCell ref="C19:D19"/>
    <mergeCell ref="C20:D20"/>
    <mergeCell ref="C23:D23"/>
    <mergeCell ref="L6:M6"/>
    <mergeCell ref="L17:O17"/>
    <mergeCell ref="C16:D16"/>
    <mergeCell ref="C17:D17"/>
    <mergeCell ref="C18:D18"/>
    <mergeCell ref="C13:D13"/>
    <mergeCell ref="C12:D12"/>
    <mergeCell ref="C9:D9"/>
    <mergeCell ref="C11:D11"/>
    <mergeCell ref="C10:D10"/>
  </mergeCells>
  <conditionalFormatting sqref="M19:M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44"/>
  <sheetViews>
    <sheetView workbookViewId="0">
      <selection activeCell="E8" sqref="E8"/>
    </sheetView>
  </sheetViews>
  <sheetFormatPr defaultRowHeight="15" x14ac:dyDescent="0.25"/>
  <cols>
    <col min="1" max="1" width="10.7109375" customWidth="1"/>
    <col min="2" max="2" width="7.85546875" customWidth="1"/>
    <col min="3" max="3" width="15.85546875" bestFit="1" customWidth="1"/>
    <col min="9" max="9" width="9.140625" bestFit="1" customWidth="1"/>
  </cols>
  <sheetData>
    <row r="1" spans="1:17" x14ac:dyDescent="0.25">
      <c r="A1" s="247"/>
      <c r="B1" s="248"/>
      <c r="C1" s="249"/>
      <c r="D1" s="239" t="s">
        <v>209</v>
      </c>
      <c r="E1" s="253"/>
      <c r="F1" s="253"/>
      <c r="G1" s="253"/>
      <c r="H1" s="254"/>
      <c r="K1" t="s">
        <v>28</v>
      </c>
      <c r="L1">
        <v>2.5000000000000001E-2</v>
      </c>
      <c r="N1" t="s">
        <v>210</v>
      </c>
      <c r="O1">
        <f>1*2</f>
        <v>2</v>
      </c>
    </row>
    <row r="2" spans="1:17" ht="15.75" thickBot="1" x14ac:dyDescent="0.3">
      <c r="A2" s="250"/>
      <c r="B2" s="251"/>
      <c r="C2" s="252"/>
      <c r="D2" s="106" t="s">
        <v>183</v>
      </c>
      <c r="E2" s="107" t="s">
        <v>211</v>
      </c>
      <c r="F2" s="107" t="s">
        <v>212</v>
      </c>
      <c r="G2" s="107" t="s">
        <v>177</v>
      </c>
      <c r="H2" s="108" t="s">
        <v>213</v>
      </c>
      <c r="K2" t="s">
        <v>214</v>
      </c>
      <c r="L2">
        <f>L1^2</f>
        <v>6.2500000000000012E-4</v>
      </c>
      <c r="N2" t="s">
        <v>215</v>
      </c>
      <c r="O2">
        <f>O1/5</f>
        <v>0.4</v>
      </c>
    </row>
    <row r="3" spans="1:17" x14ac:dyDescent="0.25">
      <c r="A3" s="255" t="s">
        <v>216</v>
      </c>
      <c r="B3" s="258" t="s">
        <v>217</v>
      </c>
      <c r="C3" s="109" t="s">
        <v>218</v>
      </c>
      <c r="D3" s="110">
        <v>0</v>
      </c>
      <c r="E3" s="111">
        <v>2.5000000000000001E-2</v>
      </c>
      <c r="F3" s="111">
        <v>3.2140000000000002E-2</v>
      </c>
      <c r="G3" s="111">
        <v>3.7380999999999998E-2</v>
      </c>
      <c r="H3" s="112">
        <v>4.5622000000000003E-2</v>
      </c>
      <c r="K3" t="s">
        <v>178</v>
      </c>
      <c r="L3">
        <v>1.2500000000000001E-2</v>
      </c>
      <c r="M3">
        <v>0.1</v>
      </c>
    </row>
    <row r="4" spans="1:17" ht="15.75" thickBot="1" x14ac:dyDescent="0.3">
      <c r="A4" s="256"/>
      <c r="B4" s="259"/>
      <c r="C4" s="113" t="s">
        <v>219</v>
      </c>
      <c r="D4" s="114">
        <v>0</v>
      </c>
      <c r="E4" s="95">
        <f>E3/2</f>
        <v>1.2500000000000001E-2</v>
      </c>
      <c r="F4" s="95">
        <f t="shared" ref="F4:H4" si="0">F3/2</f>
        <v>1.6070000000000001E-2</v>
      </c>
      <c r="G4" s="95">
        <f t="shared" si="0"/>
        <v>1.8690499999999999E-2</v>
      </c>
      <c r="H4" s="115">
        <f t="shared" si="0"/>
        <v>2.2811000000000001E-2</v>
      </c>
      <c r="K4" t="s">
        <v>220</v>
      </c>
      <c r="L4">
        <f>L3/3</f>
        <v>4.1666666666666666E-3</v>
      </c>
      <c r="M4">
        <f>M3/3</f>
        <v>3.3333333333333333E-2</v>
      </c>
    </row>
    <row r="5" spans="1:17" ht="15.75" thickBot="1" x14ac:dyDescent="0.3">
      <c r="A5" s="256"/>
      <c r="B5" s="259"/>
      <c r="C5" s="113" t="s">
        <v>221</v>
      </c>
      <c r="D5" s="114">
        <v>0</v>
      </c>
      <c r="E5" s="227">
        <v>0.1</v>
      </c>
      <c r="F5" s="227"/>
      <c r="G5" s="227"/>
      <c r="H5" s="228"/>
      <c r="I5" s="116"/>
      <c r="M5" s="224" t="s">
        <v>209</v>
      </c>
      <c r="N5" s="225"/>
      <c r="O5" s="225"/>
      <c r="P5" s="225"/>
      <c r="Q5" s="226"/>
    </row>
    <row r="6" spans="1:17" ht="15.75" thickBot="1" x14ac:dyDescent="0.3">
      <c r="A6" s="256"/>
      <c r="B6" s="259"/>
      <c r="C6" s="113" t="s">
        <v>222</v>
      </c>
      <c r="D6" s="114">
        <v>0</v>
      </c>
      <c r="E6" s="227" t="s">
        <v>223</v>
      </c>
      <c r="F6" s="227"/>
      <c r="G6" s="227"/>
      <c r="H6" s="228"/>
      <c r="I6" s="117"/>
      <c r="K6" s="39"/>
      <c r="L6" s="39"/>
      <c r="M6" s="118" t="s">
        <v>183</v>
      </c>
      <c r="N6" s="119" t="s">
        <v>211</v>
      </c>
      <c r="O6" s="119" t="s">
        <v>212</v>
      </c>
      <c r="P6" s="119" t="s">
        <v>177</v>
      </c>
      <c r="Q6" s="120" t="s">
        <v>213</v>
      </c>
    </row>
    <row r="7" spans="1:17" x14ac:dyDescent="0.25">
      <c r="A7" s="256"/>
      <c r="B7" s="259"/>
      <c r="C7" s="113" t="s">
        <v>224</v>
      </c>
      <c r="D7" s="114">
        <v>0</v>
      </c>
      <c r="E7" s="227" t="s">
        <v>225</v>
      </c>
      <c r="F7" s="227"/>
      <c r="G7" s="227"/>
      <c r="H7" s="228"/>
      <c r="I7" s="117"/>
      <c r="J7" s="229" t="s">
        <v>226</v>
      </c>
      <c r="K7" s="232"/>
      <c r="L7" s="121" t="s">
        <v>0</v>
      </c>
      <c r="M7" s="122">
        <v>0</v>
      </c>
      <c r="N7" s="123">
        <v>40</v>
      </c>
      <c r="O7" s="123">
        <f>8*20</f>
        <v>160</v>
      </c>
      <c r="P7" s="123">
        <f>12*30</f>
        <v>360</v>
      </c>
      <c r="Q7" s="124">
        <f>16*40</f>
        <v>640</v>
      </c>
    </row>
    <row r="8" spans="1:17" ht="18" thickBot="1" x14ac:dyDescent="0.3">
      <c r="A8" s="256"/>
      <c r="B8" s="260"/>
      <c r="C8" s="125" t="s">
        <v>227</v>
      </c>
      <c r="D8" s="126">
        <v>0</v>
      </c>
      <c r="E8" s="127">
        <v>14.593</v>
      </c>
      <c r="F8" s="127">
        <v>29.177499999999998</v>
      </c>
      <c r="G8" s="127">
        <v>43.411799999999999</v>
      </c>
      <c r="H8" s="67">
        <v>70.748400000000004</v>
      </c>
      <c r="I8" s="117">
        <v>31.58614</v>
      </c>
      <c r="J8" s="230"/>
      <c r="K8" s="233"/>
      <c r="L8" s="128" t="s">
        <v>228</v>
      </c>
      <c r="M8" s="129">
        <v>0</v>
      </c>
      <c r="N8" s="130">
        <f>N7*$N$12</f>
        <v>2.5000000000000005E-2</v>
      </c>
      <c r="O8" s="130">
        <f>O7*$N$12</f>
        <v>0.10000000000000002</v>
      </c>
      <c r="P8" s="130">
        <f>P7*$N$12</f>
        <v>0.22500000000000003</v>
      </c>
      <c r="Q8" s="131">
        <f>Q7*$N$12</f>
        <v>0.40000000000000008</v>
      </c>
    </row>
    <row r="9" spans="1:17" ht="18" x14ac:dyDescent="0.35">
      <c r="A9" s="256"/>
      <c r="B9" s="261" t="s">
        <v>229</v>
      </c>
      <c r="C9" s="132" t="s">
        <v>218</v>
      </c>
      <c r="D9" s="133">
        <v>0</v>
      </c>
      <c r="E9" s="264">
        <v>2.5000000000000001E-2</v>
      </c>
      <c r="F9" s="264"/>
      <c r="G9" s="264"/>
      <c r="H9" s="265"/>
      <c r="I9" s="134">
        <v>17.960892000000001</v>
      </c>
      <c r="J9" s="230"/>
      <c r="K9" s="233"/>
      <c r="L9" s="135" t="s">
        <v>230</v>
      </c>
      <c r="M9" s="136">
        <v>0</v>
      </c>
      <c r="N9" s="137">
        <f>N8*$N$14/$O$2</f>
        <v>2.6041666666666672E-4</v>
      </c>
      <c r="O9" s="137">
        <f>O8*$N$14/$O$2</f>
        <v>1.0416666666666669E-3</v>
      </c>
      <c r="P9" s="137">
        <f>P8*$N$14/$O$2</f>
        <v>2.3437499999999999E-3</v>
      </c>
      <c r="Q9" s="138">
        <f>Q8*$N$14/$O$2</f>
        <v>4.1666666666666675E-3</v>
      </c>
    </row>
    <row r="10" spans="1:17" ht="15.75" thickBot="1" x14ac:dyDescent="0.3">
      <c r="A10" s="256"/>
      <c r="B10" s="262"/>
      <c r="C10" s="139" t="s">
        <v>219</v>
      </c>
      <c r="D10" s="140">
        <v>0</v>
      </c>
      <c r="E10" s="266">
        <f>E9/2</f>
        <v>1.2500000000000001E-2</v>
      </c>
      <c r="F10" s="266"/>
      <c r="G10" s="266"/>
      <c r="H10" s="267"/>
      <c r="I10" s="134"/>
      <c r="J10" s="231"/>
      <c r="K10" s="234"/>
      <c r="L10" s="141" t="s">
        <v>231</v>
      </c>
      <c r="M10" s="142">
        <v>0</v>
      </c>
      <c r="N10" s="143">
        <f>((3456*$N$13/17496)*N8+N9*($O$2-N8))/$O$2</f>
        <v>3.9846161265432101E-4</v>
      </c>
      <c r="O10" s="143">
        <f>((3456*$N$13/17496)*O8+O9*($O$2-O8))/$O$2</f>
        <v>1.3985339506172841E-3</v>
      </c>
      <c r="P10" s="143">
        <f>((3456*$N$13/17496)*P8+P9*($O$2-P8))/$O$2</f>
        <v>2.414279513888889E-3</v>
      </c>
      <c r="Q10" s="144">
        <f>((3456*$N$13/17496)*Q8+Q9*($O$2-Q8))/$O$2</f>
        <v>2.4691358024691358E-3</v>
      </c>
    </row>
    <row r="11" spans="1:17" x14ac:dyDescent="0.25">
      <c r="A11" s="256"/>
      <c r="B11" s="262"/>
      <c r="C11" s="139" t="s">
        <v>221</v>
      </c>
      <c r="D11" s="140">
        <v>0</v>
      </c>
      <c r="E11" s="145">
        <v>0.1</v>
      </c>
      <c r="F11" s="145">
        <v>6.6666000000000003E-2</v>
      </c>
      <c r="G11" s="145">
        <v>0.05</v>
      </c>
      <c r="H11" s="146">
        <v>2.8571429999999998E-2</v>
      </c>
      <c r="I11" s="116"/>
      <c r="J11" s="231"/>
      <c r="K11" s="239" t="s">
        <v>232</v>
      </c>
      <c r="L11" s="240"/>
      <c r="M11" s="147">
        <v>0</v>
      </c>
      <c r="N11" s="241">
        <v>2.5000000000000001E-2</v>
      </c>
      <c r="O11" s="241"/>
      <c r="P11" s="241"/>
      <c r="Q11" s="242"/>
    </row>
    <row r="12" spans="1:17" ht="18.75" x14ac:dyDescent="0.35">
      <c r="A12" s="256"/>
      <c r="B12" s="262"/>
      <c r="C12" s="139" t="s">
        <v>222</v>
      </c>
      <c r="D12" s="140">
        <v>0</v>
      </c>
      <c r="E12" s="148" t="s">
        <v>223</v>
      </c>
      <c r="F12" s="148" t="s">
        <v>233</v>
      </c>
      <c r="G12" s="148" t="s">
        <v>234</v>
      </c>
      <c r="H12" s="149" t="s">
        <v>235</v>
      </c>
      <c r="I12" s="116"/>
      <c r="J12" s="231"/>
      <c r="K12" s="243" t="s">
        <v>236</v>
      </c>
      <c r="L12" s="244"/>
      <c r="M12" s="136">
        <v>0</v>
      </c>
      <c r="N12" s="245">
        <f>N11^2</f>
        <v>6.2500000000000012E-4</v>
      </c>
      <c r="O12" s="245"/>
      <c r="P12" s="245"/>
      <c r="Q12" s="246"/>
    </row>
    <row r="13" spans="1:17" x14ac:dyDescent="0.25">
      <c r="A13" s="256"/>
      <c r="B13" s="262"/>
      <c r="C13" s="139" t="s">
        <v>224</v>
      </c>
      <c r="D13" s="140">
        <v>0</v>
      </c>
      <c r="E13" s="266" t="s">
        <v>225</v>
      </c>
      <c r="F13" s="266"/>
      <c r="G13" s="266"/>
      <c r="H13" s="267"/>
      <c r="I13" s="116"/>
      <c r="J13" s="231"/>
      <c r="K13" s="243" t="s">
        <v>237</v>
      </c>
      <c r="L13" s="244"/>
      <c r="M13" s="136">
        <v>0</v>
      </c>
      <c r="N13" s="245">
        <v>1.2500000000000001E-2</v>
      </c>
      <c r="O13" s="245"/>
      <c r="P13" s="245"/>
      <c r="Q13" s="246"/>
    </row>
    <row r="14" spans="1:17" ht="18.75" thickBot="1" x14ac:dyDescent="0.4">
      <c r="A14" s="257"/>
      <c r="B14" s="263"/>
      <c r="C14" s="150" t="s">
        <v>227</v>
      </c>
      <c r="D14" s="151">
        <v>0</v>
      </c>
      <c r="E14" s="152">
        <v>14.593</v>
      </c>
      <c r="F14" s="152">
        <v>29.178000000000001</v>
      </c>
      <c r="G14" s="152">
        <v>43.411000000000001</v>
      </c>
      <c r="H14" s="153">
        <v>70.745999999999995</v>
      </c>
      <c r="I14" s="154"/>
      <c r="J14" s="231"/>
      <c r="K14" s="235" t="s">
        <v>238</v>
      </c>
      <c r="L14" s="236"/>
      <c r="M14" s="155">
        <v>0</v>
      </c>
      <c r="N14" s="237">
        <f>N13/3</f>
        <v>4.1666666666666666E-3</v>
      </c>
      <c r="O14" s="237"/>
      <c r="P14" s="237"/>
      <c r="Q14" s="238"/>
    </row>
    <row r="15" spans="1:17" x14ac:dyDescent="0.25">
      <c r="A15" s="268"/>
      <c r="B15" s="269"/>
      <c r="C15" s="270"/>
      <c r="D15" s="271" t="s">
        <v>209</v>
      </c>
      <c r="E15" s="272"/>
      <c r="F15" s="272"/>
      <c r="G15" s="272"/>
      <c r="H15" s="273"/>
      <c r="I15" s="117"/>
      <c r="J15" s="230"/>
      <c r="K15" s="274"/>
      <c r="L15" s="121" t="s">
        <v>0</v>
      </c>
      <c r="M15" s="156">
        <v>0</v>
      </c>
      <c r="N15" s="157">
        <v>40</v>
      </c>
      <c r="O15" s="157">
        <f>8*20</f>
        <v>160</v>
      </c>
      <c r="P15" s="157">
        <f>12*30</f>
        <v>360</v>
      </c>
      <c r="Q15" s="93">
        <f>16*40</f>
        <v>640</v>
      </c>
    </row>
    <row r="16" spans="1:17" ht="18" thickBot="1" x14ac:dyDescent="0.3">
      <c r="A16" s="250"/>
      <c r="B16" s="251"/>
      <c r="C16" s="252"/>
      <c r="D16" s="106" t="s">
        <v>183</v>
      </c>
      <c r="E16" s="107" t="s">
        <v>211</v>
      </c>
      <c r="F16" s="107" t="s">
        <v>212</v>
      </c>
      <c r="G16" s="107" t="s">
        <v>177</v>
      </c>
      <c r="H16" s="108" t="s">
        <v>213</v>
      </c>
      <c r="I16" s="117"/>
      <c r="J16" s="230"/>
      <c r="K16" s="275"/>
      <c r="L16" s="128" t="s">
        <v>228</v>
      </c>
      <c r="M16" s="129">
        <v>0</v>
      </c>
      <c r="N16" s="130">
        <f>N15*$N$12</f>
        <v>2.5000000000000005E-2</v>
      </c>
      <c r="O16" s="130">
        <f>O15*$N$12</f>
        <v>0.10000000000000002</v>
      </c>
      <c r="P16" s="130">
        <f>P15*$N$12</f>
        <v>0.22500000000000003</v>
      </c>
      <c r="Q16" s="131">
        <f>Q15*$N$12</f>
        <v>0.40000000000000008</v>
      </c>
    </row>
    <row r="17" spans="1:17" ht="18.75" thickBot="1" x14ac:dyDescent="0.4">
      <c r="A17" s="255" t="s">
        <v>216</v>
      </c>
      <c r="B17" s="276" t="s">
        <v>217</v>
      </c>
      <c r="C17" s="109" t="s">
        <v>218</v>
      </c>
      <c r="D17" s="110">
        <v>0</v>
      </c>
      <c r="E17" s="111">
        <v>2.5000000000000001E-2</v>
      </c>
      <c r="F17" s="111">
        <v>3.2140000000000002E-2</v>
      </c>
      <c r="G17" s="111">
        <v>3.7380999999999998E-2</v>
      </c>
      <c r="H17" s="112">
        <v>4.5622000000000003E-2</v>
      </c>
      <c r="I17" s="134"/>
      <c r="J17" s="230"/>
      <c r="K17" s="275"/>
      <c r="L17" s="135" t="s">
        <v>230</v>
      </c>
      <c r="M17" s="155">
        <v>0</v>
      </c>
      <c r="N17" s="143">
        <f>N16*$N$14/$O$2</f>
        <v>2.6041666666666672E-4</v>
      </c>
      <c r="O17" s="143">
        <f>O16*$N$14/$O$2</f>
        <v>1.0416666666666669E-3</v>
      </c>
      <c r="P17" s="143">
        <f>P16*$N$14/$O$2</f>
        <v>2.3437499999999999E-3</v>
      </c>
      <c r="Q17" s="144">
        <f>Q16*$N$14/$O$2</f>
        <v>4.1666666666666675E-3</v>
      </c>
    </row>
    <row r="18" spans="1:17" ht="15.75" thickBot="1" x14ac:dyDescent="0.3">
      <c r="A18" s="256"/>
      <c r="B18" s="277"/>
      <c r="C18" s="113" t="s">
        <v>219</v>
      </c>
      <c r="D18" s="114">
        <v>0</v>
      </c>
      <c r="E18" s="95">
        <f>E17/2</f>
        <v>1.2500000000000001E-2</v>
      </c>
      <c r="F18" s="95">
        <f t="shared" ref="F18:H18" si="1">F17/2</f>
        <v>1.6070000000000001E-2</v>
      </c>
      <c r="G18" s="95">
        <f t="shared" si="1"/>
        <v>1.8690499999999999E-2</v>
      </c>
      <c r="H18" s="115">
        <f t="shared" si="1"/>
        <v>2.2811000000000001E-2</v>
      </c>
      <c r="I18" s="134"/>
      <c r="J18" s="158"/>
      <c r="K18" s="159"/>
      <c r="L18" s="160"/>
      <c r="M18" s="161"/>
      <c r="N18" s="162"/>
      <c r="O18" s="162"/>
      <c r="P18" s="162"/>
      <c r="Q18" s="163"/>
    </row>
    <row r="19" spans="1:17" x14ac:dyDescent="0.25">
      <c r="A19" s="256"/>
      <c r="B19" s="277"/>
      <c r="C19" s="113" t="s">
        <v>221</v>
      </c>
      <c r="D19" s="114">
        <v>0</v>
      </c>
      <c r="E19" s="227">
        <v>0.1</v>
      </c>
      <c r="F19" s="227"/>
      <c r="G19" s="227"/>
      <c r="H19" s="228"/>
      <c r="I19" s="117"/>
      <c r="J19" s="229" t="s">
        <v>239</v>
      </c>
      <c r="K19" s="280"/>
      <c r="L19" s="121" t="s">
        <v>0</v>
      </c>
      <c r="M19" s="122">
        <v>0</v>
      </c>
      <c r="N19" s="123">
        <v>40</v>
      </c>
      <c r="O19" s="123">
        <v>40</v>
      </c>
      <c r="P19" s="123">
        <v>40</v>
      </c>
      <c r="Q19" s="124">
        <v>40</v>
      </c>
    </row>
    <row r="20" spans="1:17" ht="17.25" x14ac:dyDescent="0.25">
      <c r="A20" s="256"/>
      <c r="B20" s="277"/>
      <c r="C20" s="113" t="s">
        <v>222</v>
      </c>
      <c r="D20" s="114">
        <v>0</v>
      </c>
      <c r="E20" s="227" t="s">
        <v>240</v>
      </c>
      <c r="F20" s="227"/>
      <c r="G20" s="227"/>
      <c r="H20" s="228"/>
      <c r="I20" s="117"/>
      <c r="J20" s="230"/>
      <c r="K20" s="275"/>
      <c r="L20" s="128" t="s">
        <v>228</v>
      </c>
      <c r="M20" s="129">
        <v>0</v>
      </c>
      <c r="N20" s="130">
        <f>N19*N$24</f>
        <v>2.5000000000000005E-2</v>
      </c>
      <c r="O20" s="130">
        <f>O19*O$24</f>
        <v>6.3011844000000011E-2</v>
      </c>
      <c r="P20" s="130">
        <f>P19*P$24</f>
        <v>0.10815999999999999</v>
      </c>
      <c r="Q20" s="131">
        <f>Q19*Q$24</f>
        <v>0.15876000000000001</v>
      </c>
    </row>
    <row r="21" spans="1:17" ht="18" x14ac:dyDescent="0.35">
      <c r="A21" s="256"/>
      <c r="B21" s="277"/>
      <c r="C21" s="113" t="s">
        <v>224</v>
      </c>
      <c r="D21" s="114">
        <v>0</v>
      </c>
      <c r="E21" s="227" t="s">
        <v>241</v>
      </c>
      <c r="F21" s="227"/>
      <c r="G21" s="227"/>
      <c r="H21" s="228"/>
      <c r="I21" s="134"/>
      <c r="J21" s="230"/>
      <c r="K21" s="275"/>
      <c r="L21" s="135" t="s">
        <v>230</v>
      </c>
      <c r="M21" s="164">
        <v>0</v>
      </c>
      <c r="N21" s="137">
        <f>N20*N$26/$O$2</f>
        <v>2.6041666666666672E-4</v>
      </c>
      <c r="O21" s="137">
        <f>O20*O$26/$O$2</f>
        <v>1.0420583701500001E-3</v>
      </c>
      <c r="P21" s="137">
        <f>P20*P$26/$O$2</f>
        <v>2.3434666666666661E-3</v>
      </c>
      <c r="Q21" s="138">
        <f>Q20*Q$26/$O$2</f>
        <v>4.1674500000000005E-3</v>
      </c>
    </row>
    <row r="22" spans="1:17" ht="15.75" thickBot="1" x14ac:dyDescent="0.3">
      <c r="A22" s="256"/>
      <c r="B22" s="278"/>
      <c r="C22" s="125" t="s">
        <v>227</v>
      </c>
      <c r="D22" s="126">
        <v>0</v>
      </c>
      <c r="E22" s="127">
        <v>14.593</v>
      </c>
      <c r="F22" s="127">
        <v>29.177499999999998</v>
      </c>
      <c r="G22" s="127">
        <v>43.411000000000001</v>
      </c>
      <c r="H22" s="67">
        <v>70.748000000000005</v>
      </c>
      <c r="I22" s="134"/>
      <c r="J22" s="230"/>
      <c r="K22" s="159"/>
      <c r="L22" s="141"/>
      <c r="M22" s="142">
        <v>0</v>
      </c>
      <c r="N22" s="143">
        <f>((3456*N$25/17496)*N20+N21*($O$2-N20))/$O$2</f>
        <v>3.9846161265432101E-4</v>
      </c>
      <c r="O22" s="143">
        <f>((3456*O$25/17496)*O20+O21*($O$2-O20))/$O$2</f>
        <v>1.495419392703035E-3</v>
      </c>
      <c r="P22" s="143">
        <f>((3456*P$25/17496)*P20+P21*($O$2-P20))/$O$2</f>
        <v>3.0985142676543211E-3</v>
      </c>
      <c r="Q22" s="143">
        <f>((3456*Q$25/17496)*Q20+Q21*($O$2-Q20))/$O$2</f>
        <v>4.9829890950000011E-3</v>
      </c>
    </row>
    <row r="23" spans="1:17" x14ac:dyDescent="0.25">
      <c r="A23" s="256"/>
      <c r="B23" s="281" t="s">
        <v>229</v>
      </c>
      <c r="C23" s="165" t="s">
        <v>218</v>
      </c>
      <c r="D23" s="133">
        <v>0</v>
      </c>
      <c r="E23" s="264">
        <v>2.5000000000000001E-2</v>
      </c>
      <c r="F23" s="264"/>
      <c r="G23" s="264"/>
      <c r="H23" s="265"/>
      <c r="I23" s="166"/>
      <c r="J23" s="230"/>
      <c r="K23" s="239" t="s">
        <v>232</v>
      </c>
      <c r="L23" s="240"/>
      <c r="M23" s="167">
        <v>0</v>
      </c>
      <c r="N23" s="168">
        <v>2.5000000000000001E-2</v>
      </c>
      <c r="O23" s="168">
        <v>3.9690000000000003E-2</v>
      </c>
      <c r="P23" s="168">
        <v>5.1999999999999998E-2</v>
      </c>
      <c r="Q23" s="169">
        <v>6.3E-2</v>
      </c>
    </row>
    <row r="24" spans="1:17" ht="18.75" x14ac:dyDescent="0.35">
      <c r="A24" s="256"/>
      <c r="B24" s="282"/>
      <c r="C24" s="139" t="s">
        <v>219</v>
      </c>
      <c r="D24" s="140">
        <v>0</v>
      </c>
      <c r="E24" s="266">
        <f>E23/2</f>
        <v>1.2500000000000001E-2</v>
      </c>
      <c r="F24" s="266"/>
      <c r="G24" s="266"/>
      <c r="H24" s="267"/>
      <c r="I24" s="116"/>
      <c r="J24" s="230"/>
      <c r="K24" s="243" t="s">
        <v>236</v>
      </c>
      <c r="L24" s="244"/>
      <c r="M24" s="136">
        <v>0</v>
      </c>
      <c r="N24" s="170">
        <f>N23^2</f>
        <v>6.2500000000000012E-4</v>
      </c>
      <c r="O24" s="170">
        <f t="shared" ref="O24:P24" si="2">O23^2</f>
        <v>1.5752961000000002E-3</v>
      </c>
      <c r="P24" s="170">
        <f t="shared" si="2"/>
        <v>2.7039999999999998E-3</v>
      </c>
      <c r="Q24" s="171">
        <f>Q23^2</f>
        <v>3.9690000000000003E-3</v>
      </c>
    </row>
    <row r="25" spans="1:17" x14ac:dyDescent="0.25">
      <c r="A25" s="256"/>
      <c r="B25" s="282"/>
      <c r="C25" s="139" t="s">
        <v>221</v>
      </c>
      <c r="D25" s="140">
        <v>0</v>
      </c>
      <c r="E25" s="145">
        <v>0.1</v>
      </c>
      <c r="F25" s="145">
        <v>6.6666000000000003E-2</v>
      </c>
      <c r="G25" s="145">
        <v>0.05</v>
      </c>
      <c r="H25" s="146">
        <v>2.8571429999999998E-2</v>
      </c>
      <c r="I25" s="116"/>
      <c r="J25" s="230"/>
      <c r="K25" s="243" t="s">
        <v>237</v>
      </c>
      <c r="L25" s="244"/>
      <c r="M25" s="136">
        <v>0</v>
      </c>
      <c r="N25" s="170">
        <f>N23/2</f>
        <v>1.2500000000000001E-2</v>
      </c>
      <c r="O25" s="170">
        <f t="shared" ref="O25:P25" si="3">O23/2</f>
        <v>1.9845000000000002E-2</v>
      </c>
      <c r="P25" s="170">
        <f t="shared" si="3"/>
        <v>2.5999999999999999E-2</v>
      </c>
      <c r="Q25" s="171">
        <f>Q23/2</f>
        <v>3.15E-2</v>
      </c>
    </row>
    <row r="26" spans="1:17" ht="18.75" thickBot="1" x14ac:dyDescent="0.4">
      <c r="A26" s="256"/>
      <c r="B26" s="282"/>
      <c r="C26" s="139" t="s">
        <v>222</v>
      </c>
      <c r="D26" s="140">
        <v>0</v>
      </c>
      <c r="E26" s="148" t="s">
        <v>240</v>
      </c>
      <c r="F26" s="148" t="s">
        <v>242</v>
      </c>
      <c r="G26" s="148" t="s">
        <v>243</v>
      </c>
      <c r="H26" s="149" t="s">
        <v>244</v>
      </c>
      <c r="I26" s="116"/>
      <c r="J26" s="230"/>
      <c r="K26" s="235" t="s">
        <v>238</v>
      </c>
      <c r="L26" s="236"/>
      <c r="M26" s="155">
        <v>0</v>
      </c>
      <c r="N26" s="172">
        <f>N25/3</f>
        <v>4.1666666666666666E-3</v>
      </c>
      <c r="O26" s="172">
        <f t="shared" ref="O26:P26" si="4">O25/3</f>
        <v>6.6150000000000002E-3</v>
      </c>
      <c r="P26" s="172">
        <f t="shared" si="4"/>
        <v>8.6666666666666663E-3</v>
      </c>
      <c r="Q26" s="173">
        <f>Q25/3</f>
        <v>1.0500000000000001E-2</v>
      </c>
    </row>
    <row r="27" spans="1:17" x14ac:dyDescent="0.25">
      <c r="A27" s="256"/>
      <c r="B27" s="282"/>
      <c r="C27" s="139" t="s">
        <v>224</v>
      </c>
      <c r="D27" s="140">
        <v>0</v>
      </c>
      <c r="E27" s="266" t="s">
        <v>241</v>
      </c>
      <c r="F27" s="266"/>
      <c r="G27" s="266"/>
      <c r="H27" s="267"/>
      <c r="I27" s="117"/>
      <c r="J27" s="230"/>
      <c r="K27" s="280"/>
      <c r="L27" s="109" t="s">
        <v>0</v>
      </c>
      <c r="M27" s="156">
        <v>0</v>
      </c>
      <c r="N27" s="157">
        <v>40</v>
      </c>
      <c r="O27" s="157">
        <v>40</v>
      </c>
      <c r="P27" s="157">
        <v>40</v>
      </c>
      <c r="Q27" s="93">
        <v>40</v>
      </c>
    </row>
    <row r="28" spans="1:17" ht="18" thickBot="1" x14ac:dyDescent="0.3">
      <c r="A28" s="257"/>
      <c r="B28" s="283"/>
      <c r="C28" s="150" t="s">
        <v>227</v>
      </c>
      <c r="D28" s="151">
        <v>0</v>
      </c>
      <c r="E28" s="152">
        <v>14.593</v>
      </c>
      <c r="F28" s="152">
        <v>29.178000000000001</v>
      </c>
      <c r="G28" s="152">
        <v>43.411000000000001</v>
      </c>
      <c r="H28" s="153">
        <v>70.745999999999995</v>
      </c>
      <c r="I28" s="117"/>
      <c r="J28" s="230"/>
      <c r="K28" s="275"/>
      <c r="L28" s="113" t="s">
        <v>228</v>
      </c>
      <c r="M28" s="129">
        <v>0</v>
      </c>
      <c r="N28" s="130">
        <f>N27*N$24</f>
        <v>2.5000000000000005E-2</v>
      </c>
      <c r="O28" s="130">
        <f>O27*O$24</f>
        <v>6.3011844000000011E-2</v>
      </c>
      <c r="P28" s="130">
        <f>P27*P$24</f>
        <v>0.10815999999999999</v>
      </c>
      <c r="Q28" s="131">
        <f>Q27*Q$24</f>
        <v>0.15876000000000001</v>
      </c>
    </row>
    <row r="29" spans="1:17" ht="18.75" thickBot="1" x14ac:dyDescent="0.4">
      <c r="A29" s="255" t="s">
        <v>245</v>
      </c>
      <c r="B29" s="284" t="s">
        <v>246</v>
      </c>
      <c r="C29" s="109" t="s">
        <v>218</v>
      </c>
      <c r="D29" s="239">
        <v>2.5000000000000001E-2</v>
      </c>
      <c r="E29" s="253"/>
      <c r="F29" s="253"/>
      <c r="G29" s="253"/>
      <c r="H29" s="254"/>
      <c r="I29" s="134"/>
      <c r="J29" s="279"/>
      <c r="K29" s="297"/>
      <c r="L29" s="174" t="s">
        <v>230</v>
      </c>
      <c r="M29" s="155">
        <v>0</v>
      </c>
      <c r="N29" s="143">
        <f>N28*N$26/$O$2</f>
        <v>2.6041666666666672E-4</v>
      </c>
      <c r="O29" s="143">
        <f>O28*O$26/$O$2</f>
        <v>1.0420583701500001E-3</v>
      </c>
      <c r="P29" s="143">
        <f>P28*P$26/$O$2</f>
        <v>2.3434666666666661E-3</v>
      </c>
      <c r="Q29" s="144">
        <f>Q28*Q$26/$O$2</f>
        <v>4.1674500000000005E-3</v>
      </c>
    </row>
    <row r="30" spans="1:17" x14ac:dyDescent="0.25">
      <c r="A30" s="256"/>
      <c r="B30" s="285"/>
      <c r="C30" s="113" t="s">
        <v>219</v>
      </c>
      <c r="D30" s="243">
        <f>D29/2</f>
        <v>1.2500000000000001E-2</v>
      </c>
      <c r="E30" s="227"/>
      <c r="F30" s="227"/>
      <c r="G30" s="227"/>
      <c r="H30" s="228"/>
      <c r="I30" s="134"/>
      <c r="K30" t="s">
        <v>247</v>
      </c>
    </row>
    <row r="31" spans="1:17" x14ac:dyDescent="0.25">
      <c r="A31" s="256"/>
      <c r="B31" s="285"/>
      <c r="C31" s="113" t="s">
        <v>221</v>
      </c>
      <c r="D31" s="243">
        <v>2.8571429999999998E-2</v>
      </c>
      <c r="E31" s="227"/>
      <c r="F31" s="227"/>
      <c r="G31" s="227"/>
      <c r="H31" s="228"/>
      <c r="L31" t="s">
        <v>248</v>
      </c>
      <c r="M31" t="s">
        <v>249</v>
      </c>
      <c r="N31" t="s">
        <v>250</v>
      </c>
      <c r="O31" t="s">
        <v>251</v>
      </c>
    </row>
    <row r="32" spans="1:17" x14ac:dyDescent="0.25">
      <c r="A32" s="256"/>
      <c r="B32" s="285"/>
      <c r="C32" s="113" t="s">
        <v>222</v>
      </c>
      <c r="D32" s="243" t="s">
        <v>252</v>
      </c>
      <c r="E32" s="227"/>
      <c r="F32" s="227"/>
      <c r="G32" s="227"/>
      <c r="H32" s="228"/>
      <c r="K32" t="s">
        <v>253</v>
      </c>
      <c r="L32">
        <v>6.7</v>
      </c>
      <c r="M32">
        <v>26.8</v>
      </c>
      <c r="N32">
        <v>60.3</v>
      </c>
      <c r="O32">
        <v>107.2</v>
      </c>
    </row>
    <row r="33" spans="1:15" ht="15.75" thickBot="1" x14ac:dyDescent="0.3">
      <c r="A33" s="256"/>
      <c r="B33" s="286"/>
      <c r="C33" s="125" t="s">
        <v>224</v>
      </c>
      <c r="D33" s="235" t="s">
        <v>254</v>
      </c>
      <c r="E33" s="287"/>
      <c r="F33" s="287"/>
      <c r="G33" s="287"/>
      <c r="H33" s="288"/>
      <c r="K33" t="s">
        <v>255</v>
      </c>
      <c r="L33">
        <v>12.61</v>
      </c>
      <c r="M33">
        <v>41.49</v>
      </c>
      <c r="N33">
        <v>65.180000000000007</v>
      </c>
      <c r="O33">
        <v>64.22</v>
      </c>
    </row>
    <row r="34" spans="1:15" x14ac:dyDescent="0.25">
      <c r="A34" s="256"/>
      <c r="B34" s="281" t="s">
        <v>256</v>
      </c>
      <c r="C34" s="165" t="s">
        <v>218</v>
      </c>
      <c r="D34" s="290">
        <v>4.3999999999999997E-2</v>
      </c>
      <c r="E34" s="291"/>
      <c r="F34" s="291"/>
      <c r="G34" s="291"/>
      <c r="H34" s="292"/>
      <c r="K34" t="s">
        <v>257</v>
      </c>
      <c r="L34">
        <v>32.28</v>
      </c>
      <c r="M34">
        <v>60.23</v>
      </c>
      <c r="N34">
        <v>78.37</v>
      </c>
      <c r="O34">
        <v>76.64</v>
      </c>
    </row>
    <row r="35" spans="1:15" x14ac:dyDescent="0.25">
      <c r="A35" s="256"/>
      <c r="B35" s="282"/>
      <c r="C35" s="139" t="s">
        <v>219</v>
      </c>
      <c r="D35" s="293">
        <f>D34/2</f>
        <v>2.1999999999999999E-2</v>
      </c>
      <c r="E35" s="266"/>
      <c r="F35" s="266"/>
      <c r="G35" s="266"/>
      <c r="H35" s="267"/>
      <c r="K35" t="s">
        <v>258</v>
      </c>
      <c r="L35">
        <v>5.6310000000000002</v>
      </c>
      <c r="M35">
        <v>2.4329999999999998</v>
      </c>
      <c r="N35">
        <v>1.1739999999999999</v>
      </c>
      <c r="O35">
        <v>5.3920000000000003E-2</v>
      </c>
    </row>
    <row r="36" spans="1:15" x14ac:dyDescent="0.25">
      <c r="A36" s="256"/>
      <c r="B36" s="282"/>
      <c r="C36" s="139" t="s">
        <v>221</v>
      </c>
      <c r="D36" s="293">
        <v>0.1</v>
      </c>
      <c r="E36" s="266"/>
      <c r="F36" s="266"/>
      <c r="G36" s="266"/>
      <c r="H36" s="267"/>
      <c r="K36" t="s">
        <v>259</v>
      </c>
      <c r="L36">
        <v>33.81</v>
      </c>
      <c r="M36">
        <v>5.2240000000000002</v>
      </c>
      <c r="N36">
        <v>0.29959999999999998</v>
      </c>
      <c r="O36">
        <v>-0.61450000000000005</v>
      </c>
    </row>
    <row r="37" spans="1:15" x14ac:dyDescent="0.25">
      <c r="A37" s="256"/>
      <c r="B37" s="282"/>
      <c r="C37" s="139" t="s">
        <v>222</v>
      </c>
      <c r="D37" s="293" t="s">
        <v>260</v>
      </c>
      <c r="E37" s="266"/>
      <c r="F37" s="266"/>
      <c r="G37" s="266"/>
      <c r="H37" s="267"/>
    </row>
    <row r="38" spans="1:15" ht="15.75" thickBot="1" x14ac:dyDescent="0.3">
      <c r="A38" s="257"/>
      <c r="B38" s="289"/>
      <c r="C38" s="150" t="s">
        <v>224</v>
      </c>
      <c r="D38" s="294" t="s">
        <v>254</v>
      </c>
      <c r="E38" s="295"/>
      <c r="F38" s="295"/>
      <c r="G38" s="295"/>
      <c r="H38" s="296"/>
    </row>
    <row r="39" spans="1:15" x14ac:dyDescent="0.25">
      <c r="L39" t="s">
        <v>261</v>
      </c>
      <c r="M39" t="s">
        <v>262</v>
      </c>
      <c r="N39" t="s">
        <v>263</v>
      </c>
      <c r="O39" t="s">
        <v>264</v>
      </c>
    </row>
    <row r="40" spans="1:15" x14ac:dyDescent="0.25">
      <c r="K40" t="s">
        <v>253</v>
      </c>
      <c r="L40">
        <v>6.7</v>
      </c>
      <c r="M40">
        <v>26.8</v>
      </c>
      <c r="N40">
        <v>60.1</v>
      </c>
      <c r="O40">
        <v>106.5</v>
      </c>
    </row>
    <row r="41" spans="1:15" x14ac:dyDescent="0.25">
      <c r="K41" t="s">
        <v>255</v>
      </c>
      <c r="L41">
        <v>12.59</v>
      </c>
      <c r="M41">
        <v>45.63</v>
      </c>
      <c r="N41">
        <v>90.7</v>
      </c>
      <c r="O41">
        <v>139.30000000000001</v>
      </c>
    </row>
    <row r="42" spans="1:15" x14ac:dyDescent="0.25">
      <c r="K42" t="s">
        <v>257</v>
      </c>
      <c r="L42">
        <v>32.24</v>
      </c>
      <c r="M42">
        <v>78.36</v>
      </c>
      <c r="N42">
        <v>128.30000000000001</v>
      </c>
      <c r="O42">
        <v>177.7</v>
      </c>
    </row>
    <row r="43" spans="1:15" x14ac:dyDescent="0.25">
      <c r="K43" t="s">
        <v>258</v>
      </c>
      <c r="L43">
        <v>5.6379999999999999</v>
      </c>
      <c r="M43">
        <v>3.3090000000000002</v>
      </c>
      <c r="N43">
        <v>2.2970000000000002</v>
      </c>
      <c r="O43">
        <v>1.6819999999999999</v>
      </c>
    </row>
    <row r="44" spans="1:15" x14ac:dyDescent="0.25">
      <c r="K44" t="s">
        <v>259</v>
      </c>
      <c r="L44">
        <v>33.9</v>
      </c>
      <c r="M44">
        <v>10.79</v>
      </c>
      <c r="N44">
        <v>4.5190000000000001</v>
      </c>
      <c r="O44">
        <v>1.843</v>
      </c>
    </row>
  </sheetData>
  <mergeCells count="54">
    <mergeCell ref="K26:L26"/>
    <mergeCell ref="E27:H27"/>
    <mergeCell ref="A29:A38"/>
    <mergeCell ref="B29:B33"/>
    <mergeCell ref="D29:H29"/>
    <mergeCell ref="D30:H30"/>
    <mergeCell ref="D31:H31"/>
    <mergeCell ref="D32:H32"/>
    <mergeCell ref="D33:H33"/>
    <mergeCell ref="B34:B38"/>
    <mergeCell ref="D34:H34"/>
    <mergeCell ref="D35:H35"/>
    <mergeCell ref="D36:H36"/>
    <mergeCell ref="D37:H37"/>
    <mergeCell ref="D38:H38"/>
    <mergeCell ref="K27:K29"/>
    <mergeCell ref="A15:C16"/>
    <mergeCell ref="D15:H15"/>
    <mergeCell ref="K15:K17"/>
    <mergeCell ref="A17:A28"/>
    <mergeCell ref="B17:B22"/>
    <mergeCell ref="E19:H19"/>
    <mergeCell ref="J19:J29"/>
    <mergeCell ref="K19:K21"/>
    <mergeCell ref="E20:H20"/>
    <mergeCell ref="E21:H21"/>
    <mergeCell ref="B23:B28"/>
    <mergeCell ref="E23:H23"/>
    <mergeCell ref="K23:L23"/>
    <mergeCell ref="E24:H24"/>
    <mergeCell ref="K24:L24"/>
    <mergeCell ref="K25:L25"/>
    <mergeCell ref="A1:C2"/>
    <mergeCell ref="D1:H1"/>
    <mergeCell ref="A3:A14"/>
    <mergeCell ref="B3:B8"/>
    <mergeCell ref="E5:H5"/>
    <mergeCell ref="B9:B14"/>
    <mergeCell ref="E9:H9"/>
    <mergeCell ref="E10:H10"/>
    <mergeCell ref="E13:H13"/>
    <mergeCell ref="M5:Q5"/>
    <mergeCell ref="E6:H6"/>
    <mergeCell ref="E7:H7"/>
    <mergeCell ref="J7:J17"/>
    <mergeCell ref="K7:K10"/>
    <mergeCell ref="K14:L14"/>
    <mergeCell ref="N14:Q14"/>
    <mergeCell ref="K11:L11"/>
    <mergeCell ref="N11:Q11"/>
    <mergeCell ref="K12:L12"/>
    <mergeCell ref="N12:Q12"/>
    <mergeCell ref="K13:L13"/>
    <mergeCell ref="N13:Q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2"/>
  <sheetViews>
    <sheetView workbookViewId="0">
      <selection activeCell="I29" sqref="I29"/>
    </sheetView>
  </sheetViews>
  <sheetFormatPr defaultRowHeight="15" x14ac:dyDescent="0.25"/>
  <cols>
    <col min="1" max="2" width="10.140625" bestFit="1" customWidth="1"/>
    <col min="3" max="4" width="4.7109375" bestFit="1" customWidth="1"/>
    <col min="5" max="5" width="36.42578125" bestFit="1" customWidth="1"/>
    <col min="6" max="6" width="27.85546875" bestFit="1" customWidth="1"/>
    <col min="7" max="7" width="8" bestFit="1" customWidth="1"/>
    <col min="8" max="8" width="10" bestFit="1" customWidth="1"/>
    <col min="9" max="9" width="12.5703125" bestFit="1" customWidth="1"/>
  </cols>
  <sheetData>
    <row r="1" spans="1:10" x14ac:dyDescent="0.25">
      <c r="A1" s="247" t="s">
        <v>165</v>
      </c>
      <c r="B1" s="249"/>
      <c r="C1" s="308" t="s">
        <v>164</v>
      </c>
      <c r="D1" s="240"/>
      <c r="E1" s="309" t="s">
        <v>163</v>
      </c>
      <c r="F1" s="304" t="s">
        <v>162</v>
      </c>
      <c r="G1" s="302" t="s">
        <v>161</v>
      </c>
      <c r="H1" s="311" t="s">
        <v>160</v>
      </c>
      <c r="I1" s="239" t="s">
        <v>270</v>
      </c>
      <c r="J1" s="254"/>
    </row>
    <row r="2" spans="1:10" ht="15.75" thickBot="1" x14ac:dyDescent="0.3">
      <c r="A2" s="300"/>
      <c r="B2" s="301"/>
      <c r="C2" s="66" t="s">
        <v>125</v>
      </c>
      <c r="D2" s="65" t="s">
        <v>159</v>
      </c>
      <c r="E2" s="310"/>
      <c r="F2" s="305"/>
      <c r="G2" s="303"/>
      <c r="H2" s="312"/>
      <c r="I2" s="175" t="s">
        <v>39</v>
      </c>
      <c r="J2" s="176" t="s">
        <v>271</v>
      </c>
    </row>
    <row r="3" spans="1:10" x14ac:dyDescent="0.25">
      <c r="A3" s="268" t="s">
        <v>158</v>
      </c>
      <c r="B3" s="180" t="s">
        <v>157</v>
      </c>
      <c r="C3" s="78" t="s">
        <v>156</v>
      </c>
      <c r="D3" s="77" t="s">
        <v>156</v>
      </c>
      <c r="E3" s="76" t="s">
        <v>157</v>
      </c>
      <c r="F3" s="92" t="s">
        <v>157</v>
      </c>
      <c r="G3" s="75" t="s">
        <v>125</v>
      </c>
      <c r="H3" s="74" t="s">
        <v>125</v>
      </c>
      <c r="I3" s="179"/>
      <c r="J3" s="180"/>
    </row>
    <row r="4" spans="1:10" ht="15.75" thickBot="1" x14ac:dyDescent="0.3">
      <c r="A4" s="250"/>
      <c r="B4" s="182" t="s">
        <v>155</v>
      </c>
      <c r="C4" s="90" t="s">
        <v>156</v>
      </c>
      <c r="D4" s="89" t="s">
        <v>156</v>
      </c>
      <c r="E4" s="88" t="s">
        <v>155</v>
      </c>
      <c r="F4" s="87" t="s">
        <v>155</v>
      </c>
      <c r="G4" s="86" t="s">
        <v>125</v>
      </c>
      <c r="H4" s="85" t="s">
        <v>125</v>
      </c>
      <c r="I4" s="181"/>
      <c r="J4" s="182"/>
    </row>
    <row r="5" spans="1:10" x14ac:dyDescent="0.25">
      <c r="A5" s="247" t="s">
        <v>154</v>
      </c>
      <c r="B5" s="249" t="s">
        <v>142</v>
      </c>
      <c r="C5" s="84" t="s">
        <v>133</v>
      </c>
      <c r="D5" s="83">
        <v>0</v>
      </c>
      <c r="E5" s="82" t="s">
        <v>153</v>
      </c>
      <c r="F5" s="304" t="s">
        <v>153</v>
      </c>
      <c r="G5" s="81" t="s">
        <v>125</v>
      </c>
      <c r="H5" s="80" t="s">
        <v>269</v>
      </c>
      <c r="I5" s="183"/>
      <c r="J5" s="184"/>
    </row>
    <row r="6" spans="1:10" x14ac:dyDescent="0.25">
      <c r="A6" s="306"/>
      <c r="B6" s="307"/>
      <c r="C6" s="72" t="s">
        <v>130</v>
      </c>
      <c r="D6" s="71">
        <v>0</v>
      </c>
      <c r="E6" s="70" t="s">
        <v>152</v>
      </c>
      <c r="F6" s="299"/>
      <c r="G6" s="69" t="s">
        <v>125</v>
      </c>
      <c r="H6" s="68"/>
      <c r="I6" s="186"/>
      <c r="J6" s="185"/>
    </row>
    <row r="7" spans="1:10" x14ac:dyDescent="0.25">
      <c r="A7" s="306"/>
      <c r="B7" s="307" t="s">
        <v>139</v>
      </c>
      <c r="C7" s="72">
        <v>0</v>
      </c>
      <c r="D7" s="71" t="s">
        <v>133</v>
      </c>
      <c r="E7" s="70" t="s">
        <v>151</v>
      </c>
      <c r="F7" s="73" t="s">
        <v>151</v>
      </c>
      <c r="G7" s="69" t="s">
        <v>125</v>
      </c>
      <c r="H7" s="68"/>
      <c r="I7" s="186"/>
      <c r="J7" s="185"/>
    </row>
    <row r="8" spans="1:10" x14ac:dyDescent="0.25">
      <c r="A8" s="306"/>
      <c r="B8" s="307"/>
      <c r="C8" s="72">
        <v>0</v>
      </c>
      <c r="D8" s="71" t="s">
        <v>130</v>
      </c>
      <c r="E8" s="70" t="s">
        <v>150</v>
      </c>
      <c r="F8" s="73" t="s">
        <v>150</v>
      </c>
      <c r="G8" s="69" t="s">
        <v>125</v>
      </c>
      <c r="H8" s="68"/>
      <c r="I8" s="186"/>
      <c r="J8" s="185"/>
    </row>
    <row r="9" spans="1:10" x14ac:dyDescent="0.25">
      <c r="A9" s="306"/>
      <c r="B9" s="307" t="s">
        <v>136</v>
      </c>
      <c r="C9" s="72" t="s">
        <v>133</v>
      </c>
      <c r="D9" s="71" t="s">
        <v>133</v>
      </c>
      <c r="E9" s="70" t="s">
        <v>149</v>
      </c>
      <c r="F9" s="299" t="s">
        <v>149</v>
      </c>
      <c r="G9" s="69" t="s">
        <v>125</v>
      </c>
      <c r="H9" s="68"/>
      <c r="I9" s="186"/>
      <c r="J9" s="185"/>
    </row>
    <row r="10" spans="1:10" x14ac:dyDescent="0.25">
      <c r="A10" s="306"/>
      <c r="B10" s="307"/>
      <c r="C10" s="72" t="s">
        <v>130</v>
      </c>
      <c r="D10" s="71" t="s">
        <v>133</v>
      </c>
      <c r="E10" s="70" t="s">
        <v>148</v>
      </c>
      <c r="F10" s="299"/>
      <c r="G10" s="69" t="s">
        <v>125</v>
      </c>
      <c r="H10" s="68"/>
      <c r="I10" s="186"/>
      <c r="J10" s="185"/>
    </row>
    <row r="11" spans="1:10" x14ac:dyDescent="0.25">
      <c r="A11" s="306"/>
      <c r="B11" s="307"/>
      <c r="C11" s="72" t="s">
        <v>133</v>
      </c>
      <c r="D11" s="71" t="s">
        <v>130</v>
      </c>
      <c r="E11" s="70" t="s">
        <v>147</v>
      </c>
      <c r="F11" s="299" t="s">
        <v>146</v>
      </c>
      <c r="G11" s="69" t="s">
        <v>125</v>
      </c>
      <c r="H11" s="68"/>
      <c r="I11" s="186"/>
      <c r="J11" s="185"/>
    </row>
    <row r="12" spans="1:10" x14ac:dyDescent="0.25">
      <c r="A12" s="306"/>
      <c r="B12" s="307"/>
      <c r="C12" s="72" t="s">
        <v>130</v>
      </c>
      <c r="D12" s="71" t="s">
        <v>130</v>
      </c>
      <c r="E12" s="70" t="s">
        <v>145</v>
      </c>
      <c r="F12" s="299"/>
      <c r="G12" s="69" t="s">
        <v>125</v>
      </c>
      <c r="H12" s="68"/>
      <c r="I12" s="186"/>
      <c r="J12" s="185"/>
    </row>
    <row r="13" spans="1:10" ht="15.75" thickBot="1" x14ac:dyDescent="0.3">
      <c r="A13" s="300"/>
      <c r="B13" s="178" t="s">
        <v>128</v>
      </c>
      <c r="C13" s="66" t="s">
        <v>127</v>
      </c>
      <c r="D13" s="65" t="s">
        <v>127</v>
      </c>
      <c r="E13" s="64" t="s">
        <v>144</v>
      </c>
      <c r="F13" s="63" t="s">
        <v>144</v>
      </c>
      <c r="G13" s="62" t="s">
        <v>125</v>
      </c>
      <c r="H13" s="79"/>
      <c r="I13" s="187"/>
      <c r="J13" s="188"/>
    </row>
    <row r="14" spans="1:10" x14ac:dyDescent="0.25">
      <c r="A14" s="268" t="s">
        <v>143</v>
      </c>
      <c r="B14" s="270" t="s">
        <v>142</v>
      </c>
      <c r="C14" s="78" t="s">
        <v>133</v>
      </c>
      <c r="D14" s="77">
        <v>0</v>
      </c>
      <c r="E14" s="76" t="s">
        <v>141</v>
      </c>
      <c r="F14" s="298" t="s">
        <v>141</v>
      </c>
      <c r="G14" s="75" t="s">
        <v>125</v>
      </c>
      <c r="H14" s="74" t="s">
        <v>125</v>
      </c>
      <c r="I14" s="179"/>
      <c r="J14" s="180"/>
    </row>
    <row r="15" spans="1:10" x14ac:dyDescent="0.25">
      <c r="A15" s="306"/>
      <c r="B15" s="307"/>
      <c r="C15" s="72" t="s">
        <v>130</v>
      </c>
      <c r="D15" s="71">
        <v>0</v>
      </c>
      <c r="E15" s="70" t="s">
        <v>140</v>
      </c>
      <c r="F15" s="299"/>
      <c r="G15" s="69" t="s">
        <v>125</v>
      </c>
      <c r="H15" s="68"/>
      <c r="I15" s="186"/>
      <c r="J15" s="185"/>
    </row>
    <row r="16" spans="1:10" x14ac:dyDescent="0.25">
      <c r="A16" s="306"/>
      <c r="B16" s="307" t="s">
        <v>139</v>
      </c>
      <c r="C16" s="72">
        <v>0</v>
      </c>
      <c r="D16" s="71" t="s">
        <v>133</v>
      </c>
      <c r="E16" s="70" t="s">
        <v>138</v>
      </c>
      <c r="F16" s="73" t="s">
        <v>138</v>
      </c>
      <c r="G16" s="69" t="s">
        <v>125</v>
      </c>
      <c r="H16" s="68" t="s">
        <v>269</v>
      </c>
      <c r="I16" s="186"/>
      <c r="J16" s="185"/>
    </row>
    <row r="17" spans="1:10" x14ac:dyDescent="0.25">
      <c r="A17" s="306"/>
      <c r="B17" s="307"/>
      <c r="C17" s="72">
        <v>0</v>
      </c>
      <c r="D17" s="71" t="s">
        <v>130</v>
      </c>
      <c r="E17" s="70" t="s">
        <v>137</v>
      </c>
      <c r="F17" s="73" t="s">
        <v>137</v>
      </c>
      <c r="G17" s="69" t="s">
        <v>125</v>
      </c>
      <c r="H17" s="68"/>
      <c r="I17" s="186"/>
      <c r="J17" s="185"/>
    </row>
    <row r="18" spans="1:10" x14ac:dyDescent="0.25">
      <c r="A18" s="306"/>
      <c r="B18" s="307" t="s">
        <v>136</v>
      </c>
      <c r="C18" s="72" t="s">
        <v>133</v>
      </c>
      <c r="D18" s="71" t="s">
        <v>133</v>
      </c>
      <c r="E18" s="70" t="s">
        <v>135</v>
      </c>
      <c r="F18" s="299" t="s">
        <v>135</v>
      </c>
      <c r="G18" s="69" t="s">
        <v>125</v>
      </c>
      <c r="H18" s="68"/>
      <c r="I18" s="186"/>
      <c r="J18" s="185"/>
    </row>
    <row r="19" spans="1:10" x14ac:dyDescent="0.25">
      <c r="A19" s="306"/>
      <c r="B19" s="307"/>
      <c r="C19" s="72" t="s">
        <v>130</v>
      </c>
      <c r="D19" s="71" t="s">
        <v>133</v>
      </c>
      <c r="E19" s="70" t="s">
        <v>134</v>
      </c>
      <c r="F19" s="299"/>
      <c r="G19" s="69" t="s">
        <v>125</v>
      </c>
      <c r="H19" s="68"/>
      <c r="I19" s="186"/>
      <c r="J19" s="185"/>
    </row>
    <row r="20" spans="1:10" x14ac:dyDescent="0.25">
      <c r="A20" s="306"/>
      <c r="B20" s="307"/>
      <c r="C20" s="72" t="s">
        <v>133</v>
      </c>
      <c r="D20" s="71" t="s">
        <v>130</v>
      </c>
      <c r="E20" s="70" t="s">
        <v>132</v>
      </c>
      <c r="F20" s="299" t="s">
        <v>131</v>
      </c>
      <c r="G20" s="69" t="s">
        <v>125</v>
      </c>
      <c r="H20" s="68"/>
      <c r="I20" s="186"/>
      <c r="J20" s="185"/>
    </row>
    <row r="21" spans="1:10" x14ac:dyDescent="0.25">
      <c r="A21" s="306"/>
      <c r="B21" s="307"/>
      <c r="C21" s="72" t="s">
        <v>130</v>
      </c>
      <c r="D21" s="71" t="s">
        <v>130</v>
      </c>
      <c r="E21" s="70" t="s">
        <v>129</v>
      </c>
      <c r="F21" s="299"/>
      <c r="G21" s="69" t="s">
        <v>125</v>
      </c>
      <c r="H21" s="68"/>
      <c r="I21" s="186"/>
      <c r="J21" s="185"/>
    </row>
    <row r="22" spans="1:10" ht="15.75" thickBot="1" x14ac:dyDescent="0.3">
      <c r="A22" s="300"/>
      <c r="B22" s="178" t="s">
        <v>128</v>
      </c>
      <c r="C22" s="66" t="s">
        <v>127</v>
      </c>
      <c r="D22" s="65" t="s">
        <v>127</v>
      </c>
      <c r="E22" s="64" t="s">
        <v>126</v>
      </c>
      <c r="F22" s="63" t="s">
        <v>126</v>
      </c>
      <c r="G22" s="62" t="s">
        <v>125</v>
      </c>
      <c r="H22" s="189"/>
      <c r="I22" s="187"/>
      <c r="J22" s="188"/>
    </row>
  </sheetData>
  <mergeCells count="22">
    <mergeCell ref="I1:J1"/>
    <mergeCell ref="C1:D1"/>
    <mergeCell ref="A5:A13"/>
    <mergeCell ref="E1:E2"/>
    <mergeCell ref="A3:A4"/>
    <mergeCell ref="H1:H2"/>
    <mergeCell ref="F14:F15"/>
    <mergeCell ref="F18:F19"/>
    <mergeCell ref="F20:F21"/>
    <mergeCell ref="A1:B2"/>
    <mergeCell ref="G1:G2"/>
    <mergeCell ref="F1:F2"/>
    <mergeCell ref="F5:F6"/>
    <mergeCell ref="F9:F10"/>
    <mergeCell ref="F11:F12"/>
    <mergeCell ref="A14:A22"/>
    <mergeCell ref="B14:B15"/>
    <mergeCell ref="B16:B17"/>
    <mergeCell ref="B18:B21"/>
    <mergeCell ref="B5:B6"/>
    <mergeCell ref="B7:B8"/>
    <mergeCell ref="B9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42"/>
  <sheetViews>
    <sheetView workbookViewId="0">
      <selection activeCell="G12" sqref="G12"/>
    </sheetView>
  </sheetViews>
  <sheetFormatPr defaultRowHeight="15" x14ac:dyDescent="0.25"/>
  <cols>
    <col min="1" max="2" width="10.140625" bestFit="1" customWidth="1"/>
    <col min="3" max="4" width="4.7109375" bestFit="1" customWidth="1"/>
    <col min="5" max="5" width="7.140625" customWidth="1"/>
    <col min="6" max="7" width="15" customWidth="1"/>
    <col min="8" max="8" width="31.42578125" bestFit="1" customWidth="1"/>
    <col min="9" max="9" width="24.140625" bestFit="1" customWidth="1"/>
    <col min="10" max="10" width="8" bestFit="1" customWidth="1"/>
    <col min="11" max="11" width="5.140625" customWidth="1"/>
    <col min="12" max="12" width="10" bestFit="1" customWidth="1"/>
    <col min="13" max="13" width="2.5703125" customWidth="1"/>
    <col min="14" max="14" width="8.7109375" bestFit="1" customWidth="1"/>
    <col min="15" max="15" width="12.42578125" bestFit="1" customWidth="1"/>
    <col min="16" max="16" width="11.85546875" bestFit="1" customWidth="1"/>
    <col min="17" max="17" width="11.85546875" customWidth="1"/>
    <col min="24" max="24" width="11" bestFit="1" customWidth="1"/>
  </cols>
  <sheetData>
    <row r="1" spans="1:17" x14ac:dyDescent="0.25">
      <c r="A1" s="247" t="s">
        <v>267</v>
      </c>
      <c r="B1" s="249"/>
      <c r="C1" s="308" t="s">
        <v>164</v>
      </c>
      <c r="D1" s="240"/>
      <c r="E1" s="313" t="s">
        <v>324</v>
      </c>
      <c r="F1" s="313" t="s">
        <v>325</v>
      </c>
      <c r="G1" s="313" t="s">
        <v>326</v>
      </c>
      <c r="H1" s="309" t="s">
        <v>265</v>
      </c>
      <c r="I1" s="304" t="s">
        <v>266</v>
      </c>
      <c r="J1" s="302" t="s">
        <v>161</v>
      </c>
      <c r="K1" s="317" t="s">
        <v>298</v>
      </c>
      <c r="L1" s="311" t="s">
        <v>268</v>
      </c>
      <c r="N1" s="216" t="s">
        <v>299</v>
      </c>
      <c r="O1" s="216"/>
      <c r="P1" s="216"/>
      <c r="Q1" s="191"/>
    </row>
    <row r="2" spans="1:17" ht="15.75" thickBot="1" x14ac:dyDescent="0.3">
      <c r="A2" s="300"/>
      <c r="B2" s="301"/>
      <c r="C2" s="66" t="s">
        <v>125</v>
      </c>
      <c r="D2" s="65" t="s">
        <v>159</v>
      </c>
      <c r="E2" s="314"/>
      <c r="F2" s="314"/>
      <c r="G2" s="314"/>
      <c r="H2" s="310"/>
      <c r="I2" s="305"/>
      <c r="J2" s="303"/>
      <c r="K2" s="318"/>
      <c r="L2" s="312"/>
      <c r="N2" s="56" t="s">
        <v>300</v>
      </c>
      <c r="O2" s="56" t="s">
        <v>301</v>
      </c>
      <c r="P2" s="56" t="s">
        <v>302</v>
      </c>
      <c r="Q2" s="56"/>
    </row>
    <row r="3" spans="1:17" x14ac:dyDescent="0.25">
      <c r="A3" s="268" t="s">
        <v>158</v>
      </c>
      <c r="B3" s="93" t="s">
        <v>157</v>
      </c>
      <c r="C3" s="78" t="s">
        <v>156</v>
      </c>
      <c r="D3" s="77" t="s">
        <v>156</v>
      </c>
      <c r="E3" s="203">
        <v>1.4999999999999999E-4</v>
      </c>
      <c r="F3" s="205">
        <v>3.5</v>
      </c>
      <c r="G3" s="82">
        <v>0</v>
      </c>
      <c r="H3" s="76" t="s">
        <v>157</v>
      </c>
      <c r="I3" s="92" t="s">
        <v>157</v>
      </c>
      <c r="J3" s="75" t="s">
        <v>125</v>
      </c>
      <c r="K3" s="74">
        <v>1</v>
      </c>
      <c r="L3" s="74"/>
      <c r="N3">
        <v>33</v>
      </c>
      <c r="O3">
        <v>25</v>
      </c>
      <c r="P3" s="2">
        <f>O3*0.44704</f>
        <v>11.176</v>
      </c>
      <c r="Q3" s="2"/>
    </row>
    <row r="4" spans="1:17" ht="15.75" thickBot="1" x14ac:dyDescent="0.3">
      <c r="A4" s="250"/>
      <c r="B4" s="91" t="s">
        <v>155</v>
      </c>
      <c r="C4" s="90" t="s">
        <v>156</v>
      </c>
      <c r="D4" s="89" t="s">
        <v>156</v>
      </c>
      <c r="E4" s="204">
        <f>E3</f>
        <v>1.4999999999999999E-4</v>
      </c>
      <c r="F4" s="206">
        <v>31.7</v>
      </c>
      <c r="G4" s="64">
        <v>4.4000000000000004</v>
      </c>
      <c r="H4" s="88" t="s">
        <v>155</v>
      </c>
      <c r="I4" s="87" t="s">
        <v>155</v>
      </c>
      <c r="J4" s="86" t="s">
        <v>125</v>
      </c>
      <c r="K4" s="85">
        <v>2</v>
      </c>
      <c r="L4" s="85"/>
      <c r="N4">
        <v>46</v>
      </c>
      <c r="O4">
        <v>35</v>
      </c>
      <c r="P4" s="2">
        <f t="shared" ref="P4:P9" si="0">O4*0.44704</f>
        <v>15.6464</v>
      </c>
      <c r="Q4" s="2"/>
    </row>
    <row r="5" spans="1:17" x14ac:dyDescent="0.25">
      <c r="A5" s="247" t="s">
        <v>154</v>
      </c>
      <c r="B5" s="249" t="s">
        <v>142</v>
      </c>
      <c r="C5" s="84" t="s">
        <v>133</v>
      </c>
      <c r="D5" s="83"/>
      <c r="E5" s="201">
        <v>31.58614</v>
      </c>
      <c r="F5" s="207">
        <v>34.528280000000002</v>
      </c>
      <c r="G5" s="103">
        <v>4.8040400000000005</v>
      </c>
      <c r="H5" s="82" t="s">
        <v>153</v>
      </c>
      <c r="I5" s="304" t="s">
        <v>153</v>
      </c>
      <c r="J5" s="232" t="s">
        <v>125</v>
      </c>
      <c r="K5" s="232">
        <v>10</v>
      </c>
      <c r="L5" s="80"/>
      <c r="N5">
        <v>59</v>
      </c>
      <c r="O5">
        <v>45</v>
      </c>
      <c r="P5" s="2">
        <f t="shared" si="0"/>
        <v>20.116800000000001</v>
      </c>
      <c r="Q5" s="2"/>
    </row>
    <row r="6" spans="1:17" x14ac:dyDescent="0.25">
      <c r="A6" s="306"/>
      <c r="B6" s="307"/>
      <c r="C6" s="72" t="s">
        <v>130</v>
      </c>
      <c r="D6" s="71"/>
      <c r="E6" s="113">
        <f>E5</f>
        <v>31.58614</v>
      </c>
      <c r="F6" s="208">
        <v>34.528280000000002</v>
      </c>
      <c r="G6" s="88">
        <v>4.8040400000000005</v>
      </c>
      <c r="H6" s="70" t="s">
        <v>152</v>
      </c>
      <c r="I6" s="299"/>
      <c r="J6" s="316"/>
      <c r="K6" s="316"/>
      <c r="L6" s="68"/>
      <c r="N6">
        <v>71</v>
      </c>
      <c r="O6">
        <v>55</v>
      </c>
      <c r="P6" s="2">
        <f t="shared" si="0"/>
        <v>24.587199999999999</v>
      </c>
      <c r="Q6" s="2"/>
    </row>
    <row r="7" spans="1:17" x14ac:dyDescent="0.25">
      <c r="A7" s="306"/>
      <c r="B7" s="307" t="s">
        <v>139</v>
      </c>
      <c r="C7" s="72"/>
      <c r="D7" s="71" t="s">
        <v>133</v>
      </c>
      <c r="E7" s="201">
        <v>31.58614</v>
      </c>
      <c r="F7" s="207">
        <v>34.528280000000002</v>
      </c>
      <c r="G7" s="88">
        <v>4.8040400000000005</v>
      </c>
      <c r="H7" s="70" t="s">
        <v>151</v>
      </c>
      <c r="I7" s="73" t="s">
        <v>151</v>
      </c>
      <c r="J7" s="69" t="s">
        <v>125</v>
      </c>
      <c r="K7" s="68">
        <v>12</v>
      </c>
      <c r="L7" s="68"/>
      <c r="N7">
        <v>84</v>
      </c>
      <c r="O7">
        <v>65</v>
      </c>
      <c r="P7" s="2">
        <f t="shared" si="0"/>
        <v>29.057600000000001</v>
      </c>
      <c r="Q7" s="2"/>
    </row>
    <row r="8" spans="1:17" x14ac:dyDescent="0.25">
      <c r="A8" s="306"/>
      <c r="B8" s="307"/>
      <c r="C8" s="72"/>
      <c r="D8" s="71" t="s">
        <v>130</v>
      </c>
      <c r="E8" s="113">
        <f>E7</f>
        <v>31.58614</v>
      </c>
      <c r="F8" s="208">
        <v>34.528280000000002</v>
      </c>
      <c r="G8" s="88">
        <v>4.8040400000000005</v>
      </c>
      <c r="H8" s="70" t="s">
        <v>150</v>
      </c>
      <c r="I8" s="73" t="s">
        <v>150</v>
      </c>
      <c r="J8" s="69" t="s">
        <v>125</v>
      </c>
      <c r="K8" s="68">
        <v>13</v>
      </c>
      <c r="L8" s="68"/>
      <c r="N8">
        <v>97</v>
      </c>
      <c r="O8">
        <v>75</v>
      </c>
      <c r="P8" s="2">
        <f t="shared" si="0"/>
        <v>33.527999999999999</v>
      </c>
      <c r="Q8" s="2"/>
    </row>
    <row r="9" spans="1:17" x14ac:dyDescent="0.25">
      <c r="A9" s="306"/>
      <c r="B9" s="307" t="s">
        <v>136</v>
      </c>
      <c r="C9" s="72" t="s">
        <v>133</v>
      </c>
      <c r="D9" s="71" t="s">
        <v>133</v>
      </c>
      <c r="E9" s="202">
        <v>17.960892000000001</v>
      </c>
      <c r="F9" s="209">
        <v>32.932840000000006</v>
      </c>
      <c r="G9" s="88">
        <v>4.5761200000000013</v>
      </c>
      <c r="H9" s="70" t="s">
        <v>149</v>
      </c>
      <c r="I9" s="299" t="s">
        <v>149</v>
      </c>
      <c r="J9" s="315" t="s">
        <v>125</v>
      </c>
      <c r="K9" s="315">
        <v>11</v>
      </c>
      <c r="L9" s="68"/>
      <c r="N9">
        <v>100</v>
      </c>
      <c r="O9" s="2">
        <f>0.7847*N9-1.0028</f>
        <v>77.467200000000005</v>
      </c>
      <c r="P9" s="2">
        <f t="shared" si="0"/>
        <v>34.630937088000003</v>
      </c>
      <c r="Q9" s="2"/>
    </row>
    <row r="10" spans="1:17" x14ac:dyDescent="0.25">
      <c r="A10" s="306"/>
      <c r="B10" s="307"/>
      <c r="C10" s="72" t="s">
        <v>130</v>
      </c>
      <c r="D10" s="71" t="s">
        <v>133</v>
      </c>
      <c r="E10" s="113">
        <f>E9</f>
        <v>17.960892000000001</v>
      </c>
      <c r="F10" s="208">
        <v>32.932840000000006</v>
      </c>
      <c r="G10" s="88">
        <v>4.5761200000000013</v>
      </c>
      <c r="H10" s="70" t="s">
        <v>148</v>
      </c>
      <c r="I10" s="299"/>
      <c r="J10" s="316"/>
      <c r="K10" s="316"/>
      <c r="L10" s="68"/>
    </row>
    <row r="11" spans="1:17" x14ac:dyDescent="0.25">
      <c r="A11" s="306"/>
      <c r="B11" s="307"/>
      <c r="C11" s="72" t="s">
        <v>133</v>
      </c>
      <c r="D11" s="71" t="s">
        <v>130</v>
      </c>
      <c r="E11" s="113">
        <f>E10</f>
        <v>17.960892000000001</v>
      </c>
      <c r="F11" s="208">
        <v>32.932840000000006</v>
      </c>
      <c r="G11" s="88">
        <v>4.5761200000000013</v>
      </c>
      <c r="H11" s="70" t="s">
        <v>147</v>
      </c>
      <c r="I11" s="299" t="s">
        <v>146</v>
      </c>
      <c r="J11" s="315" t="s">
        <v>125</v>
      </c>
      <c r="K11" s="315">
        <v>14</v>
      </c>
      <c r="L11" s="68"/>
      <c r="N11" s="56" t="s">
        <v>303</v>
      </c>
      <c r="O11" s="56" t="s">
        <v>304</v>
      </c>
      <c r="P11" s="56" t="s">
        <v>305</v>
      </c>
      <c r="Q11" s="56"/>
    </row>
    <row r="12" spans="1:17" x14ac:dyDescent="0.25">
      <c r="A12" s="306"/>
      <c r="B12" s="307"/>
      <c r="C12" s="72" t="s">
        <v>130</v>
      </c>
      <c r="D12" s="71" t="s">
        <v>130</v>
      </c>
      <c r="E12" s="113">
        <f>E11</f>
        <v>17.960892000000001</v>
      </c>
      <c r="F12" s="208">
        <v>32.932840000000006</v>
      </c>
      <c r="G12" s="88">
        <v>4.5761200000000013</v>
      </c>
      <c r="H12" s="70" t="s">
        <v>145</v>
      </c>
      <c r="I12" s="299"/>
      <c r="J12" s="316"/>
      <c r="K12" s="316"/>
      <c r="L12" s="68"/>
      <c r="N12">
        <v>10</v>
      </c>
      <c r="O12" s="2">
        <f>N12/0.44704</f>
        <v>22.369362920544024</v>
      </c>
      <c r="P12" s="2">
        <f>(O12+1.0028)/0.7847</f>
        <v>29.784838690638495</v>
      </c>
      <c r="Q12" s="2"/>
    </row>
    <row r="13" spans="1:17" ht="15.75" thickBot="1" x14ac:dyDescent="0.3">
      <c r="A13" s="300"/>
      <c r="B13" s="67" t="s">
        <v>128</v>
      </c>
      <c r="C13" s="66" t="s">
        <v>127</v>
      </c>
      <c r="D13" s="65" t="s">
        <v>127</v>
      </c>
      <c r="E13" s="195">
        <v>70.748400000000004</v>
      </c>
      <c r="F13" s="206">
        <v>40.5837</v>
      </c>
      <c r="G13" s="88">
        <v>5.6691000000000003</v>
      </c>
      <c r="H13" s="64" t="s">
        <v>144</v>
      </c>
      <c r="I13" s="63" t="s">
        <v>144</v>
      </c>
      <c r="J13" s="62" t="s">
        <v>125</v>
      </c>
      <c r="K13" s="79">
        <v>9</v>
      </c>
      <c r="L13" s="79"/>
      <c r="N13">
        <v>15</v>
      </c>
      <c r="O13" s="2">
        <f t="shared" ref="O13:O16" si="1">N13/0.44704</f>
        <v>33.554044380816038</v>
      </c>
      <c r="P13" s="2">
        <f t="shared" ref="P13:P16" si="2">(O13+1.0028)/0.7847</f>
        <v>44.038287728834</v>
      </c>
      <c r="Q13" s="2"/>
    </row>
    <row r="14" spans="1:17" x14ac:dyDescent="0.25">
      <c r="A14" s="268" t="s">
        <v>143</v>
      </c>
      <c r="B14" s="270" t="s">
        <v>142</v>
      </c>
      <c r="C14" s="78" t="s">
        <v>133</v>
      </c>
      <c r="D14" s="77"/>
      <c r="E14" s="201">
        <v>31.58614</v>
      </c>
      <c r="F14" s="207">
        <v>32.891296038800007</v>
      </c>
      <c r="G14" s="102">
        <v>4.5701851484000011</v>
      </c>
      <c r="H14" s="76" t="s">
        <v>141</v>
      </c>
      <c r="I14" s="298" t="s">
        <v>141</v>
      </c>
      <c r="J14" s="232" t="s">
        <v>125</v>
      </c>
      <c r="K14" s="232">
        <v>4</v>
      </c>
      <c r="L14" s="74"/>
      <c r="N14">
        <v>20</v>
      </c>
      <c r="O14" s="2">
        <f t="shared" si="1"/>
        <v>44.738725841088048</v>
      </c>
      <c r="P14" s="2">
        <f t="shared" si="2"/>
        <v>58.291736767029505</v>
      </c>
      <c r="Q14" s="2"/>
    </row>
    <row r="15" spans="1:17" x14ac:dyDescent="0.25">
      <c r="A15" s="306"/>
      <c r="B15" s="307"/>
      <c r="C15" s="72" t="s">
        <v>130</v>
      </c>
      <c r="D15" s="71"/>
      <c r="E15" s="113">
        <f>E14</f>
        <v>31.58614</v>
      </c>
      <c r="F15" s="208">
        <v>32.891296038800007</v>
      </c>
      <c r="G15" s="88">
        <v>4.5701851484000011</v>
      </c>
      <c r="H15" s="70" t="s">
        <v>140</v>
      </c>
      <c r="I15" s="299"/>
      <c r="J15" s="316"/>
      <c r="K15" s="316"/>
      <c r="L15" s="68"/>
      <c r="N15">
        <v>25</v>
      </c>
      <c r="O15" s="2">
        <f t="shared" si="1"/>
        <v>55.923407301360058</v>
      </c>
      <c r="P15" s="2">
        <f t="shared" si="2"/>
        <v>72.545185805225003</v>
      </c>
      <c r="Q15" s="2"/>
    </row>
    <row r="16" spans="1:17" x14ac:dyDescent="0.25">
      <c r="A16" s="306"/>
      <c r="B16" s="307" t="s">
        <v>139</v>
      </c>
      <c r="C16" s="72"/>
      <c r="D16" s="71" t="s">
        <v>133</v>
      </c>
      <c r="E16" s="201">
        <v>31.58614</v>
      </c>
      <c r="F16" s="207">
        <v>32.891296038800007</v>
      </c>
      <c r="G16" s="88">
        <v>4.5701851484000011</v>
      </c>
      <c r="H16" s="70" t="s">
        <v>138</v>
      </c>
      <c r="I16" s="73" t="s">
        <v>138</v>
      </c>
      <c r="J16" s="69" t="s">
        <v>125</v>
      </c>
      <c r="K16" s="68">
        <v>6</v>
      </c>
      <c r="L16" s="68"/>
      <c r="N16">
        <v>30</v>
      </c>
      <c r="O16" s="2">
        <f t="shared" si="1"/>
        <v>67.108088761632075</v>
      </c>
      <c r="P16" s="2">
        <f t="shared" si="2"/>
        <v>86.798634843420501</v>
      </c>
      <c r="Q16" s="2"/>
    </row>
    <row r="17" spans="1:24" x14ac:dyDescent="0.25">
      <c r="A17" s="306"/>
      <c r="B17" s="307"/>
      <c r="C17" s="72"/>
      <c r="D17" s="71" t="s">
        <v>130</v>
      </c>
      <c r="E17" s="113">
        <f>E16</f>
        <v>31.58614</v>
      </c>
      <c r="F17" s="208">
        <v>32.891296038800007</v>
      </c>
      <c r="G17" s="88">
        <v>4.5701851484000011</v>
      </c>
      <c r="H17" s="70" t="s">
        <v>137</v>
      </c>
      <c r="I17" s="73" t="s">
        <v>137</v>
      </c>
      <c r="J17" s="69" t="s">
        <v>125</v>
      </c>
      <c r="K17" s="68">
        <v>7</v>
      </c>
      <c r="L17" s="68"/>
    </row>
    <row r="18" spans="1:24" x14ac:dyDescent="0.25">
      <c r="A18" s="306"/>
      <c r="B18" s="307" t="s">
        <v>136</v>
      </c>
      <c r="C18" s="72" t="s">
        <v>133</v>
      </c>
      <c r="D18" s="71" t="s">
        <v>133</v>
      </c>
      <c r="E18" s="202">
        <v>17.960892000000001</v>
      </c>
      <c r="F18" s="209">
        <v>32.433232374896008</v>
      </c>
      <c r="G18" s="88">
        <v>4.5047474821280016</v>
      </c>
      <c r="H18" s="70" t="s">
        <v>135</v>
      </c>
      <c r="I18" s="299" t="s">
        <v>135</v>
      </c>
      <c r="J18" s="315" t="s">
        <v>125</v>
      </c>
      <c r="K18" s="315">
        <v>5</v>
      </c>
      <c r="L18" s="68"/>
    </row>
    <row r="19" spans="1:24" x14ac:dyDescent="0.25">
      <c r="A19" s="306"/>
      <c r="B19" s="307"/>
      <c r="C19" s="72" t="s">
        <v>130</v>
      </c>
      <c r="D19" s="71" t="s">
        <v>133</v>
      </c>
      <c r="E19" s="113">
        <f>E18</f>
        <v>17.960892000000001</v>
      </c>
      <c r="F19" s="208">
        <v>32.433232374896008</v>
      </c>
      <c r="G19" s="88">
        <v>4.5047474821280016</v>
      </c>
      <c r="H19" s="70" t="s">
        <v>134</v>
      </c>
      <c r="I19" s="299"/>
      <c r="J19" s="316"/>
      <c r="K19" s="316"/>
      <c r="L19" s="68"/>
      <c r="S19" s="56" t="s">
        <v>306</v>
      </c>
      <c r="T19" s="56" t="s">
        <v>169</v>
      </c>
      <c r="U19" s="56" t="s">
        <v>26</v>
      </c>
    </row>
    <row r="20" spans="1:24" x14ac:dyDescent="0.25">
      <c r="A20" s="306"/>
      <c r="B20" s="307"/>
      <c r="C20" s="72" t="s">
        <v>133</v>
      </c>
      <c r="D20" s="71" t="s">
        <v>130</v>
      </c>
      <c r="E20" s="113">
        <f>E19</f>
        <v>17.960892000000001</v>
      </c>
      <c r="F20" s="208">
        <v>32.433232374896008</v>
      </c>
      <c r="G20" s="88">
        <v>4.5047474821280016</v>
      </c>
      <c r="H20" s="70" t="s">
        <v>132</v>
      </c>
      <c r="I20" s="299" t="s">
        <v>131</v>
      </c>
      <c r="J20" s="315" t="s">
        <v>125</v>
      </c>
      <c r="K20" s="315">
        <v>8</v>
      </c>
      <c r="L20" s="68"/>
      <c r="S20" t="s">
        <v>18</v>
      </c>
      <c r="T20">
        <v>2</v>
      </c>
      <c r="U20">
        <f>T20*0.0254</f>
        <v>5.0799999999999998E-2</v>
      </c>
      <c r="W20" t="s">
        <v>175</v>
      </c>
      <c r="X20">
        <v>1.2</v>
      </c>
    </row>
    <row r="21" spans="1:24" x14ac:dyDescent="0.25">
      <c r="A21" s="306"/>
      <c r="B21" s="307"/>
      <c r="C21" s="72" t="s">
        <v>130</v>
      </c>
      <c r="D21" s="71" t="s">
        <v>130</v>
      </c>
      <c r="E21" s="113">
        <f>E20</f>
        <v>17.960892000000001</v>
      </c>
      <c r="F21" s="208">
        <v>32.433232374896008</v>
      </c>
      <c r="G21" s="88">
        <v>4.5047474821280016</v>
      </c>
      <c r="H21" s="70" t="s">
        <v>129</v>
      </c>
      <c r="I21" s="299"/>
      <c r="J21" s="316"/>
      <c r="K21" s="316"/>
      <c r="L21" s="68"/>
      <c r="S21" t="s">
        <v>179</v>
      </c>
      <c r="T21">
        <v>0.1</v>
      </c>
      <c r="U21">
        <f t="shared" ref="U21:U24" si="3">T21*0.0254</f>
        <v>2.5400000000000002E-3</v>
      </c>
      <c r="W21" t="s">
        <v>189</v>
      </c>
      <c r="X21">
        <f>181.8*10^-7</f>
        <v>1.8179999999999999E-5</v>
      </c>
    </row>
    <row r="22" spans="1:24" ht="15.75" thickBot="1" x14ac:dyDescent="0.3">
      <c r="A22" s="300"/>
      <c r="B22" s="67" t="s">
        <v>128</v>
      </c>
      <c r="C22" s="66" t="s">
        <v>127</v>
      </c>
      <c r="D22" s="65" t="s">
        <v>127</v>
      </c>
      <c r="E22" s="195">
        <v>70.748400000000004</v>
      </c>
      <c r="F22" s="206">
        <v>34.115372724800011</v>
      </c>
      <c r="G22" s="64">
        <v>4.7450532464000013</v>
      </c>
      <c r="H22" s="64" t="s">
        <v>126</v>
      </c>
      <c r="I22" s="63" t="s">
        <v>126</v>
      </c>
      <c r="J22" s="62" t="s">
        <v>125</v>
      </c>
      <c r="K22" s="79">
        <v>3</v>
      </c>
      <c r="L22" s="61"/>
      <c r="S22" t="s">
        <v>178</v>
      </c>
      <c r="T22">
        <v>1</v>
      </c>
      <c r="U22">
        <f t="shared" si="3"/>
        <v>2.5399999999999999E-2</v>
      </c>
    </row>
    <row r="23" spans="1:24" x14ac:dyDescent="0.25">
      <c r="S23" t="s">
        <v>308</v>
      </c>
      <c r="T23">
        <v>0.13100000000000001</v>
      </c>
      <c r="U23">
        <f t="shared" si="3"/>
        <v>3.3273999999999999E-3</v>
      </c>
      <c r="W23" t="s">
        <v>183</v>
      </c>
      <c r="X23">
        <f>(11.75/12)^2</f>
        <v>0.95876736111111105</v>
      </c>
    </row>
    <row r="24" spans="1:24" x14ac:dyDescent="0.25">
      <c r="S24" t="s">
        <v>307</v>
      </c>
      <c r="T24">
        <f>4*T22*T23/(2*T22+T23)</f>
        <v>0.24589394650398871</v>
      </c>
      <c r="U24">
        <f t="shared" si="3"/>
        <v>6.2457062412013134E-3</v>
      </c>
    </row>
    <row r="29" spans="1:24" x14ac:dyDescent="0.25">
      <c r="N29" s="216" t="s">
        <v>299</v>
      </c>
      <c r="O29" s="216"/>
      <c r="P29" s="216"/>
      <c r="Q29" s="191"/>
      <c r="R29" t="s">
        <v>13</v>
      </c>
    </row>
    <row r="30" spans="1:24" x14ac:dyDescent="0.25">
      <c r="N30" s="56" t="s">
        <v>300</v>
      </c>
      <c r="O30" s="56" t="s">
        <v>301</v>
      </c>
      <c r="P30" s="56" t="s">
        <v>302</v>
      </c>
      <c r="Q30" s="56" t="s">
        <v>309</v>
      </c>
      <c r="R30" s="56" t="s">
        <v>18</v>
      </c>
      <c r="S30" s="56" t="s">
        <v>179</v>
      </c>
      <c r="T30" s="56" t="s">
        <v>178</v>
      </c>
      <c r="U30" s="56" t="s">
        <v>307</v>
      </c>
    </row>
    <row r="31" spans="1:24" x14ac:dyDescent="0.25">
      <c r="N31">
        <v>29.78</v>
      </c>
      <c r="O31">
        <v>22.37</v>
      </c>
      <c r="P31" s="2">
        <f>O31*0.44704</f>
        <v>10.000284800000001</v>
      </c>
      <c r="Q31" s="2">
        <f>P31*196.85*$X$23</f>
        <v>1887.3873016067362</v>
      </c>
      <c r="R31">
        <f>$X$20*$P31*$U$20/$X$21</f>
        <v>33532.308108250829</v>
      </c>
      <c r="S31">
        <f>$X$20*$P31*$U$21/$X$21</f>
        <v>1676.6154054125418</v>
      </c>
      <c r="T31">
        <f>$X$20*$P31*$U$22/$X$21</f>
        <v>16766.154054125414</v>
      </c>
      <c r="U31">
        <f>$X$20*$P31*$U$23/$X$21</f>
        <v>2196.3661810904296</v>
      </c>
    </row>
    <row r="32" spans="1:24" x14ac:dyDescent="0.25">
      <c r="N32">
        <v>33</v>
      </c>
      <c r="O32">
        <v>25</v>
      </c>
      <c r="P32" s="2">
        <f>O32*0.44704</f>
        <v>11.176</v>
      </c>
      <c r="Q32" s="2">
        <f t="shared" ref="Q32:Q42" si="4">P32*196.85*$X$23</f>
        <v>2109.2839758680552</v>
      </c>
      <c r="R32">
        <f t="shared" ref="R32:R42" si="5">$X$20*P32*$U$20/$X$21</f>
        <v>37474.640264026399</v>
      </c>
      <c r="S32">
        <f t="shared" ref="S32:S42" si="6">$X$20*$P32*$U$21/$X$21</f>
        <v>1873.7320132013201</v>
      </c>
      <c r="T32">
        <f t="shared" ref="T32:T42" si="7">$X$20*$P32*$U$22/$X$21</f>
        <v>18737.320132013199</v>
      </c>
      <c r="U32">
        <f t="shared" ref="U32:U42" si="8">$X$20*$P32*$U$23/$X$21</f>
        <v>2454.5889372937295</v>
      </c>
    </row>
    <row r="33" spans="14:21" x14ac:dyDescent="0.25">
      <c r="N33">
        <v>44.04</v>
      </c>
      <c r="O33">
        <v>33.549999999999997</v>
      </c>
      <c r="P33" s="2">
        <f>O33*0.44704</f>
        <v>14.998191999999998</v>
      </c>
      <c r="Q33" s="2">
        <f t="shared" si="4"/>
        <v>2830.6590956149298</v>
      </c>
      <c r="R33">
        <f t="shared" si="5"/>
        <v>50290.967234323427</v>
      </c>
      <c r="S33">
        <f t="shared" si="6"/>
        <v>2514.5483617161717</v>
      </c>
      <c r="T33">
        <f t="shared" si="7"/>
        <v>25145.483617161713</v>
      </c>
      <c r="U33">
        <f t="shared" si="8"/>
        <v>3294.0583538481847</v>
      </c>
    </row>
    <row r="34" spans="14:21" x14ac:dyDescent="0.25">
      <c r="N34">
        <v>46</v>
      </c>
      <c r="O34">
        <v>35</v>
      </c>
      <c r="P34" s="2">
        <f t="shared" ref="P34:P35" si="9">O34*0.44704</f>
        <v>15.6464</v>
      </c>
      <c r="Q34" s="2">
        <f t="shared" si="4"/>
        <v>2952.9975662152779</v>
      </c>
      <c r="R34">
        <f t="shared" si="5"/>
        <v>52464.49636963696</v>
      </c>
      <c r="S34">
        <f t="shared" si="6"/>
        <v>2623.2248184818482</v>
      </c>
      <c r="T34">
        <f t="shared" si="7"/>
        <v>26232.24818481848</v>
      </c>
      <c r="U34">
        <f t="shared" si="8"/>
        <v>3436.4245122112206</v>
      </c>
    </row>
    <row r="35" spans="14:21" x14ac:dyDescent="0.25">
      <c r="N35">
        <v>58.29</v>
      </c>
      <c r="O35">
        <v>44.74</v>
      </c>
      <c r="P35" s="2">
        <f t="shared" si="9"/>
        <v>20.000569600000002</v>
      </c>
      <c r="Q35" s="2">
        <f t="shared" si="4"/>
        <v>3774.7746032134723</v>
      </c>
      <c r="R35">
        <f t="shared" si="5"/>
        <v>67064.616216501658</v>
      </c>
      <c r="S35">
        <f t="shared" si="6"/>
        <v>3353.2308108250836</v>
      </c>
      <c r="T35">
        <f t="shared" si="7"/>
        <v>33532.308108250829</v>
      </c>
      <c r="U35">
        <f t="shared" si="8"/>
        <v>4392.7323621808591</v>
      </c>
    </row>
    <row r="36" spans="14:21" x14ac:dyDescent="0.25">
      <c r="N36">
        <v>59</v>
      </c>
      <c r="O36">
        <v>45</v>
      </c>
      <c r="P36" s="2">
        <f t="shared" ref="P36:P42" si="10">O36*0.44704</f>
        <v>20.116800000000001</v>
      </c>
      <c r="Q36" s="2">
        <f t="shared" si="4"/>
        <v>3796.7111565624996</v>
      </c>
      <c r="R36">
        <f t="shared" si="5"/>
        <v>67454.352475247535</v>
      </c>
      <c r="S36">
        <f t="shared" si="6"/>
        <v>3372.7176237623767</v>
      </c>
      <c r="T36">
        <f t="shared" si="7"/>
        <v>33727.176237623768</v>
      </c>
      <c r="U36">
        <f t="shared" si="8"/>
        <v>4418.2600871287132</v>
      </c>
    </row>
    <row r="37" spans="14:21" x14ac:dyDescent="0.25">
      <c r="N37">
        <v>71</v>
      </c>
      <c r="O37">
        <v>55</v>
      </c>
      <c r="P37" s="2">
        <f t="shared" si="10"/>
        <v>24.587199999999999</v>
      </c>
      <c r="Q37" s="2">
        <f t="shared" si="4"/>
        <v>4640.4247469097218</v>
      </c>
      <c r="R37">
        <f t="shared" si="5"/>
        <v>82444.208580858074</v>
      </c>
      <c r="S37">
        <f t="shared" si="6"/>
        <v>4122.2104290429052</v>
      </c>
      <c r="T37">
        <f t="shared" si="7"/>
        <v>41222.104290429037</v>
      </c>
      <c r="U37">
        <f t="shared" si="8"/>
        <v>5400.0956620462039</v>
      </c>
    </row>
    <row r="38" spans="14:21" x14ac:dyDescent="0.25">
      <c r="N38">
        <v>72.55</v>
      </c>
      <c r="O38">
        <v>55.92</v>
      </c>
      <c r="P38" s="2">
        <f t="shared" si="10"/>
        <v>24.998476799999999</v>
      </c>
      <c r="Q38" s="2">
        <f t="shared" si="4"/>
        <v>4718.0463972216658</v>
      </c>
      <c r="R38">
        <f t="shared" si="5"/>
        <v>83823.275342574256</v>
      </c>
      <c r="S38">
        <f t="shared" si="6"/>
        <v>4191.1637671287126</v>
      </c>
      <c r="T38">
        <f t="shared" si="7"/>
        <v>41911.637671287128</v>
      </c>
      <c r="U38">
        <f t="shared" si="8"/>
        <v>5490.4245349386138</v>
      </c>
    </row>
    <row r="39" spans="14:21" x14ac:dyDescent="0.25">
      <c r="N39">
        <v>84</v>
      </c>
      <c r="O39">
        <v>65</v>
      </c>
      <c r="P39" s="2">
        <f t="shared" si="10"/>
        <v>29.057600000000001</v>
      </c>
      <c r="Q39" s="2">
        <f t="shared" si="4"/>
        <v>5484.1383372569435</v>
      </c>
      <c r="R39">
        <f t="shared" si="5"/>
        <v>97434.064686468657</v>
      </c>
      <c r="S39">
        <f t="shared" si="6"/>
        <v>4871.7032343234332</v>
      </c>
      <c r="T39">
        <f t="shared" si="7"/>
        <v>48717.032343234328</v>
      </c>
      <c r="U39">
        <f t="shared" si="8"/>
        <v>6381.9312369636973</v>
      </c>
    </row>
    <row r="40" spans="14:21" x14ac:dyDescent="0.25">
      <c r="N40">
        <v>86.8</v>
      </c>
      <c r="O40">
        <v>67.11</v>
      </c>
      <c r="P40" s="2">
        <f t="shared" si="10"/>
        <v>30.000854399999998</v>
      </c>
      <c r="Q40" s="2">
        <f t="shared" si="4"/>
        <v>5662.1619048202074</v>
      </c>
      <c r="R40">
        <f t="shared" si="5"/>
        <v>100596.92432475246</v>
      </c>
      <c r="S40">
        <f t="shared" si="6"/>
        <v>5029.8462162376236</v>
      </c>
      <c r="T40">
        <f t="shared" si="7"/>
        <v>50298.462162376229</v>
      </c>
      <c r="U40">
        <f t="shared" si="8"/>
        <v>6589.0985432712869</v>
      </c>
    </row>
    <row r="41" spans="14:21" x14ac:dyDescent="0.25">
      <c r="N41">
        <v>97</v>
      </c>
      <c r="O41">
        <v>75</v>
      </c>
      <c r="P41" s="2">
        <f t="shared" si="10"/>
        <v>33.527999999999999</v>
      </c>
      <c r="Q41" s="2">
        <f t="shared" si="4"/>
        <v>6327.8519276041661</v>
      </c>
      <c r="R41">
        <f t="shared" si="5"/>
        <v>112423.92079207918</v>
      </c>
      <c r="S41">
        <f t="shared" si="6"/>
        <v>5621.1960396039603</v>
      </c>
      <c r="T41">
        <f t="shared" si="7"/>
        <v>56211.960396039591</v>
      </c>
      <c r="U41">
        <f t="shared" si="8"/>
        <v>7363.766811881188</v>
      </c>
    </row>
    <row r="42" spans="14:21" x14ac:dyDescent="0.25">
      <c r="N42">
        <v>100</v>
      </c>
      <c r="O42" s="2">
        <f>0.7847*N42-1.0028</f>
        <v>77.467200000000005</v>
      </c>
      <c r="P42" s="2">
        <f t="shared" si="10"/>
        <v>34.630937088000003</v>
      </c>
      <c r="Q42" s="2">
        <f t="shared" si="4"/>
        <v>6536.0129446146339</v>
      </c>
      <c r="R42">
        <f t="shared" si="5"/>
        <v>116122.21809045544</v>
      </c>
      <c r="S42">
        <f t="shared" si="6"/>
        <v>5806.1109045227731</v>
      </c>
      <c r="T42">
        <f t="shared" si="7"/>
        <v>58061.10904522772</v>
      </c>
      <c r="U42">
        <f t="shared" si="8"/>
        <v>7606.0052849248332</v>
      </c>
    </row>
  </sheetData>
  <mergeCells count="39">
    <mergeCell ref="N1:P1"/>
    <mergeCell ref="N29:P29"/>
    <mergeCell ref="J20:J21"/>
    <mergeCell ref="K1:K2"/>
    <mergeCell ref="K14:K15"/>
    <mergeCell ref="K18:K19"/>
    <mergeCell ref="K20:K21"/>
    <mergeCell ref="K5:K6"/>
    <mergeCell ref="K9:K10"/>
    <mergeCell ref="K11:K12"/>
    <mergeCell ref="J5:J6"/>
    <mergeCell ref="J9:J10"/>
    <mergeCell ref="J11:J12"/>
    <mergeCell ref="J14:J15"/>
    <mergeCell ref="J18:J19"/>
    <mergeCell ref="L1:L2"/>
    <mergeCell ref="A14:A22"/>
    <mergeCell ref="B14:B15"/>
    <mergeCell ref="I14:I15"/>
    <mergeCell ref="B16:B17"/>
    <mergeCell ref="B18:B21"/>
    <mergeCell ref="I18:I19"/>
    <mergeCell ref="I20:I21"/>
    <mergeCell ref="A3:A4"/>
    <mergeCell ref="A5:A13"/>
    <mergeCell ref="B5:B6"/>
    <mergeCell ref="I5:I6"/>
    <mergeCell ref="B7:B8"/>
    <mergeCell ref="B9:B12"/>
    <mergeCell ref="I9:I10"/>
    <mergeCell ref="I11:I12"/>
    <mergeCell ref="A1:B2"/>
    <mergeCell ref="C1:D1"/>
    <mergeCell ref="H1:H2"/>
    <mergeCell ref="I1:I2"/>
    <mergeCell ref="J1:J2"/>
    <mergeCell ref="E1:E2"/>
    <mergeCell ref="F1:F2"/>
    <mergeCell ref="G1:G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29"/>
  <sheetViews>
    <sheetView workbookViewId="0">
      <selection activeCell="O20" sqref="O20"/>
    </sheetView>
  </sheetViews>
  <sheetFormatPr defaultRowHeight="15" x14ac:dyDescent="0.25"/>
  <cols>
    <col min="9" max="9" width="10.140625" bestFit="1" customWidth="1"/>
    <col min="10" max="11" width="4.7109375" bestFit="1" customWidth="1"/>
    <col min="12" max="12" width="31.42578125" bestFit="1" customWidth="1"/>
    <col min="13" max="14" width="13.7109375" customWidth="1"/>
    <col min="15" max="15" width="14.28515625" customWidth="1"/>
  </cols>
  <sheetData>
    <row r="1" spans="1:15" ht="15.75" thickBot="1" x14ac:dyDescent="0.3">
      <c r="A1" t="s">
        <v>327</v>
      </c>
      <c r="B1">
        <f>0.4 * 0.2</f>
        <v>8.0000000000000016E-2</v>
      </c>
      <c r="C1" t="s">
        <v>328</v>
      </c>
    </row>
    <row r="2" spans="1:15" x14ac:dyDescent="0.25">
      <c r="G2" s="326" t="s">
        <v>267</v>
      </c>
      <c r="H2" s="327"/>
      <c r="I2" s="330" t="s">
        <v>164</v>
      </c>
      <c r="J2" s="311"/>
      <c r="K2" s="331" t="s">
        <v>265</v>
      </c>
      <c r="L2" s="319" t="s">
        <v>334</v>
      </c>
      <c r="M2" s="313" t="s">
        <v>335</v>
      </c>
      <c r="N2" s="319" t="s">
        <v>325</v>
      </c>
    </row>
    <row r="3" spans="1:15" ht="15.75" thickBot="1" x14ac:dyDescent="0.3">
      <c r="A3" s="216" t="s">
        <v>329</v>
      </c>
      <c r="B3" s="216"/>
      <c r="C3" s="216"/>
      <c r="D3" s="216"/>
      <c r="G3" s="328"/>
      <c r="H3" s="329"/>
      <c r="I3" s="66" t="s">
        <v>125</v>
      </c>
      <c r="J3" s="65" t="s">
        <v>159</v>
      </c>
      <c r="K3" s="332"/>
      <c r="L3" s="320"/>
      <c r="M3" s="314"/>
      <c r="N3" s="320"/>
    </row>
    <row r="4" spans="1:15" x14ac:dyDescent="0.25">
      <c r="A4" t="s">
        <v>330</v>
      </c>
      <c r="B4" t="s">
        <v>331</v>
      </c>
      <c r="C4" t="s">
        <v>332</v>
      </c>
      <c r="D4" t="s">
        <v>333</v>
      </c>
      <c r="G4" s="321" t="s">
        <v>158</v>
      </c>
      <c r="H4" s="196" t="s">
        <v>157</v>
      </c>
      <c r="I4" s="78" t="s">
        <v>156</v>
      </c>
      <c r="J4" s="77" t="s">
        <v>156</v>
      </c>
      <c r="K4" s="76" t="s">
        <v>157</v>
      </c>
      <c r="L4" s="76">
        <v>0</v>
      </c>
      <c r="M4" s="76">
        <v>0</v>
      </c>
      <c r="N4" s="76">
        <f>2*1.75</f>
        <v>3.5</v>
      </c>
    </row>
    <row r="5" spans="1:15" ht="15.75" thickBot="1" x14ac:dyDescent="0.3">
      <c r="A5">
        <v>0</v>
      </c>
      <c r="B5">
        <v>0</v>
      </c>
      <c r="C5">
        <v>0</v>
      </c>
      <c r="D5">
        <f>B1</f>
        <v>8.0000000000000016E-2</v>
      </c>
      <c r="F5">
        <f>0.13125*8+0.1*7</f>
        <v>1.75</v>
      </c>
      <c r="G5" s="322"/>
      <c r="H5" s="197" t="s">
        <v>155</v>
      </c>
      <c r="I5" s="90" t="s">
        <v>156</v>
      </c>
      <c r="J5" s="89" t="s">
        <v>156</v>
      </c>
      <c r="K5" s="88" t="s">
        <v>155</v>
      </c>
      <c r="L5" s="88">
        <f>1*2</f>
        <v>2</v>
      </c>
      <c r="M5" s="88">
        <f>1*0.1*2+2*0.1 + 2*L5</f>
        <v>4.4000000000000004</v>
      </c>
      <c r="N5" s="88">
        <f>0.13125*2*8+1*0.1*14+2*0.1+14*L5</f>
        <v>31.7</v>
      </c>
    </row>
    <row r="6" spans="1:15" x14ac:dyDescent="0.25">
      <c r="A6">
        <v>1</v>
      </c>
      <c r="B6">
        <f>0.025^2</f>
        <v>6.2500000000000012E-4</v>
      </c>
      <c r="C6">
        <f>0.000221*4</f>
        <v>8.8400000000000002E-4</v>
      </c>
      <c r="D6">
        <f>$B$1+8*(C6-B6)</f>
        <v>8.207200000000002E-2</v>
      </c>
      <c r="G6" s="321" t="s">
        <v>154</v>
      </c>
      <c r="H6" s="324" t="s">
        <v>142</v>
      </c>
      <c r="I6" s="84" t="s">
        <v>133</v>
      </c>
      <c r="J6" s="83"/>
      <c r="K6" s="82" t="s">
        <v>153</v>
      </c>
      <c r="L6" s="82">
        <f>5*SUM(E36:E40)</f>
        <v>0</v>
      </c>
      <c r="M6" s="88">
        <f t="shared" ref="M6:M23" si="0">1*0.1*2+2*0.1 + 2*L6</f>
        <v>0.4</v>
      </c>
      <c r="N6" s="88">
        <f t="shared" ref="N6:N23" si="1">0.13125*2*8+1*0.1*14+2*0.1+14*L6</f>
        <v>3.7</v>
      </c>
    </row>
    <row r="7" spans="1:15" x14ac:dyDescent="0.25">
      <c r="A7">
        <v>2</v>
      </c>
      <c r="B7">
        <f>0.03214^2</f>
        <v>1.0329796E-3</v>
      </c>
      <c r="C7">
        <f>0.000365*4</f>
        <v>1.4599999999999999E-3</v>
      </c>
      <c r="D7">
        <f t="shared" ref="D7:D9" si="2">$B$1+8*(C7-B7)</f>
        <v>8.3416163200000018E-2</v>
      </c>
      <c r="G7" s="323"/>
      <c r="H7" s="270"/>
      <c r="I7" s="72" t="s">
        <v>130</v>
      </c>
      <c r="J7" s="71"/>
      <c r="K7" s="70" t="s">
        <v>152</v>
      </c>
      <c r="L7" s="70">
        <v>2.2020200000000001</v>
      </c>
      <c r="M7" s="88">
        <f t="shared" si="0"/>
        <v>4.8040400000000005</v>
      </c>
      <c r="N7" s="88">
        <f t="shared" si="1"/>
        <v>34.528280000000002</v>
      </c>
      <c r="O7" s="39"/>
    </row>
    <row r="8" spans="1:15" ht="14.45" customHeight="1" x14ac:dyDescent="0.25">
      <c r="A8">
        <v>3</v>
      </c>
      <c r="B8">
        <f>0.037381^2</f>
        <v>1.3973391609999998E-3</v>
      </c>
      <c r="C8">
        <f>0.000494*4</f>
        <v>1.9759999999999999E-3</v>
      </c>
      <c r="D8">
        <f t="shared" si="2"/>
        <v>8.4629286712000013E-2</v>
      </c>
      <c r="G8" s="323"/>
      <c r="H8" s="252" t="s">
        <v>139</v>
      </c>
      <c r="I8" s="72"/>
      <c r="J8" s="71" t="s">
        <v>133</v>
      </c>
      <c r="K8" s="70" t="s">
        <v>151</v>
      </c>
      <c r="L8" s="70">
        <v>2.2020200000000001</v>
      </c>
      <c r="M8" s="88">
        <f t="shared" si="0"/>
        <v>4.8040400000000005</v>
      </c>
      <c r="N8" s="88">
        <f t="shared" si="1"/>
        <v>34.528280000000002</v>
      </c>
      <c r="O8" s="211"/>
    </row>
    <row r="9" spans="1:15" x14ac:dyDescent="0.25">
      <c r="A9">
        <v>4</v>
      </c>
      <c r="B9">
        <f>0.045622^2</f>
        <v>2.0813668840000002E-3</v>
      </c>
      <c r="C9">
        <f>0.000736*4</f>
        <v>2.944E-3</v>
      </c>
      <c r="D9">
        <f t="shared" si="2"/>
        <v>8.690106492800001E-2</v>
      </c>
      <c r="G9" s="323"/>
      <c r="H9" s="270"/>
      <c r="I9" s="72"/>
      <c r="J9" s="71" t="s">
        <v>130</v>
      </c>
      <c r="K9" s="70" t="s">
        <v>150</v>
      </c>
      <c r="L9" s="70">
        <v>2.2020200000000001</v>
      </c>
      <c r="M9" s="88">
        <f t="shared" si="0"/>
        <v>4.8040400000000005</v>
      </c>
      <c r="N9" s="88">
        <f t="shared" si="1"/>
        <v>34.528280000000002</v>
      </c>
      <c r="O9" s="211"/>
    </row>
    <row r="10" spans="1:15" x14ac:dyDescent="0.25">
      <c r="G10" s="323"/>
      <c r="H10" s="252" t="s">
        <v>136</v>
      </c>
      <c r="I10" s="72" t="s">
        <v>133</v>
      </c>
      <c r="J10" s="71" t="s">
        <v>133</v>
      </c>
      <c r="K10" s="70" t="s">
        <v>149</v>
      </c>
      <c r="L10" s="70">
        <f>9*E36+7*E37+5*E38+3*E39+E40</f>
        <v>0</v>
      </c>
      <c r="M10" s="88">
        <f t="shared" si="0"/>
        <v>0.4</v>
      </c>
      <c r="N10" s="88">
        <f t="shared" si="1"/>
        <v>3.7</v>
      </c>
      <c r="O10" s="39"/>
    </row>
    <row r="11" spans="1:15" x14ac:dyDescent="0.25">
      <c r="A11" t="s">
        <v>336</v>
      </c>
      <c r="G11" s="323"/>
      <c r="H11" s="325"/>
      <c r="I11" s="72" t="s">
        <v>130</v>
      </c>
      <c r="J11" s="71" t="s">
        <v>133</v>
      </c>
      <c r="K11" s="70" t="s">
        <v>148</v>
      </c>
      <c r="L11" s="70">
        <v>2.0880600000000005</v>
      </c>
      <c r="M11" s="88">
        <f t="shared" si="0"/>
        <v>4.5761200000000013</v>
      </c>
      <c r="N11" s="88">
        <f t="shared" si="1"/>
        <v>32.932840000000006</v>
      </c>
      <c r="O11" s="39"/>
    </row>
    <row r="12" spans="1:15" x14ac:dyDescent="0.25">
      <c r="A12" t="s">
        <v>330</v>
      </c>
      <c r="B12" t="s">
        <v>331</v>
      </c>
      <c r="C12" t="s">
        <v>332</v>
      </c>
      <c r="D12" t="s">
        <v>298</v>
      </c>
      <c r="E12" t="s">
        <v>333</v>
      </c>
      <c r="G12" s="323"/>
      <c r="H12" s="325"/>
      <c r="I12" s="72" t="s">
        <v>133</v>
      </c>
      <c r="J12" s="71" t="s">
        <v>130</v>
      </c>
      <c r="K12" s="70" t="s">
        <v>147</v>
      </c>
      <c r="L12" s="70">
        <v>2.0880600000000005</v>
      </c>
      <c r="M12" s="88">
        <f t="shared" si="0"/>
        <v>4.5761200000000013</v>
      </c>
      <c r="N12" s="88">
        <f t="shared" si="1"/>
        <v>32.932840000000006</v>
      </c>
      <c r="O12" s="39"/>
    </row>
    <row r="13" spans="1:15" x14ac:dyDescent="0.25">
      <c r="A13">
        <v>0</v>
      </c>
      <c r="B13">
        <v>0</v>
      </c>
      <c r="C13">
        <v>0</v>
      </c>
      <c r="D13">
        <v>0</v>
      </c>
      <c r="E13">
        <f>$B$1+D13*(C13-B13)</f>
        <v>8.0000000000000016E-2</v>
      </c>
      <c r="G13" s="323"/>
      <c r="H13" s="270"/>
      <c r="I13" s="72" t="s">
        <v>130</v>
      </c>
      <c r="J13" s="71" t="s">
        <v>130</v>
      </c>
      <c r="K13" s="70" t="s">
        <v>145</v>
      </c>
      <c r="L13" s="70">
        <v>2.0880600000000005</v>
      </c>
      <c r="M13" s="88">
        <f t="shared" si="0"/>
        <v>4.5761200000000013</v>
      </c>
      <c r="N13" s="88">
        <f t="shared" si="1"/>
        <v>32.932840000000006</v>
      </c>
      <c r="O13" s="39"/>
    </row>
    <row r="14" spans="1:15" ht="15.75" thickBot="1" x14ac:dyDescent="0.3">
      <c r="A14">
        <v>1</v>
      </c>
      <c r="B14">
        <f>0.025^2</f>
        <v>6.2500000000000012E-4</v>
      </c>
      <c r="C14">
        <f>0.000221*4</f>
        <v>8.8400000000000002E-4</v>
      </c>
      <c r="D14">
        <f>4*2</f>
        <v>8</v>
      </c>
      <c r="E14">
        <f>$B$1+D14*(C14-B14)</f>
        <v>8.207200000000002E-2</v>
      </c>
      <c r="G14" s="322"/>
      <c r="H14" s="67" t="s">
        <v>128</v>
      </c>
      <c r="I14" s="66" t="s">
        <v>127</v>
      </c>
      <c r="J14" s="65" t="s">
        <v>127</v>
      </c>
      <c r="K14" s="64" t="s">
        <v>144</v>
      </c>
      <c r="L14" s="64">
        <f>25*E40</f>
        <v>0</v>
      </c>
      <c r="M14" s="88">
        <f t="shared" si="0"/>
        <v>0.4</v>
      </c>
      <c r="N14" s="88">
        <f t="shared" si="1"/>
        <v>3.7</v>
      </c>
      <c r="O14" s="39"/>
    </row>
    <row r="15" spans="1:15" x14ac:dyDescent="0.25">
      <c r="A15">
        <v>2</v>
      </c>
      <c r="B15">
        <f t="shared" ref="B15:B17" si="3">0.025^2</f>
        <v>6.2500000000000012E-4</v>
      </c>
      <c r="C15">
        <f t="shared" ref="C15:C17" si="4">0.000221*4</f>
        <v>8.8400000000000002E-4</v>
      </c>
      <c r="D15">
        <f>6*3</f>
        <v>18</v>
      </c>
      <c r="E15">
        <f t="shared" ref="E15:E17" si="5">$B$1+D15*(C15-B15)</f>
        <v>8.4662000000000015E-2</v>
      </c>
      <c r="G15" s="321" t="s">
        <v>143</v>
      </c>
      <c r="H15" s="324" t="s">
        <v>142</v>
      </c>
      <c r="I15" s="78" t="s">
        <v>133</v>
      </c>
      <c r="J15" s="77"/>
      <c r="K15" s="76" t="s">
        <v>141</v>
      </c>
      <c r="L15" s="70">
        <f>5*SUM(D28:D32)</f>
        <v>0</v>
      </c>
      <c r="M15" s="88">
        <f t="shared" si="0"/>
        <v>0.4</v>
      </c>
      <c r="N15" s="88">
        <f t="shared" si="1"/>
        <v>3.7</v>
      </c>
      <c r="O15" s="39"/>
    </row>
    <row r="16" spans="1:15" x14ac:dyDescent="0.25">
      <c r="A16">
        <v>3</v>
      </c>
      <c r="B16">
        <f t="shared" si="3"/>
        <v>6.2500000000000012E-4</v>
      </c>
      <c r="C16">
        <f t="shared" si="4"/>
        <v>8.8400000000000002E-4</v>
      </c>
      <c r="D16">
        <f>4*8</f>
        <v>32</v>
      </c>
      <c r="E16">
        <f t="shared" si="5"/>
        <v>8.8288000000000005E-2</v>
      </c>
      <c r="G16" s="323"/>
      <c r="H16" s="270"/>
      <c r="I16" s="72" t="s">
        <v>130</v>
      </c>
      <c r="J16" s="71"/>
      <c r="K16" s="70" t="s">
        <v>140</v>
      </c>
      <c r="L16" s="70">
        <v>2.0850925742000004</v>
      </c>
      <c r="M16" s="88">
        <f t="shared" si="0"/>
        <v>4.5701851484000011</v>
      </c>
      <c r="N16" s="88">
        <f t="shared" si="1"/>
        <v>32.891296038800007</v>
      </c>
      <c r="O16" s="39"/>
    </row>
    <row r="17" spans="1:15" x14ac:dyDescent="0.25">
      <c r="A17">
        <v>4</v>
      </c>
      <c r="B17">
        <f t="shared" si="3"/>
        <v>6.2500000000000012E-4</v>
      </c>
      <c r="C17">
        <f t="shared" si="4"/>
        <v>8.8400000000000002E-4</v>
      </c>
      <c r="D17">
        <f>14*7</f>
        <v>98</v>
      </c>
      <c r="E17">
        <f t="shared" si="5"/>
        <v>0.105382</v>
      </c>
      <c r="G17" s="323"/>
      <c r="H17" s="252" t="s">
        <v>139</v>
      </c>
      <c r="I17" s="72"/>
      <c r="J17" s="71" t="s">
        <v>133</v>
      </c>
      <c r="K17" s="70" t="s">
        <v>138</v>
      </c>
      <c r="L17" s="70">
        <v>2.0850925742000004</v>
      </c>
      <c r="M17" s="88">
        <f t="shared" si="0"/>
        <v>4.5701851484000011</v>
      </c>
      <c r="N17" s="88">
        <f t="shared" si="1"/>
        <v>32.891296038800007</v>
      </c>
      <c r="O17" s="39"/>
    </row>
    <row r="18" spans="1:15" x14ac:dyDescent="0.25">
      <c r="G18" s="323"/>
      <c r="H18" s="270"/>
      <c r="I18" s="72"/>
      <c r="J18" s="71" t="s">
        <v>130</v>
      </c>
      <c r="K18" s="70" t="s">
        <v>137</v>
      </c>
      <c r="L18" s="70">
        <v>2.0850925742000004</v>
      </c>
      <c r="M18" s="88">
        <f t="shared" si="0"/>
        <v>4.5701851484000011</v>
      </c>
      <c r="N18" s="88">
        <f t="shared" si="1"/>
        <v>32.891296038800007</v>
      </c>
      <c r="O18" s="39"/>
    </row>
    <row r="19" spans="1:15" x14ac:dyDescent="0.25">
      <c r="G19" s="323"/>
      <c r="H19" s="252" t="s">
        <v>136</v>
      </c>
      <c r="I19" s="72" t="s">
        <v>133</v>
      </c>
      <c r="J19" s="71" t="s">
        <v>133</v>
      </c>
      <c r="K19" s="70" t="s">
        <v>135</v>
      </c>
      <c r="L19" s="70">
        <f>D28*9+D29*7+D30*5+D31*3+D32</f>
        <v>0</v>
      </c>
      <c r="M19" s="88">
        <f t="shared" si="0"/>
        <v>0.4</v>
      </c>
      <c r="N19" s="88">
        <f t="shared" si="1"/>
        <v>3.7</v>
      </c>
      <c r="O19" s="39"/>
    </row>
    <row r="20" spans="1:15" x14ac:dyDescent="0.25">
      <c r="G20" s="323"/>
      <c r="H20" s="325"/>
      <c r="I20" s="72" t="s">
        <v>130</v>
      </c>
      <c r="J20" s="71" t="s">
        <v>133</v>
      </c>
      <c r="K20" s="70" t="s">
        <v>134</v>
      </c>
      <c r="L20" s="70">
        <v>2.0523737410640006</v>
      </c>
      <c r="M20" s="88">
        <f t="shared" si="0"/>
        <v>4.5047474821280016</v>
      </c>
      <c r="N20" s="88">
        <f t="shared" si="1"/>
        <v>32.433232374896008</v>
      </c>
      <c r="O20" s="39"/>
    </row>
    <row r="21" spans="1:15" x14ac:dyDescent="0.25">
      <c r="G21" s="323"/>
      <c r="H21" s="325"/>
      <c r="I21" s="72" t="s">
        <v>133</v>
      </c>
      <c r="J21" s="71" t="s">
        <v>130</v>
      </c>
      <c r="K21" s="70" t="s">
        <v>132</v>
      </c>
      <c r="L21" s="70">
        <v>2.0523737410640006</v>
      </c>
      <c r="M21" s="88">
        <f t="shared" si="0"/>
        <v>4.5047474821280016</v>
      </c>
      <c r="N21" s="88">
        <f t="shared" si="1"/>
        <v>32.433232374896008</v>
      </c>
      <c r="O21" s="39"/>
    </row>
    <row r="22" spans="1:15" x14ac:dyDescent="0.25">
      <c r="G22" s="323"/>
      <c r="H22" s="270"/>
      <c r="I22" s="72" t="s">
        <v>130</v>
      </c>
      <c r="J22" s="71" t="s">
        <v>130</v>
      </c>
      <c r="K22" s="70" t="s">
        <v>129</v>
      </c>
      <c r="L22" s="70">
        <v>2.0523737410640006</v>
      </c>
      <c r="M22" s="88">
        <f t="shared" si="0"/>
        <v>4.5047474821280016</v>
      </c>
      <c r="N22" s="88">
        <f t="shared" si="1"/>
        <v>32.433232374896008</v>
      </c>
      <c r="O22" s="39"/>
    </row>
    <row r="23" spans="1:15" ht="15.75" thickBot="1" x14ac:dyDescent="0.3">
      <c r="G23" s="322"/>
      <c r="H23" s="67" t="s">
        <v>128</v>
      </c>
      <c r="I23" s="66" t="s">
        <v>127</v>
      </c>
      <c r="J23" s="65" t="s">
        <v>127</v>
      </c>
      <c r="K23" s="64" t="s">
        <v>126</v>
      </c>
      <c r="L23" s="64">
        <f>25*D32</f>
        <v>0</v>
      </c>
      <c r="M23" s="64">
        <f t="shared" si="0"/>
        <v>0.4</v>
      </c>
      <c r="N23" s="64">
        <f t="shared" si="1"/>
        <v>3.7</v>
      </c>
      <c r="O23" s="39"/>
    </row>
    <row r="24" spans="1:15" x14ac:dyDescent="0.25">
      <c r="A24">
        <v>4</v>
      </c>
      <c r="B24">
        <v>3</v>
      </c>
      <c r="C24">
        <v>2</v>
      </c>
      <c r="D24">
        <v>1</v>
      </c>
      <c r="E24">
        <v>0</v>
      </c>
      <c r="H24" s="210"/>
      <c r="I24" s="210"/>
      <c r="J24" s="117"/>
      <c r="K24" s="117"/>
      <c r="L24" s="39"/>
      <c r="M24" s="39"/>
      <c r="N24" s="39"/>
      <c r="O24" s="39"/>
    </row>
    <row r="25" spans="1:15" x14ac:dyDescent="0.25">
      <c r="A25">
        <v>3</v>
      </c>
      <c r="B25">
        <v>3</v>
      </c>
      <c r="C25">
        <v>2</v>
      </c>
      <c r="D25">
        <v>1</v>
      </c>
      <c r="E25">
        <v>0</v>
      </c>
      <c r="H25" s="210"/>
      <c r="I25" s="210"/>
      <c r="J25" s="117"/>
      <c r="K25" s="117"/>
      <c r="L25" s="39"/>
      <c r="M25" s="39"/>
      <c r="N25" s="39"/>
      <c r="O25" s="39"/>
    </row>
    <row r="26" spans="1:15" x14ac:dyDescent="0.25">
      <c r="A26">
        <v>2</v>
      </c>
      <c r="B26">
        <v>2</v>
      </c>
      <c r="C26">
        <v>2</v>
      </c>
      <c r="D26">
        <v>1</v>
      </c>
      <c r="E26">
        <v>0</v>
      </c>
      <c r="H26" s="210"/>
      <c r="I26" s="210"/>
      <c r="J26" s="117"/>
      <c r="K26" s="117"/>
      <c r="L26" s="39"/>
      <c r="M26" s="39"/>
      <c r="N26" s="39"/>
      <c r="O26" s="39"/>
    </row>
    <row r="27" spans="1:15" x14ac:dyDescent="0.25">
      <c r="A27">
        <v>1</v>
      </c>
      <c r="B27">
        <v>1</v>
      </c>
      <c r="C27">
        <v>1</v>
      </c>
      <c r="D27">
        <v>1</v>
      </c>
      <c r="E27">
        <v>0</v>
      </c>
      <c r="H27" s="210"/>
      <c r="I27" s="210"/>
      <c r="J27" s="117"/>
      <c r="K27" s="117"/>
      <c r="L27" s="39"/>
      <c r="M27" s="39"/>
      <c r="N27" s="39"/>
      <c r="O27" s="39"/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H28" s="210"/>
      <c r="I28" s="210"/>
      <c r="J28" s="117"/>
      <c r="K28" s="117"/>
      <c r="L28" s="39"/>
      <c r="M28" s="39"/>
      <c r="N28" s="39"/>
      <c r="O28" s="39"/>
    </row>
    <row r="29" spans="1:15" x14ac:dyDescent="0.25">
      <c r="H29" s="210"/>
      <c r="I29" s="39"/>
      <c r="J29" s="117"/>
      <c r="K29" s="117"/>
      <c r="L29" s="39"/>
      <c r="M29" s="39"/>
      <c r="N29" s="39"/>
      <c r="O29" s="39"/>
    </row>
  </sheetData>
  <mergeCells count="16">
    <mergeCell ref="G15:G23"/>
    <mergeCell ref="H15:H16"/>
    <mergeCell ref="H17:H18"/>
    <mergeCell ref="H19:H22"/>
    <mergeCell ref="K2:K3"/>
    <mergeCell ref="G6:G14"/>
    <mergeCell ref="H6:H7"/>
    <mergeCell ref="H8:H9"/>
    <mergeCell ref="H10:H13"/>
    <mergeCell ref="G2:H3"/>
    <mergeCell ref="A3:D3"/>
    <mergeCell ref="L2:L3"/>
    <mergeCell ref="M2:M3"/>
    <mergeCell ref="N2:N3"/>
    <mergeCell ref="G4:G5"/>
    <mergeCell ref="I2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O28"/>
  <sheetViews>
    <sheetView workbookViewId="0">
      <selection activeCell="C29" sqref="C29"/>
    </sheetView>
  </sheetViews>
  <sheetFormatPr defaultRowHeight="15" x14ac:dyDescent="0.25"/>
  <cols>
    <col min="21" max="21" width="9.140625" customWidth="1"/>
  </cols>
  <sheetData>
    <row r="3" spans="2:15" x14ac:dyDescent="0.25">
      <c r="J3">
        <f>207/9</f>
        <v>23</v>
      </c>
      <c r="K3">
        <f>J3*9</f>
        <v>207</v>
      </c>
    </row>
    <row r="4" spans="2:15" x14ac:dyDescent="0.25">
      <c r="J4">
        <v>24</v>
      </c>
      <c r="K4">
        <f t="shared" ref="K4:K26" si="0">J4*9</f>
        <v>216</v>
      </c>
    </row>
    <row r="5" spans="2:15" x14ac:dyDescent="0.25">
      <c r="B5">
        <f>360/207</f>
        <v>1.7391304347826086</v>
      </c>
      <c r="J5">
        <v>25</v>
      </c>
      <c r="K5">
        <f t="shared" si="0"/>
        <v>225</v>
      </c>
    </row>
    <row r="6" spans="2:15" x14ac:dyDescent="0.25">
      <c r="B6">
        <f>B5/2</f>
        <v>0.86956521739130432</v>
      </c>
      <c r="G6">
        <v>1603</v>
      </c>
      <c r="J6">
        <v>26</v>
      </c>
      <c r="K6">
        <f t="shared" si="0"/>
        <v>234</v>
      </c>
    </row>
    <row r="7" spans="2:15" x14ac:dyDescent="0.25">
      <c r="J7">
        <v>27</v>
      </c>
      <c r="K7">
        <f t="shared" si="0"/>
        <v>243</v>
      </c>
    </row>
    <row r="8" spans="2:15" x14ac:dyDescent="0.25">
      <c r="J8">
        <v>28</v>
      </c>
      <c r="K8">
        <f t="shared" si="0"/>
        <v>252</v>
      </c>
    </row>
    <row r="9" spans="2:15" x14ac:dyDescent="0.25">
      <c r="J9">
        <v>29</v>
      </c>
      <c r="K9">
        <f t="shared" si="0"/>
        <v>261</v>
      </c>
    </row>
    <row r="10" spans="2:15" x14ac:dyDescent="0.25">
      <c r="J10">
        <v>30</v>
      </c>
      <c r="K10">
        <f t="shared" si="0"/>
        <v>270</v>
      </c>
    </row>
    <row r="11" spans="2:15" x14ac:dyDescent="0.25">
      <c r="J11">
        <v>31</v>
      </c>
      <c r="K11">
        <f t="shared" si="0"/>
        <v>279</v>
      </c>
      <c r="O11">
        <f>360/315</f>
        <v>1.1428571428571428</v>
      </c>
    </row>
    <row r="12" spans="2:15" x14ac:dyDescent="0.25">
      <c r="J12">
        <v>32</v>
      </c>
      <c r="K12">
        <f t="shared" si="0"/>
        <v>288</v>
      </c>
    </row>
    <row r="13" spans="2:15" x14ac:dyDescent="0.25">
      <c r="J13">
        <v>33</v>
      </c>
      <c r="K13">
        <f t="shared" si="0"/>
        <v>297</v>
      </c>
      <c r="O13">
        <f>360-O11</f>
        <v>358.85714285714283</v>
      </c>
    </row>
    <row r="14" spans="2:15" x14ac:dyDescent="0.25">
      <c r="J14">
        <v>34</v>
      </c>
      <c r="K14">
        <f t="shared" si="0"/>
        <v>306</v>
      </c>
    </row>
    <row r="15" spans="2:15" x14ac:dyDescent="0.25">
      <c r="J15">
        <v>35</v>
      </c>
      <c r="K15">
        <f t="shared" si="0"/>
        <v>315</v>
      </c>
      <c r="L15">
        <f>J15*3</f>
        <v>105</v>
      </c>
    </row>
    <row r="16" spans="2:15" x14ac:dyDescent="0.25">
      <c r="J16">
        <v>36</v>
      </c>
      <c r="K16">
        <f t="shared" si="0"/>
        <v>324</v>
      </c>
    </row>
    <row r="17" spans="9:11" x14ac:dyDescent="0.25">
      <c r="J17">
        <v>37</v>
      </c>
      <c r="K17">
        <f t="shared" si="0"/>
        <v>333</v>
      </c>
    </row>
    <row r="18" spans="9:11" x14ac:dyDescent="0.25">
      <c r="J18">
        <v>38</v>
      </c>
      <c r="K18">
        <f t="shared" si="0"/>
        <v>342</v>
      </c>
    </row>
    <row r="19" spans="9:11" x14ac:dyDescent="0.25">
      <c r="J19">
        <v>39</v>
      </c>
      <c r="K19">
        <f t="shared" si="0"/>
        <v>351</v>
      </c>
    </row>
    <row r="20" spans="9:11" x14ac:dyDescent="0.25">
      <c r="J20">
        <v>40</v>
      </c>
      <c r="K20">
        <f t="shared" si="0"/>
        <v>360</v>
      </c>
    </row>
    <row r="21" spans="9:11" x14ac:dyDescent="0.25">
      <c r="J21">
        <v>41</v>
      </c>
      <c r="K21">
        <f t="shared" si="0"/>
        <v>369</v>
      </c>
    </row>
    <row r="22" spans="9:11" x14ac:dyDescent="0.25">
      <c r="J22">
        <v>42</v>
      </c>
      <c r="K22">
        <f t="shared" si="0"/>
        <v>378</v>
      </c>
    </row>
    <row r="23" spans="9:11" x14ac:dyDescent="0.25">
      <c r="J23">
        <v>43</v>
      </c>
      <c r="K23">
        <f t="shared" si="0"/>
        <v>387</v>
      </c>
    </row>
    <row r="24" spans="9:11" x14ac:dyDescent="0.25">
      <c r="J24">
        <v>44</v>
      </c>
      <c r="K24">
        <f t="shared" si="0"/>
        <v>396</v>
      </c>
    </row>
    <row r="25" spans="9:11" x14ac:dyDescent="0.25">
      <c r="J25">
        <v>45</v>
      </c>
      <c r="K25">
        <f t="shared" si="0"/>
        <v>405</v>
      </c>
    </row>
    <row r="26" spans="9:11" x14ac:dyDescent="0.25">
      <c r="J26">
        <v>46</v>
      </c>
      <c r="K26">
        <f t="shared" si="0"/>
        <v>414</v>
      </c>
    </row>
    <row r="28" spans="9:11" x14ac:dyDescent="0.25">
      <c r="I28">
        <v>3.64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2"/>
  <sheetViews>
    <sheetView workbookViewId="0">
      <selection activeCell="X11" sqref="X11"/>
    </sheetView>
  </sheetViews>
  <sheetFormatPr defaultRowHeight="15" x14ac:dyDescent="0.25"/>
  <cols>
    <col min="1" max="1" width="10.42578125" bestFit="1" customWidth="1"/>
    <col min="9" max="9" width="21.140625" customWidth="1"/>
    <col min="10" max="10" width="14.85546875" customWidth="1"/>
  </cols>
  <sheetData>
    <row r="1" spans="1:16" x14ac:dyDescent="0.25">
      <c r="A1" t="s">
        <v>297</v>
      </c>
    </row>
    <row r="2" spans="1:16" ht="18" x14ac:dyDescent="0.35">
      <c r="C2" t="s">
        <v>14</v>
      </c>
      <c r="D2" t="s">
        <v>279</v>
      </c>
      <c r="E2" t="s">
        <v>280</v>
      </c>
      <c r="F2" s="190" t="s">
        <v>281</v>
      </c>
      <c r="G2" s="177" t="s">
        <v>292</v>
      </c>
      <c r="H2" t="s">
        <v>278</v>
      </c>
      <c r="I2" t="s">
        <v>282</v>
      </c>
      <c r="J2" t="s">
        <v>284</v>
      </c>
    </row>
    <row r="3" spans="1:16" x14ac:dyDescent="0.25">
      <c r="B3" s="334" t="s">
        <v>157</v>
      </c>
      <c r="C3">
        <v>10</v>
      </c>
      <c r="D3" s="193">
        <v>1.3711</v>
      </c>
      <c r="E3" s="193">
        <v>-0.74339</v>
      </c>
      <c r="F3" s="2">
        <f>E3-D3</f>
        <v>-2.11449</v>
      </c>
      <c r="G3" s="7">
        <v>2643</v>
      </c>
      <c r="H3" s="334" t="s">
        <v>125</v>
      </c>
      <c r="I3" s="333" t="s">
        <v>286</v>
      </c>
      <c r="J3" s="333" t="s">
        <v>287</v>
      </c>
    </row>
    <row r="4" spans="1:16" x14ac:dyDescent="0.25">
      <c r="B4" s="334"/>
      <c r="C4">
        <v>20</v>
      </c>
      <c r="D4" s="193">
        <v>1.3542000000000001</v>
      </c>
      <c r="E4" s="193">
        <v>-3.3048000000000002</v>
      </c>
      <c r="F4" s="2">
        <f>E4-D4</f>
        <v>-4.6590000000000007</v>
      </c>
      <c r="G4" s="7">
        <v>1333.1</v>
      </c>
      <c r="H4" s="334"/>
      <c r="I4" s="333"/>
      <c r="J4" s="333"/>
    </row>
    <row r="5" spans="1:16" x14ac:dyDescent="0.25">
      <c r="B5" s="334"/>
      <c r="C5">
        <v>30</v>
      </c>
      <c r="D5" s="193">
        <v>-1.1696</v>
      </c>
      <c r="E5" s="193">
        <v>-7.6836000000000002</v>
      </c>
      <c r="F5" s="2">
        <f>E5-D5</f>
        <v>-6.5140000000000002</v>
      </c>
      <c r="G5" s="7">
        <v>960.18</v>
      </c>
      <c r="H5" s="334"/>
      <c r="I5" s="333"/>
      <c r="J5" s="333"/>
    </row>
    <row r="6" spans="1:16" x14ac:dyDescent="0.25">
      <c r="B6" s="334"/>
      <c r="C6">
        <v>40</v>
      </c>
      <c r="D6" s="193">
        <v>-6.9040999999999997</v>
      </c>
      <c r="E6" s="193">
        <v>-15.894</v>
      </c>
      <c r="F6" s="2">
        <f>E6-D6</f>
        <v>-8.9899000000000004</v>
      </c>
      <c r="G6" s="7">
        <v>757.54</v>
      </c>
      <c r="H6" s="334"/>
      <c r="I6" s="333"/>
      <c r="J6" s="333"/>
    </row>
    <row r="7" spans="1:16" x14ac:dyDescent="0.25">
      <c r="B7" s="334"/>
      <c r="C7">
        <v>50</v>
      </c>
      <c r="D7" s="193">
        <v>-17.591000000000001</v>
      </c>
      <c r="E7" s="193">
        <v>-26.402000000000001</v>
      </c>
      <c r="F7" s="2">
        <f>E7-D7</f>
        <v>-8.8109999999999999</v>
      </c>
      <c r="G7" s="7">
        <v>658.43</v>
      </c>
      <c r="H7" s="334"/>
      <c r="I7" s="333"/>
      <c r="J7" s="333"/>
      <c r="N7" s="192"/>
      <c r="O7" s="192"/>
      <c r="P7" s="192"/>
    </row>
    <row r="8" spans="1:16" x14ac:dyDescent="0.25">
      <c r="B8" s="334" t="s">
        <v>272</v>
      </c>
      <c r="C8">
        <v>10</v>
      </c>
      <c r="D8" s="193">
        <v>1.8729</v>
      </c>
      <c r="E8" s="193">
        <v>-0.96004999999999996</v>
      </c>
      <c r="F8" s="2">
        <f t="shared" ref="F8:F32" si="0">E8-D8</f>
        <v>-2.8329499999999999</v>
      </c>
      <c r="G8" s="194">
        <v>781.59</v>
      </c>
      <c r="H8" s="334" t="s">
        <v>125</v>
      </c>
      <c r="I8" s="333" t="s">
        <v>288</v>
      </c>
      <c r="J8" s="333" t="s">
        <v>289</v>
      </c>
      <c r="N8" s="192"/>
      <c r="O8" s="192"/>
      <c r="P8" s="192"/>
    </row>
    <row r="9" spans="1:16" x14ac:dyDescent="0.25">
      <c r="B9" s="334"/>
      <c r="C9">
        <v>20</v>
      </c>
      <c r="D9" s="193">
        <v>3.6827000000000001</v>
      </c>
      <c r="E9" s="193">
        <v>-4.6680000000000001</v>
      </c>
      <c r="F9" s="2">
        <f t="shared" si="0"/>
        <v>-8.3506999999999998</v>
      </c>
      <c r="G9" s="194">
        <v>580.4</v>
      </c>
      <c r="H9" s="334"/>
      <c r="I9" s="333"/>
      <c r="J9" s="333"/>
      <c r="N9" s="192"/>
      <c r="O9" s="192"/>
      <c r="P9" s="192"/>
    </row>
    <row r="10" spans="1:16" x14ac:dyDescent="0.25">
      <c r="B10" s="334"/>
      <c r="C10">
        <v>30</v>
      </c>
      <c r="D10" s="193">
        <v>3.2366000000000001</v>
      </c>
      <c r="E10" s="193">
        <v>-10.682</v>
      </c>
      <c r="F10" s="2">
        <f t="shared" si="0"/>
        <v>-13.918600000000001</v>
      </c>
      <c r="G10" s="194">
        <v>498.27</v>
      </c>
      <c r="H10" s="334"/>
      <c r="I10" s="333"/>
      <c r="J10" s="333"/>
      <c r="N10" s="192"/>
      <c r="O10" s="192"/>
      <c r="P10" s="192"/>
    </row>
    <row r="11" spans="1:16" x14ac:dyDescent="0.25">
      <c r="B11" s="334"/>
      <c r="C11">
        <v>40</v>
      </c>
      <c r="D11" s="193">
        <v>-0.16586000000000001</v>
      </c>
      <c r="E11" s="193">
        <v>-17.96</v>
      </c>
      <c r="F11" s="2">
        <f t="shared" si="0"/>
        <v>-17.794140000000002</v>
      </c>
      <c r="G11" s="194">
        <v>454.86</v>
      </c>
      <c r="H11" s="334"/>
      <c r="I11" s="333"/>
      <c r="J11" s="333"/>
      <c r="N11" s="192"/>
      <c r="O11" s="192"/>
      <c r="P11" s="192"/>
    </row>
    <row r="12" spans="1:16" x14ac:dyDescent="0.25">
      <c r="B12" s="334"/>
      <c r="C12">
        <v>50</v>
      </c>
      <c r="D12" s="193">
        <v>-6.8578000000000001</v>
      </c>
      <c r="E12" s="193">
        <v>-26.041</v>
      </c>
      <c r="F12" s="2">
        <f t="shared" si="0"/>
        <v>-19.183199999999999</v>
      </c>
      <c r="G12" s="194">
        <v>428.94</v>
      </c>
      <c r="H12" s="334"/>
      <c r="I12" s="333"/>
      <c r="J12" s="333"/>
      <c r="N12" s="192"/>
      <c r="O12" s="192"/>
      <c r="P12" s="192"/>
    </row>
    <row r="13" spans="1:16" x14ac:dyDescent="0.25">
      <c r="A13" s="334" t="s">
        <v>273</v>
      </c>
      <c r="B13" s="334" t="s">
        <v>274</v>
      </c>
      <c r="C13">
        <v>10</v>
      </c>
      <c r="D13" s="193">
        <v>0.47214</v>
      </c>
      <c r="E13" s="193">
        <v>-0.62021000000000004</v>
      </c>
      <c r="F13" s="2">
        <f>E13-D13</f>
        <v>-1.0923500000000002</v>
      </c>
      <c r="G13" s="194">
        <v>765.85</v>
      </c>
      <c r="H13" s="334" t="s">
        <v>125</v>
      </c>
      <c r="I13" s="333" t="s">
        <v>283</v>
      </c>
      <c r="J13" s="333" t="s">
        <v>285</v>
      </c>
      <c r="N13" s="192"/>
      <c r="O13" s="192"/>
      <c r="P13" s="192"/>
    </row>
    <row r="14" spans="1:16" x14ac:dyDescent="0.25">
      <c r="A14" s="334"/>
      <c r="B14" s="334"/>
      <c r="C14">
        <v>20</v>
      </c>
      <c r="D14" s="193">
        <v>-2.6960999999999999</v>
      </c>
      <c r="E14" s="193">
        <v>-3.8549000000000002</v>
      </c>
      <c r="F14" s="2">
        <f t="shared" ref="F14:F17" si="1">E14-D14</f>
        <v>-1.1588000000000003</v>
      </c>
      <c r="G14" s="194">
        <v>574.14</v>
      </c>
      <c r="H14" s="334"/>
      <c r="I14" s="333"/>
      <c r="J14" s="333"/>
      <c r="N14" s="192"/>
      <c r="O14" s="192"/>
      <c r="P14" s="192"/>
    </row>
    <row r="15" spans="1:16" x14ac:dyDescent="0.25">
      <c r="A15" s="334"/>
      <c r="B15" s="334"/>
      <c r="C15">
        <v>30</v>
      </c>
      <c r="D15" s="193">
        <v>-11.12</v>
      </c>
      <c r="E15" s="193">
        <v>-9.1981000000000002</v>
      </c>
      <c r="F15" s="2">
        <f t="shared" si="1"/>
        <v>1.9218999999999991</v>
      </c>
      <c r="G15" s="194">
        <v>492.94</v>
      </c>
      <c r="H15" s="334"/>
      <c r="I15" s="333"/>
      <c r="J15" s="333"/>
    </row>
    <row r="16" spans="1:16" x14ac:dyDescent="0.25">
      <c r="A16" s="334"/>
      <c r="B16" s="334"/>
      <c r="C16">
        <v>40</v>
      </c>
      <c r="D16" s="193">
        <v>-25.713000000000001</v>
      </c>
      <c r="E16" s="193">
        <v>-16.745999999999999</v>
      </c>
      <c r="F16" s="2">
        <f t="shared" si="1"/>
        <v>8.9670000000000023</v>
      </c>
      <c r="G16" s="194">
        <v>448.6</v>
      </c>
      <c r="H16" s="334"/>
      <c r="I16" s="333"/>
      <c r="J16" s="333"/>
    </row>
    <row r="17" spans="1:16" x14ac:dyDescent="0.25">
      <c r="A17" s="334"/>
      <c r="B17" s="334"/>
      <c r="C17">
        <v>50</v>
      </c>
      <c r="D17" s="193">
        <v>-47.226999999999997</v>
      </c>
      <c r="E17" s="193">
        <v>-26.65</v>
      </c>
      <c r="F17" s="2">
        <f t="shared" si="1"/>
        <v>20.576999999999998</v>
      </c>
      <c r="G17" s="194">
        <v>420.71</v>
      </c>
      <c r="H17" s="334"/>
      <c r="I17" s="333"/>
      <c r="J17" s="333"/>
    </row>
    <row r="18" spans="1:16" x14ac:dyDescent="0.25">
      <c r="A18" s="334"/>
      <c r="B18" s="335" t="s">
        <v>276</v>
      </c>
      <c r="C18">
        <v>10</v>
      </c>
      <c r="D18" s="2">
        <v>0.28183999999999998</v>
      </c>
      <c r="E18" s="2">
        <v>-0.59167999999999998</v>
      </c>
      <c r="F18" s="2">
        <f t="shared" si="0"/>
        <v>-0.87351999999999996</v>
      </c>
      <c r="G18" s="7">
        <v>755.97</v>
      </c>
      <c r="H18" s="335" t="s">
        <v>125</v>
      </c>
      <c r="I18" s="333" t="s">
        <v>290</v>
      </c>
      <c r="J18" s="333" t="s">
        <v>291</v>
      </c>
    </row>
    <row r="19" spans="1:16" x14ac:dyDescent="0.25">
      <c r="A19" s="334"/>
      <c r="B19" s="335"/>
      <c r="C19">
        <v>20</v>
      </c>
      <c r="D19" s="2">
        <v>-3.1381000000000001</v>
      </c>
      <c r="E19" s="2">
        <v>-3.5428999999999999</v>
      </c>
      <c r="F19" s="2">
        <f t="shared" si="0"/>
        <v>-0.40479999999999983</v>
      </c>
      <c r="G19" s="7">
        <v>572.92999999999995</v>
      </c>
      <c r="H19" s="335"/>
      <c r="I19" s="333"/>
      <c r="J19" s="333"/>
    </row>
    <row r="20" spans="1:16" x14ac:dyDescent="0.25">
      <c r="A20" s="334"/>
      <c r="B20" s="335"/>
      <c r="C20">
        <v>30</v>
      </c>
      <c r="D20" s="2">
        <v>-12.093999999999999</v>
      </c>
      <c r="E20" s="2">
        <v>-8.6757000000000009</v>
      </c>
      <c r="F20" s="2">
        <f t="shared" si="0"/>
        <v>3.4182999999999986</v>
      </c>
      <c r="G20" s="7">
        <v>493.91</v>
      </c>
      <c r="H20" s="335"/>
      <c r="I20" s="333"/>
      <c r="J20" s="333"/>
    </row>
    <row r="21" spans="1:16" x14ac:dyDescent="0.25">
      <c r="A21" s="334"/>
      <c r="B21" s="335"/>
      <c r="C21">
        <v>40</v>
      </c>
      <c r="D21" s="2">
        <v>-27.388999999999999</v>
      </c>
      <c r="E21" s="2">
        <v>-16.074000000000002</v>
      </c>
      <c r="F21" s="2">
        <f t="shared" si="0"/>
        <v>11.314999999999998</v>
      </c>
      <c r="G21" s="7">
        <v>449.96</v>
      </c>
      <c r="H21" s="335"/>
      <c r="I21" s="333"/>
      <c r="J21" s="333"/>
    </row>
    <row r="22" spans="1:16" x14ac:dyDescent="0.25">
      <c r="A22" s="334"/>
      <c r="B22" s="335"/>
      <c r="C22">
        <v>50</v>
      </c>
      <c r="D22" s="2">
        <v>-49.542999999999999</v>
      </c>
      <c r="E22" s="2">
        <v>-25.73</v>
      </c>
      <c r="F22" s="2">
        <f t="shared" si="0"/>
        <v>23.812999999999999</v>
      </c>
      <c r="G22" s="7">
        <v>422.26</v>
      </c>
      <c r="H22" s="335"/>
      <c r="I22" s="333"/>
      <c r="J22" s="333"/>
    </row>
    <row r="23" spans="1:16" x14ac:dyDescent="0.25">
      <c r="A23" s="334"/>
      <c r="B23" s="334" t="s">
        <v>275</v>
      </c>
      <c r="C23">
        <v>10</v>
      </c>
      <c r="D23" s="2">
        <v>0.43786000000000003</v>
      </c>
      <c r="E23" s="2">
        <v>-0.51802999999999999</v>
      </c>
      <c r="F23" s="2">
        <f t="shared" si="0"/>
        <v>-0.95589000000000002</v>
      </c>
      <c r="G23" s="7">
        <v>797.65</v>
      </c>
      <c r="H23" s="334" t="s">
        <v>125</v>
      </c>
      <c r="I23" s="333" t="s">
        <v>293</v>
      </c>
      <c r="J23" s="333" t="s">
        <v>294</v>
      </c>
      <c r="N23" s="192"/>
      <c r="O23" s="192"/>
      <c r="P23" s="192"/>
    </row>
    <row r="24" spans="1:16" x14ac:dyDescent="0.25">
      <c r="A24" s="334"/>
      <c r="B24" s="334"/>
      <c r="C24">
        <v>20</v>
      </c>
      <c r="D24" s="2">
        <v>-1.9639</v>
      </c>
      <c r="E24" s="2">
        <v>-2.2454000000000001</v>
      </c>
      <c r="F24" s="2">
        <f t="shared" si="0"/>
        <v>-0.28150000000000008</v>
      </c>
      <c r="G24" s="7">
        <v>639.13</v>
      </c>
      <c r="H24" s="334"/>
      <c r="I24" s="333"/>
      <c r="J24" s="333"/>
      <c r="N24" s="192"/>
      <c r="O24" s="192"/>
      <c r="P24" s="192"/>
    </row>
    <row r="25" spans="1:16" x14ac:dyDescent="0.25">
      <c r="A25" s="334"/>
      <c r="B25" s="334"/>
      <c r="C25">
        <v>30</v>
      </c>
      <c r="D25" s="2">
        <v>-8.6992999999999991</v>
      </c>
      <c r="E25" s="2">
        <v>-4.8787000000000003</v>
      </c>
      <c r="F25" s="2">
        <f t="shared" si="0"/>
        <v>3.8205999999999989</v>
      </c>
      <c r="G25" s="7">
        <v>552.44000000000005</v>
      </c>
      <c r="H25" s="334"/>
      <c r="I25" s="333"/>
      <c r="J25" s="333"/>
      <c r="N25" s="192"/>
      <c r="O25" s="192"/>
      <c r="P25" s="192"/>
    </row>
    <row r="26" spans="1:16" x14ac:dyDescent="0.25">
      <c r="A26" s="334"/>
      <c r="B26" s="334"/>
      <c r="C26">
        <v>40</v>
      </c>
      <c r="D26" s="2">
        <v>-21.315000000000001</v>
      </c>
      <c r="E26" s="2">
        <v>-8.7026000000000003</v>
      </c>
      <c r="F26" s="2">
        <f t="shared" si="0"/>
        <v>12.612400000000001</v>
      </c>
      <c r="G26" s="7">
        <v>492.88</v>
      </c>
      <c r="H26" s="334"/>
      <c r="I26" s="333"/>
      <c r="J26" s="333"/>
      <c r="N26" s="192"/>
      <c r="O26" s="192"/>
      <c r="P26" s="192"/>
    </row>
    <row r="27" spans="1:16" x14ac:dyDescent="0.25">
      <c r="A27" s="334"/>
      <c r="B27" s="334"/>
      <c r="C27">
        <v>50</v>
      </c>
      <c r="D27" s="2">
        <v>-40.673999999999999</v>
      </c>
      <c r="E27" s="2">
        <v>-13.762</v>
      </c>
      <c r="F27" s="2">
        <f t="shared" si="0"/>
        <v>26.911999999999999</v>
      </c>
      <c r="G27" s="7">
        <v>451.51</v>
      </c>
      <c r="H27" s="334"/>
      <c r="I27" s="333"/>
      <c r="J27" s="333"/>
      <c r="N27" s="192"/>
      <c r="O27" s="192"/>
      <c r="P27" s="192"/>
    </row>
    <row r="28" spans="1:16" x14ac:dyDescent="0.25">
      <c r="A28" s="334"/>
      <c r="B28" s="335" t="s">
        <v>277</v>
      </c>
      <c r="C28">
        <v>10</v>
      </c>
      <c r="D28" s="2">
        <v>0.40961999999999998</v>
      </c>
      <c r="E28" s="2">
        <v>-0.43369999999999997</v>
      </c>
      <c r="F28" s="2">
        <f t="shared" si="0"/>
        <v>-0.84331999999999996</v>
      </c>
      <c r="G28" s="7">
        <v>824.53</v>
      </c>
      <c r="H28" s="335" t="s">
        <v>125</v>
      </c>
      <c r="I28" s="333" t="s">
        <v>295</v>
      </c>
      <c r="J28" s="333" t="s">
        <v>296</v>
      </c>
      <c r="N28" s="192"/>
      <c r="O28" s="192"/>
      <c r="P28" s="192"/>
    </row>
    <row r="29" spans="1:16" x14ac:dyDescent="0.25">
      <c r="A29" s="334"/>
      <c r="B29" s="335"/>
      <c r="C29">
        <v>20</v>
      </c>
      <c r="D29" s="2">
        <v>-2.0912000000000002</v>
      </c>
      <c r="E29" s="2">
        <v>-2.0430000000000001</v>
      </c>
      <c r="F29" s="2">
        <f t="shared" si="0"/>
        <v>4.8200000000000021E-2</v>
      </c>
      <c r="G29" s="7">
        <v>647.80999999999995</v>
      </c>
      <c r="H29" s="335"/>
      <c r="I29" s="333"/>
      <c r="J29" s="333"/>
      <c r="N29" s="192"/>
      <c r="O29" s="192"/>
      <c r="P29" s="192"/>
    </row>
    <row r="30" spans="1:16" x14ac:dyDescent="0.25">
      <c r="A30" s="334"/>
      <c r="B30" s="335"/>
      <c r="C30">
        <v>30</v>
      </c>
      <c r="D30" s="2">
        <v>-9.1951999999999998</v>
      </c>
      <c r="E30" s="2">
        <v>-4.7114000000000003</v>
      </c>
      <c r="F30" s="2">
        <f t="shared" si="0"/>
        <v>4.4837999999999996</v>
      </c>
      <c r="G30" s="7">
        <v>557.17999999999995</v>
      </c>
      <c r="H30" s="335"/>
      <c r="I30" s="333"/>
      <c r="J30" s="333"/>
    </row>
    <row r="31" spans="1:16" x14ac:dyDescent="0.25">
      <c r="A31" s="334"/>
      <c r="B31" s="335"/>
      <c r="C31">
        <v>40</v>
      </c>
      <c r="D31" s="2">
        <v>-22.050999999999998</v>
      </c>
      <c r="E31" s="2">
        <v>-8.516</v>
      </c>
      <c r="F31" s="2">
        <f t="shared" si="0"/>
        <v>13.534999999999998</v>
      </c>
      <c r="G31" s="7">
        <v>499.96</v>
      </c>
      <c r="H31" s="335"/>
      <c r="I31" s="333"/>
      <c r="J31" s="333"/>
    </row>
    <row r="32" spans="1:16" x14ac:dyDescent="0.25">
      <c r="A32" s="334"/>
      <c r="B32" s="335"/>
      <c r="C32">
        <v>50</v>
      </c>
      <c r="D32" s="2">
        <v>-41.755000000000003</v>
      </c>
      <c r="E32" s="2">
        <v>-13.362</v>
      </c>
      <c r="F32" s="2">
        <f t="shared" si="0"/>
        <v>28.393000000000001</v>
      </c>
      <c r="G32" s="7">
        <v>460.66</v>
      </c>
      <c r="H32" s="335"/>
      <c r="I32" s="333"/>
      <c r="J32" s="333"/>
    </row>
  </sheetData>
  <mergeCells count="25">
    <mergeCell ref="A13:A32"/>
    <mergeCell ref="H3:H7"/>
    <mergeCell ref="H8:H12"/>
    <mergeCell ref="H13:H17"/>
    <mergeCell ref="H18:H22"/>
    <mergeCell ref="H23:H27"/>
    <mergeCell ref="H28:H32"/>
    <mergeCell ref="B3:B7"/>
    <mergeCell ref="B8:B12"/>
    <mergeCell ref="B13:B17"/>
    <mergeCell ref="B18:B22"/>
    <mergeCell ref="B23:B27"/>
    <mergeCell ref="B28:B32"/>
    <mergeCell ref="I13:I17"/>
    <mergeCell ref="J13:J17"/>
    <mergeCell ref="I3:I7"/>
    <mergeCell ref="J3:J7"/>
    <mergeCell ref="I8:I12"/>
    <mergeCell ref="J8:J12"/>
    <mergeCell ref="I18:I22"/>
    <mergeCell ref="J18:J22"/>
    <mergeCell ref="I23:I27"/>
    <mergeCell ref="J23:J27"/>
    <mergeCell ref="I28:I32"/>
    <mergeCell ref="J28:J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35"/>
  <sheetViews>
    <sheetView workbookViewId="0">
      <selection activeCell="J12" sqref="J12"/>
    </sheetView>
  </sheetViews>
  <sheetFormatPr defaultRowHeight="15" x14ac:dyDescent="0.25"/>
  <cols>
    <col min="5" max="5" width="12.28515625" customWidth="1"/>
    <col min="6" max="6" width="12.5703125" customWidth="1"/>
  </cols>
  <sheetData>
    <row r="1" spans="1:10" x14ac:dyDescent="0.25">
      <c r="A1" s="216" t="s">
        <v>120</v>
      </c>
      <c r="B1" s="216"/>
      <c r="C1" s="216" t="s">
        <v>117</v>
      </c>
      <c r="D1" s="216"/>
      <c r="E1" s="216"/>
    </row>
    <row r="2" spans="1:10" x14ac:dyDescent="0.25">
      <c r="A2" s="216" t="s">
        <v>118</v>
      </c>
      <c r="B2" s="216"/>
      <c r="C2" s="216" t="s">
        <v>119</v>
      </c>
      <c r="D2" s="216"/>
      <c r="E2" s="216"/>
    </row>
    <row r="3" spans="1:10" x14ac:dyDescent="0.25">
      <c r="A3" t="s">
        <v>14</v>
      </c>
      <c r="B3" t="s">
        <v>13</v>
      </c>
      <c r="C3" t="s">
        <v>25</v>
      </c>
      <c r="D3" t="s">
        <v>19</v>
      </c>
      <c r="E3" t="s">
        <v>113</v>
      </c>
      <c r="F3" t="s">
        <v>67</v>
      </c>
      <c r="G3" s="3" t="s">
        <v>114</v>
      </c>
      <c r="H3" s="3" t="s">
        <v>115</v>
      </c>
      <c r="I3" s="3" t="s">
        <v>99</v>
      </c>
      <c r="J3" s="3" t="s">
        <v>116</v>
      </c>
    </row>
    <row r="4" spans="1:10" x14ac:dyDescent="0.25">
      <c r="A4">
        <v>20</v>
      </c>
      <c r="B4" s="7">
        <v>3341.6875522138675</v>
      </c>
      <c r="C4" s="10">
        <v>7.9499808013029957E-2</v>
      </c>
      <c r="D4" s="6">
        <v>22.250868708651655</v>
      </c>
      <c r="E4" s="6">
        <v>211.75039206588352</v>
      </c>
      <c r="F4" s="6">
        <v>3.8021217459913976</v>
      </c>
      <c r="G4" s="6">
        <v>28.073291868389134</v>
      </c>
      <c r="H4" s="1">
        <v>0.80563530748136569</v>
      </c>
      <c r="I4" s="6">
        <v>829.09193993285703</v>
      </c>
      <c r="J4" s="1">
        <v>0.81365670749007135</v>
      </c>
    </row>
    <row r="5" spans="1:10" x14ac:dyDescent="0.25">
      <c r="A5">
        <f t="shared" ref="A5:A15" si="0">A4+5</f>
        <v>25</v>
      </c>
      <c r="B5" s="7">
        <v>4177.1094402673343</v>
      </c>
      <c r="C5" s="10">
        <v>7.8301370772714984E-2</v>
      </c>
      <c r="D5" s="6">
        <v>29.651904316675079</v>
      </c>
      <c r="E5" s="6">
        <v>282.18234742963841</v>
      </c>
      <c r="F5" s="6">
        <v>4.7765941043069713</v>
      </c>
      <c r="G5" s="6">
        <v>26.46549621516181</v>
      </c>
      <c r="H5" s="1">
        <v>0.75949547637329695</v>
      </c>
      <c r="I5" s="6">
        <v>1044.7952086252099</v>
      </c>
      <c r="J5" s="1">
        <v>0.76942105988804976</v>
      </c>
    </row>
    <row r="6" spans="1:10" x14ac:dyDescent="0.25">
      <c r="A6">
        <f t="shared" si="0"/>
        <v>30</v>
      </c>
      <c r="B6" s="7">
        <v>5012.5313283208015</v>
      </c>
      <c r="C6" s="10">
        <v>7.748697431966943E-2</v>
      </c>
      <c r="D6" s="6">
        <v>36.98952713799634</v>
      </c>
      <c r="E6" s="6">
        <v>352.01083500874216</v>
      </c>
      <c r="F6" s="6">
        <v>5.6471024577624727</v>
      </c>
      <c r="G6" s="6">
        <v>25.081943251553195</v>
      </c>
      <c r="H6" s="1">
        <v>0.71979086593861275</v>
      </c>
      <c r="I6" s="6">
        <v>1238.858082144061</v>
      </c>
      <c r="J6" s="1">
        <v>0.73135505242368593</v>
      </c>
    </row>
    <row r="7" spans="1:10" x14ac:dyDescent="0.25">
      <c r="A7">
        <f t="shared" si="0"/>
        <v>35</v>
      </c>
      <c r="B7" s="7">
        <v>5847.9532163742688</v>
      </c>
      <c r="C7" s="10">
        <v>7.6897246671887215E-2</v>
      </c>
      <c r="D7" s="6">
        <v>44.29000925120863</v>
      </c>
      <c r="E7" s="6">
        <v>421.485873039127</v>
      </c>
      <c r="F7" s="6">
        <v>6.4360526578071342</v>
      </c>
      <c r="G7" s="6">
        <v>23.874160582541407</v>
      </c>
      <c r="H7" s="1">
        <v>0.68513043614357239</v>
      </c>
      <c r="I7" s="6">
        <v>1415.9682243109808</v>
      </c>
      <c r="J7" s="1">
        <v>0.69812505306463135</v>
      </c>
    </row>
    <row r="8" spans="1:10" x14ac:dyDescent="0.25">
      <c r="A8">
        <f t="shared" si="0"/>
        <v>40</v>
      </c>
      <c r="B8" s="7">
        <v>6683.3751044277351</v>
      </c>
      <c r="C8" s="10">
        <v>7.6450377985474549E-2</v>
      </c>
      <c r="D8" s="6">
        <v>51.566851806981333</v>
      </c>
      <c r="E8" s="6">
        <v>490.73594522113785</v>
      </c>
      <c r="F8" s="6">
        <v>7.1589391422364521</v>
      </c>
      <c r="G8" s="6">
        <v>22.808269992142296</v>
      </c>
      <c r="H8" s="1">
        <v>0.6545419644544147</v>
      </c>
      <c r="I8" s="6">
        <v>1579.3585000728935</v>
      </c>
      <c r="J8" s="1">
        <v>0.66879896274677209</v>
      </c>
    </row>
    <row r="9" spans="1:10" x14ac:dyDescent="0.25">
      <c r="A9">
        <f t="shared" si="0"/>
        <v>45</v>
      </c>
      <c r="B9" s="7">
        <v>7518.7969924812014</v>
      </c>
      <c r="C9" s="10">
        <v>7.6100015153239511E-2</v>
      </c>
      <c r="D9" s="6">
        <v>58.827712069599642</v>
      </c>
      <c r="E9" s="6">
        <v>559.833921910345</v>
      </c>
      <c r="F9" s="6">
        <v>7.8271354893391472</v>
      </c>
      <c r="G9" s="6">
        <v>21.859246448709431</v>
      </c>
      <c r="H9" s="1">
        <v>0.62730729323007206</v>
      </c>
      <c r="I9" s="6">
        <v>1731.397711882126</v>
      </c>
      <c r="J9" s="1">
        <v>0.64268826208089458</v>
      </c>
    </row>
    <row r="10" spans="1:10" x14ac:dyDescent="0.25">
      <c r="A10" s="56">
        <f t="shared" si="0"/>
        <v>50</v>
      </c>
      <c r="B10" s="58">
        <v>8354.2188805346686</v>
      </c>
      <c r="C10" s="59">
        <v>7.58179168968003E-2</v>
      </c>
      <c r="D10" s="57">
        <v>66.077259338400196</v>
      </c>
      <c r="E10" s="57">
        <v>628.82423849388556</v>
      </c>
      <c r="F10" s="57">
        <v>8.4493113470138734</v>
      </c>
      <c r="G10" s="57">
        <v>21.007945641913267</v>
      </c>
      <c r="H10" s="60">
        <v>0.60287702725137404</v>
      </c>
      <c r="I10" s="57">
        <v>1873.8893015349558</v>
      </c>
      <c r="J10" s="60">
        <v>0.61926622930131736</v>
      </c>
    </row>
    <row r="11" spans="1:10" x14ac:dyDescent="0.25">
      <c r="A11">
        <f t="shared" si="0"/>
        <v>55</v>
      </c>
      <c r="B11" s="7">
        <v>9189.640768588135</v>
      </c>
      <c r="C11" s="10">
        <v>7.5585889253107469E-2</v>
      </c>
      <c r="D11" s="6">
        <v>73.318503960024543</v>
      </c>
      <c r="E11" s="6">
        <v>697.73554293557368</v>
      </c>
      <c r="F11" s="6">
        <v>9.0322515933002183</v>
      </c>
      <c r="G11" s="6">
        <v>20.239357636290972</v>
      </c>
      <c r="H11" s="1">
        <v>0.5808204178185048</v>
      </c>
      <c r="I11" s="6">
        <v>2008.2434281508697</v>
      </c>
      <c r="J11" s="1">
        <v>0.59811989263869347</v>
      </c>
    </row>
    <row r="12" spans="1:10" x14ac:dyDescent="0.25">
      <c r="A12">
        <f t="shared" si="0"/>
        <v>60</v>
      </c>
      <c r="B12" s="7">
        <v>10025.062656641603</v>
      </c>
      <c r="C12" s="10">
        <v>7.5391679928184116E-2</v>
      </c>
      <c r="D12" s="6">
        <v>80.553474483443949</v>
      </c>
      <c r="E12" s="6">
        <v>766.5871399216943</v>
      </c>
      <c r="F12" s="6">
        <v>9.5813724271300433</v>
      </c>
      <c r="G12" s="6">
        <v>19.541492803537889</v>
      </c>
      <c r="H12" s="1">
        <v>0.56079339171300779</v>
      </c>
      <c r="I12" s="6">
        <v>2135.5850787383793</v>
      </c>
      <c r="J12" s="1">
        <v>0.5789193787216772</v>
      </c>
    </row>
    <row r="13" spans="1:10" x14ac:dyDescent="0.25">
      <c r="A13">
        <f t="shared" si="0"/>
        <v>65</v>
      </c>
      <c r="B13" s="7">
        <v>10860.484544695069</v>
      </c>
      <c r="C13" s="10">
        <v>7.5226734707171838E-2</v>
      </c>
      <c r="D13" s="6">
        <v>87.78358797868529</v>
      </c>
      <c r="E13" s="6">
        <v>835.39251499915861</v>
      </c>
      <c r="F13" s="6">
        <v>10.10106628536621</v>
      </c>
      <c r="G13" s="6">
        <v>18.904630193511085</v>
      </c>
      <c r="H13" s="1">
        <v>0.54251698127073766</v>
      </c>
      <c r="I13" s="6">
        <v>2256.8261659010755</v>
      </c>
      <c r="J13" s="1">
        <v>0.56139723283734211</v>
      </c>
    </row>
    <row r="14" spans="1:10" x14ac:dyDescent="0.25">
      <c r="A14">
        <f t="shared" si="0"/>
        <v>70</v>
      </c>
      <c r="B14" s="7">
        <v>11695.906432748538</v>
      </c>
      <c r="C14" s="10">
        <v>7.5084899519274745E-2</v>
      </c>
      <c r="D14" s="6">
        <v>95.009864414544225</v>
      </c>
      <c r="E14" s="6">
        <v>904.16137470101012</v>
      </c>
      <c r="F14" s="6">
        <v>10.594942315306973</v>
      </c>
      <c r="G14" s="6">
        <v>18.320789767405671</v>
      </c>
      <c r="H14" s="1">
        <v>0.52576217875557119</v>
      </c>
      <c r="I14" s="6">
        <v>2372.7157108063902</v>
      </c>
      <c r="J14" s="1">
        <v>0.54533389836248403</v>
      </c>
    </row>
    <row r="15" spans="1:10" x14ac:dyDescent="0.25">
      <c r="A15">
        <f t="shared" si="0"/>
        <v>75</v>
      </c>
      <c r="B15" s="7">
        <v>12531.328320802002</v>
      </c>
      <c r="C15" s="10">
        <v>7.4961633500426006E-2</v>
      </c>
      <c r="D15" s="6">
        <v>102.23305671512445</v>
      </c>
      <c r="E15" s="6">
        <v>972.9008842294819</v>
      </c>
      <c r="F15" s="6">
        <v>11.065999420057606</v>
      </c>
      <c r="G15" s="6">
        <v>17.78335056810548</v>
      </c>
      <c r="H15" s="1">
        <v>0.51033897877565404</v>
      </c>
      <c r="I15" s="6">
        <v>2483.875909376186</v>
      </c>
      <c r="J15" s="1">
        <v>0.53054721139761107</v>
      </c>
    </row>
    <row r="17" spans="1:11" x14ac:dyDescent="0.25">
      <c r="A17" s="216" t="s">
        <v>122</v>
      </c>
      <c r="B17" s="216"/>
      <c r="C17" s="216" t="s">
        <v>124</v>
      </c>
      <c r="D17" s="216"/>
      <c r="E17" s="216"/>
    </row>
    <row r="18" spans="1:11" x14ac:dyDescent="0.25">
      <c r="A18" s="216" t="s">
        <v>123</v>
      </c>
      <c r="B18" s="216"/>
      <c r="C18" s="216" t="s">
        <v>119</v>
      </c>
      <c r="D18" s="216"/>
      <c r="E18" s="216"/>
    </row>
    <row r="19" spans="1:11" x14ac:dyDescent="0.25">
      <c r="A19" t="s">
        <v>121</v>
      </c>
      <c r="B19" t="s">
        <v>73</v>
      </c>
      <c r="C19" t="s">
        <v>13</v>
      </c>
      <c r="D19" t="s">
        <v>25</v>
      </c>
      <c r="E19" t="s">
        <v>19</v>
      </c>
      <c r="F19" t="s">
        <v>113</v>
      </c>
      <c r="G19" t="s">
        <v>67</v>
      </c>
      <c r="H19" s="3" t="s">
        <v>114</v>
      </c>
      <c r="I19" s="3" t="s">
        <v>115</v>
      </c>
      <c r="J19" s="3" t="s">
        <v>99</v>
      </c>
      <c r="K19" s="3" t="s">
        <v>116</v>
      </c>
    </row>
    <row r="20" spans="1:11" x14ac:dyDescent="0.25">
      <c r="A20">
        <v>2</v>
      </c>
      <c r="B20" s="2">
        <v>0.20575199221444496</v>
      </c>
      <c r="C20" s="7">
        <v>6379.5853269537456</v>
      </c>
      <c r="D20" s="10">
        <v>8.6431483116173533E-2</v>
      </c>
      <c r="E20" s="2">
        <v>56.456070867140795</v>
      </c>
      <c r="F20" s="2">
        <v>703.56025981888104</v>
      </c>
      <c r="G20" s="2">
        <v>2.4300940537292348</v>
      </c>
      <c r="H20" s="6">
        <v>5.4002433036704645</v>
      </c>
      <c r="I20" s="1">
        <v>0.97957901787510737</v>
      </c>
      <c r="J20" s="7">
        <v>642.75358176889017</v>
      </c>
      <c r="K20" s="2">
        <v>0.98394694275374073</v>
      </c>
    </row>
    <row r="21" spans="1:11" x14ac:dyDescent="0.25">
      <c r="A21">
        <f t="shared" ref="A21:A29" si="1">A20+2</f>
        <v>4</v>
      </c>
      <c r="B21" s="2">
        <v>0.39915765680454501</v>
      </c>
      <c r="C21" s="7">
        <v>7386.8882733148657</v>
      </c>
      <c r="D21" s="10">
        <v>8.0403906695121236E-2</v>
      </c>
      <c r="E21" s="2">
        <v>61.50643693763508</v>
      </c>
      <c r="F21" s="2">
        <v>661.97584138232628</v>
      </c>
      <c r="G21" s="2">
        <v>3.9871810943641526</v>
      </c>
      <c r="H21" s="6">
        <v>9.4170606189617949</v>
      </c>
      <c r="I21" s="1">
        <v>0.93929760649491034</v>
      </c>
      <c r="J21" s="7">
        <v>956.81210833337559</v>
      </c>
      <c r="K21" s="2">
        <v>0.94719769552727451</v>
      </c>
    </row>
    <row r="22" spans="1:11" x14ac:dyDescent="0.25">
      <c r="A22">
        <f t="shared" si="1"/>
        <v>6</v>
      </c>
      <c r="B22" s="2">
        <v>0.59201974670517354</v>
      </c>
      <c r="C22" s="7">
        <v>7797.2709551656908</v>
      </c>
      <c r="D22" s="10">
        <v>7.8339176046079664E-2</v>
      </c>
      <c r="E22" s="2">
        <v>63.474984485650246</v>
      </c>
      <c r="F22" s="2">
        <v>647.20681056181138</v>
      </c>
      <c r="G22" s="2">
        <v>5.3202742018966962</v>
      </c>
      <c r="H22" s="6">
        <v>12.852348174128061</v>
      </c>
      <c r="I22" s="1">
        <v>0.88402394848499899</v>
      </c>
      <c r="J22" s="7">
        <v>1229.8293141015874</v>
      </c>
      <c r="K22" s="2">
        <v>0.89487062956194141</v>
      </c>
    </row>
    <row r="23" spans="1:11" x14ac:dyDescent="0.25">
      <c r="A23">
        <f t="shared" si="1"/>
        <v>8</v>
      </c>
      <c r="B23" s="2">
        <v>0.78473022605584108</v>
      </c>
      <c r="C23" s="7">
        <v>8020.0501253132825</v>
      </c>
      <c r="D23" s="10">
        <v>7.7294738167282037E-2</v>
      </c>
      <c r="E23" s="2">
        <v>64.524992542158714</v>
      </c>
      <c r="F23" s="2">
        <v>639.63759534109738</v>
      </c>
      <c r="G23" s="2">
        <v>6.3949207885616968</v>
      </c>
      <c r="H23" s="6">
        <v>15.631214847869215</v>
      </c>
      <c r="I23" s="1">
        <v>0.8204809947064593</v>
      </c>
      <c r="J23" s="7">
        <v>1450.7779431891129</v>
      </c>
      <c r="K23" s="2">
        <v>0.8335837542943223</v>
      </c>
    </row>
    <row r="24" spans="1:11" x14ac:dyDescent="0.25">
      <c r="A24">
        <f t="shared" si="1"/>
        <v>10</v>
      </c>
      <c r="B24" s="2">
        <v>0.97737707999771772</v>
      </c>
      <c r="C24" s="7">
        <v>8159.9347205222348</v>
      </c>
      <c r="D24" s="10">
        <v>7.6663961975532796E-2</v>
      </c>
      <c r="E24" s="2">
        <v>65.178007151383923</v>
      </c>
      <c r="F24" s="2">
        <v>635.03475517652964</v>
      </c>
      <c r="G24" s="2">
        <v>7.22175191287897</v>
      </c>
      <c r="H24" s="6">
        <v>17.780198917461213</v>
      </c>
      <c r="I24" s="1">
        <v>0.7545459823514552</v>
      </c>
      <c r="J24" s="7">
        <v>1621.017881198034</v>
      </c>
      <c r="K24" s="2">
        <v>0.7692355578322122</v>
      </c>
    </row>
    <row r="25" spans="1:11" x14ac:dyDescent="0.25">
      <c r="A25">
        <f t="shared" si="1"/>
        <v>12</v>
      </c>
      <c r="B25" s="2">
        <v>1.169991227703413</v>
      </c>
      <c r="C25" s="7">
        <v>8255.9339525283795</v>
      </c>
      <c r="D25" s="10">
        <v>7.6241668222841202E-2</v>
      </c>
      <c r="E25" s="2">
        <v>65.623444353773422</v>
      </c>
      <c r="F25" s="2">
        <v>631.94009757593096</v>
      </c>
      <c r="G25" s="2">
        <v>7.8353999916106982</v>
      </c>
      <c r="H25" s="6">
        <v>19.385490930275285</v>
      </c>
      <c r="I25" s="1">
        <v>0.69044214272213345</v>
      </c>
      <c r="J25" s="7">
        <v>1747.4284474935844</v>
      </c>
      <c r="K25" s="2">
        <v>0.70614143587406686</v>
      </c>
    </row>
    <row r="26" spans="1:11" x14ac:dyDescent="0.25">
      <c r="A26">
        <f t="shared" si="1"/>
        <v>14</v>
      </c>
      <c r="B26" s="2">
        <v>1.3625863428914959</v>
      </c>
      <c r="C26" s="7">
        <v>8325.899494498959</v>
      </c>
      <c r="D26" s="10">
        <v>7.593913930811301E-2</v>
      </c>
      <c r="E26" s="2">
        <v>65.946727387834486</v>
      </c>
      <c r="F26" s="2">
        <v>629.71666394546412</v>
      </c>
      <c r="G26" s="2">
        <v>8.2786084911237889</v>
      </c>
      <c r="H26" s="6">
        <v>20.554347920397618</v>
      </c>
      <c r="I26" s="1">
        <v>0.63069989684933681</v>
      </c>
      <c r="J26" s="7">
        <v>1838.7310423122051</v>
      </c>
      <c r="K26" s="2">
        <v>0.64694965693531936</v>
      </c>
    </row>
    <row r="27" spans="1:11" x14ac:dyDescent="0.25">
      <c r="A27">
        <v>15</v>
      </c>
      <c r="B27" s="2">
        <v>1.4588790874590871</v>
      </c>
      <c r="C27" s="7">
        <v>8354.2188805346686</v>
      </c>
      <c r="D27" s="10">
        <v>7.58179168968003E-2</v>
      </c>
      <c r="E27" s="2">
        <v>66.077259338400196</v>
      </c>
      <c r="F27" s="2">
        <v>628.82423849388556</v>
      </c>
      <c r="G27" s="2">
        <v>8.4493113470138734</v>
      </c>
      <c r="H27" s="6">
        <v>21.007945641913267</v>
      </c>
      <c r="I27" s="1">
        <v>0.60287702725137404</v>
      </c>
      <c r="J27" s="7">
        <v>1873.8893015349558</v>
      </c>
      <c r="K27" s="2">
        <v>0.61926622930131736</v>
      </c>
    </row>
    <row r="28" spans="1:11" x14ac:dyDescent="0.25">
      <c r="A28">
        <f>A26+2</f>
        <v>16</v>
      </c>
      <c r="B28" s="2">
        <v>1.5551694080460221</v>
      </c>
      <c r="C28" s="7">
        <v>8379.156847342234</v>
      </c>
      <c r="D28" s="10">
        <v>7.5711747541589297E-2</v>
      </c>
      <c r="E28" s="2">
        <v>66.192053753233139</v>
      </c>
      <c r="F28" s="2">
        <v>628.04192752019492</v>
      </c>
      <c r="G28" s="2">
        <v>8.5923006417837637</v>
      </c>
      <c r="H28" s="6">
        <v>21.390078162503769</v>
      </c>
      <c r="I28" s="1">
        <v>0.57651212739298352</v>
      </c>
      <c r="J28" s="7">
        <v>1903.3327218786544</v>
      </c>
      <c r="K28" s="2">
        <v>0.59296781689647771</v>
      </c>
    </row>
    <row r="29" spans="1:11" x14ac:dyDescent="0.25">
      <c r="A29">
        <f t="shared" si="1"/>
        <v>18</v>
      </c>
      <c r="B29" s="2">
        <v>1.7477443617911654</v>
      </c>
      <c r="C29" s="7">
        <v>8421.0526315789448</v>
      </c>
      <c r="D29" s="10">
        <v>7.5534590277732211E-2</v>
      </c>
      <c r="E29" s="2">
        <v>66.384590932907344</v>
      </c>
      <c r="F29" s="2">
        <v>626.7350789811635</v>
      </c>
      <c r="G29" s="2">
        <v>8.8109996174411727</v>
      </c>
      <c r="H29" s="6">
        <v>21.980254875202839</v>
      </c>
      <c r="I29" s="1">
        <v>0.52817617999563204</v>
      </c>
      <c r="J29" s="7">
        <v>1948.3438752086502</v>
      </c>
      <c r="K29" s="2">
        <v>0.54459110326072591</v>
      </c>
    </row>
    <row r="30" spans="1:11" x14ac:dyDescent="0.25">
      <c r="A30">
        <f>A29+2</f>
        <v>20</v>
      </c>
      <c r="B30" s="2">
        <v>1.9403135947132639</v>
      </c>
      <c r="C30" s="7">
        <v>8454.8721200591826</v>
      </c>
      <c r="D30" s="10">
        <v>7.5392675568888692E-2</v>
      </c>
      <c r="E30" s="2">
        <v>66.539724356955901</v>
      </c>
      <c r="F30" s="2">
        <v>625.68689057103074</v>
      </c>
      <c r="G30" s="2">
        <v>8.9617281465660739</v>
      </c>
      <c r="H30" s="6">
        <v>22.393720566992641</v>
      </c>
      <c r="I30" s="1">
        <v>0.48546698283085771</v>
      </c>
      <c r="J30" s="7">
        <v>1979.3365149216438</v>
      </c>
      <c r="K30" s="2">
        <v>0.50167165658827084</v>
      </c>
    </row>
    <row r="31" spans="1:11" x14ac:dyDescent="0.25">
      <c r="A31">
        <f t="shared" ref="A31:A35" si="2">A30+2</f>
        <v>22</v>
      </c>
      <c r="B31" s="2">
        <v>2.1328786419391861</v>
      </c>
      <c r="C31" s="7">
        <v>8482.7453248505881</v>
      </c>
      <c r="D31" s="10">
        <v>7.5276437691790141E-2</v>
      </c>
      <c r="E31" s="2">
        <v>66.667389530433553</v>
      </c>
      <c r="F31" s="2">
        <v>624.82748197445619</v>
      </c>
      <c r="G31" s="2">
        <v>9.0646566787104295</v>
      </c>
      <c r="H31" s="6">
        <v>22.682074987443748</v>
      </c>
      <c r="I31" s="1">
        <v>0.44789920228369934</v>
      </c>
      <c r="J31" s="7">
        <v>2000.4720461377615</v>
      </c>
      <c r="K31" s="2">
        <v>0.46378211188114388</v>
      </c>
    </row>
    <row r="32" spans="1:11" x14ac:dyDescent="0.25">
      <c r="A32">
        <f t="shared" si="2"/>
        <v>24</v>
      </c>
      <c r="B32" s="2">
        <v>2.3254405343981173</v>
      </c>
      <c r="C32" s="7">
        <v>8506.1137692716638</v>
      </c>
      <c r="D32" s="10">
        <v>7.5179485739099272E-2</v>
      </c>
      <c r="E32" s="2">
        <v>66.774289043510976</v>
      </c>
      <c r="F32" s="2">
        <v>624.1100659382405</v>
      </c>
      <c r="G32" s="2">
        <v>9.1343789127234949</v>
      </c>
      <c r="H32" s="6">
        <v>22.882811383977515</v>
      </c>
      <c r="I32" s="1">
        <v>0.414890582973093</v>
      </c>
      <c r="J32" s="7">
        <v>2014.7620727668207</v>
      </c>
      <c r="K32" s="2">
        <v>0.43038227833225756</v>
      </c>
    </row>
    <row r="33" spans="1:11" x14ac:dyDescent="0.25">
      <c r="A33">
        <f t="shared" si="2"/>
        <v>26</v>
      </c>
      <c r="B33" s="2">
        <v>2.5179999901275525</v>
      </c>
      <c r="C33" s="7">
        <v>8525.9878668634192</v>
      </c>
      <c r="D33" s="10">
        <v>7.5097387337001456E-2</v>
      </c>
      <c r="E33" s="2">
        <v>66.865108687013986</v>
      </c>
      <c r="F33" s="2">
        <v>623.50213671920005</v>
      </c>
      <c r="G33" s="2">
        <v>9.1812357986551003</v>
      </c>
      <c r="H33" s="6">
        <v>23.022619727980402</v>
      </c>
      <c r="I33" s="1">
        <v>0.38585396192145921</v>
      </c>
      <c r="J33" s="7">
        <v>2024.3407159650644</v>
      </c>
      <c r="K33" s="2">
        <v>0.40091476394518361</v>
      </c>
    </row>
    <row r="34" spans="1:11" x14ac:dyDescent="0.25">
      <c r="A34">
        <f t="shared" si="2"/>
        <v>28</v>
      </c>
      <c r="B34" s="2">
        <v>2.7105575246138307</v>
      </c>
      <c r="C34" s="7">
        <v>8543.0968726163228</v>
      </c>
      <c r="D34" s="10">
        <v>7.5026971746748411E-2</v>
      </c>
      <c r="E34" s="2">
        <v>66.943222990651108</v>
      </c>
      <c r="F34" s="2">
        <v>622.98040716761136</v>
      </c>
      <c r="G34" s="2">
        <v>9.2124518838136851</v>
      </c>
      <c r="H34" s="6">
        <v>23.120242730165554</v>
      </c>
      <c r="I34" s="1">
        <v>0.36024349439730585</v>
      </c>
      <c r="J34" s="7">
        <v>2030.69883229521</v>
      </c>
      <c r="K34" s="2">
        <v>0.37485436911046516</v>
      </c>
    </row>
    <row r="35" spans="1:11" x14ac:dyDescent="0.25">
      <c r="A35">
        <f t="shared" si="2"/>
        <v>30</v>
      </c>
      <c r="B35" s="2">
        <v>2.9031135175129026</v>
      </c>
      <c r="C35" s="7">
        <v>8557.9803166452693</v>
      </c>
      <c r="D35" s="10">
        <v>7.4965910777582828E-2</v>
      </c>
      <c r="E35" s="2">
        <v>67.011123931021544</v>
      </c>
      <c r="F35" s="2">
        <v>622.52775705886256</v>
      </c>
      <c r="G35" s="2">
        <v>9.2330255222684148</v>
      </c>
      <c r="H35" s="6">
        <v>23.188724486998122</v>
      </c>
      <c r="I35" s="1">
        <v>0.33757381672001752</v>
      </c>
      <c r="J35" s="7">
        <v>2034.8676810448721</v>
      </c>
      <c r="K35" s="2">
        <v>0.3517297735133979</v>
      </c>
    </row>
  </sheetData>
  <mergeCells count="8">
    <mergeCell ref="A18:B18"/>
    <mergeCell ref="C18:E18"/>
    <mergeCell ref="A1:B1"/>
    <mergeCell ref="A2:B2"/>
    <mergeCell ref="C1:E1"/>
    <mergeCell ref="C2:E2"/>
    <mergeCell ref="A17:B17"/>
    <mergeCell ref="C17:E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2"/>
  <sheetViews>
    <sheetView workbookViewId="0">
      <selection activeCell="I25" sqref="I25"/>
    </sheetView>
  </sheetViews>
  <sheetFormatPr defaultRowHeight="15" x14ac:dyDescent="0.25"/>
  <sheetData>
    <row r="1" spans="1:18" x14ac:dyDescent="0.25">
      <c r="A1" s="216" t="s">
        <v>112</v>
      </c>
      <c r="B1" s="216"/>
      <c r="C1" s="216" t="s">
        <v>117</v>
      </c>
      <c r="D1" s="216"/>
      <c r="E1" s="216"/>
      <c r="N1" s="216" t="s">
        <v>122</v>
      </c>
      <c r="O1" s="216"/>
      <c r="P1" s="216" t="s">
        <v>124</v>
      </c>
      <c r="Q1" s="216"/>
      <c r="R1" s="216"/>
    </row>
    <row r="2" spans="1:18" x14ac:dyDescent="0.25">
      <c r="A2" s="216" t="s">
        <v>118</v>
      </c>
      <c r="B2" s="216"/>
      <c r="C2" s="216" t="s">
        <v>119</v>
      </c>
      <c r="D2" s="216"/>
      <c r="E2" s="216"/>
      <c r="N2" s="216" t="s">
        <v>123</v>
      </c>
      <c r="O2" s="216"/>
      <c r="P2" s="216" t="s">
        <v>119</v>
      </c>
      <c r="Q2" s="216"/>
      <c r="R2" s="216"/>
    </row>
  </sheetData>
  <mergeCells count="8">
    <mergeCell ref="P1:R1"/>
    <mergeCell ref="N2:O2"/>
    <mergeCell ref="P2:R2"/>
    <mergeCell ref="A1:B1"/>
    <mergeCell ref="C1:E1"/>
    <mergeCell ref="A2:B2"/>
    <mergeCell ref="C2:E2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42"/>
  <sheetViews>
    <sheetView workbookViewId="0">
      <selection activeCell="I25" sqref="I25"/>
    </sheetView>
  </sheetViews>
  <sheetFormatPr defaultRowHeight="15" x14ac:dyDescent="0.25"/>
  <cols>
    <col min="1" max="1" width="12.5703125" customWidth="1"/>
    <col min="2" max="2" width="8.28515625" bestFit="1" customWidth="1"/>
    <col min="6" max="6" width="13" customWidth="1"/>
    <col min="8" max="8" width="12.28515625" customWidth="1"/>
    <col min="9" max="9" width="11" customWidth="1"/>
    <col min="12" max="12" width="12" bestFit="1" customWidth="1"/>
  </cols>
  <sheetData>
    <row r="1" spans="1:10" ht="15.75" thickBot="1" x14ac:dyDescent="0.3">
      <c r="A1" t="s">
        <v>63</v>
      </c>
    </row>
    <row r="2" spans="1:10" ht="45.75" thickTop="1" x14ac:dyDescent="0.25">
      <c r="A2" s="20" t="s">
        <v>39</v>
      </c>
      <c r="B2" s="217" t="s">
        <v>41</v>
      </c>
      <c r="C2" s="218"/>
      <c r="D2" s="21" t="s">
        <v>42</v>
      </c>
      <c r="E2" s="21" t="s">
        <v>45</v>
      </c>
      <c r="F2" s="21" t="s">
        <v>48</v>
      </c>
      <c r="G2" s="221" t="s">
        <v>50</v>
      </c>
      <c r="H2" s="21" t="s">
        <v>51</v>
      </c>
      <c r="I2" s="21" t="s">
        <v>54</v>
      </c>
      <c r="J2" s="22" t="s">
        <v>57</v>
      </c>
    </row>
    <row r="3" spans="1:10" ht="15.75" thickBot="1" x14ac:dyDescent="0.3">
      <c r="A3" s="23" t="s">
        <v>40</v>
      </c>
      <c r="B3" s="219"/>
      <c r="C3" s="220"/>
      <c r="D3" s="15" t="s">
        <v>43</v>
      </c>
      <c r="E3" s="15" t="s">
        <v>46</v>
      </c>
      <c r="F3" s="17" t="s">
        <v>49</v>
      </c>
      <c r="G3" s="222"/>
      <c r="H3" s="15" t="s">
        <v>52</v>
      </c>
      <c r="I3" s="15" t="s">
        <v>55</v>
      </c>
      <c r="J3" s="24" t="s">
        <v>58</v>
      </c>
    </row>
    <row r="4" spans="1:10" ht="27" x14ac:dyDescent="0.25">
      <c r="A4" s="23"/>
      <c r="B4" s="19" t="s">
        <v>60</v>
      </c>
      <c r="C4" s="19" t="s">
        <v>62</v>
      </c>
      <c r="D4" s="15" t="s">
        <v>44</v>
      </c>
      <c r="E4" s="17" t="s">
        <v>47</v>
      </c>
      <c r="F4" s="17"/>
      <c r="G4" s="222"/>
      <c r="H4" s="17" t="s">
        <v>53</v>
      </c>
      <c r="I4" s="17" t="s">
        <v>56</v>
      </c>
      <c r="J4" s="24" t="s">
        <v>59</v>
      </c>
    </row>
    <row r="5" spans="1:10" ht="15.75" thickBot="1" x14ac:dyDescent="0.3">
      <c r="A5" s="25"/>
      <c r="B5" s="18" t="s">
        <v>61</v>
      </c>
      <c r="C5" s="18" t="s">
        <v>61</v>
      </c>
      <c r="D5" s="16"/>
      <c r="E5" s="18"/>
      <c r="F5" s="18"/>
      <c r="G5" s="223"/>
      <c r="H5" s="18"/>
      <c r="I5" s="18"/>
      <c r="J5" s="26"/>
    </row>
    <row r="6" spans="1:10" ht="15.75" thickBot="1" x14ac:dyDescent="0.3">
      <c r="A6" s="13">
        <v>175</v>
      </c>
      <c r="B6" s="12">
        <v>1.0023</v>
      </c>
      <c r="C6" s="12">
        <v>0.71519999999999995</v>
      </c>
      <c r="D6" s="12">
        <v>1.401</v>
      </c>
      <c r="E6" s="12">
        <v>1.1819999999999999</v>
      </c>
      <c r="F6" s="12">
        <v>1.593</v>
      </c>
      <c r="G6" s="12">
        <v>0.74399999999999999</v>
      </c>
      <c r="H6" s="12">
        <v>0.58599999999999997</v>
      </c>
      <c r="I6" s="12">
        <v>2.0169999999999999</v>
      </c>
      <c r="J6" s="14"/>
    </row>
    <row r="7" spans="1:10" ht="15.75" thickBot="1" x14ac:dyDescent="0.3">
      <c r="A7" s="13">
        <v>200</v>
      </c>
      <c r="B7" s="12">
        <v>1.0024999999999999</v>
      </c>
      <c r="C7" s="12">
        <v>0.71540000000000004</v>
      </c>
      <c r="D7" s="12">
        <v>1.401</v>
      </c>
      <c r="E7" s="12">
        <v>1.329</v>
      </c>
      <c r="F7" s="12">
        <v>1.8089999999999999</v>
      </c>
      <c r="G7" s="12">
        <v>0.73599999999999999</v>
      </c>
      <c r="H7" s="12">
        <v>0.753</v>
      </c>
      <c r="I7" s="12">
        <v>1.7649999999999999</v>
      </c>
      <c r="J7" s="14">
        <v>10.17</v>
      </c>
    </row>
    <row r="8" spans="1:10" ht="15.75" thickBot="1" x14ac:dyDescent="0.3">
      <c r="A8" s="13">
        <v>225</v>
      </c>
      <c r="B8" s="12">
        <v>1.0026999999999999</v>
      </c>
      <c r="C8" s="12">
        <v>0.71560000000000001</v>
      </c>
      <c r="D8" s="12">
        <v>1.401</v>
      </c>
      <c r="E8" s="12">
        <v>1.4670000000000001</v>
      </c>
      <c r="F8" s="12">
        <v>2.02</v>
      </c>
      <c r="G8" s="12">
        <v>0.72799999999999998</v>
      </c>
      <c r="H8" s="12">
        <v>0.93500000000000005</v>
      </c>
      <c r="I8" s="12">
        <v>1.569</v>
      </c>
      <c r="J8" s="14"/>
    </row>
    <row r="9" spans="1:10" ht="15.75" thickBot="1" x14ac:dyDescent="0.3">
      <c r="A9" s="13">
        <v>250</v>
      </c>
      <c r="B9" s="12">
        <v>1.0031000000000001</v>
      </c>
      <c r="C9" s="12">
        <v>0.71599999999999997</v>
      </c>
      <c r="D9" s="12">
        <v>1.401</v>
      </c>
      <c r="E9" s="12">
        <v>1.599</v>
      </c>
      <c r="F9" s="12">
        <v>2.2269999999999999</v>
      </c>
      <c r="G9" s="12">
        <v>0.72</v>
      </c>
      <c r="H9" s="12">
        <v>1.1319999999999999</v>
      </c>
      <c r="I9" s="12">
        <v>1.4119999999999999</v>
      </c>
      <c r="J9" s="14">
        <v>15.67</v>
      </c>
    </row>
    <row r="10" spans="1:10" ht="15.75" thickBot="1" x14ac:dyDescent="0.3">
      <c r="A10" s="13">
        <v>275</v>
      </c>
      <c r="B10" s="12">
        <v>1.0038</v>
      </c>
      <c r="C10" s="12">
        <v>0.7167</v>
      </c>
      <c r="D10" s="12">
        <v>1.401</v>
      </c>
      <c r="E10" s="12">
        <v>1.7250000000000001</v>
      </c>
      <c r="F10" s="12">
        <v>2.4279999999999999</v>
      </c>
      <c r="G10" s="12">
        <v>0.71299999999999997</v>
      </c>
      <c r="H10" s="12">
        <v>1.343</v>
      </c>
      <c r="I10" s="12">
        <v>1.284</v>
      </c>
      <c r="J10" s="14"/>
    </row>
    <row r="11" spans="1:10" ht="15.75" thickBot="1" x14ac:dyDescent="0.3">
      <c r="A11" s="53">
        <v>300</v>
      </c>
      <c r="B11" s="54">
        <v>1.0048999999999999</v>
      </c>
      <c r="C11" s="54">
        <v>0.71779999999999999</v>
      </c>
      <c r="D11" s="54">
        <v>1.4</v>
      </c>
      <c r="E11" s="54">
        <v>1.8460000000000001</v>
      </c>
      <c r="F11" s="54">
        <v>2.6240000000000001</v>
      </c>
      <c r="G11" s="54">
        <v>0.70699999999999996</v>
      </c>
      <c r="H11" s="54">
        <v>1.5680000000000001</v>
      </c>
      <c r="I11" s="54">
        <v>1.177</v>
      </c>
      <c r="J11" s="55">
        <v>22.07</v>
      </c>
    </row>
    <row r="12" spans="1:10" ht="15.75" thickBot="1" x14ac:dyDescent="0.3">
      <c r="A12" s="30">
        <v>311</v>
      </c>
      <c r="B12" s="32">
        <f>B13-(B13-B11)*($A$13-$A$12)/($A$13-$A$11)</f>
        <v>1.0055159999999999</v>
      </c>
      <c r="C12" s="32">
        <f>C13-(C13-C11)*($A$13-$A$12)/($A$13-$A$11)</f>
        <v>0.71841599999999994</v>
      </c>
      <c r="D12" s="34">
        <f t="shared" ref="D12:I12" si="0">D13-(D13-D11)*($A$13-$A$12)/($A$13-$A$11)</f>
        <v>1.4</v>
      </c>
      <c r="E12" s="33">
        <f t="shared" si="0"/>
        <v>1.8970400000000001</v>
      </c>
      <c r="F12" s="33">
        <f t="shared" si="0"/>
        <v>2.7084799999999998</v>
      </c>
      <c r="G12" s="33">
        <f t="shared" si="0"/>
        <v>0.70435999999999999</v>
      </c>
      <c r="H12" s="33">
        <f t="shared" si="0"/>
        <v>1.67316</v>
      </c>
      <c r="I12" s="33">
        <f t="shared" si="0"/>
        <v>1.13696</v>
      </c>
      <c r="J12" s="31"/>
    </row>
    <row r="13" spans="1:10" ht="15.75" thickBot="1" x14ac:dyDescent="0.3">
      <c r="A13" s="53">
        <v>325</v>
      </c>
      <c r="B13" s="54">
        <v>1.0063</v>
      </c>
      <c r="C13" s="54">
        <v>0.71919999999999995</v>
      </c>
      <c r="D13" s="54">
        <v>1.4</v>
      </c>
      <c r="E13" s="54">
        <v>1.962</v>
      </c>
      <c r="F13" s="54">
        <v>2.8159999999999998</v>
      </c>
      <c r="G13" s="54">
        <v>0.70099999999999996</v>
      </c>
      <c r="H13" s="54">
        <v>1.8069999999999999</v>
      </c>
      <c r="I13" s="54">
        <v>1.0860000000000001</v>
      </c>
      <c r="J13" s="55"/>
    </row>
    <row r="14" spans="1:10" ht="15.75" thickBot="1" x14ac:dyDescent="0.3">
      <c r="A14" s="13">
        <v>350</v>
      </c>
      <c r="B14" s="12">
        <v>1.0082</v>
      </c>
      <c r="C14" s="12">
        <v>0.72109999999999996</v>
      </c>
      <c r="D14" s="12">
        <v>1.3979999999999999</v>
      </c>
      <c r="E14" s="12">
        <v>2.0750000000000002</v>
      </c>
      <c r="F14" s="12">
        <v>3.0030000000000001</v>
      </c>
      <c r="G14" s="12">
        <v>0.69699999999999995</v>
      </c>
      <c r="H14" s="12">
        <v>2.056</v>
      </c>
      <c r="I14" s="12">
        <v>1.0089999999999999</v>
      </c>
      <c r="J14" s="14">
        <v>29.18</v>
      </c>
    </row>
    <row r="15" spans="1:10" ht="15.75" thickBot="1" x14ac:dyDescent="0.3">
      <c r="A15" s="13">
        <v>375</v>
      </c>
      <c r="B15" s="12">
        <v>1.0105999999999999</v>
      </c>
      <c r="C15" s="12">
        <v>0.72350000000000003</v>
      </c>
      <c r="D15" s="12">
        <v>1.397</v>
      </c>
      <c r="E15" s="12">
        <v>2.181</v>
      </c>
      <c r="F15" s="12">
        <v>3.1859999999999999</v>
      </c>
      <c r="G15" s="12">
        <v>0.69199999999999995</v>
      </c>
      <c r="H15" s="12">
        <v>2.3170000000000002</v>
      </c>
      <c r="I15" s="12">
        <v>0.94130000000000003</v>
      </c>
      <c r="J15" s="14"/>
    </row>
    <row r="16" spans="1:10" ht="15.75" thickBot="1" x14ac:dyDescent="0.3">
      <c r="A16" s="13">
        <v>400</v>
      </c>
      <c r="B16" s="12">
        <v>1.0135000000000001</v>
      </c>
      <c r="C16" s="12">
        <v>0.72640000000000005</v>
      </c>
      <c r="D16" s="12">
        <v>1.395</v>
      </c>
      <c r="E16" s="12">
        <v>2.286</v>
      </c>
      <c r="F16" s="12">
        <v>3.3650000000000002</v>
      </c>
      <c r="G16" s="12">
        <v>0.68799999999999994</v>
      </c>
      <c r="H16" s="12">
        <v>2.5910000000000002</v>
      </c>
      <c r="I16" s="12">
        <v>0.88239999999999996</v>
      </c>
      <c r="J16" s="14">
        <v>36.94</v>
      </c>
    </row>
    <row r="17" spans="1:10" ht="15.75" thickBot="1" x14ac:dyDescent="0.3">
      <c r="A17" s="13">
        <v>450</v>
      </c>
      <c r="B17" s="12">
        <v>1.0206</v>
      </c>
      <c r="C17" s="12">
        <v>0.73350000000000004</v>
      </c>
      <c r="D17" s="12">
        <v>1.391</v>
      </c>
      <c r="E17" s="12">
        <v>2.4849999999999999</v>
      </c>
      <c r="F17" s="12">
        <v>3.71</v>
      </c>
      <c r="G17" s="12">
        <v>0.68400000000000005</v>
      </c>
      <c r="H17" s="12">
        <v>3.1680000000000001</v>
      </c>
      <c r="I17" s="12">
        <v>0.78439999999999999</v>
      </c>
      <c r="J17" s="14"/>
    </row>
    <row r="18" spans="1:10" ht="15.75" thickBot="1" x14ac:dyDescent="0.3">
      <c r="A18" s="13">
        <v>500</v>
      </c>
      <c r="B18" s="12">
        <v>1.0295000000000001</v>
      </c>
      <c r="C18" s="12">
        <v>0.74239999999999995</v>
      </c>
      <c r="D18" s="12">
        <v>1.387</v>
      </c>
      <c r="E18" s="12">
        <v>2.67</v>
      </c>
      <c r="F18" s="12">
        <v>4.0410000000000004</v>
      </c>
      <c r="G18" s="12">
        <v>0.68</v>
      </c>
      <c r="H18" s="12">
        <v>3.782</v>
      </c>
      <c r="I18" s="12">
        <v>0.70599999999999996</v>
      </c>
      <c r="J18" s="14"/>
    </row>
    <row r="19" spans="1:10" ht="15.75" thickBot="1" x14ac:dyDescent="0.3">
      <c r="A19" s="13">
        <v>550</v>
      </c>
      <c r="B19" s="12">
        <v>1.0398000000000001</v>
      </c>
      <c r="C19" s="12">
        <v>0.75270000000000004</v>
      </c>
      <c r="D19" s="12">
        <v>1.381</v>
      </c>
      <c r="E19" s="12">
        <v>2.8490000000000002</v>
      </c>
      <c r="F19" s="12">
        <v>4.3570000000000002</v>
      </c>
      <c r="G19" s="12">
        <v>0.68</v>
      </c>
      <c r="H19" s="12">
        <v>4.4390000000000001</v>
      </c>
      <c r="I19" s="12">
        <v>0.64180000000000004</v>
      </c>
      <c r="J19" s="14"/>
    </row>
    <row r="20" spans="1:10" ht="15.75" thickBot="1" x14ac:dyDescent="0.3">
      <c r="A20" s="13">
        <v>600</v>
      </c>
      <c r="B20" s="12">
        <v>1.0510999999999999</v>
      </c>
      <c r="C20" s="12">
        <v>0.76400000000000001</v>
      </c>
      <c r="D20" s="12">
        <v>1.3759999999999999</v>
      </c>
      <c r="E20" s="12">
        <v>3.0169999999999999</v>
      </c>
      <c r="F20" s="12">
        <v>4.6609999999999996</v>
      </c>
      <c r="G20" s="12">
        <v>0.68</v>
      </c>
      <c r="H20" s="12">
        <v>5.1280000000000001</v>
      </c>
      <c r="I20" s="12">
        <v>0.58830000000000005</v>
      </c>
      <c r="J20" s="14"/>
    </row>
    <row r="21" spans="1:10" ht="15.75" thickBot="1" x14ac:dyDescent="0.3">
      <c r="A21" s="13">
        <v>650</v>
      </c>
      <c r="B21" s="12">
        <v>1.0629</v>
      </c>
      <c r="C21" s="12">
        <v>0.77580000000000005</v>
      </c>
      <c r="D21" s="12">
        <v>1.37</v>
      </c>
      <c r="E21" s="12">
        <v>3.1779999999999999</v>
      </c>
      <c r="F21" s="12">
        <v>4.9539999999999997</v>
      </c>
      <c r="G21" s="12">
        <v>0.68200000000000005</v>
      </c>
      <c r="H21" s="12">
        <v>5.8529999999999998</v>
      </c>
      <c r="I21" s="12">
        <v>0.54300000000000004</v>
      </c>
      <c r="J21" s="14"/>
    </row>
    <row r="22" spans="1:10" ht="15.75" thickBot="1" x14ac:dyDescent="0.3">
      <c r="A22" s="13">
        <v>700</v>
      </c>
      <c r="B22" s="12">
        <v>1.075</v>
      </c>
      <c r="C22" s="12">
        <v>0.78790000000000004</v>
      </c>
      <c r="D22" s="12">
        <v>1.3640000000000001</v>
      </c>
      <c r="E22" s="12">
        <v>3.3319999999999999</v>
      </c>
      <c r="F22" s="12">
        <v>5.2359999999999998</v>
      </c>
      <c r="G22" s="12">
        <v>0.68400000000000005</v>
      </c>
      <c r="H22" s="12">
        <v>6.6070000000000002</v>
      </c>
      <c r="I22" s="12">
        <v>0.50429999999999997</v>
      </c>
      <c r="J22" s="14"/>
    </row>
    <row r="23" spans="1:10" ht="15.75" thickBot="1" x14ac:dyDescent="0.3">
      <c r="A23" s="13">
        <v>750</v>
      </c>
      <c r="B23" s="12">
        <v>1.087</v>
      </c>
      <c r="C23" s="12">
        <v>0.79990000000000006</v>
      </c>
      <c r="D23" s="12">
        <v>1.359</v>
      </c>
      <c r="E23" s="12">
        <v>3.4820000000000002</v>
      </c>
      <c r="F23" s="12">
        <v>5.5090000000000003</v>
      </c>
      <c r="G23" s="12">
        <v>0.68700000000000006</v>
      </c>
      <c r="H23" s="12">
        <v>7.399</v>
      </c>
      <c r="I23" s="12">
        <v>0.47060000000000002</v>
      </c>
      <c r="J23" s="14"/>
    </row>
    <row r="24" spans="1:10" ht="15.75" thickBot="1" x14ac:dyDescent="0.3">
      <c r="A24" s="13">
        <v>800</v>
      </c>
      <c r="B24" s="12">
        <v>1.0987</v>
      </c>
      <c r="C24" s="12">
        <v>0.81159999999999999</v>
      </c>
      <c r="D24" s="12">
        <v>1.3540000000000001</v>
      </c>
      <c r="E24" s="12">
        <v>3.6240000000000001</v>
      </c>
      <c r="F24" s="12">
        <v>5.774</v>
      </c>
      <c r="G24" s="12">
        <v>0.69</v>
      </c>
      <c r="H24" s="12">
        <v>8.2140000000000004</v>
      </c>
      <c r="I24" s="12">
        <v>0.44119999999999998</v>
      </c>
      <c r="J24" s="14"/>
    </row>
    <row r="25" spans="1:10" ht="15.75" thickBot="1" x14ac:dyDescent="0.3">
      <c r="A25" s="13">
        <v>850</v>
      </c>
      <c r="B25" s="12">
        <v>1.1101000000000001</v>
      </c>
      <c r="C25" s="12">
        <v>0.82299999999999995</v>
      </c>
      <c r="D25" s="12">
        <v>1.349</v>
      </c>
      <c r="E25" s="12">
        <v>3.7629999999999999</v>
      </c>
      <c r="F25" s="12">
        <v>6.03</v>
      </c>
      <c r="G25" s="12">
        <v>0.69299999999999995</v>
      </c>
      <c r="H25" s="12">
        <v>9.0609999999999999</v>
      </c>
      <c r="I25" s="12">
        <v>0.4153</v>
      </c>
      <c r="J25" s="14"/>
    </row>
    <row r="26" spans="1:10" ht="15.75" thickBot="1" x14ac:dyDescent="0.3">
      <c r="A26" s="13">
        <v>900</v>
      </c>
      <c r="B26" s="12">
        <v>1.1209</v>
      </c>
      <c r="C26" s="12">
        <v>0.83379999999999999</v>
      </c>
      <c r="D26" s="12">
        <v>1.3440000000000001</v>
      </c>
      <c r="E26" s="12">
        <v>3.8969999999999998</v>
      </c>
      <c r="F26" s="12">
        <v>6.2759999999999998</v>
      </c>
      <c r="G26" s="12">
        <v>0.69599999999999995</v>
      </c>
      <c r="H26" s="12">
        <v>9.9359999999999999</v>
      </c>
      <c r="I26" s="12">
        <v>0.39219999999999999</v>
      </c>
      <c r="J26" s="14"/>
    </row>
    <row r="27" spans="1:10" ht="15.75" thickBot="1" x14ac:dyDescent="0.3">
      <c r="A27" s="13">
        <v>950</v>
      </c>
      <c r="B27" s="12">
        <v>1.1313</v>
      </c>
      <c r="C27" s="12">
        <v>0.84419999999999995</v>
      </c>
      <c r="D27" s="12">
        <v>1.34</v>
      </c>
      <c r="E27" s="12">
        <v>4.0259999999999998</v>
      </c>
      <c r="F27" s="12">
        <v>6.52</v>
      </c>
      <c r="G27" s="12">
        <v>0.69899999999999995</v>
      </c>
      <c r="H27" s="12">
        <v>10.83</v>
      </c>
      <c r="I27" s="12">
        <v>0.37159999999999999</v>
      </c>
      <c r="J27" s="14"/>
    </row>
    <row r="28" spans="1:10" ht="15.75" thickBot="1" x14ac:dyDescent="0.3">
      <c r="A28" s="13">
        <v>1000</v>
      </c>
      <c r="B28" s="12">
        <v>1.1411</v>
      </c>
      <c r="C28" s="12">
        <v>0.85399999999999998</v>
      </c>
      <c r="D28" s="12">
        <v>1.3360000000000001</v>
      </c>
      <c r="E28" s="12">
        <v>4.1529999999999996</v>
      </c>
      <c r="F28" s="12">
        <v>6.7539999999999996</v>
      </c>
      <c r="G28" s="12">
        <v>0.70199999999999996</v>
      </c>
      <c r="H28" s="12">
        <v>11.76</v>
      </c>
      <c r="I28" s="12">
        <v>0.35299999999999998</v>
      </c>
      <c r="J28" s="14"/>
    </row>
    <row r="29" spans="1:10" ht="15.75" thickBot="1" x14ac:dyDescent="0.3">
      <c r="A29" s="13">
        <v>1050</v>
      </c>
      <c r="B29" s="12">
        <v>1.1501999999999999</v>
      </c>
      <c r="C29" s="12">
        <v>0.86309999999999998</v>
      </c>
      <c r="D29" s="12">
        <v>1.333</v>
      </c>
      <c r="E29" s="12">
        <v>4.2759999999999998</v>
      </c>
      <c r="F29" s="12">
        <v>6.9850000000000003</v>
      </c>
      <c r="G29" s="12">
        <v>0.70399999999999996</v>
      </c>
      <c r="H29" s="12">
        <v>12.72</v>
      </c>
      <c r="I29" s="12">
        <v>0.3362</v>
      </c>
      <c r="J29" s="14"/>
    </row>
    <row r="30" spans="1:10" ht="15.75" thickBot="1" x14ac:dyDescent="0.3">
      <c r="A30" s="13">
        <v>1100</v>
      </c>
      <c r="B30" s="12">
        <v>1.1589</v>
      </c>
      <c r="C30" s="12">
        <v>0.87180000000000002</v>
      </c>
      <c r="D30" s="12">
        <v>1.329</v>
      </c>
      <c r="E30" s="12">
        <v>4.3959999999999999</v>
      </c>
      <c r="F30" s="12">
        <v>7.2089999999999996</v>
      </c>
      <c r="G30" s="12">
        <v>0.70699999999999996</v>
      </c>
      <c r="H30" s="12">
        <v>13.7</v>
      </c>
      <c r="I30" s="12">
        <v>0.32090000000000002</v>
      </c>
      <c r="J30" s="14"/>
    </row>
    <row r="31" spans="1:10" ht="15.75" thickBot="1" x14ac:dyDescent="0.3">
      <c r="A31" s="13">
        <v>1150</v>
      </c>
      <c r="B31" s="12">
        <v>1.167</v>
      </c>
      <c r="C31" s="12">
        <v>0.87990000000000002</v>
      </c>
      <c r="D31" s="12">
        <v>1.3260000000000001</v>
      </c>
      <c r="E31" s="12">
        <v>4.5110000000000001</v>
      </c>
      <c r="F31" s="12">
        <v>7.4269999999999996</v>
      </c>
      <c r="G31" s="12">
        <v>0.70899999999999996</v>
      </c>
      <c r="H31" s="12">
        <v>14.7</v>
      </c>
      <c r="I31" s="12">
        <v>0.30690000000000001</v>
      </c>
      <c r="J31" s="14"/>
    </row>
    <row r="32" spans="1:10" ht="15.75" thickBot="1" x14ac:dyDescent="0.3">
      <c r="A32" s="13">
        <v>1200</v>
      </c>
      <c r="B32" s="12">
        <v>1.1746000000000001</v>
      </c>
      <c r="C32" s="12">
        <v>0.88749999999999996</v>
      </c>
      <c r="D32" s="12">
        <v>1.323</v>
      </c>
      <c r="E32" s="12">
        <v>4.6260000000000003</v>
      </c>
      <c r="F32" s="12">
        <v>7.64</v>
      </c>
      <c r="G32" s="12">
        <v>0.71099999999999997</v>
      </c>
      <c r="H32" s="12">
        <v>15.73</v>
      </c>
      <c r="I32" s="12">
        <v>0.29409999999999997</v>
      </c>
      <c r="J32" s="14"/>
    </row>
    <row r="33" spans="1:10" ht="15.75" thickBot="1" x14ac:dyDescent="0.3">
      <c r="A33" s="13">
        <v>1250</v>
      </c>
      <c r="B33" s="12">
        <v>1.1817</v>
      </c>
      <c r="C33" s="12">
        <v>0.89459999999999995</v>
      </c>
      <c r="D33" s="12">
        <v>1.321</v>
      </c>
      <c r="E33" s="12">
        <v>4.7359999999999998</v>
      </c>
      <c r="F33" s="12">
        <v>7.8490000000000002</v>
      </c>
      <c r="G33" s="12">
        <v>0.71299999999999997</v>
      </c>
      <c r="H33" s="12">
        <v>16.77</v>
      </c>
      <c r="I33" s="12">
        <v>0.28239999999999998</v>
      </c>
      <c r="J33" s="14"/>
    </row>
    <row r="34" spans="1:10" ht="15.75" thickBot="1" x14ac:dyDescent="0.3">
      <c r="A34" s="13">
        <v>1300</v>
      </c>
      <c r="B34" s="12">
        <v>1.1883999999999999</v>
      </c>
      <c r="C34" s="12">
        <v>0.90129999999999999</v>
      </c>
      <c r="D34" s="12">
        <v>1.319</v>
      </c>
      <c r="E34" s="12">
        <v>4.8460000000000001</v>
      </c>
      <c r="F34" s="12">
        <v>8.0540000000000003</v>
      </c>
      <c r="G34" s="12">
        <v>0.71499999999999997</v>
      </c>
      <c r="H34" s="12">
        <v>17.850000000000001</v>
      </c>
      <c r="I34" s="12">
        <v>0.27150000000000002</v>
      </c>
      <c r="J34" s="14"/>
    </row>
    <row r="35" spans="1:10" ht="15.75" thickBot="1" x14ac:dyDescent="0.3">
      <c r="A35" s="13">
        <v>1350</v>
      </c>
      <c r="B35" s="12">
        <v>1.1946000000000001</v>
      </c>
      <c r="C35" s="12">
        <v>0.90749999999999997</v>
      </c>
      <c r="D35" s="12">
        <v>1.3160000000000001</v>
      </c>
      <c r="E35" s="12">
        <v>4.952</v>
      </c>
      <c r="F35" s="12">
        <v>8.2530000000000001</v>
      </c>
      <c r="G35" s="12">
        <v>0.71699999999999997</v>
      </c>
      <c r="H35" s="12">
        <v>18.940000000000001</v>
      </c>
      <c r="I35" s="12">
        <v>0.26150000000000001</v>
      </c>
      <c r="J35" s="14"/>
    </row>
    <row r="36" spans="1:10" ht="15.75" thickBot="1" x14ac:dyDescent="0.3">
      <c r="A36" s="13">
        <v>1400</v>
      </c>
      <c r="B36" s="12">
        <v>1.2004999999999999</v>
      </c>
      <c r="C36" s="12">
        <v>0.91339999999999999</v>
      </c>
      <c r="D36" s="12">
        <v>1.3140000000000001</v>
      </c>
      <c r="E36" s="12">
        <v>5.0570000000000004</v>
      </c>
      <c r="F36" s="12">
        <v>8.4499999999999993</v>
      </c>
      <c r="G36" s="12">
        <v>0.71899999999999997</v>
      </c>
      <c r="H36" s="12">
        <v>20.059999999999999</v>
      </c>
      <c r="I36" s="12">
        <v>0.25209999999999999</v>
      </c>
      <c r="J36" s="14"/>
    </row>
    <row r="37" spans="1:10" ht="15.75" thickBot="1" x14ac:dyDescent="0.3">
      <c r="A37" s="13">
        <v>1500</v>
      </c>
      <c r="B37" s="12">
        <v>1.2112000000000001</v>
      </c>
      <c r="C37" s="12">
        <v>0.92410000000000003</v>
      </c>
      <c r="D37" s="12">
        <v>1.3109999999999999</v>
      </c>
      <c r="E37" s="12">
        <v>5.2640000000000002</v>
      </c>
      <c r="F37" s="12">
        <v>8.8309999999999995</v>
      </c>
      <c r="G37" s="12">
        <v>0.72199999999999998</v>
      </c>
      <c r="H37" s="12">
        <v>22.36</v>
      </c>
      <c r="I37" s="12">
        <v>0.23530000000000001</v>
      </c>
      <c r="J37" s="14"/>
    </row>
    <row r="38" spans="1:10" ht="15.75" thickBot="1" x14ac:dyDescent="0.3">
      <c r="A38" s="13">
        <v>1600</v>
      </c>
      <c r="B38" s="12">
        <v>1.2206999999999999</v>
      </c>
      <c r="C38" s="12">
        <v>0.93359999999999999</v>
      </c>
      <c r="D38" s="12">
        <v>1.3080000000000001</v>
      </c>
      <c r="E38" s="12">
        <v>5.4569999999999999</v>
      </c>
      <c r="F38" s="12">
        <v>9.1989999999999998</v>
      </c>
      <c r="G38" s="12">
        <v>0.72399999999999998</v>
      </c>
      <c r="H38" s="12">
        <v>24.74</v>
      </c>
      <c r="I38" s="12">
        <v>0.22059999999999999</v>
      </c>
      <c r="J38" s="14"/>
    </row>
    <row r="39" spans="1:10" ht="15.75" thickBot="1" x14ac:dyDescent="0.3">
      <c r="A39" s="13">
        <v>1700</v>
      </c>
      <c r="B39" s="12">
        <v>1.2293000000000001</v>
      </c>
      <c r="C39" s="12">
        <v>0.94220000000000004</v>
      </c>
      <c r="D39" s="12">
        <v>1.3049999999999999</v>
      </c>
      <c r="E39" s="12">
        <v>5.6459999999999999</v>
      </c>
      <c r="F39" s="12">
        <v>9.5540000000000003</v>
      </c>
      <c r="G39" s="12">
        <v>0.72599999999999998</v>
      </c>
      <c r="H39" s="12">
        <v>27.2</v>
      </c>
      <c r="I39" s="12">
        <v>0.20760000000000001</v>
      </c>
      <c r="J39" s="14"/>
    </row>
    <row r="40" spans="1:10" ht="15.75" thickBot="1" x14ac:dyDescent="0.3">
      <c r="A40" s="13">
        <v>1800</v>
      </c>
      <c r="B40" s="12">
        <v>1.2370000000000001</v>
      </c>
      <c r="C40" s="12">
        <v>0.94989999999999997</v>
      </c>
      <c r="D40" s="12">
        <v>1.302</v>
      </c>
      <c r="E40" s="12">
        <v>5.8289999999999997</v>
      </c>
      <c r="F40" s="12">
        <v>9.8989999999999991</v>
      </c>
      <c r="G40" s="12">
        <v>0.72799999999999998</v>
      </c>
      <c r="H40" s="12">
        <v>29.72</v>
      </c>
      <c r="I40" s="12">
        <v>0.1961</v>
      </c>
      <c r="J40" s="14"/>
    </row>
    <row r="41" spans="1:10" ht="15.75" thickBot="1" x14ac:dyDescent="0.3">
      <c r="A41" s="27">
        <v>1900</v>
      </c>
      <c r="B41" s="28">
        <v>1.244</v>
      </c>
      <c r="C41" s="28">
        <v>0.95689999999999997</v>
      </c>
      <c r="D41" s="28">
        <v>1.3</v>
      </c>
      <c r="E41" s="28">
        <v>6.008</v>
      </c>
      <c r="F41" s="28">
        <v>10.233000000000001</v>
      </c>
      <c r="G41" s="28">
        <v>0.73</v>
      </c>
      <c r="H41" s="28">
        <v>32.340000000000003</v>
      </c>
      <c r="I41" s="28">
        <v>0.18579999999999999</v>
      </c>
      <c r="J41" s="29"/>
    </row>
    <row r="42" spans="1:10" ht="15.75" thickTop="1" x14ac:dyDescent="0.25"/>
  </sheetData>
  <mergeCells count="2">
    <mergeCell ref="B2:C3"/>
    <mergeCell ref="G2:G5"/>
  </mergeCells>
  <hyperlinks>
    <hyperlink ref="A2" r:id="rId1" tooltip="Temperature" display="https://www.engineeringtoolbox.com/temperature-d_291.html"/>
    <hyperlink ref="B2" r:id="rId2" tooltip="Specific heat converter" display="https://www.engineeringtoolbox.com/specific-heat-capacity-converter-d_673.html"/>
    <hyperlink ref="D2" r:id="rId3" tooltip="Specific heat ratio" display="https://www.engineeringtoolbox.com/specific-heat-ratio-d_608.html"/>
    <hyperlink ref="E2" r:id="rId4" tooltip="Dynamic absolute kinematic viscosity" display="https://www.engineeringtoolbox.com/dynamic-absolute-kinematic-viscosity-d_412.html"/>
    <hyperlink ref="F2" r:id="rId5" tooltip="Conductive heat transfer" display="https://www.engineeringtoolbox.com/conductive-heat-transfer-d_428.html"/>
    <hyperlink ref="H2" r:id="rId6" tooltip="Kinematic viscosity" display="https://www.engineeringtoolbox.com/dynamic-absolute-kinematic-viscosity-d_412.html"/>
    <hyperlink ref="I2" r:id="rId7" tooltip="Air density - pressure and temperature" display="https://www.engineeringtoolbox.com/air-density-specific-weight-d_600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43"/>
  <sheetViews>
    <sheetView workbookViewId="0">
      <selection activeCell="H11" sqref="H11"/>
    </sheetView>
  </sheetViews>
  <sheetFormatPr defaultRowHeight="15" x14ac:dyDescent="0.25"/>
  <cols>
    <col min="1" max="3" width="10.28515625" customWidth="1"/>
    <col min="7" max="7" width="10.28515625" customWidth="1"/>
    <col min="8" max="8" width="10.42578125" customWidth="1"/>
    <col min="9" max="9" width="10.85546875" customWidth="1"/>
    <col min="10" max="10" width="9.5703125" customWidth="1"/>
  </cols>
  <sheetData>
    <row r="1" spans="1:11" x14ac:dyDescent="0.25">
      <c r="A1" s="216" t="s">
        <v>87</v>
      </c>
      <c r="B1" s="216"/>
      <c r="C1" s="216"/>
      <c r="F1" s="216" t="s">
        <v>93</v>
      </c>
      <c r="G1" s="216"/>
      <c r="H1" s="216"/>
      <c r="I1" s="216"/>
      <c r="J1" s="216"/>
      <c r="K1" s="52"/>
    </row>
    <row r="2" spans="1:11" x14ac:dyDescent="0.25">
      <c r="A2" s="50" t="s">
        <v>84</v>
      </c>
      <c r="B2" s="50" t="s">
        <v>85</v>
      </c>
      <c r="C2" s="50" t="s">
        <v>86</v>
      </c>
      <c r="F2" s="8" t="s">
        <v>84</v>
      </c>
      <c r="G2" s="8" t="s">
        <v>88</v>
      </c>
      <c r="H2" s="8" t="s">
        <v>89</v>
      </c>
      <c r="I2" s="8" t="s">
        <v>90</v>
      </c>
      <c r="J2" s="8" t="s">
        <v>91</v>
      </c>
    </row>
    <row r="3" spans="1:11" x14ac:dyDescent="0.25">
      <c r="A3">
        <v>0</v>
      </c>
      <c r="B3">
        <v>1</v>
      </c>
      <c r="C3">
        <v>0</v>
      </c>
      <c r="F3">
        <v>0</v>
      </c>
      <c r="G3">
        <v>1</v>
      </c>
      <c r="H3">
        <v>0</v>
      </c>
      <c r="I3" s="51" t="s">
        <v>92</v>
      </c>
      <c r="J3" s="51" t="s">
        <v>92</v>
      </c>
    </row>
    <row r="4" spans="1:11" x14ac:dyDescent="0.25">
      <c r="A4">
        <v>0.1</v>
      </c>
      <c r="B4">
        <v>0.99750000000000005</v>
      </c>
      <c r="C4">
        <v>4.99E-2</v>
      </c>
      <c r="F4">
        <v>0.2</v>
      </c>
      <c r="G4">
        <v>0.82689999999999997</v>
      </c>
      <c r="H4">
        <v>8.2299999999999998E-2</v>
      </c>
      <c r="I4">
        <v>2.1406999999999998</v>
      </c>
      <c r="J4">
        <v>5.8334000000000001</v>
      </c>
    </row>
    <row r="5" spans="1:11" x14ac:dyDescent="0.25">
      <c r="A5">
        <v>0.2</v>
      </c>
      <c r="B5">
        <v>0.99</v>
      </c>
      <c r="C5">
        <v>9.9500000000000005E-2</v>
      </c>
      <c r="F5">
        <v>0.4</v>
      </c>
      <c r="G5">
        <v>0.69740000000000002</v>
      </c>
      <c r="H5">
        <v>0.1368</v>
      </c>
      <c r="I5">
        <v>1.6627000000000001</v>
      </c>
      <c r="J5">
        <v>3.2587000000000002</v>
      </c>
    </row>
    <row r="6" spans="1:11" x14ac:dyDescent="0.25">
      <c r="A6">
        <v>0.3</v>
      </c>
      <c r="B6">
        <v>0.97760000000000002</v>
      </c>
      <c r="C6">
        <v>0.14829999999999999</v>
      </c>
      <c r="F6">
        <v>0.6</v>
      </c>
      <c r="G6">
        <v>0.59930000000000005</v>
      </c>
      <c r="H6">
        <v>0.17219999999999999</v>
      </c>
      <c r="I6">
        <v>1.4167000000000001</v>
      </c>
      <c r="J6">
        <v>2.3738999999999999</v>
      </c>
    </row>
    <row r="7" spans="1:11" x14ac:dyDescent="0.25">
      <c r="A7">
        <v>0.4</v>
      </c>
      <c r="B7">
        <v>0.96040000000000003</v>
      </c>
      <c r="C7">
        <v>0.19600000000000001</v>
      </c>
      <c r="F7">
        <v>0.8</v>
      </c>
      <c r="G7">
        <v>0.52410000000000001</v>
      </c>
      <c r="H7">
        <v>0.19450000000000001</v>
      </c>
      <c r="I7">
        <v>1.2582</v>
      </c>
      <c r="J7">
        <v>1.9178999999999999</v>
      </c>
    </row>
    <row r="8" spans="1:11" x14ac:dyDescent="0.25">
      <c r="A8">
        <v>0.5</v>
      </c>
      <c r="B8">
        <v>0.9385</v>
      </c>
      <c r="C8">
        <v>0.24229999999999999</v>
      </c>
      <c r="F8">
        <v>1</v>
      </c>
      <c r="G8">
        <v>0.4657</v>
      </c>
      <c r="H8">
        <v>0.2079</v>
      </c>
      <c r="I8">
        <v>1.1445000000000001</v>
      </c>
      <c r="J8">
        <v>1.6361000000000001</v>
      </c>
    </row>
    <row r="9" spans="1:11" x14ac:dyDescent="0.25">
      <c r="A9">
        <v>0.6</v>
      </c>
      <c r="B9">
        <v>0.91200000000000003</v>
      </c>
      <c r="C9">
        <v>0.28670000000000001</v>
      </c>
      <c r="F9">
        <v>1.2</v>
      </c>
      <c r="G9">
        <v>0.41980000000000001</v>
      </c>
      <c r="H9">
        <v>0.2152</v>
      </c>
      <c r="I9">
        <v>1.0575000000000001</v>
      </c>
      <c r="J9">
        <v>1.4429000000000001</v>
      </c>
    </row>
    <row r="10" spans="1:11" x14ac:dyDescent="0.25">
      <c r="A10">
        <v>0.7</v>
      </c>
      <c r="B10">
        <v>0.88119999999999998</v>
      </c>
      <c r="C10">
        <v>0.32900000000000001</v>
      </c>
      <c r="F10">
        <v>1.4</v>
      </c>
      <c r="G10">
        <v>0.3831</v>
      </c>
      <c r="H10">
        <v>0.2185</v>
      </c>
      <c r="I10">
        <v>0.98809999999999998</v>
      </c>
      <c r="J10">
        <v>1.3009999999999999</v>
      </c>
    </row>
    <row r="11" spans="1:11" x14ac:dyDescent="0.25">
      <c r="A11">
        <v>0.8</v>
      </c>
      <c r="B11">
        <v>0.84630000000000005</v>
      </c>
      <c r="C11">
        <v>0.36880000000000002</v>
      </c>
      <c r="F11">
        <v>1.6</v>
      </c>
      <c r="G11">
        <v>0.3533</v>
      </c>
      <c r="H11">
        <v>0.219</v>
      </c>
      <c r="I11">
        <v>0.93089999999999995</v>
      </c>
      <c r="J11">
        <v>1.1919</v>
      </c>
    </row>
    <row r="12" spans="1:11" x14ac:dyDescent="0.25">
      <c r="A12">
        <v>0.9</v>
      </c>
      <c r="B12">
        <v>0.8075</v>
      </c>
      <c r="C12">
        <v>0.40589999999999998</v>
      </c>
      <c r="F12">
        <v>1.8</v>
      </c>
      <c r="G12">
        <v>0.32890000000000003</v>
      </c>
      <c r="H12">
        <v>0.2177</v>
      </c>
      <c r="I12">
        <v>0.88280000000000003</v>
      </c>
      <c r="J12">
        <v>1.1048</v>
      </c>
    </row>
    <row r="13" spans="1:11" x14ac:dyDescent="0.25">
      <c r="A13">
        <v>1</v>
      </c>
      <c r="B13">
        <v>0.76519999999999999</v>
      </c>
      <c r="C13">
        <v>0.44</v>
      </c>
      <c r="F13">
        <v>2</v>
      </c>
      <c r="G13">
        <v>0.3085</v>
      </c>
      <c r="H13">
        <v>0.21529999999999999</v>
      </c>
      <c r="I13">
        <v>0.84160000000000001</v>
      </c>
      <c r="J13">
        <v>1.0335000000000001</v>
      </c>
    </row>
    <row r="14" spans="1:11" x14ac:dyDescent="0.25">
      <c r="A14">
        <v>1.1000000000000001</v>
      </c>
      <c r="B14">
        <v>0.71960000000000002</v>
      </c>
      <c r="C14">
        <v>0.47089999999999999</v>
      </c>
      <c r="F14">
        <v>2.2000000000000002</v>
      </c>
      <c r="G14">
        <v>0.2913</v>
      </c>
      <c r="H14">
        <v>0.21210000000000001</v>
      </c>
      <c r="I14">
        <v>0.80559999999999998</v>
      </c>
      <c r="J14">
        <v>0.9738</v>
      </c>
    </row>
    <row r="15" spans="1:11" x14ac:dyDescent="0.25">
      <c r="A15">
        <v>1.2</v>
      </c>
      <c r="B15">
        <v>0.67110000000000003</v>
      </c>
      <c r="C15">
        <v>0.49830000000000002</v>
      </c>
      <c r="F15">
        <v>2.4</v>
      </c>
      <c r="G15">
        <v>0.27660000000000001</v>
      </c>
      <c r="H15">
        <v>0.20849999999999999</v>
      </c>
      <c r="I15">
        <v>0.77400000000000002</v>
      </c>
      <c r="J15">
        <v>0.92290000000000005</v>
      </c>
    </row>
    <row r="16" spans="1:11" x14ac:dyDescent="0.25">
      <c r="A16">
        <v>1.3</v>
      </c>
      <c r="B16">
        <v>0.62009999999999998</v>
      </c>
      <c r="C16">
        <v>0.52200000000000002</v>
      </c>
      <c r="F16">
        <v>2.6</v>
      </c>
      <c r="G16">
        <v>0.26390000000000002</v>
      </c>
      <c r="H16">
        <v>0.2046</v>
      </c>
      <c r="I16">
        <v>0.74590000000000001</v>
      </c>
      <c r="J16">
        <v>0.879</v>
      </c>
    </row>
    <row r="17" spans="1:10" x14ac:dyDescent="0.25">
      <c r="A17">
        <v>1.4</v>
      </c>
      <c r="B17">
        <v>0.56689999999999996</v>
      </c>
      <c r="C17">
        <v>0.54190000000000005</v>
      </c>
      <c r="F17">
        <v>2.8</v>
      </c>
      <c r="G17">
        <v>0.25280000000000002</v>
      </c>
      <c r="H17">
        <v>0.20069999999999999</v>
      </c>
      <c r="I17">
        <v>0.72060000000000002</v>
      </c>
      <c r="J17">
        <v>0.84050000000000002</v>
      </c>
    </row>
    <row r="18" spans="1:10" x14ac:dyDescent="0.25">
      <c r="A18">
        <v>1.5</v>
      </c>
      <c r="B18">
        <v>0.51180000000000003</v>
      </c>
      <c r="C18">
        <v>0.55789999999999995</v>
      </c>
      <c r="F18">
        <v>3</v>
      </c>
      <c r="G18">
        <v>0.24299999999999999</v>
      </c>
      <c r="H18">
        <v>0.1968</v>
      </c>
      <c r="I18">
        <v>0.69779999999999998</v>
      </c>
      <c r="J18">
        <v>0.80659999999999998</v>
      </c>
    </row>
    <row r="19" spans="1:10" x14ac:dyDescent="0.25">
      <c r="A19">
        <v>1.6</v>
      </c>
      <c r="B19">
        <v>0.45540000000000003</v>
      </c>
      <c r="C19">
        <v>0.56989999999999996</v>
      </c>
      <c r="F19">
        <v>3.2</v>
      </c>
      <c r="G19">
        <v>0.23430000000000001</v>
      </c>
      <c r="H19">
        <v>0.193</v>
      </c>
      <c r="I19">
        <v>0.67700000000000005</v>
      </c>
      <c r="J19">
        <v>0.77629999999999999</v>
      </c>
    </row>
    <row r="20" spans="1:10" x14ac:dyDescent="0.25">
      <c r="A20">
        <v>1.7</v>
      </c>
      <c r="B20">
        <v>0.39800000000000002</v>
      </c>
      <c r="C20">
        <v>0.57779999999999998</v>
      </c>
      <c r="F20">
        <v>3.4</v>
      </c>
      <c r="G20">
        <v>0.22639999999999999</v>
      </c>
      <c r="H20">
        <v>0.18920000000000001</v>
      </c>
      <c r="I20">
        <v>0.65790000000000004</v>
      </c>
      <c r="J20">
        <v>0.74909999999999999</v>
      </c>
    </row>
    <row r="21" spans="1:10" x14ac:dyDescent="0.25">
      <c r="A21">
        <v>1.8</v>
      </c>
      <c r="B21">
        <v>0.34</v>
      </c>
      <c r="C21">
        <v>0.58150000000000002</v>
      </c>
      <c r="F21">
        <v>3.6</v>
      </c>
      <c r="G21">
        <v>0.21929999999999999</v>
      </c>
      <c r="H21">
        <v>0.18559999999999999</v>
      </c>
      <c r="I21">
        <v>0.64039999999999997</v>
      </c>
      <c r="J21">
        <v>0.72450000000000003</v>
      </c>
    </row>
    <row r="22" spans="1:10" x14ac:dyDescent="0.25">
      <c r="A22">
        <v>1.9</v>
      </c>
      <c r="B22">
        <v>0.28179999999999999</v>
      </c>
      <c r="C22">
        <v>0.58120000000000005</v>
      </c>
      <c r="F22">
        <v>3.8</v>
      </c>
      <c r="G22">
        <v>0.21290000000000001</v>
      </c>
      <c r="H22">
        <v>0.18210000000000001</v>
      </c>
      <c r="I22">
        <v>0.62429999999999997</v>
      </c>
      <c r="J22">
        <v>0.70209999999999995</v>
      </c>
    </row>
    <row r="23" spans="1:10" x14ac:dyDescent="0.25">
      <c r="A23">
        <v>2</v>
      </c>
      <c r="B23">
        <v>0.22389999999999999</v>
      </c>
      <c r="C23">
        <v>0.57669999999999999</v>
      </c>
      <c r="F23">
        <v>4</v>
      </c>
      <c r="G23">
        <v>0.20699999999999999</v>
      </c>
      <c r="H23">
        <v>0.1787</v>
      </c>
      <c r="I23">
        <v>0.60929999999999995</v>
      </c>
      <c r="J23">
        <v>0.68159999999999998</v>
      </c>
    </row>
    <row r="24" spans="1:10" x14ac:dyDescent="0.25">
      <c r="A24">
        <v>2.1</v>
      </c>
      <c r="B24">
        <v>0.1666</v>
      </c>
      <c r="C24">
        <v>0.56830000000000003</v>
      </c>
      <c r="F24">
        <v>4.2</v>
      </c>
      <c r="G24">
        <v>0.2016</v>
      </c>
      <c r="H24">
        <v>0.17549999999999999</v>
      </c>
      <c r="I24">
        <v>0.59530000000000005</v>
      </c>
      <c r="J24">
        <v>0.66269999999999996</v>
      </c>
    </row>
    <row r="25" spans="1:10" x14ac:dyDescent="0.25">
      <c r="A25">
        <v>2.2000000000000002</v>
      </c>
      <c r="B25">
        <v>0.1104</v>
      </c>
      <c r="C25">
        <v>0.55600000000000005</v>
      </c>
      <c r="F25">
        <v>4.4000000000000004</v>
      </c>
      <c r="G25">
        <v>0.1966</v>
      </c>
      <c r="H25">
        <v>0.1724</v>
      </c>
      <c r="I25">
        <v>0.58230000000000004</v>
      </c>
      <c r="J25">
        <v>0.64529999999999998</v>
      </c>
    </row>
    <row r="26" spans="1:10" x14ac:dyDescent="0.25">
      <c r="A26">
        <v>2.2999999999999998</v>
      </c>
      <c r="B26">
        <v>5.5500000000000001E-2</v>
      </c>
      <c r="C26">
        <v>0.53990000000000005</v>
      </c>
      <c r="F26">
        <v>4.5999999999999996</v>
      </c>
      <c r="G26">
        <v>0.19189999999999999</v>
      </c>
      <c r="H26">
        <v>0.16950000000000001</v>
      </c>
      <c r="I26">
        <v>0.57010000000000005</v>
      </c>
      <c r="J26">
        <v>0.62919999999999998</v>
      </c>
    </row>
    <row r="27" spans="1:10" x14ac:dyDescent="0.25">
      <c r="F27">
        <v>4.8</v>
      </c>
      <c r="G27">
        <v>0.18759999999999999</v>
      </c>
      <c r="H27">
        <v>0.16669999999999999</v>
      </c>
      <c r="I27">
        <v>0.55859999999999999</v>
      </c>
      <c r="J27">
        <v>0.61419999999999997</v>
      </c>
    </row>
    <row r="28" spans="1:10" x14ac:dyDescent="0.25">
      <c r="F28">
        <v>5</v>
      </c>
      <c r="G28">
        <v>0.1835</v>
      </c>
      <c r="H28">
        <v>0.16400000000000001</v>
      </c>
      <c r="I28">
        <v>0.54779999999999995</v>
      </c>
      <c r="J28">
        <v>0.60029999999999994</v>
      </c>
    </row>
    <row r="29" spans="1:10" x14ac:dyDescent="0.25">
      <c r="F29">
        <v>5.2</v>
      </c>
      <c r="G29">
        <v>0.1797</v>
      </c>
      <c r="H29">
        <v>0.16139999999999999</v>
      </c>
      <c r="I29">
        <v>0.53759999999999997</v>
      </c>
      <c r="J29">
        <v>0.58720000000000006</v>
      </c>
    </row>
    <row r="30" spans="1:10" x14ac:dyDescent="0.25">
      <c r="F30">
        <v>5.4</v>
      </c>
      <c r="G30">
        <v>0.1762</v>
      </c>
      <c r="H30">
        <v>0.15890000000000001</v>
      </c>
      <c r="I30">
        <v>0.52790000000000004</v>
      </c>
      <c r="J30">
        <v>0.57489999999999997</v>
      </c>
    </row>
    <row r="31" spans="1:10" x14ac:dyDescent="0.25">
      <c r="F31">
        <v>5.6</v>
      </c>
      <c r="G31">
        <v>0.17280000000000001</v>
      </c>
      <c r="H31">
        <v>0.1565</v>
      </c>
      <c r="I31">
        <v>0.51880000000000004</v>
      </c>
      <c r="J31">
        <v>0.56330000000000002</v>
      </c>
    </row>
    <row r="32" spans="1:10" x14ac:dyDescent="0.25">
      <c r="F32">
        <v>5.8</v>
      </c>
      <c r="G32">
        <v>0.1696</v>
      </c>
      <c r="H32">
        <v>0.1542</v>
      </c>
      <c r="I32">
        <v>0.5101</v>
      </c>
      <c r="J32">
        <v>0.55249999999999999</v>
      </c>
    </row>
    <row r="33" spans="6:10" x14ac:dyDescent="0.25">
      <c r="F33">
        <v>6</v>
      </c>
      <c r="G33">
        <v>0.1666</v>
      </c>
      <c r="H33">
        <v>0.152</v>
      </c>
      <c r="I33">
        <v>0.50190000000000001</v>
      </c>
      <c r="J33">
        <v>0.54220000000000002</v>
      </c>
    </row>
    <row r="34" spans="6:10" x14ac:dyDescent="0.25">
      <c r="F34">
        <v>6.4</v>
      </c>
      <c r="G34">
        <v>0.16109999999999999</v>
      </c>
      <c r="H34">
        <v>0.1479</v>
      </c>
      <c r="I34">
        <v>0.48649999999999999</v>
      </c>
      <c r="J34">
        <v>0.5232</v>
      </c>
    </row>
    <row r="35" spans="6:10" x14ac:dyDescent="0.25">
      <c r="F35">
        <v>6.8</v>
      </c>
      <c r="G35">
        <v>0.15609999999999999</v>
      </c>
      <c r="H35">
        <v>0.14410000000000001</v>
      </c>
      <c r="I35">
        <v>0.47239999999999999</v>
      </c>
      <c r="J35">
        <v>0.50600000000000001</v>
      </c>
    </row>
    <row r="36" spans="6:10" x14ac:dyDescent="0.25">
      <c r="F36">
        <v>7.2</v>
      </c>
      <c r="G36">
        <v>0.1515</v>
      </c>
      <c r="H36">
        <v>0.14050000000000001</v>
      </c>
      <c r="I36">
        <v>0.45950000000000002</v>
      </c>
      <c r="J36">
        <v>0.49049999999999999</v>
      </c>
    </row>
    <row r="37" spans="6:10" x14ac:dyDescent="0.25">
      <c r="F37">
        <v>7.6</v>
      </c>
      <c r="G37">
        <v>0.14729999999999999</v>
      </c>
      <c r="H37">
        <v>0.13719999999999999</v>
      </c>
      <c r="I37">
        <v>0.4476</v>
      </c>
      <c r="J37">
        <v>0.47620000000000001</v>
      </c>
    </row>
    <row r="38" spans="6:10" x14ac:dyDescent="0.25">
      <c r="F38">
        <v>8</v>
      </c>
      <c r="G38">
        <v>0.1434</v>
      </c>
      <c r="H38">
        <v>0.1341</v>
      </c>
      <c r="I38">
        <v>0.43659999999999999</v>
      </c>
      <c r="J38">
        <v>0.46310000000000001</v>
      </c>
    </row>
    <row r="39" spans="6:10" x14ac:dyDescent="0.25">
      <c r="F39">
        <v>8.4</v>
      </c>
      <c r="G39">
        <v>0.13980000000000001</v>
      </c>
      <c r="H39">
        <v>0.13120000000000001</v>
      </c>
      <c r="I39">
        <v>0.4264</v>
      </c>
      <c r="J39">
        <v>0.4511</v>
      </c>
    </row>
    <row r="40" spans="6:10" x14ac:dyDescent="0.25">
      <c r="F40">
        <v>8.8000000000000007</v>
      </c>
      <c r="G40">
        <v>0.13650000000000001</v>
      </c>
      <c r="H40">
        <v>0.1285</v>
      </c>
      <c r="I40">
        <v>0.4168</v>
      </c>
      <c r="J40">
        <v>0.43990000000000001</v>
      </c>
    </row>
    <row r="41" spans="6:10" x14ac:dyDescent="0.25">
      <c r="F41">
        <v>9.1999999999999993</v>
      </c>
      <c r="G41">
        <v>0.13339999999999999</v>
      </c>
      <c r="H41">
        <v>0.126</v>
      </c>
      <c r="I41">
        <v>0.40789999999999998</v>
      </c>
      <c r="J41">
        <v>0.42949999999999999</v>
      </c>
    </row>
    <row r="42" spans="6:10" x14ac:dyDescent="0.25">
      <c r="F42">
        <v>9.6</v>
      </c>
      <c r="G42">
        <v>0.1305</v>
      </c>
      <c r="H42">
        <v>0.1235</v>
      </c>
      <c r="I42">
        <v>0.39950000000000002</v>
      </c>
      <c r="J42">
        <v>0.41980000000000001</v>
      </c>
    </row>
    <row r="43" spans="6:10" x14ac:dyDescent="0.25">
      <c r="F43">
        <v>10</v>
      </c>
      <c r="G43">
        <v>0.1278</v>
      </c>
      <c r="H43">
        <v>0.12130000000000001</v>
      </c>
      <c r="I43">
        <v>0.3916</v>
      </c>
      <c r="J43">
        <v>0.4108</v>
      </c>
    </row>
  </sheetData>
  <mergeCells count="2">
    <mergeCell ref="A1:C1"/>
    <mergeCell ref="F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U18"/>
  <sheetViews>
    <sheetView workbookViewId="0">
      <selection activeCell="O20" sqref="O20"/>
    </sheetView>
  </sheetViews>
  <sheetFormatPr defaultRowHeight="15" x14ac:dyDescent="0.25"/>
  <cols>
    <col min="10" max="10" width="11.42578125" bestFit="1" customWidth="1"/>
  </cols>
  <sheetData>
    <row r="1" spans="1:21" ht="30" x14ac:dyDescent="0.25">
      <c r="D1" s="105" t="s">
        <v>202</v>
      </c>
      <c r="E1" s="50" t="s">
        <v>171</v>
      </c>
      <c r="F1" s="50" t="s">
        <v>203</v>
      </c>
      <c r="G1" s="50" t="s">
        <v>204</v>
      </c>
      <c r="H1" s="50" t="s">
        <v>7</v>
      </c>
    </row>
    <row r="2" spans="1:21" ht="18" x14ac:dyDescent="0.35">
      <c r="A2" t="s">
        <v>205</v>
      </c>
      <c r="C2" t="s">
        <v>11</v>
      </c>
      <c r="D2">
        <v>401</v>
      </c>
      <c r="L2" t="s">
        <v>310</v>
      </c>
      <c r="M2" t="s">
        <v>311</v>
      </c>
      <c r="R2" t="s">
        <v>315</v>
      </c>
      <c r="S2" t="s">
        <v>316</v>
      </c>
      <c r="T2" t="s">
        <v>317</v>
      </c>
      <c r="U2" t="s">
        <v>318</v>
      </c>
    </row>
    <row r="3" spans="1:21" ht="18" x14ac:dyDescent="0.35">
      <c r="A3" t="s">
        <v>206</v>
      </c>
      <c r="B3">
        <v>150</v>
      </c>
      <c r="C3" t="s">
        <v>207</v>
      </c>
      <c r="D3">
        <v>385</v>
      </c>
      <c r="K3" t="s">
        <v>183</v>
      </c>
      <c r="L3">
        <v>4</v>
      </c>
      <c r="M3">
        <f>L3*6.4516</f>
        <v>25.8064</v>
      </c>
      <c r="O3" t="s">
        <v>314</v>
      </c>
      <c r="P3" s="1">
        <f>1/(1/R3+1/S3+1/T3+1/U3)</f>
        <v>23.195982459618097</v>
      </c>
      <c r="R3">
        <v>93.4</v>
      </c>
      <c r="S3">
        <v>94.3</v>
      </c>
      <c r="T3">
        <v>91</v>
      </c>
      <c r="U3">
        <v>92.5</v>
      </c>
    </row>
    <row r="4" spans="1:21" ht="18" x14ac:dyDescent="0.35">
      <c r="A4" t="s">
        <v>208</v>
      </c>
      <c r="B4">
        <f>4*B3</f>
        <v>600</v>
      </c>
    </row>
    <row r="6" spans="1:21" x14ac:dyDescent="0.25">
      <c r="I6" t="s">
        <v>312</v>
      </c>
      <c r="J6" t="s">
        <v>313</v>
      </c>
      <c r="K6" t="s">
        <v>319</v>
      </c>
      <c r="L6" t="s">
        <v>320</v>
      </c>
      <c r="Q6" s="216" t="s">
        <v>321</v>
      </c>
      <c r="R6" s="216"/>
    </row>
    <row r="7" spans="1:21" x14ac:dyDescent="0.25">
      <c r="I7">
        <v>50</v>
      </c>
      <c r="J7" s="2">
        <f>I7/$M$3</f>
        <v>1.93750387500775</v>
      </c>
      <c r="K7" s="2">
        <f>SQRT(I7/$P$3)</f>
        <v>1.4681776763402845</v>
      </c>
      <c r="L7">
        <f>I7/K7</f>
        <v>34.055823627992098</v>
      </c>
      <c r="Q7">
        <v>347</v>
      </c>
      <c r="R7" t="s">
        <v>322</v>
      </c>
    </row>
    <row r="8" spans="1:21" x14ac:dyDescent="0.25">
      <c r="I8">
        <f>I7+50</f>
        <v>100</v>
      </c>
      <c r="J8" s="2">
        <f t="shared" ref="J8:J18" si="0">I8/$M$3</f>
        <v>3.8750077500155</v>
      </c>
      <c r="K8" s="2">
        <f t="shared" ref="K8:K18" si="1">SQRT(I8/$P$3)</f>
        <v>2.0763167818538468</v>
      </c>
      <c r="L8">
        <f t="shared" ref="L8:L18" si="2">I8/K8</f>
        <v>48.162207652492526</v>
      </c>
      <c r="Q8">
        <v>175</v>
      </c>
      <c r="R8" t="s">
        <v>212</v>
      </c>
    </row>
    <row r="9" spans="1:21" x14ac:dyDescent="0.25">
      <c r="I9">
        <f t="shared" ref="I9:I17" si="3">I8+50</f>
        <v>150</v>
      </c>
      <c r="J9" s="2">
        <f t="shared" si="0"/>
        <v>5.8125116250232498</v>
      </c>
      <c r="K9" s="2">
        <f t="shared" si="1"/>
        <v>2.542958329959788</v>
      </c>
      <c r="L9">
        <f t="shared" si="2"/>
        <v>58.986416817286958</v>
      </c>
      <c r="Q9">
        <v>448</v>
      </c>
      <c r="R9" t="s">
        <v>323</v>
      </c>
    </row>
    <row r="10" spans="1:21" x14ac:dyDescent="0.25">
      <c r="I10">
        <f t="shared" si="3"/>
        <v>200</v>
      </c>
      <c r="J10" s="2">
        <f t="shared" si="0"/>
        <v>7.750015500031</v>
      </c>
      <c r="K10" s="2">
        <f t="shared" si="1"/>
        <v>2.936355352680569</v>
      </c>
      <c r="L10">
        <f t="shared" si="2"/>
        <v>68.111647255984195</v>
      </c>
    </row>
    <row r="11" spans="1:21" x14ac:dyDescent="0.25">
      <c r="I11">
        <f t="shared" si="3"/>
        <v>250</v>
      </c>
      <c r="J11" s="2">
        <f t="shared" si="0"/>
        <v>9.6875193750387503</v>
      </c>
      <c r="K11" s="2">
        <f t="shared" si="1"/>
        <v>3.2829450873445611</v>
      </c>
      <c r="L11">
        <f t="shared" si="2"/>
        <v>76.151136661933833</v>
      </c>
    </row>
    <row r="12" spans="1:21" x14ac:dyDescent="0.25">
      <c r="I12">
        <f t="shared" si="3"/>
        <v>300</v>
      </c>
      <c r="J12" s="2">
        <f t="shared" si="0"/>
        <v>11.6250232500465</v>
      </c>
      <c r="K12" s="2">
        <f t="shared" si="1"/>
        <v>3.596286158778768</v>
      </c>
      <c r="L12">
        <f t="shared" si="2"/>
        <v>83.419390658799642</v>
      </c>
    </row>
    <row r="13" spans="1:21" x14ac:dyDescent="0.25">
      <c r="I13">
        <f t="shared" si="3"/>
        <v>350</v>
      </c>
      <c r="J13" s="2">
        <f t="shared" si="0"/>
        <v>13.562527125054251</v>
      </c>
      <c r="K13" s="2">
        <f t="shared" si="1"/>
        <v>3.8844330120530719</v>
      </c>
      <c r="L13">
        <f t="shared" si="2"/>
        <v>90.103240013144557</v>
      </c>
    </row>
    <row r="14" spans="1:21" x14ac:dyDescent="0.25">
      <c r="I14">
        <f t="shared" si="3"/>
        <v>400</v>
      </c>
      <c r="J14" s="2">
        <f t="shared" si="0"/>
        <v>15.500031000062</v>
      </c>
      <c r="K14" s="2">
        <f t="shared" si="1"/>
        <v>4.1526335637076937</v>
      </c>
      <c r="L14">
        <f t="shared" si="2"/>
        <v>96.324415304985052</v>
      </c>
    </row>
    <row r="15" spans="1:21" x14ac:dyDescent="0.25">
      <c r="I15">
        <f t="shared" si="3"/>
        <v>450</v>
      </c>
      <c r="J15" s="2">
        <f t="shared" si="0"/>
        <v>17.437534875069751</v>
      </c>
      <c r="K15" s="2">
        <f t="shared" si="1"/>
        <v>4.404533029020854</v>
      </c>
      <c r="L15">
        <f t="shared" si="2"/>
        <v>102.16747088397629</v>
      </c>
    </row>
    <row r="16" spans="1:21" x14ac:dyDescent="0.25">
      <c r="I16">
        <f t="shared" si="3"/>
        <v>500</v>
      </c>
      <c r="J16" s="2">
        <f t="shared" si="0"/>
        <v>19.375038750077501</v>
      </c>
      <c r="K16" s="2">
        <f t="shared" si="1"/>
        <v>4.6427854670488031</v>
      </c>
      <c r="L16">
        <f t="shared" si="2"/>
        <v>107.69397025743386</v>
      </c>
    </row>
    <row r="17" spans="9:12" x14ac:dyDescent="0.25">
      <c r="I17">
        <f t="shared" si="3"/>
        <v>550</v>
      </c>
      <c r="J17" s="2">
        <f t="shared" si="0"/>
        <v>21.31254262508525</v>
      </c>
      <c r="K17" s="2">
        <f t="shared" si="1"/>
        <v>4.8693944779965745</v>
      </c>
      <c r="L17">
        <f t="shared" si="2"/>
        <v>112.95038890056976</v>
      </c>
    </row>
    <row r="18" spans="9:12" x14ac:dyDescent="0.25">
      <c r="I18">
        <f>I17+50</f>
        <v>600</v>
      </c>
      <c r="J18" s="2">
        <f t="shared" si="0"/>
        <v>23.250046500092999</v>
      </c>
      <c r="K18" s="2">
        <f t="shared" si="1"/>
        <v>5.085916659919576</v>
      </c>
      <c r="L18">
        <f t="shared" si="2"/>
        <v>117.97283363457392</v>
      </c>
    </row>
  </sheetData>
  <mergeCells count="1">
    <mergeCell ref="Q6:R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55"/>
  <sheetViews>
    <sheetView workbookViewId="0">
      <selection sqref="A1:B1"/>
    </sheetView>
  </sheetViews>
  <sheetFormatPr defaultRowHeight="15" x14ac:dyDescent="0.25"/>
  <cols>
    <col min="1" max="1" width="8.85546875" style="2"/>
    <col min="2" max="2" width="10.28515625" style="2" bestFit="1" customWidth="1"/>
  </cols>
  <sheetData>
    <row r="1" spans="1:2" x14ac:dyDescent="0.25">
      <c r="A1" s="2" t="s">
        <v>8</v>
      </c>
      <c r="B1" s="2" t="s">
        <v>11</v>
      </c>
    </row>
    <row r="2" spans="1:2" x14ac:dyDescent="0.25">
      <c r="A2" s="2">
        <v>272.59100642398198</v>
      </c>
      <c r="B2" s="2">
        <v>234.40092165898599</v>
      </c>
    </row>
    <row r="3" spans="1:2" x14ac:dyDescent="0.25">
      <c r="A3" s="2">
        <v>278.15845824411099</v>
      </c>
      <c r="B3" s="2">
        <v>234.49308755760299</v>
      </c>
    </row>
    <row r="4" spans="1:2" x14ac:dyDescent="0.25">
      <c r="A4" s="2">
        <v>282.44111349036399</v>
      </c>
      <c r="B4" s="2">
        <v>234.72350230414699</v>
      </c>
    </row>
    <row r="5" spans="1:2" x14ac:dyDescent="0.25">
      <c r="A5" s="2">
        <v>286.29550321199099</v>
      </c>
      <c r="B5" s="2">
        <v>235.06912442396299</v>
      </c>
    </row>
    <row r="6" spans="1:2" x14ac:dyDescent="0.25">
      <c r="A6" s="2">
        <v>289.29336188436798</v>
      </c>
      <c r="B6" s="2">
        <v>235.41474654377799</v>
      </c>
    </row>
    <row r="7" spans="1:2" x14ac:dyDescent="0.25">
      <c r="A7" s="2">
        <v>291.86295503211898</v>
      </c>
      <c r="B7" s="2">
        <v>235.82949308755701</v>
      </c>
    </row>
    <row r="8" spans="1:2" x14ac:dyDescent="0.25">
      <c r="A8" s="2">
        <v>294.00428265524602</v>
      </c>
      <c r="B8" s="2">
        <v>236.22119815668199</v>
      </c>
    </row>
    <row r="9" spans="1:2" x14ac:dyDescent="0.25">
      <c r="A9" s="2">
        <v>295.717344753747</v>
      </c>
      <c r="B9" s="2">
        <v>236.566820276497</v>
      </c>
    </row>
    <row r="10" spans="1:2" x14ac:dyDescent="0.25">
      <c r="A10" s="2">
        <v>297.00214132762301</v>
      </c>
      <c r="B10" s="2">
        <v>236.912442396313</v>
      </c>
    </row>
    <row r="11" spans="1:2" x14ac:dyDescent="0.25">
      <c r="A11" s="2">
        <v>300.42826552462498</v>
      </c>
      <c r="B11" s="2">
        <v>237.18894009216501</v>
      </c>
    </row>
    <row r="12" spans="1:2" x14ac:dyDescent="0.25">
      <c r="A12" s="2">
        <v>304.71092077087701</v>
      </c>
      <c r="B12" s="2">
        <v>237.58064516128999</v>
      </c>
    </row>
    <row r="13" spans="1:2" x14ac:dyDescent="0.25">
      <c r="A13" s="2">
        <v>309.85010706638099</v>
      </c>
      <c r="B13" s="2">
        <v>237.94930875576</v>
      </c>
    </row>
    <row r="14" spans="1:2" x14ac:dyDescent="0.25">
      <c r="A14" s="2">
        <v>314.56102783725902</v>
      </c>
      <c r="B14" s="2">
        <v>238.271889400921</v>
      </c>
    </row>
    <row r="15" spans="1:2" x14ac:dyDescent="0.25">
      <c r="A15" s="2">
        <v>319.70021413276203</v>
      </c>
      <c r="B15" s="2">
        <v>238.59447004608199</v>
      </c>
    </row>
    <row r="16" spans="1:2" x14ac:dyDescent="0.25">
      <c r="A16" s="2">
        <v>325.69593147751601</v>
      </c>
      <c r="B16" s="2">
        <v>238.91705069124399</v>
      </c>
    </row>
    <row r="17" spans="1:4" x14ac:dyDescent="0.25">
      <c r="A17" s="2">
        <v>332.11991434689497</v>
      </c>
      <c r="B17" s="2">
        <v>239.216589861751</v>
      </c>
    </row>
    <row r="18" spans="1:4" x14ac:dyDescent="0.25">
      <c r="A18" s="2">
        <v>338.97216274089902</v>
      </c>
      <c r="B18" s="2">
        <v>239.47004608294901</v>
      </c>
    </row>
    <row r="19" spans="1:4" x14ac:dyDescent="0.25">
      <c r="A19" s="2">
        <v>345.82441113490302</v>
      </c>
      <c r="B19" s="2">
        <v>239.70046082949301</v>
      </c>
    </row>
    <row r="20" spans="1:4" x14ac:dyDescent="0.25">
      <c r="A20" s="2">
        <v>353.53319057815798</v>
      </c>
      <c r="B20" s="2">
        <v>239.861751152073</v>
      </c>
    </row>
    <row r="21" spans="1:4" x14ac:dyDescent="0.25">
      <c r="A21" s="2">
        <v>360.38543897216198</v>
      </c>
      <c r="B21" s="2">
        <v>239.976958525345</v>
      </c>
    </row>
    <row r="22" spans="1:4" x14ac:dyDescent="0.25">
      <c r="A22" s="2">
        <v>368.094218415417</v>
      </c>
      <c r="B22" s="2">
        <v>240.06912442396299</v>
      </c>
      <c r="D22" t="s">
        <v>337</v>
      </c>
    </row>
    <row r="23" spans="1:4" x14ac:dyDescent="0.25">
      <c r="A23" s="2">
        <v>377.51605995717301</v>
      </c>
      <c r="B23" s="2">
        <v>240.06912442396299</v>
      </c>
    </row>
    <row r="24" spans="1:4" x14ac:dyDescent="0.25">
      <c r="A24" s="2">
        <v>387.79443254817897</v>
      </c>
      <c r="B24" s="2">
        <v>240.02304147465401</v>
      </c>
    </row>
    <row r="25" spans="1:4" x14ac:dyDescent="0.25">
      <c r="A25" s="2">
        <v>396.35974304068498</v>
      </c>
      <c r="B25" s="2">
        <v>239.90783410138201</v>
      </c>
    </row>
    <row r="26" spans="1:4" x14ac:dyDescent="0.25">
      <c r="A26" s="2">
        <v>404.92505353319001</v>
      </c>
      <c r="B26" s="2">
        <v>239.769585253456</v>
      </c>
    </row>
    <row r="27" spans="1:4" x14ac:dyDescent="0.25">
      <c r="A27" s="2">
        <v>414.34689507494602</v>
      </c>
      <c r="B27" s="2">
        <v>239.56221198156601</v>
      </c>
    </row>
    <row r="28" spans="1:4" x14ac:dyDescent="0.25">
      <c r="A28" s="2">
        <v>424.62526766595198</v>
      </c>
      <c r="B28" s="2">
        <v>239.28571428571399</v>
      </c>
    </row>
    <row r="29" spans="1:4" x14ac:dyDescent="0.25">
      <c r="A29" s="2">
        <v>434.47537473233399</v>
      </c>
      <c r="B29" s="2">
        <v>238.986175115207</v>
      </c>
    </row>
    <row r="30" spans="1:4" x14ac:dyDescent="0.25">
      <c r="A30" s="2">
        <v>442.61241970021399</v>
      </c>
      <c r="B30" s="2">
        <v>238.68663594469999</v>
      </c>
    </row>
    <row r="31" spans="1:4" x14ac:dyDescent="0.25">
      <c r="A31" s="2">
        <v>451.17773019271903</v>
      </c>
      <c r="B31" s="2">
        <v>238.36405529953899</v>
      </c>
    </row>
    <row r="32" spans="1:4" x14ac:dyDescent="0.25">
      <c r="A32" s="2">
        <v>461.45610278372499</v>
      </c>
      <c r="B32" s="2">
        <v>237.94930875576</v>
      </c>
    </row>
    <row r="33" spans="1:2" x14ac:dyDescent="0.25">
      <c r="A33" s="2">
        <v>471.73447537473203</v>
      </c>
      <c r="B33" s="2">
        <v>237.511520737327</v>
      </c>
    </row>
    <row r="34" spans="1:2" x14ac:dyDescent="0.25">
      <c r="A34" s="2">
        <v>480.29978586723701</v>
      </c>
      <c r="B34" s="2">
        <v>237.142857142857</v>
      </c>
    </row>
    <row r="35" spans="1:2" x14ac:dyDescent="0.25">
      <c r="A35" s="2">
        <v>489.72162740899302</v>
      </c>
      <c r="B35" s="2">
        <v>236.682027649769</v>
      </c>
    </row>
    <row r="36" spans="1:2" x14ac:dyDescent="0.25">
      <c r="A36" s="2">
        <v>497.43040685224798</v>
      </c>
      <c r="B36" s="2">
        <v>236.31336405529899</v>
      </c>
    </row>
    <row r="37" spans="1:2" x14ac:dyDescent="0.25">
      <c r="A37" s="2">
        <v>505.99571734475302</v>
      </c>
      <c r="B37" s="2">
        <v>235.921658986175</v>
      </c>
    </row>
    <row r="38" spans="1:2" x14ac:dyDescent="0.25">
      <c r="A38" s="2">
        <v>514.56102783725896</v>
      </c>
      <c r="B38" s="2">
        <v>235.48387096774101</v>
      </c>
    </row>
    <row r="39" spans="1:2" x14ac:dyDescent="0.25">
      <c r="A39" s="2">
        <v>522.26980728051296</v>
      </c>
      <c r="B39" s="2">
        <v>235.092165898617</v>
      </c>
    </row>
    <row r="40" spans="1:2" x14ac:dyDescent="0.25">
      <c r="A40" s="2">
        <v>529.97858672376799</v>
      </c>
      <c r="B40" s="2">
        <v>234.67741935483801</v>
      </c>
    </row>
    <row r="41" spans="1:2" x14ac:dyDescent="0.25">
      <c r="A41" s="2">
        <v>538.54389721627399</v>
      </c>
      <c r="B41" s="2">
        <v>234.23963133640501</v>
      </c>
    </row>
    <row r="42" spans="1:2" x14ac:dyDescent="0.25">
      <c r="A42" s="2">
        <v>546.25267665952799</v>
      </c>
      <c r="B42" s="2">
        <v>233.82488479262599</v>
      </c>
    </row>
    <row r="43" spans="1:2" x14ac:dyDescent="0.25">
      <c r="A43" s="2">
        <v>556.53104925053503</v>
      </c>
      <c r="B43" s="2">
        <v>233.271889400921</v>
      </c>
    </row>
    <row r="44" spans="1:2" x14ac:dyDescent="0.25">
      <c r="A44" s="2">
        <v>567.66595289079203</v>
      </c>
      <c r="B44" s="2">
        <v>232.67281105990699</v>
      </c>
    </row>
    <row r="45" spans="1:2" x14ac:dyDescent="0.25">
      <c r="A45" s="2">
        <v>577.94432548179805</v>
      </c>
      <c r="B45" s="2">
        <v>232.09677419354799</v>
      </c>
    </row>
    <row r="46" spans="1:2" x14ac:dyDescent="0.25">
      <c r="A46" s="2">
        <v>589.07922912205504</v>
      </c>
      <c r="B46" s="2">
        <v>231.47465437788</v>
      </c>
    </row>
    <row r="47" spans="1:2" x14ac:dyDescent="0.25">
      <c r="A47" s="2">
        <v>599.35760171306197</v>
      </c>
      <c r="B47" s="2">
        <v>230.921658986175</v>
      </c>
    </row>
    <row r="48" spans="1:2" x14ac:dyDescent="0.25">
      <c r="A48" s="2">
        <v>610.49250535331896</v>
      </c>
      <c r="B48" s="2">
        <v>230.25345622119801</v>
      </c>
    </row>
    <row r="49" spans="1:2" x14ac:dyDescent="0.25">
      <c r="A49" s="2">
        <v>627.62312633832903</v>
      </c>
      <c r="B49" s="2">
        <v>229.26267281105899</v>
      </c>
    </row>
    <row r="50" spans="1:2" x14ac:dyDescent="0.25">
      <c r="A50" s="2">
        <v>645.61027837258996</v>
      </c>
      <c r="B50" s="2">
        <v>228.179723502304</v>
      </c>
    </row>
    <row r="51" spans="1:2" x14ac:dyDescent="0.25">
      <c r="A51" s="2">
        <v>665.31049250535295</v>
      </c>
      <c r="B51" s="2">
        <v>226.98156682027599</v>
      </c>
    </row>
    <row r="52" spans="1:2" x14ac:dyDescent="0.25">
      <c r="A52" s="2">
        <v>684.15417558886497</v>
      </c>
      <c r="B52" s="2">
        <v>225.806451612903</v>
      </c>
    </row>
    <row r="53" spans="1:2" x14ac:dyDescent="0.25">
      <c r="A53" s="2">
        <v>700.42826552462498</v>
      </c>
      <c r="B53" s="2">
        <v>224.746543778801</v>
      </c>
    </row>
    <row r="54" spans="1:2" x14ac:dyDescent="0.25">
      <c r="A54" s="2">
        <v>713.27623126338301</v>
      </c>
      <c r="B54" s="2">
        <v>223.870967741935</v>
      </c>
    </row>
    <row r="55" spans="1:2" x14ac:dyDescent="0.25">
      <c r="A55" s="2">
        <v>723.98286937901401</v>
      </c>
      <c r="B55" s="2">
        <v>223.156682027649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2"/>
  <sheetViews>
    <sheetView workbookViewId="0">
      <selection activeCell="P8" sqref="P8"/>
    </sheetView>
  </sheetViews>
  <sheetFormatPr defaultRowHeight="15" x14ac:dyDescent="0.25"/>
  <cols>
    <col min="1" max="1" width="9.5703125" bestFit="1" customWidth="1"/>
    <col min="2" max="2" width="9.28515625" bestFit="1" customWidth="1"/>
  </cols>
  <sheetData>
    <row r="1" spans="1:2" x14ac:dyDescent="0.25">
      <c r="A1" s="2" t="s">
        <v>8</v>
      </c>
      <c r="B1" s="2" t="s">
        <v>11</v>
      </c>
    </row>
    <row r="2" spans="1:2" x14ac:dyDescent="0.25">
      <c r="A2" s="2">
        <v>26.9430051813471</v>
      </c>
      <c r="B2" s="2">
        <v>399.03381642511999</v>
      </c>
    </row>
    <row r="3" spans="1:2" x14ac:dyDescent="0.25">
      <c r="A3" s="2">
        <v>75.647668393782396</v>
      </c>
      <c r="B3" s="2">
        <v>394.202898550724</v>
      </c>
    </row>
    <row r="4" spans="1:2" x14ac:dyDescent="0.25">
      <c r="A4" s="2">
        <v>125.38860103626899</v>
      </c>
      <c r="B4" s="2">
        <v>392.27053140096598</v>
      </c>
    </row>
    <row r="5" spans="1:2" x14ac:dyDescent="0.25">
      <c r="A5" s="2">
        <v>225.906735751295</v>
      </c>
      <c r="B5" s="2">
        <v>388.40579710144902</v>
      </c>
    </row>
    <row r="6" spans="1:2" x14ac:dyDescent="0.25">
      <c r="A6" s="2">
        <v>327.46113989637303</v>
      </c>
      <c r="B6" s="2">
        <v>383.57487922705297</v>
      </c>
    </row>
    <row r="7" spans="1:2" x14ac:dyDescent="0.25">
      <c r="A7" s="2">
        <v>426.94300518134702</v>
      </c>
      <c r="B7" s="2">
        <v>376.81159420289799</v>
      </c>
    </row>
    <row r="8" spans="1:2" x14ac:dyDescent="0.25">
      <c r="A8" s="2">
        <v>526.42487046632095</v>
      </c>
      <c r="B8" s="2">
        <v>371.01449275362302</v>
      </c>
    </row>
    <row r="9" spans="1:2" x14ac:dyDescent="0.25">
      <c r="A9" s="2">
        <v>627.97927461139898</v>
      </c>
      <c r="B9" s="2">
        <v>364.25120772946798</v>
      </c>
    </row>
    <row r="10" spans="1:2" x14ac:dyDescent="0.25">
      <c r="A10" s="2">
        <v>727.46113989637297</v>
      </c>
      <c r="B10" s="2">
        <v>357.48792270531402</v>
      </c>
    </row>
    <row r="11" spans="1:2" x14ac:dyDescent="0.25">
      <c r="A11" s="2">
        <v>829.01554404144997</v>
      </c>
      <c r="B11" s="2">
        <v>350.72463768115898</v>
      </c>
    </row>
    <row r="12" spans="1:2" x14ac:dyDescent="0.25">
      <c r="A12" s="2">
        <v>927.46113989637297</v>
      </c>
      <c r="B12" s="2">
        <v>342.02898550724598</v>
      </c>
    </row>
    <row r="13" spans="1:2" x14ac:dyDescent="0.25">
      <c r="A13" s="2">
        <v>1029.0155440414501</v>
      </c>
      <c r="B13" s="2">
        <v>334.29951690821201</v>
      </c>
    </row>
    <row r="14" spans="1:2" x14ac:dyDescent="0.25">
      <c r="A14" s="2"/>
      <c r="B14" s="2"/>
    </row>
    <row r="22" spans="4:4" x14ac:dyDescent="0.25">
      <c r="D22" t="s">
        <v>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AF34"/>
  <sheetViews>
    <sheetView workbookViewId="0">
      <selection activeCell="J20" sqref="J20"/>
    </sheetView>
  </sheetViews>
  <sheetFormatPr defaultRowHeight="15" x14ac:dyDescent="0.25"/>
  <cols>
    <col min="13" max="13" width="2.42578125" customWidth="1"/>
    <col min="17" max="17" width="2.42578125" customWidth="1"/>
    <col min="21" max="21" width="2.140625" customWidth="1"/>
    <col min="25" max="25" width="2.28515625" customWidth="1"/>
    <col min="29" max="29" width="2.7109375" customWidth="1"/>
  </cols>
  <sheetData>
    <row r="2" spans="1:32" x14ac:dyDescent="0.25">
      <c r="E2" t="s">
        <v>166</v>
      </c>
      <c r="F2" t="s">
        <v>167</v>
      </c>
      <c r="J2" s="94" t="s">
        <v>168</v>
      </c>
      <c r="K2" s="95" t="s">
        <v>169</v>
      </c>
      <c r="L2" s="95" t="s">
        <v>26</v>
      </c>
      <c r="N2" s="94" t="s">
        <v>170</v>
      </c>
      <c r="O2" s="95" t="s">
        <v>169</v>
      </c>
      <c r="P2" s="95" t="s">
        <v>26</v>
      </c>
      <c r="R2" s="94" t="s">
        <v>171</v>
      </c>
      <c r="S2" s="95" t="s">
        <v>169</v>
      </c>
      <c r="T2" s="95" t="s">
        <v>26</v>
      </c>
      <c r="V2" s="94" t="s">
        <v>172</v>
      </c>
      <c r="W2" s="95" t="s">
        <v>169</v>
      </c>
      <c r="X2" s="95" t="s">
        <v>26</v>
      </c>
      <c r="Z2" s="94" t="s">
        <v>173</v>
      </c>
      <c r="AA2" s="95" t="s">
        <v>169</v>
      </c>
      <c r="AB2" s="95" t="s">
        <v>26</v>
      </c>
      <c r="AD2" s="94" t="s">
        <v>174</v>
      </c>
      <c r="AE2" s="95" t="s">
        <v>169</v>
      </c>
      <c r="AF2" s="95" t="s">
        <v>26</v>
      </c>
    </row>
    <row r="3" spans="1:32" x14ac:dyDescent="0.25">
      <c r="A3" t="s">
        <v>175</v>
      </c>
      <c r="B3">
        <v>1.2250000000000001</v>
      </c>
      <c r="D3" t="s">
        <v>176</v>
      </c>
      <c r="E3">
        <v>0.33</v>
      </c>
      <c r="F3">
        <v>0.04</v>
      </c>
      <c r="J3" s="95" t="s">
        <v>177</v>
      </c>
      <c r="K3" s="95">
        <v>0.375</v>
      </c>
      <c r="L3" s="95">
        <f>CONVERT(K3,"in","m")</f>
        <v>9.5250000000000005E-3</v>
      </c>
      <c r="N3" s="95" t="s">
        <v>178</v>
      </c>
      <c r="O3" s="95">
        <v>5.875</v>
      </c>
      <c r="P3" s="95">
        <f>CONVERT(O3,"in","m")</f>
        <v>0.149225</v>
      </c>
      <c r="R3" s="95" t="s">
        <v>179</v>
      </c>
      <c r="S3" s="95">
        <v>2</v>
      </c>
      <c r="T3" s="95">
        <f>CONVERT(S3,"in","m")</f>
        <v>5.0799999999999998E-2</v>
      </c>
      <c r="V3" s="95" t="s">
        <v>179</v>
      </c>
      <c r="W3" s="95">
        <v>2</v>
      </c>
      <c r="X3" s="95">
        <f>CONVERT(W3,"in","m")</f>
        <v>5.0799999999999998E-2</v>
      </c>
      <c r="Z3" s="95" t="s">
        <v>177</v>
      </c>
      <c r="AA3" s="95">
        <v>0.125</v>
      </c>
      <c r="AB3" s="95">
        <f>CONVERT(AA3,"in","m")</f>
        <v>3.1749999999999999E-3</v>
      </c>
      <c r="AD3" s="95" t="s">
        <v>177</v>
      </c>
      <c r="AE3" s="95">
        <f>AE4*2</f>
        <v>7.0000000000000007E-2</v>
      </c>
      <c r="AF3" s="95">
        <f>CONVERT(AE3,"in","m")</f>
        <v>1.7780000000000001E-3</v>
      </c>
    </row>
    <row r="4" spans="1:32" x14ac:dyDescent="0.25">
      <c r="A4" t="s">
        <v>180</v>
      </c>
      <c r="B4">
        <v>40</v>
      </c>
      <c r="D4" t="s">
        <v>27</v>
      </c>
      <c r="E4">
        <v>0.33</v>
      </c>
      <c r="F4">
        <v>0.04</v>
      </c>
      <c r="J4" s="95" t="s">
        <v>181</v>
      </c>
      <c r="K4" s="95">
        <f>K3/2</f>
        <v>0.1875</v>
      </c>
      <c r="L4" s="95">
        <f>CONVERT(K4,"in","m")</f>
        <v>4.7625000000000002E-3</v>
      </c>
      <c r="N4" s="95" t="s">
        <v>179</v>
      </c>
      <c r="O4" s="95">
        <v>2</v>
      </c>
      <c r="P4" s="95">
        <f>CONVERT(O4,"in","m")</f>
        <v>5.0799999999999998E-2</v>
      </c>
      <c r="R4" s="95" t="s">
        <v>178</v>
      </c>
      <c r="S4" s="95">
        <f>O3+W4</f>
        <v>6</v>
      </c>
      <c r="T4" s="95">
        <f t="shared" ref="T4:T6" si="0">CONVERT(S4,"in","m")</f>
        <v>0.15240000000000001</v>
      </c>
      <c r="V4" s="95" t="s">
        <v>178</v>
      </c>
      <c r="W4" s="95">
        <v>0.125</v>
      </c>
      <c r="X4" s="95">
        <f t="shared" ref="X4:X5" si="1">CONVERT(W4,"in","m")</f>
        <v>3.1749999999999999E-3</v>
      </c>
      <c r="Z4" s="95" t="s">
        <v>181</v>
      </c>
      <c r="AA4" s="95">
        <f>AA3/2</f>
        <v>6.25E-2</v>
      </c>
      <c r="AB4" s="95">
        <f t="shared" ref="AB4:AB5" si="2">CONVERT(AA4,"in","m")</f>
        <v>1.5874999999999999E-3</v>
      </c>
      <c r="AD4" s="95" t="s">
        <v>181</v>
      </c>
      <c r="AE4" s="95">
        <v>3.5000000000000003E-2</v>
      </c>
      <c r="AF4" s="95">
        <f t="shared" ref="AF4:AF5" si="3">CONVERT(AE4,"in","m")</f>
        <v>8.8900000000000003E-4</v>
      </c>
    </row>
    <row r="5" spans="1:32" x14ac:dyDescent="0.25">
      <c r="A5" t="s">
        <v>182</v>
      </c>
      <c r="B5">
        <v>5.0000000000000001E-3</v>
      </c>
      <c r="D5" t="s">
        <v>183</v>
      </c>
      <c r="E5">
        <f>E3*E4</f>
        <v>0.10890000000000001</v>
      </c>
      <c r="F5">
        <f>F3*F4</f>
        <v>1.6000000000000001E-3</v>
      </c>
      <c r="J5" s="95" t="s">
        <v>18</v>
      </c>
      <c r="K5" s="95">
        <v>1.5</v>
      </c>
      <c r="L5" s="95">
        <f>CONVERT(K5,"in","m")</f>
        <v>3.8100000000000002E-2</v>
      </c>
      <c r="R5" s="95" t="s">
        <v>184</v>
      </c>
      <c r="S5" s="95">
        <v>0.17677000000000001</v>
      </c>
      <c r="T5" s="95">
        <f t="shared" si="0"/>
        <v>4.4899579999999996E-3</v>
      </c>
      <c r="V5" s="95" t="s">
        <v>184</v>
      </c>
      <c r="W5" s="95">
        <v>0.17677000000000001</v>
      </c>
      <c r="X5" s="95">
        <f t="shared" si="1"/>
        <v>4.4899579999999996E-3</v>
      </c>
      <c r="Z5" s="95" t="s">
        <v>18</v>
      </c>
      <c r="AA5" s="95">
        <v>1.5</v>
      </c>
      <c r="AB5" s="95">
        <f t="shared" si="2"/>
        <v>3.8100000000000002E-2</v>
      </c>
      <c r="AD5" s="95" t="s">
        <v>18</v>
      </c>
      <c r="AE5" s="95">
        <f>W3/2</f>
        <v>1</v>
      </c>
      <c r="AF5" s="95">
        <f t="shared" si="3"/>
        <v>2.5399999999999999E-2</v>
      </c>
    </row>
    <row r="6" spans="1:32" ht="18" x14ac:dyDescent="0.35">
      <c r="D6" t="s">
        <v>96</v>
      </c>
      <c r="E6">
        <f>4*E5/(2*E3+2*E4)</f>
        <v>0.33</v>
      </c>
      <c r="F6">
        <f>4*F5/(2*F3+2*F4)</f>
        <v>0.04</v>
      </c>
      <c r="J6" s="96" t="s">
        <v>185</v>
      </c>
      <c r="K6" s="95">
        <v>0.1875</v>
      </c>
      <c r="L6" s="95">
        <f>CONVERT(K6,"in","m")</f>
        <v>4.7625000000000002E-3</v>
      </c>
      <c r="R6" s="95" t="s">
        <v>186</v>
      </c>
      <c r="S6" s="95">
        <v>0.5</v>
      </c>
      <c r="T6" s="95">
        <f t="shared" si="0"/>
        <v>1.2699999999999999E-2</v>
      </c>
    </row>
    <row r="7" spans="1:32" ht="18" x14ac:dyDescent="0.35">
      <c r="A7" t="s">
        <v>96</v>
      </c>
      <c r="B7">
        <f>4*B5^2/(4*B5)</f>
        <v>5.0000000000000001E-3</v>
      </c>
      <c r="D7" t="s">
        <v>187</v>
      </c>
      <c r="E7">
        <v>1</v>
      </c>
      <c r="F7">
        <f>F8/(F5)</f>
        <v>68.0625</v>
      </c>
      <c r="J7" s="96" t="s">
        <v>188</v>
      </c>
      <c r="K7" s="95">
        <f>K6/2</f>
        <v>9.375E-2</v>
      </c>
      <c r="L7" s="95">
        <f>CONVERT(K7,"in","m")</f>
        <v>2.3812500000000001E-3</v>
      </c>
    </row>
    <row r="8" spans="1:32" x14ac:dyDescent="0.25">
      <c r="A8" t="s">
        <v>189</v>
      </c>
      <c r="B8">
        <f>1.849*10^-5</f>
        <v>1.8490000000000001E-5</v>
      </c>
      <c r="D8" t="s">
        <v>190</v>
      </c>
      <c r="E8">
        <f>E3*E4*E7</f>
        <v>0.10890000000000001</v>
      </c>
      <c r="F8">
        <f>E8</f>
        <v>0.10890000000000001</v>
      </c>
    </row>
    <row r="9" spans="1:32" x14ac:dyDescent="0.25">
      <c r="A9" t="s">
        <v>191</v>
      </c>
      <c r="B9">
        <f>B3*B4*B7/B8</f>
        <v>13250.405624661978</v>
      </c>
      <c r="D9" t="s">
        <v>13</v>
      </c>
      <c r="E9">
        <f>$B$3*E7*E6/$B$8</f>
        <v>21863.169280692269</v>
      </c>
      <c r="F9">
        <f>$B$3*F7*F6/$B$8</f>
        <v>180371.14656571121</v>
      </c>
    </row>
    <row r="11" spans="1:32" x14ac:dyDescent="0.25">
      <c r="J11" s="216" t="s">
        <v>192</v>
      </c>
      <c r="K11" s="216"/>
      <c r="L11" s="216"/>
      <c r="N11" s="216" t="s">
        <v>193</v>
      </c>
      <c r="O11" s="216"/>
      <c r="P11" s="216"/>
      <c r="R11" s="216" t="s">
        <v>194</v>
      </c>
      <c r="S11" s="216"/>
      <c r="T11" s="216"/>
    </row>
    <row r="12" spans="1:32" ht="18" x14ac:dyDescent="0.35">
      <c r="J12" t="s">
        <v>195</v>
      </c>
      <c r="K12">
        <f>(PI()*K4^2 + PI()*K3*K5)*4</f>
        <v>7.5103699374880994</v>
      </c>
      <c r="L12">
        <f>(PI()*L4^2 + PI()*L3*L5)*4</f>
        <v>4.845390268869822E-3</v>
      </c>
      <c r="N12" t="s">
        <v>195</v>
      </c>
      <c r="O12">
        <f>O3*O4*4+O4^2-PI()*AA4^2*3-PI()*K4^2*4</f>
        <v>50.521397994179686</v>
      </c>
      <c r="P12">
        <f>P3*P4*4+P4^2-PI()*AB4^2*3-PI()*L4^2*4</f>
        <v>3.2594385129924963E-2</v>
      </c>
      <c r="R12" t="s">
        <v>195</v>
      </c>
      <c r="S12">
        <f>2*(W4*W3+W5*W3)+2*(2*W4*W3-W4^2)-PI()*AE4^2</f>
        <v>2.1719815489993524</v>
      </c>
      <c r="T12">
        <f>2*(X4*X3+X5*X3)+2*(2*X4*X3-X4^2)-PI()*AF4^2</f>
        <v>1.4012756161524221E-3</v>
      </c>
    </row>
    <row r="14" spans="1:32" x14ac:dyDescent="0.25">
      <c r="J14" s="216" t="s">
        <v>196</v>
      </c>
      <c r="K14" s="216"/>
      <c r="L14" s="216"/>
      <c r="N14" s="216" t="s">
        <v>197</v>
      </c>
      <c r="O14" s="216"/>
      <c r="P14" s="216"/>
      <c r="R14" s="216" t="s">
        <v>198</v>
      </c>
      <c r="S14" s="216"/>
      <c r="T14" s="216"/>
    </row>
    <row r="15" spans="1:32" ht="18" x14ac:dyDescent="0.35">
      <c r="J15" t="s">
        <v>195</v>
      </c>
      <c r="K15">
        <f>4*PI()*(K4^2-K7^2)</f>
        <v>0.33133985018329848</v>
      </c>
      <c r="L15">
        <f>4*PI()*(L4^2-L7^2)</f>
        <v>2.1376721774425689E-4</v>
      </c>
      <c r="N15" t="s">
        <v>195</v>
      </c>
      <c r="O15">
        <f>O4^2</f>
        <v>4</v>
      </c>
      <c r="P15">
        <f>P4^2</f>
        <v>2.5806399999999999E-3</v>
      </c>
      <c r="R15" t="s">
        <v>195</v>
      </c>
    </row>
    <row r="17" spans="1:20" x14ac:dyDescent="0.25">
      <c r="N17" s="216" t="s">
        <v>199</v>
      </c>
      <c r="O17" s="216"/>
      <c r="P17" s="216"/>
      <c r="R17" s="216" t="s">
        <v>200</v>
      </c>
      <c r="S17" s="216"/>
      <c r="T17" s="216"/>
    </row>
    <row r="18" spans="1:20" ht="18" x14ac:dyDescent="0.35">
      <c r="N18" t="s">
        <v>195</v>
      </c>
      <c r="O18">
        <f>3*(PI()*AA4^2+PI()*AA3*(AA5-S6))</f>
        <v>1.2149127840054279</v>
      </c>
      <c r="P18">
        <f>3*(PI()*AB4^2+PI()*AB3*(AB5-T6))</f>
        <v>7.8381313172894184E-4</v>
      </c>
      <c r="R18" t="s">
        <v>195</v>
      </c>
    </row>
    <row r="20" spans="1:20" x14ac:dyDescent="0.25">
      <c r="R20" s="216" t="s">
        <v>201</v>
      </c>
      <c r="S20" s="216"/>
      <c r="T20" s="216"/>
    </row>
    <row r="21" spans="1:20" ht="18" x14ac:dyDescent="0.35">
      <c r="R21" t="s">
        <v>195</v>
      </c>
    </row>
    <row r="22" spans="1:20" ht="15.75" thickBot="1" x14ac:dyDescent="0.3"/>
    <row r="23" spans="1:20" x14ac:dyDescent="0.25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9"/>
    </row>
    <row r="24" spans="1:20" ht="15.75" thickBot="1" x14ac:dyDescent="0.3">
      <c r="A24" s="3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7"/>
    </row>
    <row r="25" spans="1:20" x14ac:dyDescent="0.25">
      <c r="A25" s="97"/>
      <c r="B25" s="98"/>
      <c r="C25" s="99"/>
      <c r="D25" s="39"/>
      <c r="E25" s="39"/>
      <c r="F25" s="39"/>
      <c r="G25" s="39"/>
      <c r="H25" s="39"/>
      <c r="I25" s="39"/>
      <c r="J25" s="39"/>
      <c r="K25" s="39"/>
      <c r="L25" s="37"/>
    </row>
    <row r="26" spans="1:20" x14ac:dyDescent="0.25">
      <c r="A26" s="36"/>
      <c r="B26" s="39"/>
      <c r="C26" s="37"/>
      <c r="D26" s="39"/>
      <c r="E26" s="39"/>
      <c r="F26" s="39"/>
      <c r="G26" s="39"/>
      <c r="H26" s="39"/>
      <c r="I26" s="39"/>
      <c r="J26" s="39"/>
      <c r="K26" s="39"/>
      <c r="L26" s="37"/>
    </row>
    <row r="27" spans="1:20" ht="15.75" thickBot="1" x14ac:dyDescent="0.3">
      <c r="A27" s="38"/>
      <c r="B27" s="100"/>
      <c r="C27" s="101"/>
      <c r="D27" s="39"/>
      <c r="E27" s="39"/>
      <c r="F27" s="39"/>
      <c r="G27" s="39"/>
      <c r="H27" s="39"/>
      <c r="I27" s="39"/>
      <c r="J27" s="39"/>
      <c r="K27" s="39"/>
      <c r="L27" s="37"/>
    </row>
    <row r="28" spans="1:20" x14ac:dyDescent="0.25">
      <c r="A28" s="97"/>
      <c r="B28" s="99"/>
      <c r="C28" s="97"/>
      <c r="D28" s="99"/>
      <c r="E28" s="97"/>
      <c r="F28" s="98"/>
      <c r="G28" s="99"/>
      <c r="H28" s="97"/>
      <c r="I28" s="98"/>
      <c r="J28" s="99"/>
      <c r="K28" s="102"/>
      <c r="L28" s="102"/>
    </row>
    <row r="29" spans="1:20" x14ac:dyDescent="0.25">
      <c r="A29" s="36"/>
      <c r="B29" s="37"/>
      <c r="C29" s="36"/>
      <c r="D29" s="37"/>
      <c r="E29" s="36"/>
      <c r="F29" s="39"/>
      <c r="G29" s="37"/>
      <c r="H29" s="36"/>
      <c r="I29" s="39"/>
      <c r="J29" s="37"/>
      <c r="K29" s="103"/>
      <c r="L29" s="103"/>
    </row>
    <row r="30" spans="1:20" x14ac:dyDescent="0.25">
      <c r="A30" s="36"/>
      <c r="B30" s="37"/>
      <c r="C30" s="36"/>
      <c r="D30" s="37"/>
      <c r="E30" s="36"/>
      <c r="F30" s="39"/>
      <c r="G30" s="37"/>
      <c r="H30" s="36"/>
      <c r="I30" s="39"/>
      <c r="J30" s="37"/>
      <c r="K30" s="103"/>
      <c r="L30" s="103"/>
    </row>
    <row r="31" spans="1:20" ht="15.75" thickBot="1" x14ac:dyDescent="0.3">
      <c r="A31" s="36"/>
      <c r="B31" s="37"/>
      <c r="C31" s="36"/>
      <c r="D31" s="37"/>
      <c r="E31" s="36"/>
      <c r="F31" s="39"/>
      <c r="G31" s="37"/>
      <c r="H31" s="36"/>
      <c r="I31" s="39"/>
      <c r="J31" s="37"/>
      <c r="K31" s="104"/>
      <c r="L31" s="104"/>
    </row>
    <row r="32" spans="1:20" x14ac:dyDescent="0.25">
      <c r="A32" s="36"/>
      <c r="B32" s="37"/>
      <c r="C32" s="36"/>
      <c r="D32" s="37"/>
      <c r="E32" s="36"/>
      <c r="F32" s="39"/>
      <c r="G32" s="37"/>
      <c r="H32" s="36"/>
      <c r="I32" s="39"/>
      <c r="J32" s="37"/>
      <c r="K32" s="102"/>
      <c r="L32" s="102"/>
    </row>
    <row r="33" spans="1:12" x14ac:dyDescent="0.25">
      <c r="A33" s="36"/>
      <c r="B33" s="37"/>
      <c r="C33" s="36"/>
      <c r="D33" s="37"/>
      <c r="E33" s="36"/>
      <c r="F33" s="39"/>
      <c r="G33" s="37"/>
      <c r="H33" s="36"/>
      <c r="I33" s="39"/>
      <c r="J33" s="37"/>
      <c r="K33" s="103"/>
      <c r="L33" s="103"/>
    </row>
    <row r="34" spans="1:12" ht="15.75" thickBot="1" x14ac:dyDescent="0.3">
      <c r="A34" s="38"/>
      <c r="B34" s="101"/>
      <c r="C34" s="38"/>
      <c r="D34" s="101"/>
      <c r="E34" s="38"/>
      <c r="F34" s="100"/>
      <c r="G34" s="101"/>
      <c r="H34" s="38"/>
      <c r="I34" s="100"/>
      <c r="J34" s="101"/>
      <c r="K34" s="104"/>
      <c r="L34" s="104"/>
    </row>
  </sheetData>
  <mergeCells count="9">
    <mergeCell ref="N17:P17"/>
    <mergeCell ref="R17:T17"/>
    <mergeCell ref="R20:T20"/>
    <mergeCell ref="J11:L11"/>
    <mergeCell ref="N11:P11"/>
    <mergeCell ref="R11:T11"/>
    <mergeCell ref="J14:L14"/>
    <mergeCell ref="N14:P14"/>
    <mergeCell ref="R14: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Thermal Model</vt:lpstr>
      <vt:lpstr>Ranges</vt:lpstr>
      <vt:lpstr>Plots</vt:lpstr>
      <vt:lpstr>Dry Air</vt:lpstr>
      <vt:lpstr>Bessel</vt:lpstr>
      <vt:lpstr>Thermal Resistance</vt:lpstr>
      <vt:lpstr>K Al</vt:lpstr>
      <vt:lpstr>K Cu</vt:lpstr>
      <vt:lpstr>Rig Geometry</vt:lpstr>
      <vt:lpstr>Roughness Matrix</vt:lpstr>
      <vt:lpstr>Simulation Matrix</vt:lpstr>
      <vt:lpstr>Test Matrix</vt:lpstr>
      <vt:lpstr>Surface Area</vt:lpstr>
      <vt:lpstr>Scratch</vt:lpstr>
      <vt:lpstr>Slice Study</vt:lpstr>
      <vt:lpstr>Ab</vt:lpstr>
      <vt:lpstr>Ac</vt:lpstr>
      <vt:lpstr>Af</vt:lpstr>
      <vt:lpstr>alpha</vt:lpstr>
      <vt:lpstr>As</vt:lpstr>
      <vt:lpstr>Atot</vt:lpstr>
      <vt:lpstr>cp</vt:lpstr>
      <vt:lpstr>Dh</vt:lpstr>
      <vt:lpstr>Dt</vt:lpstr>
      <vt:lpstr>eff</vt:lpstr>
      <vt:lpstr>em</vt:lpstr>
      <vt:lpstr>epsilon</vt:lpstr>
      <vt:lpstr>eta</vt:lpstr>
      <vt:lpstr>Etao</vt:lpstr>
      <vt:lpstr>f</vt:lpstr>
      <vt:lpstr>h</vt:lpstr>
      <vt:lpstr>k</vt:lpstr>
      <vt:lpstr>ka</vt:lpstr>
      <vt:lpstr>L</vt:lpstr>
      <vt:lpstr>Lc</vt:lpstr>
      <vt:lpstr>M</vt:lpstr>
      <vt:lpstr>mu</vt:lpstr>
      <vt:lpstr>N</vt:lpstr>
      <vt:lpstr>nu</vt:lpstr>
      <vt:lpstr>Nus</vt:lpstr>
      <vt:lpstr>nuu</vt:lpstr>
      <vt:lpstr>P</vt:lpstr>
      <vt:lpstr>Pr</vt:lpstr>
      <vt:lpstr>qf</vt:lpstr>
      <vt:lpstr>qt</vt:lpstr>
      <vt:lpstr>Rb</vt:lpstr>
      <vt:lpstr>Re</vt:lpstr>
      <vt:lpstr>Rf</vt:lpstr>
      <vt:lpstr>rho</vt:lpstr>
      <vt:lpstr>s</vt:lpstr>
      <vt:lpstr>t</vt:lpstr>
      <vt:lpstr>Ta</vt:lpstr>
      <vt:lpstr>Tb</vt:lpstr>
      <vt:lpstr>V</vt:lpstr>
      <vt:lpstr>w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sllundee</dc:creator>
  <cp:lastModifiedBy>Lundeen, Samuel Loren</cp:lastModifiedBy>
  <dcterms:created xsi:type="dcterms:W3CDTF">2018-09-07T14:45:15Z</dcterms:created>
  <dcterms:modified xsi:type="dcterms:W3CDTF">2019-03-09T21:03:43Z</dcterms:modified>
</cp:coreProperties>
</file>