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tabRatio="692"/>
  </bookViews>
  <sheets>
    <sheet name="readme" sheetId="15" r:id="rId1"/>
    <sheet name="Dashboard" sheetId="1" r:id="rId2"/>
    <sheet name="MODEL" sheetId="11" r:id="rId3"/>
    <sheet name="Market Inputs" sheetId="12" r:id="rId4"/>
    <sheet name="Direct Costs" sheetId="14" r:id="rId5"/>
  </sheets>
  <calcPr calcId="152511"/>
</workbook>
</file>

<file path=xl/calcChain.xml><?xml version="1.0" encoding="utf-8"?>
<calcChain xmlns="http://schemas.openxmlformats.org/spreadsheetml/2006/main">
  <c r="E47" i="11" l="1"/>
  <c r="F47" i="11" s="1"/>
  <c r="G47" i="11" s="1"/>
  <c r="H47" i="11" s="1"/>
  <c r="I65" i="11" l="1"/>
  <c r="N65" i="11"/>
  <c r="S65" i="11"/>
  <c r="X65" i="11"/>
  <c r="F61" i="11"/>
  <c r="G61" i="11"/>
  <c r="H61" i="11"/>
  <c r="I61" i="11"/>
  <c r="J61" i="11"/>
  <c r="K61" i="11"/>
  <c r="L61" i="11"/>
  <c r="M61" i="11"/>
  <c r="N61" i="11"/>
  <c r="O61" i="11"/>
  <c r="P61" i="11"/>
  <c r="Q61" i="11"/>
  <c r="R61" i="11"/>
  <c r="S61" i="11"/>
  <c r="T61" i="11"/>
  <c r="U61" i="11"/>
  <c r="V61" i="11"/>
  <c r="W61" i="11"/>
  <c r="X61" i="11"/>
  <c r="E61" i="11"/>
  <c r="N59" i="11"/>
  <c r="S59" i="11"/>
  <c r="X59" i="11"/>
  <c r="I59" i="11"/>
  <c r="J47" i="11" l="1"/>
  <c r="K47" i="11" s="1"/>
  <c r="I47" i="11" l="1"/>
  <c r="L47" i="11"/>
  <c r="M47" i="11" l="1"/>
  <c r="N47" i="11" s="1"/>
  <c r="O47" i="11" l="1"/>
  <c r="P47" i="11" l="1"/>
  <c r="Q47" i="11" l="1"/>
  <c r="R47" i="11" l="1"/>
  <c r="T47" i="11" l="1"/>
  <c r="S47" i="11"/>
  <c r="U47" i="11" l="1"/>
  <c r="V47" i="11" l="1"/>
  <c r="W47" i="11" l="1"/>
  <c r="X47" i="11" l="1"/>
  <c r="J21" i="11" l="1"/>
  <c r="K21" i="11"/>
  <c r="K22" i="11" s="1"/>
  <c r="L21" i="11"/>
  <c r="L22" i="11" s="1"/>
  <c r="M21" i="11"/>
  <c r="M22" i="11" s="1"/>
  <c r="O21" i="11"/>
  <c r="O22" i="11" s="1"/>
  <c r="P21" i="11"/>
  <c r="P22" i="11" s="1"/>
  <c r="Q21" i="11"/>
  <c r="Q22" i="11" s="1"/>
  <c r="R21" i="11"/>
  <c r="R22" i="11" s="1"/>
  <c r="T21" i="11"/>
  <c r="T22" i="11" s="1"/>
  <c r="U21" i="11"/>
  <c r="U22" i="11" s="1"/>
  <c r="V21" i="11"/>
  <c r="V22" i="11" s="1"/>
  <c r="W21" i="11"/>
  <c r="W22" i="11" s="1"/>
  <c r="J22" i="11"/>
  <c r="J23" i="11"/>
  <c r="K23" i="11"/>
  <c r="L23" i="11"/>
  <c r="M23" i="11"/>
  <c r="O23" i="11"/>
  <c r="P23" i="11"/>
  <c r="Q23" i="11"/>
  <c r="R23" i="11"/>
  <c r="T23" i="11"/>
  <c r="U23" i="11"/>
  <c r="V23" i="11"/>
  <c r="W23" i="11"/>
  <c r="J25" i="11"/>
  <c r="K25" i="11"/>
  <c r="L25" i="11"/>
  <c r="M25" i="11"/>
  <c r="O25" i="11"/>
  <c r="P25" i="11"/>
  <c r="Q25" i="11"/>
  <c r="R25" i="11"/>
  <c r="T25" i="11"/>
  <c r="U25" i="11"/>
  <c r="V25" i="11"/>
  <c r="W25" i="11"/>
  <c r="B28" i="14"/>
  <c r="C27" i="14"/>
  <c r="C38" i="14" s="1"/>
  <c r="D6" i="12" s="1"/>
  <c r="D27" i="14"/>
  <c r="D28" i="14" s="1"/>
  <c r="B27" i="14"/>
  <c r="B38" i="14" s="1"/>
  <c r="D5" i="12" s="1"/>
  <c r="W27" i="11"/>
  <c r="V27" i="11"/>
  <c r="U27" i="11"/>
  <c r="T27" i="11"/>
  <c r="R27" i="11"/>
  <c r="Q27" i="11"/>
  <c r="P27" i="11"/>
  <c r="O27" i="11"/>
  <c r="M27" i="11"/>
  <c r="L27" i="11"/>
  <c r="K27" i="11"/>
  <c r="J27" i="11"/>
  <c r="H27" i="11"/>
  <c r="G27" i="11"/>
  <c r="F27" i="11"/>
  <c r="E27" i="11"/>
  <c r="F25" i="11"/>
  <c r="G25" i="11"/>
  <c r="H25" i="11"/>
  <c r="E25" i="11"/>
  <c r="F23" i="11"/>
  <c r="G23" i="11"/>
  <c r="H23" i="11"/>
  <c r="E23" i="11"/>
  <c r="F21" i="11"/>
  <c r="F22" i="11" s="1"/>
  <c r="G21" i="11"/>
  <c r="G22" i="11" s="1"/>
  <c r="H21" i="11"/>
  <c r="H22" i="11" s="1"/>
  <c r="E21" i="11"/>
  <c r="E7" i="11"/>
  <c r="E11" i="11"/>
  <c r="F11" i="11" s="1"/>
  <c r="G11" i="11" s="1"/>
  <c r="H11" i="11" s="1"/>
  <c r="J11" i="11" s="1"/>
  <c r="K11" i="11" s="1"/>
  <c r="L11" i="11" s="1"/>
  <c r="M11" i="11" s="1"/>
  <c r="O11" i="11" s="1"/>
  <c r="P11" i="11" s="1"/>
  <c r="Q11" i="11" s="1"/>
  <c r="R11" i="11" s="1"/>
  <c r="T11" i="11" s="1"/>
  <c r="U11" i="11" s="1"/>
  <c r="V11" i="11" s="1"/>
  <c r="W11" i="11" s="1"/>
  <c r="E10" i="11"/>
  <c r="F10" i="11" s="1"/>
  <c r="G10" i="11" s="1"/>
  <c r="H10" i="11" s="1"/>
  <c r="J10" i="11" s="1"/>
  <c r="K10" i="11" s="1"/>
  <c r="L10" i="11" s="1"/>
  <c r="M10" i="11" s="1"/>
  <c r="O10" i="11" s="1"/>
  <c r="P10" i="11" s="1"/>
  <c r="Q10" i="11" s="1"/>
  <c r="R10" i="11" s="1"/>
  <c r="T10" i="11" s="1"/>
  <c r="U10" i="11" s="1"/>
  <c r="V10" i="11" s="1"/>
  <c r="W10" i="11" s="1"/>
  <c r="E9" i="11"/>
  <c r="F9" i="11" s="1"/>
  <c r="G9" i="11" s="1"/>
  <c r="H9" i="11" s="1"/>
  <c r="J9" i="11" s="1"/>
  <c r="K9" i="11" s="1"/>
  <c r="L9" i="11" s="1"/>
  <c r="M9" i="11" s="1"/>
  <c r="O9" i="11" s="1"/>
  <c r="P9" i="11" s="1"/>
  <c r="Q9" i="11" s="1"/>
  <c r="R9" i="11" s="1"/>
  <c r="T9" i="11" s="1"/>
  <c r="U9" i="11" s="1"/>
  <c r="V9" i="11" s="1"/>
  <c r="W9" i="11" s="1"/>
  <c r="C28" i="14" l="1"/>
  <c r="D38" i="14"/>
  <c r="D4" i="12" s="1"/>
  <c r="J7" i="11"/>
  <c r="K7" i="11"/>
  <c r="L7" i="11"/>
  <c r="M7" i="11"/>
  <c r="O7" i="11"/>
  <c r="P7" i="11"/>
  <c r="Q7" i="11"/>
  <c r="R7" i="11"/>
  <c r="T7" i="11"/>
  <c r="U7" i="11"/>
  <c r="V7" i="11"/>
  <c r="W7" i="11"/>
  <c r="G7" i="11"/>
  <c r="H7" i="11"/>
  <c r="F7" i="11"/>
  <c r="B8" i="1"/>
  <c r="B7" i="1"/>
  <c r="B6" i="1"/>
  <c r="B5" i="1"/>
  <c r="E5" i="11" s="1"/>
  <c r="E6" i="11" l="1"/>
  <c r="E14" i="11" s="1"/>
  <c r="E15" i="11" s="1"/>
  <c r="L41" i="11"/>
  <c r="Q41" i="11"/>
  <c r="V41" i="11"/>
  <c r="H41" i="11"/>
  <c r="M41" i="11"/>
  <c r="R41" i="11"/>
  <c r="W41" i="11"/>
  <c r="E41" i="11"/>
  <c r="J41" i="11"/>
  <c r="O41" i="11"/>
  <c r="T41" i="11"/>
  <c r="F41" i="11"/>
  <c r="K41" i="11"/>
  <c r="P41" i="11"/>
  <c r="U41" i="11"/>
  <c r="G41" i="11"/>
  <c r="L26" i="11"/>
  <c r="L44" i="11" s="1"/>
  <c r="Q26" i="11"/>
  <c r="Q44" i="11" s="1"/>
  <c r="V26" i="11"/>
  <c r="V44" i="11" s="1"/>
  <c r="H26" i="11"/>
  <c r="H44" i="11" s="1"/>
  <c r="M26" i="11"/>
  <c r="M44" i="11" s="1"/>
  <c r="R26" i="11"/>
  <c r="R44" i="11" s="1"/>
  <c r="W26" i="11"/>
  <c r="W44" i="11" s="1"/>
  <c r="E26" i="11"/>
  <c r="E44" i="11" s="1"/>
  <c r="J26" i="11"/>
  <c r="J44" i="11" s="1"/>
  <c r="O26" i="11"/>
  <c r="O44" i="11" s="1"/>
  <c r="T26" i="11"/>
  <c r="T44" i="11" s="1"/>
  <c r="F26" i="11"/>
  <c r="F44" i="11" s="1"/>
  <c r="K26" i="11"/>
  <c r="K44" i="11" s="1"/>
  <c r="P26" i="11"/>
  <c r="P44" i="11" s="1"/>
  <c r="U26" i="11"/>
  <c r="U44" i="11" s="1"/>
  <c r="G26" i="11"/>
  <c r="G44" i="11" s="1"/>
  <c r="E13" i="11"/>
  <c r="E17" i="11" l="1"/>
  <c r="E45" i="11" s="1"/>
  <c r="E18" i="11"/>
  <c r="E42" i="11" s="1"/>
  <c r="F6" i="11"/>
  <c r="E33" i="11"/>
  <c r="F5" i="11"/>
  <c r="E22" i="11"/>
  <c r="E31" i="11" l="1"/>
  <c r="E29" i="11"/>
  <c r="E30" i="11"/>
  <c r="E37" i="11" s="1"/>
  <c r="E43" i="11"/>
  <c r="F14" i="11"/>
  <c r="F15" i="11" s="1"/>
  <c r="G6" i="11"/>
  <c r="E34" i="11"/>
  <c r="E35" i="11" s="1"/>
  <c r="G5" i="11"/>
  <c r="F13" i="11"/>
  <c r="E32" i="11" l="1"/>
  <c r="E38" i="11" s="1"/>
  <c r="F17" i="11"/>
  <c r="F18" i="11"/>
  <c r="F42" i="11" s="1"/>
  <c r="H6" i="11"/>
  <c r="I6" i="11" s="1"/>
  <c r="G14" i="11"/>
  <c r="E36" i="11"/>
  <c r="E46" i="11" s="1"/>
  <c r="F34" i="11"/>
  <c r="F33" i="11"/>
  <c r="H5" i="11"/>
  <c r="I5" i="11" s="1"/>
  <c r="G13" i="11"/>
  <c r="E48" i="11" l="1"/>
  <c r="E51" i="11" s="1"/>
  <c r="E52" i="11" s="1"/>
  <c r="E53" i="11" s="1"/>
  <c r="E58" i="11" s="1"/>
  <c r="E59" i="11" s="1"/>
  <c r="G15" i="11"/>
  <c r="F16" i="11"/>
  <c r="F31" i="11"/>
  <c r="F45" i="11"/>
  <c r="F43" i="11"/>
  <c r="F29" i="11"/>
  <c r="F30" i="11"/>
  <c r="F37" i="11" s="1"/>
  <c r="J6" i="11"/>
  <c r="H14" i="11"/>
  <c r="H15" i="11" s="1"/>
  <c r="F35" i="11"/>
  <c r="G34" i="11"/>
  <c r="G33" i="11"/>
  <c r="J5" i="11"/>
  <c r="H13" i="11"/>
  <c r="E65" i="11" l="1"/>
  <c r="H17" i="11"/>
  <c r="H18" i="11"/>
  <c r="H42" i="11" s="1"/>
  <c r="G18" i="11"/>
  <c r="G30" i="11" s="1"/>
  <c r="G37" i="11" s="1"/>
  <c r="G17" i="11"/>
  <c r="J14" i="11"/>
  <c r="J15" i="11" s="1"/>
  <c r="K6" i="11"/>
  <c r="F32" i="11"/>
  <c r="F38" i="11" s="1"/>
  <c r="I14" i="11"/>
  <c r="F36" i="11"/>
  <c r="F46" i="11" s="1"/>
  <c r="G35" i="11"/>
  <c r="H34" i="11"/>
  <c r="I34" i="11" s="1"/>
  <c r="H33" i="11"/>
  <c r="I13" i="11"/>
  <c r="K5" i="11"/>
  <c r="J13" i="11"/>
  <c r="F48" i="11" l="1"/>
  <c r="F51" i="11" s="1"/>
  <c r="F52" i="11" s="1"/>
  <c r="G16" i="11"/>
  <c r="G45" i="11"/>
  <c r="G31" i="11"/>
  <c r="J17" i="11"/>
  <c r="J18" i="11"/>
  <c r="J42" i="11" s="1"/>
  <c r="G42" i="11"/>
  <c r="G43" i="11"/>
  <c r="G29" i="11"/>
  <c r="H16" i="11"/>
  <c r="I17" i="11"/>
  <c r="I18" i="11"/>
  <c r="I15" i="11"/>
  <c r="K14" i="11"/>
  <c r="K15" i="11" s="1"/>
  <c r="L6" i="11"/>
  <c r="I33" i="11"/>
  <c r="H35" i="11"/>
  <c r="J33" i="11"/>
  <c r="J34" i="11"/>
  <c r="L5" i="11"/>
  <c r="K13" i="11"/>
  <c r="F53" i="11" l="1"/>
  <c r="F58" i="11" s="1"/>
  <c r="G32" i="11"/>
  <c r="G38" i="11" s="1"/>
  <c r="G36" i="11"/>
  <c r="G46" i="11" s="1"/>
  <c r="J16" i="11"/>
  <c r="K18" i="11"/>
  <c r="K42" i="11" s="1"/>
  <c r="K17" i="11"/>
  <c r="J31" i="11"/>
  <c r="J45" i="11"/>
  <c r="J29" i="11"/>
  <c r="J30" i="11"/>
  <c r="J37" i="11" s="1"/>
  <c r="J43" i="11"/>
  <c r="H43" i="11"/>
  <c r="H29" i="11"/>
  <c r="H30" i="11"/>
  <c r="H37" i="11" s="1"/>
  <c r="I37" i="11" s="1"/>
  <c r="L14" i="11"/>
  <c r="L15" i="11" s="1"/>
  <c r="M6" i="11"/>
  <c r="H31" i="11"/>
  <c r="I31" i="11" s="1"/>
  <c r="H45" i="11"/>
  <c r="I35" i="11"/>
  <c r="J35" i="11"/>
  <c r="K33" i="11"/>
  <c r="K34" i="11"/>
  <c r="M5" i="11"/>
  <c r="L13" i="11"/>
  <c r="G48" i="11" l="1"/>
  <c r="G51" i="11" s="1"/>
  <c r="G52" i="11" s="1"/>
  <c r="G53" i="11" s="1"/>
  <c r="G58" i="11" s="1"/>
  <c r="F59" i="11"/>
  <c r="F65" i="11"/>
  <c r="I45" i="11"/>
  <c r="K16" i="11"/>
  <c r="L17" i="11"/>
  <c r="L18" i="11"/>
  <c r="L42" i="11" s="1"/>
  <c r="J32" i="11"/>
  <c r="J38" i="11" s="1"/>
  <c r="M14" i="11"/>
  <c r="M15" i="11" s="1"/>
  <c r="N15" i="11" s="1"/>
  <c r="O6" i="11"/>
  <c r="N6" i="11"/>
  <c r="H36" i="11"/>
  <c r="H32" i="11"/>
  <c r="J36" i="11"/>
  <c r="J46" i="11" s="1"/>
  <c r="K29" i="11"/>
  <c r="K30" i="11"/>
  <c r="K37" i="11" s="1"/>
  <c r="K43" i="11"/>
  <c r="K31" i="11"/>
  <c r="K45" i="11"/>
  <c r="K35" i="11"/>
  <c r="L33" i="11"/>
  <c r="L34" i="11"/>
  <c r="O5" i="11"/>
  <c r="M13" i="11"/>
  <c r="N5" i="11"/>
  <c r="I36" i="11" l="1"/>
  <c r="H46" i="11"/>
  <c r="J48" i="11"/>
  <c r="J51" i="11" s="1"/>
  <c r="J52" i="11" s="1"/>
  <c r="G59" i="11"/>
  <c r="G65" i="11"/>
  <c r="M18" i="11"/>
  <c r="M17" i="11"/>
  <c r="L16" i="11"/>
  <c r="K36" i="11"/>
  <c r="K46" i="11" s="1"/>
  <c r="K48" i="11" s="1"/>
  <c r="N14" i="11"/>
  <c r="L31" i="11"/>
  <c r="L45" i="11"/>
  <c r="O14" i="11"/>
  <c r="O15" i="11" s="1"/>
  <c r="P6" i="11"/>
  <c r="I32" i="11"/>
  <c r="H38" i="11"/>
  <c r="K32" i="11"/>
  <c r="K38" i="11" s="1"/>
  <c r="L43" i="11"/>
  <c r="L29" i="11"/>
  <c r="L30" i="11"/>
  <c r="L37" i="11" s="1"/>
  <c r="L35" i="11"/>
  <c r="M33" i="11"/>
  <c r="M34" i="11"/>
  <c r="N34" i="11" s="1"/>
  <c r="O13" i="11"/>
  <c r="P5" i="11"/>
  <c r="N13" i="11"/>
  <c r="H48" i="11" l="1"/>
  <c r="I48" i="11" s="1"/>
  <c r="I46" i="11"/>
  <c r="K51" i="11"/>
  <c r="K52" i="11" s="1"/>
  <c r="K53" i="11" s="1"/>
  <c r="J53" i="11"/>
  <c r="M16" i="11"/>
  <c r="N16" i="11" s="1"/>
  <c r="I38" i="11"/>
  <c r="N18" i="11"/>
  <c r="M42" i="11"/>
  <c r="N17" i="11"/>
  <c r="O18" i="11"/>
  <c r="O42" i="11" s="1"/>
  <c r="O17" i="11"/>
  <c r="L32" i="11"/>
  <c r="L38" i="11" s="1"/>
  <c r="M43" i="11"/>
  <c r="N43" i="11" s="1"/>
  <c r="M30" i="11"/>
  <c r="N30" i="11" s="1"/>
  <c r="M29" i="11"/>
  <c r="N29" i="11" s="1"/>
  <c r="L36" i="11"/>
  <c r="L46" i="11" s="1"/>
  <c r="M31" i="11"/>
  <c r="N31" i="11" s="1"/>
  <c r="M45" i="11"/>
  <c r="P14" i="11"/>
  <c r="P15" i="11" s="1"/>
  <c r="Q6" i="11"/>
  <c r="N33" i="11"/>
  <c r="M35" i="11"/>
  <c r="O33" i="11"/>
  <c r="O34" i="11"/>
  <c r="Q5" i="11"/>
  <c r="P13" i="11"/>
  <c r="L48" i="11" l="1"/>
  <c r="L51" i="11" s="1"/>
  <c r="L52" i="11" s="1"/>
  <c r="L53" i="11" s="1"/>
  <c r="H51" i="11"/>
  <c r="N45" i="11"/>
  <c r="P17" i="11"/>
  <c r="P18" i="11"/>
  <c r="P42" i="11" s="1"/>
  <c r="O16" i="11"/>
  <c r="Q14" i="11"/>
  <c r="Q15" i="11" s="1"/>
  <c r="R6" i="11"/>
  <c r="O29" i="11"/>
  <c r="O30" i="11"/>
  <c r="O37" i="11" s="1"/>
  <c r="O43" i="11"/>
  <c r="M36" i="11"/>
  <c r="O31" i="11"/>
  <c r="O45" i="11"/>
  <c r="M32" i="11"/>
  <c r="N32" i="11" s="1"/>
  <c r="M37" i="11"/>
  <c r="N37" i="11" s="1"/>
  <c r="N35" i="11"/>
  <c r="O35" i="11"/>
  <c r="P33" i="11"/>
  <c r="P34" i="11"/>
  <c r="Q13" i="11"/>
  <c r="R5" i="11"/>
  <c r="S5" i="11" s="1"/>
  <c r="N36" i="11" l="1"/>
  <c r="M46" i="11"/>
  <c r="H52" i="11"/>
  <c r="I52" i="11" s="1"/>
  <c r="I51" i="11"/>
  <c r="Q18" i="11"/>
  <c r="Q42" i="11" s="1"/>
  <c r="Q17" i="11"/>
  <c r="P16" i="11"/>
  <c r="M38" i="11"/>
  <c r="P31" i="11"/>
  <c r="P45" i="11"/>
  <c r="O32" i="11"/>
  <c r="O38" i="11" s="1"/>
  <c r="P29" i="11"/>
  <c r="P30" i="11"/>
  <c r="P37" i="11" s="1"/>
  <c r="P43" i="11"/>
  <c r="R14" i="11"/>
  <c r="R15" i="11" s="1"/>
  <c r="T6" i="11"/>
  <c r="S6" i="11"/>
  <c r="O36" i="11"/>
  <c r="O46" i="11" s="1"/>
  <c r="P35" i="11"/>
  <c r="Q33" i="11"/>
  <c r="Q34" i="11"/>
  <c r="R13" i="11"/>
  <c r="T5" i="11"/>
  <c r="O48" i="11" l="1"/>
  <c r="M48" i="11"/>
  <c r="N48" i="11" s="1"/>
  <c r="N46" i="11"/>
  <c r="H53" i="11"/>
  <c r="O51" i="11"/>
  <c r="O52" i="11" s="1"/>
  <c r="O53" i="11" s="1"/>
  <c r="N38" i="11"/>
  <c r="R17" i="11"/>
  <c r="S17" i="11" s="1"/>
  <c r="R18" i="11"/>
  <c r="S15" i="11"/>
  <c r="Q16" i="11"/>
  <c r="Q31" i="11"/>
  <c r="Q45" i="11"/>
  <c r="Q43" i="11"/>
  <c r="Q29" i="11"/>
  <c r="Q30" i="11"/>
  <c r="Q37" i="11" s="1"/>
  <c r="T14" i="11"/>
  <c r="T15" i="11" s="1"/>
  <c r="U6" i="11"/>
  <c r="P32" i="11"/>
  <c r="P38" i="11" s="1"/>
  <c r="S14" i="11"/>
  <c r="P36" i="11"/>
  <c r="P46" i="11" s="1"/>
  <c r="P48" i="11" s="1"/>
  <c r="Q35" i="11"/>
  <c r="R33" i="11"/>
  <c r="R34" i="11"/>
  <c r="T13" i="11"/>
  <c r="U5" i="11"/>
  <c r="S13" i="11"/>
  <c r="H58" i="11" l="1"/>
  <c r="I53" i="11"/>
  <c r="M51" i="11"/>
  <c r="P51" i="11"/>
  <c r="S18" i="11"/>
  <c r="R42" i="11"/>
  <c r="T17" i="11"/>
  <c r="T18" i="11"/>
  <c r="T42" i="11" s="1"/>
  <c r="R16" i="11"/>
  <c r="S16" i="11" s="1"/>
  <c r="Q32" i="11"/>
  <c r="Q38" i="11" s="1"/>
  <c r="U14" i="11"/>
  <c r="U15" i="11" s="1"/>
  <c r="V6" i="11"/>
  <c r="Q36" i="11"/>
  <c r="Q46" i="11" s="1"/>
  <c r="Q48" i="11" s="1"/>
  <c r="S34" i="11"/>
  <c r="R35" i="11"/>
  <c r="S33" i="11"/>
  <c r="T34" i="11"/>
  <c r="T33" i="11"/>
  <c r="V5" i="11"/>
  <c r="U13" i="11"/>
  <c r="H59" i="11" l="1"/>
  <c r="H65" i="11"/>
  <c r="J58" i="11"/>
  <c r="M52" i="11"/>
  <c r="N51" i="11"/>
  <c r="Q51" i="11"/>
  <c r="Q52" i="11" s="1"/>
  <c r="Q53" i="11" s="1"/>
  <c r="P52" i="11"/>
  <c r="U18" i="11"/>
  <c r="U42" i="11" s="1"/>
  <c r="U17" i="11"/>
  <c r="T16" i="11"/>
  <c r="T31" i="11"/>
  <c r="T45" i="11"/>
  <c r="R31" i="11"/>
  <c r="S31" i="11" s="1"/>
  <c r="R45" i="11"/>
  <c r="R29" i="11"/>
  <c r="R43" i="11"/>
  <c r="S43" i="11" s="1"/>
  <c r="R30" i="11"/>
  <c r="V14" i="11"/>
  <c r="V15" i="11" s="1"/>
  <c r="W6" i="11"/>
  <c r="T30" i="11"/>
  <c r="T37" i="11" s="1"/>
  <c r="T43" i="11"/>
  <c r="T29" i="11"/>
  <c r="S35" i="11"/>
  <c r="T35" i="11"/>
  <c r="U34" i="11"/>
  <c r="U33" i="11"/>
  <c r="V13" i="11"/>
  <c r="W5" i="11"/>
  <c r="W13" i="11" s="1"/>
  <c r="J65" i="11" l="1"/>
  <c r="K58" i="11"/>
  <c r="J59" i="11"/>
  <c r="M53" i="11"/>
  <c r="N53" i="11" s="1"/>
  <c r="N52" i="11"/>
  <c r="P53" i="11"/>
  <c r="S45" i="11"/>
  <c r="U16" i="11"/>
  <c r="V17" i="11"/>
  <c r="V18" i="11"/>
  <c r="V42" i="11" s="1"/>
  <c r="T36" i="11"/>
  <c r="T46" i="11" s="1"/>
  <c r="R32" i="11"/>
  <c r="S29" i="11"/>
  <c r="R36" i="11"/>
  <c r="U30" i="11"/>
  <c r="U37" i="11" s="1"/>
  <c r="U43" i="11"/>
  <c r="U29" i="11"/>
  <c r="U31" i="11"/>
  <c r="U45" i="11"/>
  <c r="W14" i="11"/>
  <c r="W15" i="11" s="1"/>
  <c r="X6" i="11"/>
  <c r="S30" i="11"/>
  <c r="R37" i="11"/>
  <c r="S37" i="11" s="1"/>
  <c r="T32" i="11"/>
  <c r="T38" i="11" s="1"/>
  <c r="U35" i="11"/>
  <c r="V33" i="11"/>
  <c r="V34" i="11"/>
  <c r="W34" i="11"/>
  <c r="W33" i="11"/>
  <c r="X5" i="11"/>
  <c r="X13" i="11"/>
  <c r="T48" i="11" l="1"/>
  <c r="T51" i="11" s="1"/>
  <c r="T52" i="11" s="1"/>
  <c r="L58" i="11"/>
  <c r="K59" i="11"/>
  <c r="K65" i="11"/>
  <c r="S36" i="11"/>
  <c r="R46" i="11"/>
  <c r="W17" i="11"/>
  <c r="W18" i="11"/>
  <c r="V16" i="11"/>
  <c r="X15" i="11"/>
  <c r="U32" i="11"/>
  <c r="U38" i="11" s="1"/>
  <c r="X14" i="11"/>
  <c r="S32" i="11"/>
  <c r="R38" i="11"/>
  <c r="U36" i="11"/>
  <c r="U46" i="11" s="1"/>
  <c r="U48" i="11" s="1"/>
  <c r="W35" i="11"/>
  <c r="X33" i="11"/>
  <c r="V35" i="11"/>
  <c r="X34" i="11"/>
  <c r="R48" i="11" l="1"/>
  <c r="S48" i="11" s="1"/>
  <c r="S46" i="11"/>
  <c r="L65" i="11"/>
  <c r="L59" i="11"/>
  <c r="M58" i="11"/>
  <c r="T53" i="11"/>
  <c r="U51" i="11"/>
  <c r="U52" i="11" s="1"/>
  <c r="S38" i="11"/>
  <c r="X18" i="11"/>
  <c r="W42" i="11"/>
  <c r="W16" i="11"/>
  <c r="X16" i="11" s="1"/>
  <c r="X17" i="11"/>
  <c r="V31" i="11"/>
  <c r="V45" i="11"/>
  <c r="W43" i="11"/>
  <c r="W30" i="11"/>
  <c r="W37" i="11" s="1"/>
  <c r="W29" i="11"/>
  <c r="V29" i="11"/>
  <c r="V43" i="11"/>
  <c r="V30" i="11"/>
  <c r="W31" i="11"/>
  <c r="W45" i="11"/>
  <c r="X35" i="11"/>
  <c r="R51" i="11" l="1"/>
  <c r="M65" i="11"/>
  <c r="M59" i="11"/>
  <c r="O58" i="11"/>
  <c r="U53" i="11"/>
  <c r="X45" i="11"/>
  <c r="X31" i="11"/>
  <c r="X30" i="11"/>
  <c r="V37" i="11"/>
  <c r="X37" i="11" s="1"/>
  <c r="W36" i="11"/>
  <c r="W46" i="11" s="1"/>
  <c r="W48" i="11" s="1"/>
  <c r="W32" i="11"/>
  <c r="V32" i="11"/>
  <c r="V38" i="11" s="1"/>
  <c r="V36" i="11"/>
  <c r="V46" i="11" s="1"/>
  <c r="X29" i="11"/>
  <c r="X43" i="11"/>
  <c r="I30" i="11"/>
  <c r="I29" i="11"/>
  <c r="E16" i="11"/>
  <c r="I16" i="11" s="1"/>
  <c r="I43" i="11"/>
  <c r="R52" i="11" l="1"/>
  <c r="S52" i="11" s="1"/>
  <c r="S51" i="11"/>
  <c r="V48" i="11"/>
  <c r="X48" i="11" s="1"/>
  <c r="X46" i="11"/>
  <c r="P58" i="11"/>
  <c r="O65" i="11"/>
  <c r="O59" i="11"/>
  <c r="X36" i="11"/>
  <c r="X32" i="11"/>
  <c r="W38" i="11"/>
  <c r="W51" i="11" s="1"/>
  <c r="R53" i="11" l="1"/>
  <c r="S53" i="11" s="1"/>
  <c r="V51" i="11"/>
  <c r="P59" i="11"/>
  <c r="Q58" i="11"/>
  <c r="P65" i="11"/>
  <c r="V52" i="11"/>
  <c r="X51" i="11"/>
  <c r="W52" i="11"/>
  <c r="W53" i="11" s="1"/>
  <c r="X38" i="11"/>
  <c r="Q59" i="11" l="1"/>
  <c r="R58" i="11"/>
  <c r="Q65" i="11"/>
  <c r="X52" i="11"/>
  <c r="V53" i="11"/>
  <c r="T58" i="11" l="1"/>
  <c r="R65" i="11"/>
  <c r="R59" i="11"/>
  <c r="X53" i="11"/>
  <c r="B25" i="1" s="1"/>
  <c r="U58" i="11" l="1"/>
  <c r="T59" i="11"/>
  <c r="T65" i="11"/>
  <c r="U65" i="11" l="1"/>
  <c r="V58" i="11"/>
  <c r="U59" i="11"/>
  <c r="W58" i="11" l="1"/>
  <c r="V59" i="11"/>
  <c r="V65" i="11"/>
  <c r="W65" i="11" l="1"/>
  <c r="B15" i="1" s="1"/>
  <c r="B17" i="1" s="1"/>
  <c r="W59" i="11"/>
  <c r="W60" i="11" l="1"/>
  <c r="I60" i="11"/>
  <c r="F60" i="11"/>
  <c r="K60" i="11"/>
  <c r="Q60" i="11"/>
  <c r="U60" i="11"/>
  <c r="P60" i="11"/>
  <c r="H60" i="11"/>
  <c r="X60" i="11"/>
  <c r="B23" i="1" s="1"/>
  <c r="J60" i="11"/>
  <c r="T60" i="11"/>
  <c r="E60" i="11"/>
  <c r="G60" i="11"/>
  <c r="L60" i="11"/>
  <c r="V60" i="11"/>
  <c r="N60" i="11"/>
  <c r="M60" i="11"/>
  <c r="R60" i="11"/>
  <c r="S60" i="11"/>
  <c r="O60" i="11"/>
  <c r="B24" i="1" l="1"/>
</calcChain>
</file>

<file path=xl/comments1.xml><?xml version="1.0" encoding="utf-8"?>
<comments xmlns="http://schemas.openxmlformats.org/spreadsheetml/2006/main">
  <authors>
    <author>Автор</author>
  </authors>
  <commentList>
    <comment ref="G5" authorId="0" shapeId="0">
      <text>
        <r>
          <rPr>
            <b/>
            <sz val="9"/>
            <color indexed="81"/>
            <rFont val="Tahoma"/>
            <family val="2"/>
            <charset val="204"/>
          </rPr>
          <t>How many TDLs will be used repeatedly after arriving at the destination point</t>
        </r>
      </text>
    </comment>
    <comment ref="G6" authorId="0" shapeId="0">
      <text>
        <r>
          <rPr>
            <b/>
            <sz val="9"/>
            <color indexed="81"/>
            <rFont val="Tahoma"/>
            <family val="2"/>
            <charset val="204"/>
          </rPr>
          <t>How many TDLs will be bought out after arriving at the destination point</t>
        </r>
      </text>
    </comment>
    <comment ref="D9" authorId="0" shapeId="0">
      <text>
        <r>
          <rPr>
            <b/>
            <sz val="9"/>
            <color indexed="81"/>
            <rFont val="Tahoma"/>
            <family val="2"/>
            <charset val="204"/>
          </rPr>
          <t xml:space="preserve">Sales and smartcontracts made by franchisees
</t>
        </r>
      </text>
    </comment>
    <comment ref="A10" authorId="0" shapeId="0">
      <text>
        <r>
          <rPr>
            <b/>
            <sz val="9"/>
            <color indexed="81"/>
            <rFont val="Tahoma"/>
            <family val="2"/>
            <charset val="204"/>
          </rPr>
          <t>Average number of subjects in supply chain; how many smart contracts are created how many smart contracts are created per one vaccines batch on its way to consumer.</t>
        </r>
      </text>
    </comment>
    <comment ref="A21" authorId="0" shapeId="0">
      <text>
        <r>
          <rPr>
            <b/>
            <sz val="9"/>
            <color indexed="81"/>
            <rFont val="Tahoma"/>
            <family val="2"/>
            <charset val="204"/>
          </rPr>
          <t xml:space="preserve">Any undirect operational costs that wasn't  </t>
        </r>
      </text>
    </comment>
  </commentList>
</comments>
</file>

<file path=xl/sharedStrings.xml><?xml version="1.0" encoding="utf-8"?>
<sst xmlns="http://schemas.openxmlformats.org/spreadsheetml/2006/main" count="194" uniqueCount="145">
  <si>
    <t>месяц 0</t>
  </si>
  <si>
    <t>Y1</t>
  </si>
  <si>
    <t>European Union</t>
  </si>
  <si>
    <t>USA</t>
  </si>
  <si>
    <t>Russia</t>
  </si>
  <si>
    <t>Base market volume, USD mln</t>
  </si>
  <si>
    <t>Market volume, USD mln</t>
  </si>
  <si>
    <t>Market volume, doses x1000</t>
  </si>
  <si>
    <t>Country</t>
  </si>
  <si>
    <t>Doses per one TDL</t>
  </si>
  <si>
    <t>Coldchain multiplier</t>
  </si>
  <si>
    <t>Annual market growth</t>
  </si>
  <si>
    <t>TDL production cost</t>
  </si>
  <si>
    <t>TDL market price</t>
  </si>
  <si>
    <t>TDL production cost, USD</t>
  </si>
  <si>
    <t>Y2</t>
  </si>
  <si>
    <t>Y3</t>
  </si>
  <si>
    <t>Y4</t>
  </si>
  <si>
    <t>TDL average market price, USD</t>
  </si>
  <si>
    <t>MARKET ASSUMPTIONS</t>
  </si>
  <si>
    <t>TECHNICAL</t>
  </si>
  <si>
    <t>% of TDL repeated usage</t>
  </si>
  <si>
    <t>Market share scenario</t>
  </si>
  <si>
    <t>MARKET SHARE SCENARIO</t>
  </si>
  <si>
    <t>Optimistic (100% after 4 years)</t>
  </si>
  <si>
    <t>Realistic (66% after 4 years)</t>
  </si>
  <si>
    <t>Unpretentious (33% after 4 years)</t>
  </si>
  <si>
    <t>Smart Contract fee, % of smart contract value</t>
  </si>
  <si>
    <t>Our share in franchisee´s fees, %</t>
  </si>
  <si>
    <t>TDL price, % of average market price</t>
  </si>
  <si>
    <t>% of TDLs buyback</t>
  </si>
  <si>
    <t>Buyback price, % of TDL price</t>
  </si>
  <si>
    <t>REVENUE MODEL</t>
  </si>
  <si>
    <t>Total market volume, x 1000 doses</t>
  </si>
  <si>
    <t>Doses per one TDL (pack size)</t>
  </si>
  <si>
    <t>Hard (90% after 4 years)</t>
  </si>
  <si>
    <t>Soft (30% after 4 years)</t>
  </si>
  <si>
    <t>Medium (70% after 4 years)</t>
  </si>
  <si>
    <t>% of TDLs repeated usage</t>
  </si>
  <si>
    <t>Market share volume, x 1000 doses</t>
  </si>
  <si>
    <t>OPEX MODEL</t>
  </si>
  <si>
    <t>Atmega328</t>
  </si>
  <si>
    <t>Resonator AT49S</t>
  </si>
  <si>
    <t>MT3608 DC-DC conv</t>
  </si>
  <si>
    <t>MCP73831</t>
  </si>
  <si>
    <t>ICSP</t>
  </si>
  <si>
    <t>DS18B20</t>
  </si>
  <si>
    <t>JDY-08</t>
  </si>
  <si>
    <t>micro-usb connector</t>
  </si>
  <si>
    <t>resistor 4.7 KOhm</t>
  </si>
  <si>
    <t>resistor 1 KOhm</t>
  </si>
  <si>
    <t>resistor 2 KOhm</t>
  </si>
  <si>
    <t>inductor 22 uH</t>
  </si>
  <si>
    <t>microswitch</t>
  </si>
  <si>
    <t>Subtotal</t>
  </si>
  <si>
    <t>Total material costs per one TDL</t>
  </si>
  <si>
    <t>Q1Y1</t>
  </si>
  <si>
    <t>Q2Y1</t>
  </si>
  <si>
    <t>Q3Y1</t>
  </si>
  <si>
    <t>Q4Y1</t>
  </si>
  <si>
    <t>Q1Y2</t>
  </si>
  <si>
    <t>Q2Y2</t>
  </si>
  <si>
    <t>Q3Y2</t>
  </si>
  <si>
    <t>Q4Y2</t>
  </si>
  <si>
    <t>Q1Y3</t>
  </si>
  <si>
    <t>Q2Y3</t>
  </si>
  <si>
    <t>Q3Y3</t>
  </si>
  <si>
    <t>Q4Y3</t>
  </si>
  <si>
    <t>Q1Y4</t>
  </si>
  <si>
    <t>Q2Y4</t>
  </si>
  <si>
    <t>Q3Y4</t>
  </si>
  <si>
    <t>Q4Y4</t>
  </si>
  <si>
    <t>Frachisee's contribution scenario</t>
  </si>
  <si>
    <t>FRANCHISEE'S CONTRIBUTION SCENARIO</t>
  </si>
  <si>
    <t>Franchisee's contribution, %</t>
  </si>
  <si>
    <t>Head company's contribution, %</t>
  </si>
  <si>
    <t>TOTAL REVENUE</t>
  </si>
  <si>
    <t>Total TDLs sales, pcs</t>
  </si>
  <si>
    <t>preowned TDLs sales, pcs</t>
  </si>
  <si>
    <t>new TDLs sales, pcs</t>
  </si>
  <si>
    <t>Total TDLs required, pcs</t>
  </si>
  <si>
    <t>Total smart contracts required</t>
  </si>
  <si>
    <t>Smart Contract fee, %</t>
  </si>
  <si>
    <t>TDL price, USD</t>
  </si>
  <si>
    <t>Market share, %</t>
  </si>
  <si>
    <t>New TDL sales to customers, USD</t>
  </si>
  <si>
    <t>New TDL sales to franchisees, USD</t>
  </si>
  <si>
    <t>Preowned TDL sales, USD</t>
  </si>
  <si>
    <t>Total TDL sales, USD</t>
  </si>
  <si>
    <t>Discount on TDLs for franchisees, %</t>
  </si>
  <si>
    <t>Income from franchisees' smart contracts, USD</t>
  </si>
  <si>
    <t>Income from head company's smart contracts, USD</t>
  </si>
  <si>
    <t>Total smart contract fees, USD</t>
  </si>
  <si>
    <t>Total income from head company, USD</t>
  </si>
  <si>
    <t>Total income from franchisees, USD</t>
  </si>
  <si>
    <t>Direct costs per 1 TDL, USD</t>
  </si>
  <si>
    <t>Total direct costs, USD</t>
  </si>
  <si>
    <t>TDLs produced, pcs</t>
  </si>
  <si>
    <t>resistor 470 Ohm (х2)</t>
  </si>
  <si>
    <t>resistor 2.2 Kohm (x2)</t>
  </si>
  <si>
    <t>resistor 100 Kohm</t>
  </si>
  <si>
    <t>resistor 10 Kohm</t>
  </si>
  <si>
    <t>condensators 22 pF (x2), 10 uF (x2), 28 uF (x2)</t>
  </si>
  <si>
    <t>Total market volume, x1000 USD</t>
  </si>
  <si>
    <t>Market share volume, x1000 USD</t>
  </si>
  <si>
    <t>No franchise</t>
  </si>
  <si>
    <t>TDLs buyback price, USD</t>
  </si>
  <si>
    <t>ICE CHAIN Gross Profit Model</t>
  </si>
  <si>
    <t>Market volume, x1000 doses</t>
  </si>
  <si>
    <t>Total buyback costs, USD</t>
  </si>
  <si>
    <t>TOTAL OPEX</t>
  </si>
  <si>
    <t>PROFIT MODEL</t>
  </si>
  <si>
    <t>TOTAL GROSS PROFIT</t>
  </si>
  <si>
    <t>Other operational costs, USD</t>
  </si>
  <si>
    <t>Gross profit (before taxes)</t>
  </si>
  <si>
    <t>Taxation</t>
  </si>
  <si>
    <t>PROFIT ANALYSIS</t>
  </si>
  <si>
    <t>Initial CapEx, USD</t>
  </si>
  <si>
    <t>Other monthly operational costs, USD</t>
  </si>
  <si>
    <t>CapEx payback period</t>
  </si>
  <si>
    <t>CAPEX PAYBACK ANALYSIS</t>
  </si>
  <si>
    <t>Quarter</t>
  </si>
  <si>
    <t>Gross profit margin (after 4 years)</t>
  </si>
  <si>
    <t>Discount on TDLs for franchisees</t>
  </si>
  <si>
    <t>WORKING CAPITAL ANALYSIS</t>
  </si>
  <si>
    <t>Working capital deficit, USD</t>
  </si>
  <si>
    <t>Accumulated profit, USD</t>
  </si>
  <si>
    <t>TOTAL INVESTMENTS</t>
  </si>
  <si>
    <t>Required working capital investments, USD</t>
  </si>
  <si>
    <t>Total investments payback period</t>
  </si>
  <si>
    <t>CapEx payback succesful</t>
  </si>
  <si>
    <t>Total payback succesful</t>
  </si>
  <si>
    <t>Components prices, USD per 1000 pcs</t>
  </si>
  <si>
    <t>Assemble costs, USD per 1000 pcs</t>
  </si>
  <si>
    <t>Manufacturing services</t>
  </si>
  <si>
    <t>TOTAL DIRECT COSTS, USD per 1 TDL</t>
  </si>
  <si>
    <t>This model helps to answer the following questions on ICE CHAIN project:
1. Where revenue comes from
2. What are operational expences
3. How they depend on market situation
4. How gross profit is calculated
5. How much money are needed for working capital
6. How long the payback period could be</t>
  </si>
  <si>
    <t>Marketing costs, % of income from head company</t>
  </si>
  <si>
    <t>Marketing costs, USD</t>
  </si>
  <si>
    <t>MARKET STRATEGY</t>
  </si>
  <si>
    <t>Taxation level, % of  gross profit</t>
  </si>
  <si>
    <r>
      <rPr>
        <b/>
        <sz val="11"/>
        <color theme="1"/>
        <rFont val="Cambria"/>
        <family val="1"/>
        <charset val="204"/>
        <scheme val="major"/>
      </rPr>
      <t>Important notes:</t>
    </r>
    <r>
      <rPr>
        <sz val="11"/>
        <color theme="1"/>
        <rFont val="Cambria"/>
        <family val="1"/>
        <charset val="204"/>
        <scheme val="major"/>
      </rPr>
      <t xml:space="preserve">
This model poses schematic representation of key business processes of ICE CHAIN as if the company was established in one of 3 regions (Europe, USA, Russia).  We aim to show you the basic concept. To make this model simple and comprehensible, we set aside the following questions:
1) Structure and value of initial capital expences. They may include the costs of developing, testing and bringing the product to the market. To take this factor into account and calculate the payback period, you may type an assumed value of capital expences in the Dashboard.
2) Taxation details. We try to build a one-size-fits-all model which could be adopted for any country, so we put aside taxation details. You may set the total taxation level as % of gross profit in the Dashboard.
3) Some other operational or non-opearational costs which lie outside of our business model and depend on the exact business situation. Nevertheless, you may set the value of additional monthly operational costs in the Dashboard.</t>
    </r>
  </si>
  <si>
    <r>
      <rPr>
        <b/>
        <sz val="11"/>
        <color theme="1"/>
        <rFont val="Cambria"/>
        <family val="1"/>
        <charset val="204"/>
        <scheme val="major"/>
      </rPr>
      <t>Instructions</t>
    </r>
    <r>
      <rPr>
        <sz val="11"/>
        <color theme="1"/>
        <rFont val="Cambria"/>
        <family val="1"/>
        <charset val="204"/>
        <scheme val="major"/>
      </rPr>
      <t xml:space="preserve">
</t>
    </r>
    <r>
      <rPr>
        <b/>
        <sz val="11"/>
        <color theme="1"/>
        <rFont val="Cambria"/>
        <family val="1"/>
        <charset val="204"/>
        <scheme val="major"/>
      </rPr>
      <t>The Dashboard</t>
    </r>
    <r>
      <rPr>
        <sz val="11"/>
        <color theme="1"/>
        <rFont val="Cambria"/>
        <family val="1"/>
        <charset val="204"/>
        <scheme val="major"/>
      </rPr>
      <t xml:space="preserve"> is to set basic assumptions and drivers and display some key results.
</t>
    </r>
    <r>
      <rPr>
        <b/>
        <sz val="11"/>
        <color theme="1"/>
        <rFont val="Cambria"/>
        <family val="1"/>
        <charset val="204"/>
        <scheme val="major"/>
      </rPr>
      <t>Market Inputs</t>
    </r>
    <r>
      <rPr>
        <sz val="11"/>
        <color theme="1"/>
        <rFont val="Cambria"/>
        <family val="1"/>
        <charset val="204"/>
        <scheme val="major"/>
      </rPr>
      <t xml:space="preserve"> are to type in the market conditions and to edit Market Share Scenarios and Franchisee's Contribution Scenarios. 
</t>
    </r>
    <r>
      <rPr>
        <b/>
        <sz val="11"/>
        <color theme="1"/>
        <rFont val="Cambria"/>
        <family val="1"/>
        <charset val="204"/>
        <scheme val="major"/>
      </rPr>
      <t>Direct Costs</t>
    </r>
    <r>
      <rPr>
        <sz val="11"/>
        <color theme="1"/>
        <rFont val="Cambria"/>
        <family val="1"/>
        <charset val="204"/>
        <scheme val="major"/>
      </rPr>
      <t xml:space="preserve"> are to calculate the cost of production of temperature logger device.
</t>
    </r>
    <r>
      <rPr>
        <b/>
        <sz val="11"/>
        <color theme="1"/>
        <rFont val="Cambria"/>
        <family val="1"/>
        <charset val="204"/>
        <scheme val="major"/>
      </rPr>
      <t>MODEL</t>
    </r>
    <r>
      <rPr>
        <sz val="11"/>
        <color theme="1"/>
        <rFont val="Cambria"/>
        <family val="1"/>
        <charset val="204"/>
        <scheme val="major"/>
      </rPr>
      <t xml:space="preserve"> displays the calculations of total revenue, total operational expenditures and gross profit.
Green cells are editable. Change the values in green cells to see how it affects the other measures.</t>
    </r>
  </si>
  <si>
    <t>li-pol 900 mAh</t>
  </si>
  <si>
    <r>
      <rPr>
        <b/>
        <sz val="11"/>
        <color theme="1"/>
        <rFont val="Cambria"/>
        <family val="1"/>
        <charset val="204"/>
        <scheme val="major"/>
      </rPr>
      <t>Key drivers</t>
    </r>
    <r>
      <rPr>
        <sz val="11"/>
        <color theme="1"/>
        <rFont val="Cambria"/>
        <family val="1"/>
        <charset val="204"/>
        <scheme val="major"/>
      </rPr>
      <t xml:space="preserve">
</t>
    </r>
    <r>
      <rPr>
        <b/>
        <sz val="11"/>
        <color theme="1"/>
        <rFont val="Cambria"/>
        <family val="1"/>
        <charset val="204"/>
        <scheme val="major"/>
      </rPr>
      <t>Country</t>
    </r>
    <r>
      <rPr>
        <sz val="11"/>
        <color theme="1"/>
        <rFont val="Cambria"/>
        <family val="1"/>
        <charset val="204"/>
        <scheme val="major"/>
      </rPr>
      <t xml:space="preserve">. By choosing country, you choose the relevant market volume, production costs and average TDL market price which are taken from Market Inputs.
</t>
    </r>
    <r>
      <rPr>
        <b/>
        <sz val="11"/>
        <color theme="1"/>
        <rFont val="Cambria"/>
        <family val="1"/>
        <charset val="204"/>
        <scheme val="major"/>
      </rPr>
      <t>Annual market growth</t>
    </r>
    <r>
      <rPr>
        <sz val="11"/>
        <color theme="1"/>
        <rFont val="Cambria"/>
        <family val="1"/>
        <charset val="204"/>
        <scheme val="major"/>
      </rPr>
      <t xml:space="preserve">. The market volume grows every quarter by 1/4 of annual growth.
</t>
    </r>
    <r>
      <rPr>
        <b/>
        <sz val="11"/>
        <color theme="1"/>
        <rFont val="Cambria"/>
        <family val="1"/>
        <charset val="204"/>
        <scheme val="major"/>
      </rPr>
      <t>Coldchain multiplier.</t>
    </r>
    <r>
      <rPr>
        <sz val="11"/>
        <color theme="1"/>
        <rFont val="Cambria"/>
        <family val="1"/>
        <charset val="204"/>
        <scheme val="major"/>
      </rPr>
      <t xml:space="preserve">  Equals an average number of subjects in cold chain, or, in other words, how many smart contracts are created per one vaccine batch on its way to consumer. This driver helps to calculate the total value of delivery contracts to be serviced by ICE CHAIN.
</t>
    </r>
    <r>
      <rPr>
        <b/>
        <sz val="11"/>
        <color theme="1"/>
        <rFont val="Cambria"/>
        <family val="1"/>
        <charset val="204"/>
        <scheme val="major"/>
      </rPr>
      <t>Market share scenario</t>
    </r>
    <r>
      <rPr>
        <sz val="11"/>
        <color theme="1"/>
        <rFont val="Cambria"/>
        <family val="1"/>
        <charset val="204"/>
        <scheme val="major"/>
      </rPr>
      <t xml:space="preserve">. Choose how fast ICE CHAIN should conquer its market share. The scenarios may be edited in Market Inputs.
</t>
    </r>
    <r>
      <rPr>
        <b/>
        <sz val="11"/>
        <color theme="1"/>
        <rFont val="Cambria"/>
        <family val="1"/>
        <charset val="204"/>
        <scheme val="major"/>
      </rPr>
      <t>Taxation level.</t>
    </r>
    <r>
      <rPr>
        <sz val="11"/>
        <color theme="1"/>
        <rFont val="Cambria"/>
        <family val="1"/>
        <charset val="204"/>
        <scheme val="major"/>
      </rPr>
      <t xml:space="preserve"> Decreases the total gross profit.
</t>
    </r>
    <r>
      <rPr>
        <b/>
        <sz val="11"/>
        <color theme="1"/>
        <rFont val="Cambria"/>
        <family val="1"/>
        <charset val="204"/>
        <scheme val="major"/>
      </rPr>
      <t>TDL price.</t>
    </r>
    <r>
      <rPr>
        <sz val="11"/>
        <color theme="1"/>
        <rFont val="Cambria"/>
        <family val="1"/>
        <charset val="204"/>
        <scheme val="major"/>
      </rPr>
      <t xml:space="preserve"> The price on our TDL compared to average market price.
</t>
    </r>
    <r>
      <rPr>
        <b/>
        <sz val="11"/>
        <color theme="1"/>
        <rFont val="Cambria"/>
        <family val="1"/>
        <charset val="204"/>
        <scheme val="major"/>
      </rPr>
      <t>Smart contract fee.</t>
    </r>
    <r>
      <rPr>
        <sz val="11"/>
        <color theme="1"/>
        <rFont val="Cambria"/>
        <family val="1"/>
        <charset val="204"/>
        <scheme val="major"/>
      </rPr>
      <t xml:space="preserve"> Average fee size, % of smart contract value.
</t>
    </r>
    <r>
      <rPr>
        <b/>
        <sz val="11"/>
        <color theme="1"/>
        <rFont val="Cambria"/>
        <family val="1"/>
        <charset val="204"/>
        <scheme val="major"/>
      </rPr>
      <t>Buyback price.</t>
    </r>
    <r>
      <rPr>
        <sz val="11"/>
        <color theme="1"/>
        <rFont val="Cambria"/>
        <family val="1"/>
        <charset val="204"/>
        <scheme val="major"/>
      </rPr>
      <t xml:space="preserve"> The % of TDL price payed to customer to get the used TDL back
</t>
    </r>
    <r>
      <rPr>
        <b/>
        <sz val="11"/>
        <color theme="1"/>
        <rFont val="Cambria"/>
        <family val="1"/>
        <charset val="204"/>
        <scheme val="major"/>
      </rPr>
      <t xml:space="preserve">Frachisee's contribution scenario. </t>
    </r>
    <r>
      <rPr>
        <sz val="11"/>
        <color theme="1"/>
        <rFont val="Cambria"/>
        <family val="1"/>
        <charset val="204"/>
        <scheme val="major"/>
      </rPr>
      <t xml:space="preserve">Choose how big is the role of franchisees' in business
</t>
    </r>
    <r>
      <rPr>
        <b/>
        <sz val="11"/>
        <color theme="1"/>
        <rFont val="Cambria"/>
        <family val="1"/>
        <charset val="204"/>
        <scheme val="major"/>
      </rPr>
      <t>% of TDL repeated usage.</t>
    </r>
    <r>
      <rPr>
        <sz val="11"/>
        <color theme="1"/>
        <rFont val="Cambria"/>
        <family val="1"/>
        <charset val="204"/>
        <scheme val="major"/>
      </rPr>
      <t xml:space="preserve"> How many TDLs will be used repeatedly after arriving at the destination point.
</t>
    </r>
    <r>
      <rPr>
        <b/>
        <sz val="11"/>
        <color theme="1"/>
        <rFont val="Cambria"/>
        <family val="1"/>
        <charset val="204"/>
        <scheme val="major"/>
      </rPr>
      <t>% of TDLs buyback</t>
    </r>
    <r>
      <rPr>
        <sz val="11"/>
        <color theme="1"/>
        <rFont val="Cambria"/>
        <family val="1"/>
        <charset val="204"/>
        <scheme val="major"/>
      </rPr>
      <t xml:space="preserve">. How many TDLs will be bought out after arriving at the destination point
</t>
    </r>
    <r>
      <rPr>
        <b/>
        <sz val="11"/>
        <color theme="1"/>
        <rFont val="Cambria"/>
        <family val="1"/>
        <charset val="204"/>
        <scheme val="major"/>
      </rPr>
      <t/>
    </r>
  </si>
</sst>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 _₽_-;\-* #,##0.00\ _₽_-;_-* &quot;-&quot;??\ _₽_-;_-@_-"/>
    <numFmt numFmtId="164" formatCode="0.0%"/>
    <numFmt numFmtId="165" formatCode="#,##0.00_ ;\-#,##0.00\ "/>
    <numFmt numFmtId="166" formatCode="#,##0_ ;\-#,##0\ "/>
  </numFmts>
  <fonts count="8" x14ac:knownFonts="1">
    <font>
      <sz val="11"/>
      <color theme="1"/>
      <name val="Calibri"/>
      <family val="2"/>
      <scheme val="minor"/>
    </font>
    <font>
      <sz val="11"/>
      <color theme="1"/>
      <name val="Cambria"/>
      <family val="1"/>
      <charset val="204"/>
      <scheme val="major"/>
    </font>
    <font>
      <b/>
      <sz val="11"/>
      <color theme="1"/>
      <name val="Cambria"/>
      <family val="1"/>
      <charset val="204"/>
      <scheme val="major"/>
    </font>
    <font>
      <i/>
      <sz val="11"/>
      <color theme="1"/>
      <name val="Cambria"/>
      <family val="1"/>
      <charset val="204"/>
      <scheme val="major"/>
    </font>
    <font>
      <sz val="11"/>
      <color theme="1"/>
      <name val="Calibri"/>
      <family val="2"/>
      <scheme val="minor"/>
    </font>
    <font>
      <b/>
      <sz val="9"/>
      <color indexed="81"/>
      <name val="Tahoma"/>
      <family val="2"/>
      <charset val="204"/>
    </font>
    <font>
      <b/>
      <i/>
      <sz val="11"/>
      <color theme="1"/>
      <name val="Cambria"/>
      <family val="1"/>
      <charset val="204"/>
      <scheme val="major"/>
    </font>
    <font>
      <sz val="11"/>
      <name val="Cambria"/>
      <family val="1"/>
      <charset val="204"/>
      <scheme val="major"/>
    </font>
  </fonts>
  <fills count="5">
    <fill>
      <patternFill patternType="none"/>
    </fill>
    <fill>
      <patternFill patternType="gray125"/>
    </fill>
    <fill>
      <patternFill patternType="solid">
        <fgColor theme="6" tint="0.79998168889431442"/>
        <bgColor indexed="64"/>
      </patternFill>
    </fill>
    <fill>
      <patternFill patternType="solid">
        <fgColor theme="0" tint="-0.14999847407452621"/>
        <bgColor indexed="64"/>
      </patternFill>
    </fill>
    <fill>
      <patternFill patternType="solid">
        <fgColor theme="0"/>
        <bgColor indexed="64"/>
      </patternFill>
    </fill>
  </fills>
  <borders count="71">
    <border>
      <left/>
      <right/>
      <top/>
      <bottom/>
      <diagonal/>
    </border>
    <border>
      <left style="hair">
        <color auto="1"/>
      </left>
      <right style="hair">
        <color auto="1"/>
      </right>
      <top style="hair">
        <color auto="1"/>
      </top>
      <bottom style="hair">
        <color auto="1"/>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style="hair">
        <color auto="1"/>
      </left>
      <right style="hair">
        <color auto="1"/>
      </right>
      <top style="medium">
        <color indexed="64"/>
      </top>
      <bottom style="hair">
        <color auto="1"/>
      </bottom>
      <diagonal/>
    </border>
    <border>
      <left style="hair">
        <color auto="1"/>
      </left>
      <right style="medium">
        <color indexed="64"/>
      </right>
      <top style="medium">
        <color indexed="64"/>
      </top>
      <bottom style="hair">
        <color auto="1"/>
      </bottom>
      <diagonal/>
    </border>
    <border>
      <left style="medium">
        <color indexed="64"/>
      </left>
      <right/>
      <top/>
      <bottom/>
      <diagonal/>
    </border>
    <border>
      <left style="hair">
        <color auto="1"/>
      </left>
      <right style="medium">
        <color indexed="64"/>
      </right>
      <top style="hair">
        <color auto="1"/>
      </top>
      <bottom style="hair">
        <color auto="1"/>
      </bottom>
      <diagonal/>
    </border>
    <border>
      <left style="medium">
        <color indexed="64"/>
      </left>
      <right/>
      <top/>
      <bottom style="medium">
        <color indexed="64"/>
      </bottom>
      <diagonal/>
    </border>
    <border>
      <left style="hair">
        <color auto="1"/>
      </left>
      <right style="hair">
        <color auto="1"/>
      </right>
      <top style="hair">
        <color auto="1"/>
      </top>
      <bottom style="medium">
        <color indexed="64"/>
      </bottom>
      <diagonal/>
    </border>
    <border>
      <left style="hair">
        <color auto="1"/>
      </left>
      <right style="medium">
        <color indexed="64"/>
      </right>
      <top style="hair">
        <color auto="1"/>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style="hair">
        <color auto="1"/>
      </right>
      <top style="medium">
        <color indexed="64"/>
      </top>
      <bottom style="hair">
        <color auto="1"/>
      </bottom>
      <diagonal/>
    </border>
    <border>
      <left style="medium">
        <color indexed="64"/>
      </left>
      <right style="hair">
        <color auto="1"/>
      </right>
      <top style="hair">
        <color auto="1"/>
      </top>
      <bottom style="hair">
        <color auto="1"/>
      </bottom>
      <diagonal/>
    </border>
    <border>
      <left style="medium">
        <color indexed="64"/>
      </left>
      <right style="hair">
        <color auto="1"/>
      </right>
      <top style="hair">
        <color auto="1"/>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hair">
        <color auto="1"/>
      </right>
      <top style="hair">
        <color auto="1"/>
      </top>
      <bottom/>
      <diagonal/>
    </border>
    <border>
      <left style="hair">
        <color auto="1"/>
      </left>
      <right style="hair">
        <color auto="1"/>
      </right>
      <top style="hair">
        <color auto="1"/>
      </top>
      <bottom/>
      <diagonal/>
    </border>
    <border>
      <left style="hair">
        <color auto="1"/>
      </left>
      <right style="medium">
        <color indexed="64"/>
      </right>
      <top style="hair">
        <color auto="1"/>
      </top>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hair">
        <color auto="1"/>
      </bottom>
      <diagonal/>
    </border>
    <border>
      <left style="medium">
        <color indexed="64"/>
      </left>
      <right style="medium">
        <color indexed="64"/>
      </right>
      <top style="hair">
        <color auto="1"/>
      </top>
      <bottom style="hair">
        <color auto="1"/>
      </bottom>
      <diagonal/>
    </border>
    <border>
      <left style="medium">
        <color indexed="64"/>
      </left>
      <right style="medium">
        <color indexed="64"/>
      </right>
      <top style="hair">
        <color auto="1"/>
      </top>
      <bottom style="medium">
        <color indexed="64"/>
      </bottom>
      <diagonal/>
    </border>
    <border>
      <left style="medium">
        <color indexed="64"/>
      </left>
      <right style="medium">
        <color indexed="64"/>
      </right>
      <top style="hair">
        <color auto="1"/>
      </top>
      <bottom/>
      <diagonal/>
    </border>
    <border>
      <left style="medium">
        <color indexed="64"/>
      </left>
      <right style="hair">
        <color auto="1"/>
      </right>
      <top style="medium">
        <color indexed="64"/>
      </top>
      <bottom style="medium">
        <color indexed="64"/>
      </bottom>
      <diagonal/>
    </border>
    <border>
      <left style="hair">
        <color auto="1"/>
      </left>
      <right style="hair">
        <color auto="1"/>
      </right>
      <top style="medium">
        <color indexed="64"/>
      </top>
      <bottom style="medium">
        <color indexed="64"/>
      </bottom>
      <diagonal/>
    </border>
    <border>
      <left style="hair">
        <color auto="1"/>
      </left>
      <right style="medium">
        <color indexed="64"/>
      </right>
      <top style="medium">
        <color indexed="64"/>
      </top>
      <bottom style="medium">
        <color indexed="64"/>
      </bottom>
      <diagonal/>
    </border>
    <border>
      <left style="medium">
        <color indexed="64"/>
      </left>
      <right style="hair">
        <color auto="1"/>
      </right>
      <top/>
      <bottom/>
      <diagonal/>
    </border>
    <border>
      <left style="hair">
        <color auto="1"/>
      </left>
      <right style="hair">
        <color auto="1"/>
      </right>
      <top/>
      <bottom/>
      <diagonal/>
    </border>
    <border>
      <left style="hair">
        <color auto="1"/>
      </left>
      <right style="medium">
        <color indexed="64"/>
      </right>
      <top/>
      <bottom/>
      <diagonal/>
    </border>
    <border>
      <left style="medium">
        <color indexed="64"/>
      </left>
      <right style="hair">
        <color indexed="64"/>
      </right>
      <top style="medium">
        <color indexed="64"/>
      </top>
      <bottom/>
      <diagonal/>
    </border>
    <border>
      <left style="hair">
        <color indexed="64"/>
      </left>
      <right style="hair">
        <color indexed="64"/>
      </right>
      <top style="medium">
        <color indexed="64"/>
      </top>
      <bottom/>
      <diagonal/>
    </border>
    <border>
      <left style="hair">
        <color indexed="64"/>
      </left>
      <right style="medium">
        <color indexed="64"/>
      </right>
      <top style="medium">
        <color indexed="64"/>
      </top>
      <bottom/>
      <diagonal/>
    </border>
    <border>
      <left style="medium">
        <color indexed="64"/>
      </left>
      <right style="medium">
        <color indexed="64"/>
      </right>
      <top/>
      <bottom style="hair">
        <color auto="1"/>
      </bottom>
      <diagonal/>
    </border>
    <border>
      <left style="medium">
        <color indexed="64"/>
      </left>
      <right style="hair">
        <color auto="1"/>
      </right>
      <top/>
      <bottom style="hair">
        <color auto="1"/>
      </bottom>
      <diagonal/>
    </border>
    <border>
      <left style="hair">
        <color auto="1"/>
      </left>
      <right style="hair">
        <color auto="1"/>
      </right>
      <top/>
      <bottom style="hair">
        <color auto="1"/>
      </bottom>
      <diagonal/>
    </border>
    <border>
      <left style="hair">
        <color auto="1"/>
      </left>
      <right style="medium">
        <color indexed="64"/>
      </right>
      <top/>
      <bottom style="hair">
        <color auto="1"/>
      </bottom>
      <diagonal/>
    </border>
    <border>
      <left style="medium">
        <color indexed="64"/>
      </left>
      <right style="medium">
        <color indexed="64"/>
      </right>
      <top style="thin">
        <color indexed="64"/>
      </top>
      <bottom style="hair">
        <color auto="1"/>
      </bottom>
      <diagonal/>
    </border>
    <border>
      <left style="medium">
        <color indexed="64"/>
      </left>
      <right style="medium">
        <color indexed="64"/>
      </right>
      <top style="hair">
        <color auto="1"/>
      </top>
      <bottom style="thin">
        <color indexed="64"/>
      </bottom>
      <diagonal/>
    </border>
    <border>
      <left/>
      <right/>
      <top style="thin">
        <color indexed="64"/>
      </top>
      <bottom/>
      <diagonal/>
    </border>
    <border>
      <left/>
      <right/>
      <top/>
      <bottom style="thin">
        <color indexed="64"/>
      </bottom>
      <diagonal/>
    </border>
    <border>
      <left/>
      <right style="medium">
        <color indexed="64"/>
      </right>
      <top style="medium">
        <color indexed="64"/>
      </top>
      <bottom style="medium">
        <color indexed="64"/>
      </bottom>
      <diagonal/>
    </border>
    <border>
      <left/>
      <right style="hair">
        <color indexed="64"/>
      </right>
      <top/>
      <bottom style="hair">
        <color indexed="64"/>
      </bottom>
      <diagonal/>
    </border>
    <border>
      <left style="hair">
        <color indexed="64"/>
      </left>
      <right/>
      <top/>
      <bottom style="hair">
        <color indexed="64"/>
      </bottom>
      <diagonal/>
    </border>
    <border>
      <left/>
      <right style="hair">
        <color indexed="64"/>
      </right>
      <top style="hair">
        <color indexed="64"/>
      </top>
      <bottom style="hair">
        <color indexed="64"/>
      </bottom>
      <diagonal/>
    </border>
    <border>
      <left style="hair">
        <color indexed="64"/>
      </left>
      <right/>
      <top style="hair">
        <color indexed="64"/>
      </top>
      <bottom style="hair">
        <color indexed="64"/>
      </bottom>
      <diagonal/>
    </border>
    <border>
      <left/>
      <right style="hair">
        <color indexed="64"/>
      </right>
      <top style="hair">
        <color indexed="64"/>
      </top>
      <bottom/>
      <diagonal/>
    </border>
    <border>
      <left style="hair">
        <color indexed="64"/>
      </left>
      <right/>
      <top style="hair">
        <color indexed="64"/>
      </top>
      <bottom/>
      <diagonal/>
    </border>
    <border>
      <left style="hair">
        <color auto="1"/>
      </left>
      <right/>
      <top style="medium">
        <color indexed="64"/>
      </top>
      <bottom style="hair">
        <color auto="1"/>
      </bottom>
      <diagonal/>
    </border>
    <border>
      <left style="hair">
        <color auto="1"/>
      </left>
      <right/>
      <top/>
      <bottom/>
      <diagonal/>
    </border>
    <border>
      <left style="hair">
        <color auto="1"/>
      </left>
      <right/>
      <top style="medium">
        <color indexed="64"/>
      </top>
      <bottom style="medium">
        <color indexed="64"/>
      </bottom>
      <diagonal/>
    </border>
    <border>
      <left style="hair">
        <color indexed="64"/>
      </left>
      <right/>
      <top style="medium">
        <color indexed="64"/>
      </top>
      <bottom/>
      <diagonal/>
    </border>
    <border>
      <left style="hair">
        <color auto="1"/>
      </left>
      <right/>
      <top style="hair">
        <color auto="1"/>
      </top>
      <bottom style="medium">
        <color indexed="64"/>
      </bottom>
      <diagonal/>
    </border>
    <border>
      <left/>
      <right style="hair">
        <color auto="1"/>
      </right>
      <top style="medium">
        <color indexed="64"/>
      </top>
      <bottom style="hair">
        <color auto="1"/>
      </bottom>
      <diagonal/>
    </border>
    <border>
      <left/>
      <right style="hair">
        <color auto="1"/>
      </right>
      <top/>
      <bottom/>
      <diagonal/>
    </border>
    <border>
      <left/>
      <right style="hair">
        <color auto="1"/>
      </right>
      <top style="medium">
        <color indexed="64"/>
      </top>
      <bottom style="medium">
        <color indexed="64"/>
      </bottom>
      <diagonal/>
    </border>
    <border>
      <left/>
      <right style="hair">
        <color auto="1"/>
      </right>
      <top style="hair">
        <color auto="1"/>
      </top>
      <bottom style="medium">
        <color indexed="64"/>
      </bottom>
      <diagonal/>
    </border>
    <border>
      <left/>
      <right/>
      <top style="medium">
        <color indexed="64"/>
      </top>
      <bottom style="medium">
        <color indexed="64"/>
      </bottom>
      <diagonal/>
    </border>
    <border>
      <left/>
      <right/>
      <top/>
      <bottom style="medium">
        <color indexed="64"/>
      </bottom>
      <diagonal/>
    </border>
    <border>
      <left style="medium">
        <color indexed="64"/>
      </left>
      <right/>
      <top style="medium">
        <color indexed="64"/>
      </top>
      <bottom style="hair">
        <color auto="1"/>
      </bottom>
      <diagonal/>
    </border>
    <border>
      <left style="medium">
        <color indexed="64"/>
      </left>
      <right/>
      <top style="hair">
        <color auto="1"/>
      </top>
      <bottom style="hair">
        <color auto="1"/>
      </bottom>
      <diagonal/>
    </border>
    <border>
      <left style="medium">
        <color indexed="64"/>
      </left>
      <right/>
      <top style="hair">
        <color auto="1"/>
      </top>
      <bottom style="medium">
        <color indexed="64"/>
      </bottom>
      <diagonal/>
    </border>
    <border>
      <left style="medium">
        <color indexed="64"/>
      </left>
      <right/>
      <top/>
      <bottom style="hair">
        <color auto="1"/>
      </bottom>
      <diagonal/>
    </border>
    <border>
      <left/>
      <right/>
      <top style="hair">
        <color indexed="64"/>
      </top>
      <bottom style="hair">
        <color indexed="64"/>
      </bottom>
      <diagonal/>
    </border>
    <border>
      <left/>
      <right/>
      <top style="hair">
        <color indexed="64"/>
      </top>
      <bottom/>
      <diagonal/>
    </border>
    <border>
      <left/>
      <right style="medium">
        <color indexed="64"/>
      </right>
      <top style="medium">
        <color indexed="64"/>
      </top>
      <bottom style="hair">
        <color auto="1"/>
      </bottom>
      <diagonal/>
    </border>
  </borders>
  <cellStyleXfs count="3">
    <xf numFmtId="0" fontId="0" fillId="0" borderId="0"/>
    <xf numFmtId="43" fontId="4" fillId="0" borderId="0" applyFont="0" applyFill="0" applyBorder="0" applyAlignment="0" applyProtection="0"/>
    <xf numFmtId="9" fontId="4" fillId="0" borderId="0" applyFont="0" applyFill="0" applyBorder="0" applyAlignment="0" applyProtection="0"/>
  </cellStyleXfs>
  <cellXfs count="434">
    <xf numFmtId="0" fontId="0" fillId="0" borderId="0" xfId="0"/>
    <xf numFmtId="0" fontId="1" fillId="0" borderId="0" xfId="0" applyFont="1" applyBorder="1"/>
    <xf numFmtId="0" fontId="1" fillId="0" borderId="6" xfId="0" applyFont="1" applyBorder="1" applyAlignment="1">
      <alignment horizontal="right"/>
    </xf>
    <xf numFmtId="0" fontId="1" fillId="0" borderId="0" xfId="0" applyFont="1" applyAlignment="1">
      <alignment horizontal="left" vertical="top"/>
    </xf>
    <xf numFmtId="0" fontId="1" fillId="0" borderId="0" xfId="0" applyFont="1" applyAlignment="1">
      <alignment horizontal="left" vertical="top" wrapText="1"/>
    </xf>
    <xf numFmtId="0" fontId="2" fillId="0" borderId="6" xfId="0" applyFont="1" applyBorder="1"/>
    <xf numFmtId="2" fontId="2" fillId="0" borderId="0" xfId="0" applyNumberFormat="1" applyFont="1" applyBorder="1"/>
    <xf numFmtId="0" fontId="1" fillId="0" borderId="0" xfId="0" applyFont="1" applyBorder="1" applyAlignment="1">
      <alignment horizontal="left" vertical="top"/>
    </xf>
    <xf numFmtId="0" fontId="1" fillId="0" borderId="18" xfId="0" applyFont="1" applyBorder="1" applyAlignment="1">
      <alignment horizontal="left" vertical="top"/>
    </xf>
    <xf numFmtId="0" fontId="1" fillId="0" borderId="19" xfId="0" applyFont="1" applyBorder="1" applyAlignment="1">
      <alignment horizontal="left" vertical="top"/>
    </xf>
    <xf numFmtId="4" fontId="1" fillId="0" borderId="15" xfId="0" applyNumberFormat="1" applyFont="1" applyFill="1" applyBorder="1"/>
    <xf numFmtId="4" fontId="1" fillId="0" borderId="1" xfId="0" applyNumberFormat="1" applyFont="1" applyFill="1" applyBorder="1"/>
    <xf numFmtId="4" fontId="1" fillId="0" borderId="7" xfId="0" applyNumberFormat="1" applyFont="1" applyFill="1" applyBorder="1"/>
    <xf numFmtId="3" fontId="2" fillId="0" borderId="23" xfId="0" applyNumberFormat="1" applyFont="1" applyBorder="1" applyAlignment="1">
      <alignment horizontal="left" vertical="top"/>
    </xf>
    <xf numFmtId="3" fontId="2" fillId="0" borderId="0" xfId="0" applyNumberFormat="1" applyFont="1" applyBorder="1" applyAlignment="1">
      <alignment horizontal="left" vertical="top"/>
    </xf>
    <xf numFmtId="3" fontId="1" fillId="0" borderId="11" xfId="0" applyNumberFormat="1" applyFont="1" applyBorder="1" applyAlignment="1">
      <alignment horizontal="center"/>
    </xf>
    <xf numFmtId="3" fontId="1" fillId="0" borderId="3" xfId="0" applyNumberFormat="1" applyFont="1" applyBorder="1" applyAlignment="1">
      <alignment horizontal="center"/>
    </xf>
    <xf numFmtId="3" fontId="1" fillId="0" borderId="12" xfId="0" applyNumberFormat="1" applyFont="1" applyBorder="1" applyAlignment="1">
      <alignment horizontal="center"/>
    </xf>
    <xf numFmtId="3" fontId="2" fillId="0" borderId="17" xfId="0" applyNumberFormat="1" applyFont="1" applyBorder="1" applyAlignment="1">
      <alignment horizontal="center"/>
    </xf>
    <xf numFmtId="3" fontId="2" fillId="0" borderId="6" xfId="0" applyNumberFormat="1" applyFont="1" applyBorder="1" applyAlignment="1">
      <alignment horizontal="left" vertical="top"/>
    </xf>
    <xf numFmtId="3" fontId="2" fillId="0" borderId="6" xfId="0" applyNumberFormat="1" applyFont="1" applyBorder="1"/>
    <xf numFmtId="3" fontId="1" fillId="0" borderId="6" xfId="0" applyNumberFormat="1" applyFont="1" applyBorder="1"/>
    <xf numFmtId="3" fontId="1" fillId="0" borderId="0" xfId="0" applyNumberFormat="1" applyFont="1" applyBorder="1"/>
    <xf numFmtId="3" fontId="1" fillId="0" borderId="23" xfId="0" applyNumberFormat="1" applyFont="1" applyBorder="1"/>
    <xf numFmtId="3" fontId="1" fillId="0" borderId="28" xfId="0" applyNumberFormat="1" applyFont="1" applyFill="1" applyBorder="1" applyAlignment="1">
      <alignment horizontal="right"/>
    </xf>
    <xf numFmtId="3" fontId="1" fillId="0" borderId="20" xfId="0" applyNumberFormat="1" applyFont="1" applyFill="1" applyBorder="1"/>
    <xf numFmtId="3" fontId="1" fillId="0" borderId="21" xfId="0" applyNumberFormat="1" applyFont="1" applyFill="1" applyBorder="1"/>
    <xf numFmtId="3" fontId="1" fillId="0" borderId="22" xfId="0" applyNumberFormat="1" applyFont="1" applyFill="1" applyBorder="1"/>
    <xf numFmtId="3" fontId="1" fillId="0" borderId="0" xfId="0" applyNumberFormat="1" applyFont="1" applyBorder="1" applyAlignment="1">
      <alignment horizontal="left" vertical="top"/>
    </xf>
    <xf numFmtId="3" fontId="1" fillId="0" borderId="20" xfId="0" applyNumberFormat="1" applyFont="1" applyFill="1" applyBorder="1" applyAlignment="1">
      <alignment horizontal="right"/>
    </xf>
    <xf numFmtId="3" fontId="1" fillId="0" borderId="21" xfId="0" applyNumberFormat="1" applyFont="1" applyFill="1" applyBorder="1" applyAlignment="1">
      <alignment horizontal="right"/>
    </xf>
    <xf numFmtId="3" fontId="1" fillId="0" borderId="22" xfId="0" applyNumberFormat="1" applyFont="1" applyFill="1" applyBorder="1" applyAlignment="1">
      <alignment horizontal="right"/>
    </xf>
    <xf numFmtId="3" fontId="2" fillId="0" borderId="18" xfId="0" applyNumberFormat="1" applyFont="1" applyBorder="1"/>
    <xf numFmtId="3" fontId="2" fillId="0" borderId="28" xfId="0" applyNumberFormat="1" applyFont="1" applyFill="1" applyBorder="1"/>
    <xf numFmtId="3" fontId="2" fillId="0" borderId="28" xfId="0" applyNumberFormat="1" applyFont="1" applyFill="1" applyBorder="1" applyAlignment="1">
      <alignment horizontal="right"/>
    </xf>
    <xf numFmtId="4" fontId="2" fillId="0" borderId="25" xfId="0" applyNumberFormat="1" applyFont="1" applyFill="1" applyBorder="1"/>
    <xf numFmtId="4" fontId="2" fillId="0" borderId="26" xfId="0" applyNumberFormat="1" applyFont="1" applyFill="1" applyBorder="1"/>
    <xf numFmtId="4" fontId="1" fillId="0" borderId="38" xfId="0" applyNumberFormat="1" applyFont="1" applyFill="1" applyBorder="1" applyAlignment="1">
      <alignment horizontal="right"/>
    </xf>
    <xf numFmtId="4" fontId="1" fillId="0" borderId="39" xfId="0" applyNumberFormat="1" applyFont="1" applyFill="1" applyBorder="1"/>
    <xf numFmtId="4" fontId="1" fillId="0" borderId="40" xfId="0" applyNumberFormat="1" applyFont="1" applyFill="1" applyBorder="1"/>
    <xf numFmtId="4" fontId="1" fillId="0" borderId="41" xfId="0" applyNumberFormat="1" applyFont="1" applyFill="1" applyBorder="1"/>
    <xf numFmtId="4" fontId="2" fillId="0" borderId="38" xfId="0" applyNumberFormat="1" applyFont="1" applyFill="1" applyBorder="1"/>
    <xf numFmtId="164" fontId="1" fillId="0" borderId="18" xfId="0" applyNumberFormat="1" applyFont="1" applyFill="1" applyBorder="1" applyAlignment="1">
      <alignment horizontal="right"/>
    </xf>
    <xf numFmtId="164" fontId="1" fillId="0" borderId="32" xfId="0" applyNumberFormat="1" applyFont="1" applyFill="1" applyBorder="1"/>
    <xf numFmtId="164" fontId="1" fillId="0" borderId="33" xfId="0" applyNumberFormat="1" applyFont="1" applyFill="1" applyBorder="1"/>
    <xf numFmtId="164" fontId="1" fillId="0" borderId="34" xfId="0" applyNumberFormat="1" applyFont="1" applyFill="1" applyBorder="1"/>
    <xf numFmtId="164" fontId="2" fillId="3" borderId="18" xfId="0" applyNumberFormat="1" applyFont="1" applyFill="1" applyBorder="1"/>
    <xf numFmtId="3" fontId="1" fillId="0" borderId="0" xfId="0" applyNumberFormat="1" applyFont="1" applyBorder="1" applyAlignment="1">
      <alignment horizontal="right" vertical="top"/>
    </xf>
    <xf numFmtId="4" fontId="1" fillId="2" borderId="25" xfId="0" applyNumberFormat="1" applyFont="1" applyFill="1" applyBorder="1" applyAlignment="1">
      <alignment horizontal="left"/>
    </xf>
    <xf numFmtId="3" fontId="1" fillId="2" borderId="28" xfId="0" applyNumberFormat="1" applyFont="1" applyFill="1" applyBorder="1" applyAlignment="1">
      <alignment horizontal="right"/>
    </xf>
    <xf numFmtId="4" fontId="1" fillId="0" borderId="20" xfId="0" applyNumberFormat="1" applyFont="1" applyFill="1" applyBorder="1"/>
    <xf numFmtId="4" fontId="1" fillId="0" borderId="18" xfId="0" applyNumberFormat="1" applyFont="1" applyBorder="1" applyAlignment="1">
      <alignment horizontal="left" vertical="top"/>
    </xf>
    <xf numFmtId="4" fontId="1" fillId="0" borderId="6" xfId="0" applyNumberFormat="1" applyFont="1" applyBorder="1" applyAlignment="1">
      <alignment horizontal="right"/>
    </xf>
    <xf numFmtId="4" fontId="2" fillId="3" borderId="25" xfId="0" applyNumberFormat="1" applyFont="1" applyFill="1" applyBorder="1"/>
    <xf numFmtId="4" fontId="1" fillId="2" borderId="6" xfId="0" applyNumberFormat="1" applyFont="1" applyFill="1" applyBorder="1" applyAlignment="1">
      <alignment horizontal="right"/>
    </xf>
    <xf numFmtId="4" fontId="2" fillId="3" borderId="26" xfId="0" applyNumberFormat="1" applyFont="1" applyFill="1" applyBorder="1"/>
    <xf numFmtId="4" fontId="1" fillId="0" borderId="6" xfId="0" applyNumberFormat="1" applyFont="1" applyBorder="1"/>
    <xf numFmtId="4" fontId="1" fillId="0" borderId="21" xfId="0" applyNumberFormat="1" applyFont="1" applyFill="1" applyBorder="1"/>
    <xf numFmtId="4" fontId="1" fillId="0" borderId="22" xfId="0" applyNumberFormat="1" applyFont="1" applyFill="1" applyBorder="1"/>
    <xf numFmtId="4" fontId="2" fillId="0" borderId="28" xfId="0" applyNumberFormat="1" applyFont="1" applyFill="1" applyBorder="1"/>
    <xf numFmtId="4" fontId="2" fillId="0" borderId="2" xfId="0" applyNumberFormat="1" applyFont="1" applyBorder="1" applyAlignment="1">
      <alignment horizontal="left" vertical="top"/>
    </xf>
    <xf numFmtId="4" fontId="2" fillId="0" borderId="29" xfId="0" applyNumberFormat="1" applyFont="1" applyFill="1" applyBorder="1"/>
    <xf numFmtId="4" fontId="2" fillId="0" borderId="30" xfId="0" applyNumberFormat="1" applyFont="1" applyFill="1" applyBorder="1"/>
    <xf numFmtId="4" fontId="2" fillId="0" borderId="31" xfId="0" applyNumberFormat="1" applyFont="1" applyFill="1" applyBorder="1"/>
    <xf numFmtId="4" fontId="2" fillId="0" borderId="2" xfId="0" applyNumberFormat="1" applyFont="1" applyFill="1" applyBorder="1"/>
    <xf numFmtId="165" fontId="1" fillId="0" borderId="18" xfId="1" applyNumberFormat="1" applyFont="1" applyFill="1" applyBorder="1" applyAlignment="1">
      <alignment horizontal="left" vertical="top"/>
    </xf>
    <xf numFmtId="4" fontId="1" fillId="0" borderId="0" xfId="0" applyNumberFormat="1" applyFont="1" applyAlignment="1">
      <alignment horizontal="left" vertical="top"/>
    </xf>
    <xf numFmtId="0" fontId="1" fillId="0" borderId="0" xfId="0" applyFont="1" applyAlignment="1">
      <alignment horizontal="center" vertical="top"/>
    </xf>
    <xf numFmtId="0" fontId="2" fillId="0" borderId="17" xfId="0" applyFont="1" applyBorder="1" applyAlignment="1">
      <alignment horizontal="left" vertical="top" wrapText="1"/>
    </xf>
    <xf numFmtId="0" fontId="2" fillId="0" borderId="25" xfId="0" applyFont="1" applyBorder="1" applyAlignment="1">
      <alignment horizontal="left" vertical="top" wrapText="1"/>
    </xf>
    <xf numFmtId="0" fontId="2" fillId="0" borderId="2" xfId="0" applyFont="1" applyBorder="1" applyAlignment="1">
      <alignment horizontal="left" vertical="top"/>
    </xf>
    <xf numFmtId="0" fontId="1" fillId="0" borderId="18" xfId="0" applyFont="1" applyBorder="1" applyAlignment="1">
      <alignment horizontal="left" vertical="top" wrapText="1"/>
    </xf>
    <xf numFmtId="0" fontId="1" fillId="0" borderId="26" xfId="0" applyFont="1" applyBorder="1" applyAlignment="1">
      <alignment horizontal="left" vertical="top" wrapText="1"/>
    </xf>
    <xf numFmtId="0" fontId="1" fillId="2" borderId="1" xfId="0" applyFont="1" applyFill="1" applyBorder="1" applyAlignment="1">
      <alignment horizontal="center" vertical="top"/>
    </xf>
    <xf numFmtId="4" fontId="1" fillId="0" borderId="48" xfId="0" applyNumberFormat="1" applyFont="1" applyFill="1" applyBorder="1"/>
    <xf numFmtId="3" fontId="1" fillId="0" borderId="52" xfId="0" applyNumberFormat="1" applyFont="1" applyFill="1" applyBorder="1"/>
    <xf numFmtId="164" fontId="1" fillId="0" borderId="54" xfId="0" applyNumberFormat="1" applyFont="1" applyFill="1" applyBorder="1"/>
    <xf numFmtId="4" fontId="1" fillId="0" borderId="50" xfId="0" applyNumberFormat="1" applyFont="1" applyFill="1" applyBorder="1"/>
    <xf numFmtId="4" fontId="1" fillId="0" borderId="52" xfId="0" applyNumberFormat="1" applyFont="1" applyFill="1" applyBorder="1"/>
    <xf numFmtId="4" fontId="2" fillId="0" borderId="55" xfId="0" applyNumberFormat="1" applyFont="1" applyFill="1" applyBorder="1"/>
    <xf numFmtId="3" fontId="1" fillId="0" borderId="52" xfId="0" applyNumberFormat="1" applyFont="1" applyFill="1" applyBorder="1" applyAlignment="1">
      <alignment horizontal="right"/>
    </xf>
    <xf numFmtId="4" fontId="1" fillId="0" borderId="47" xfId="0" applyNumberFormat="1" applyFont="1" applyFill="1" applyBorder="1"/>
    <xf numFmtId="3" fontId="1" fillId="0" borderId="51" xfId="0" applyNumberFormat="1" applyFont="1" applyFill="1" applyBorder="1"/>
    <xf numFmtId="3" fontId="1" fillId="0" borderId="51" xfId="0" applyNumberFormat="1" applyFont="1" applyFill="1" applyBorder="1" applyAlignment="1">
      <alignment horizontal="right"/>
    </xf>
    <xf numFmtId="164" fontId="1" fillId="0" borderId="59" xfId="0" applyNumberFormat="1" applyFont="1" applyFill="1" applyBorder="1"/>
    <xf numFmtId="4" fontId="1" fillId="0" borderId="49" xfId="0" applyNumberFormat="1" applyFont="1" applyFill="1" applyBorder="1"/>
    <xf numFmtId="4" fontId="1" fillId="0" borderId="51" xfId="0" applyNumberFormat="1" applyFont="1" applyFill="1" applyBorder="1"/>
    <xf numFmtId="4" fontId="2" fillId="0" borderId="60" xfId="0" applyNumberFormat="1" applyFont="1" applyFill="1" applyBorder="1"/>
    <xf numFmtId="0" fontId="2" fillId="0" borderId="24" xfId="0" applyNumberFormat="1" applyFont="1" applyFill="1" applyBorder="1" applyAlignment="1">
      <alignment horizontal="left" vertical="top"/>
    </xf>
    <xf numFmtId="0" fontId="1" fillId="0" borderId="17" xfId="0" applyNumberFormat="1" applyFont="1" applyFill="1" applyBorder="1" applyAlignment="1">
      <alignment horizontal="left" vertical="top"/>
    </xf>
    <xf numFmtId="0" fontId="1" fillId="0" borderId="18" xfId="0" applyNumberFormat="1" applyFont="1" applyFill="1" applyBorder="1" applyAlignment="1">
      <alignment horizontal="left" vertical="top"/>
    </xf>
    <xf numFmtId="0" fontId="1" fillId="0" borderId="19" xfId="0" applyNumberFormat="1" applyFont="1" applyFill="1" applyBorder="1" applyAlignment="1">
      <alignment horizontal="left" vertical="top"/>
    </xf>
    <xf numFmtId="4" fontId="1" fillId="0" borderId="14" xfId="0" applyNumberFormat="1" applyFont="1" applyFill="1" applyBorder="1"/>
    <xf numFmtId="4" fontId="1" fillId="0" borderId="4" xfId="0" applyNumberFormat="1" applyFont="1" applyFill="1" applyBorder="1"/>
    <xf numFmtId="4" fontId="1" fillId="0" borderId="53" xfId="0" applyNumberFormat="1" applyFont="1" applyFill="1" applyBorder="1"/>
    <xf numFmtId="4" fontId="1" fillId="0" borderId="5" xfId="0" applyNumberFormat="1" applyFont="1" applyFill="1" applyBorder="1"/>
    <xf numFmtId="4" fontId="1" fillId="0" borderId="58" xfId="0" applyNumberFormat="1" applyFont="1" applyFill="1" applyBorder="1"/>
    <xf numFmtId="0" fontId="1" fillId="2" borderId="9" xfId="0" applyFont="1" applyFill="1" applyBorder="1" applyAlignment="1">
      <alignment horizontal="center" vertical="top"/>
    </xf>
    <xf numFmtId="9" fontId="2" fillId="2" borderId="25" xfId="2" applyFont="1" applyFill="1" applyBorder="1" applyAlignment="1">
      <alignment horizontal="center" vertical="center"/>
    </xf>
    <xf numFmtId="165" fontId="1" fillId="0" borderId="26" xfId="1" applyNumberFormat="1" applyFont="1" applyBorder="1" applyAlignment="1">
      <alignment horizontal="center" vertical="center"/>
    </xf>
    <xf numFmtId="166" fontId="1" fillId="0" borderId="26" xfId="1" applyNumberFormat="1" applyFont="1" applyBorder="1" applyAlignment="1">
      <alignment horizontal="center" vertical="center"/>
    </xf>
    <xf numFmtId="164" fontId="1" fillId="2" borderId="26" xfId="2" applyNumberFormat="1" applyFont="1" applyFill="1" applyBorder="1" applyAlignment="1">
      <alignment horizontal="center" vertical="center"/>
    </xf>
    <xf numFmtId="0" fontId="1" fillId="2" borderId="26" xfId="0" applyFont="1" applyFill="1" applyBorder="1" applyAlignment="1">
      <alignment horizontal="center" vertical="center"/>
    </xf>
    <xf numFmtId="9" fontId="1" fillId="2" borderId="27" xfId="2" applyFont="1" applyFill="1" applyBorder="1" applyAlignment="1">
      <alignment horizontal="center" vertical="center"/>
    </xf>
    <xf numFmtId="0" fontId="2" fillId="0" borderId="17" xfId="0" applyFont="1" applyBorder="1" applyAlignment="1">
      <alignment horizontal="left" vertical="top"/>
    </xf>
    <xf numFmtId="0" fontId="1" fillId="0" borderId="64" xfId="0" applyFont="1" applyBorder="1" applyAlignment="1">
      <alignment horizontal="left" vertical="top"/>
    </xf>
    <xf numFmtId="0" fontId="1" fillId="0" borderId="65" xfId="0" applyFont="1" applyBorder="1" applyAlignment="1">
      <alignment horizontal="left" vertical="top"/>
    </xf>
    <xf numFmtId="0" fontId="1" fillId="0" borderId="66" xfId="0" applyFont="1" applyBorder="1" applyAlignment="1">
      <alignment horizontal="left" vertical="top"/>
    </xf>
    <xf numFmtId="0" fontId="1" fillId="0" borderId="26" xfId="0" applyFont="1" applyBorder="1" applyAlignment="1">
      <alignment horizontal="left" vertical="top"/>
    </xf>
    <xf numFmtId="0" fontId="1" fillId="0" borderId="27" xfId="0" applyFont="1" applyBorder="1" applyAlignment="1">
      <alignment horizontal="left" vertical="top"/>
    </xf>
    <xf numFmtId="0" fontId="1" fillId="0" borderId="19" xfId="0" applyNumberFormat="1" applyFont="1" applyBorder="1" applyAlignment="1">
      <alignment horizontal="left" vertical="top"/>
    </xf>
    <xf numFmtId="10" fontId="1" fillId="2" borderId="25" xfId="2" applyNumberFormat="1" applyFont="1" applyFill="1" applyBorder="1" applyAlignment="1">
      <alignment horizontal="center" vertical="top"/>
    </xf>
    <xf numFmtId="10" fontId="1" fillId="2" borderId="26" xfId="2" applyNumberFormat="1" applyFont="1" applyFill="1" applyBorder="1" applyAlignment="1">
      <alignment horizontal="center" vertical="top"/>
    </xf>
    <xf numFmtId="0" fontId="1" fillId="2" borderId="25" xfId="0" applyNumberFormat="1" applyFont="1" applyFill="1" applyBorder="1" applyAlignment="1">
      <alignment horizontal="center" vertical="top"/>
    </xf>
    <xf numFmtId="9" fontId="1" fillId="2" borderId="38" xfId="2" applyFont="1" applyFill="1" applyBorder="1" applyAlignment="1">
      <alignment horizontal="center" vertical="top"/>
    </xf>
    <xf numFmtId="9" fontId="1" fillId="2" borderId="26" xfId="2" applyFont="1" applyFill="1" applyBorder="1" applyAlignment="1">
      <alignment horizontal="center" vertical="top"/>
    </xf>
    <xf numFmtId="0" fontId="1" fillId="0" borderId="26" xfId="0" applyNumberFormat="1" applyFont="1" applyBorder="1" applyAlignment="1">
      <alignment horizontal="center" vertical="top"/>
    </xf>
    <xf numFmtId="0" fontId="1" fillId="0" borderId="26" xfId="0" applyFont="1" applyBorder="1" applyAlignment="1">
      <alignment horizontal="center" vertical="top"/>
    </xf>
    <xf numFmtId="0" fontId="1" fillId="2" borderId="26" xfId="0" applyNumberFormat="1" applyFont="1" applyFill="1" applyBorder="1" applyAlignment="1">
      <alignment horizontal="center" vertical="top"/>
    </xf>
    <xf numFmtId="0" fontId="2" fillId="0" borderId="0" xfId="0" applyFont="1" applyBorder="1" applyAlignment="1">
      <alignment horizontal="left" vertical="top"/>
    </xf>
    <xf numFmtId="164" fontId="1" fillId="0" borderId="44" xfId="0" applyNumberFormat="1" applyFont="1" applyFill="1" applyBorder="1" applyAlignment="1">
      <alignment horizontal="left" vertical="top"/>
    </xf>
    <xf numFmtId="164" fontId="1" fillId="0" borderId="42" xfId="0" applyNumberFormat="1" applyFont="1" applyFill="1" applyBorder="1" applyAlignment="1">
      <alignment horizontal="right"/>
    </xf>
    <xf numFmtId="3" fontId="1" fillId="0" borderId="0" xfId="0" applyNumberFormat="1" applyFont="1" applyFill="1" applyBorder="1" applyAlignment="1">
      <alignment horizontal="right" vertical="top"/>
    </xf>
    <xf numFmtId="3" fontId="1" fillId="0" borderId="15" xfId="0" applyNumberFormat="1" applyFont="1" applyFill="1" applyBorder="1"/>
    <xf numFmtId="3" fontId="1" fillId="0" borderId="1" xfId="0" applyNumberFormat="1" applyFont="1" applyFill="1" applyBorder="1"/>
    <xf numFmtId="3" fontId="1" fillId="0" borderId="50" xfId="0" applyNumberFormat="1" applyFont="1" applyFill="1" applyBorder="1"/>
    <xf numFmtId="3" fontId="1" fillId="0" borderId="7" xfId="0" applyNumberFormat="1" applyFont="1" applyFill="1" applyBorder="1"/>
    <xf numFmtId="3" fontId="2" fillId="0" borderId="26" xfId="0" applyNumberFormat="1" applyFont="1" applyFill="1" applyBorder="1"/>
    <xf numFmtId="3" fontId="1" fillId="0" borderId="49" xfId="0" applyNumberFormat="1" applyFont="1" applyFill="1" applyBorder="1"/>
    <xf numFmtId="0" fontId="1" fillId="2" borderId="26" xfId="0" applyFont="1" applyFill="1" applyBorder="1" applyAlignment="1">
      <alignment horizontal="center" vertical="top"/>
    </xf>
    <xf numFmtId="0" fontId="1" fillId="0" borderId="27" xfId="0" applyFont="1" applyBorder="1" applyAlignment="1">
      <alignment horizontal="center" vertical="top"/>
    </xf>
    <xf numFmtId="0" fontId="1" fillId="0" borderId="19" xfId="0" applyFont="1" applyBorder="1" applyAlignment="1">
      <alignment horizontal="center" vertical="top"/>
    </xf>
    <xf numFmtId="165" fontId="2" fillId="0" borderId="18" xfId="1" applyNumberFormat="1" applyFont="1" applyFill="1" applyBorder="1" applyAlignment="1">
      <alignment horizontal="left" vertical="top"/>
    </xf>
    <xf numFmtId="165" fontId="2" fillId="0" borderId="6" xfId="1" applyNumberFormat="1" applyFont="1" applyFill="1" applyBorder="1"/>
    <xf numFmtId="165" fontId="2" fillId="0" borderId="20" xfId="1" applyNumberFormat="1" applyFont="1" applyFill="1" applyBorder="1"/>
    <xf numFmtId="165" fontId="2" fillId="0" borderId="21" xfId="1" applyNumberFormat="1" applyFont="1" applyFill="1" applyBorder="1"/>
    <xf numFmtId="165" fontId="2" fillId="0" borderId="52" xfId="1" applyNumberFormat="1" applyFont="1" applyFill="1" applyBorder="1"/>
    <xf numFmtId="165" fontId="2" fillId="0" borderId="22" xfId="1" applyNumberFormat="1" applyFont="1" applyFill="1" applyBorder="1"/>
    <xf numFmtId="165" fontId="2" fillId="0" borderId="28" xfId="1" applyNumberFormat="1" applyFont="1" applyFill="1" applyBorder="1"/>
    <xf numFmtId="165" fontId="2" fillId="0" borderId="51" xfId="1" applyNumberFormat="1" applyFont="1" applyFill="1" applyBorder="1"/>
    <xf numFmtId="4" fontId="2" fillId="0" borderId="18" xfId="0" applyNumberFormat="1" applyFont="1" applyBorder="1" applyAlignment="1">
      <alignment horizontal="left" vertical="top"/>
    </xf>
    <xf numFmtId="4" fontId="2" fillId="0" borderId="6" xfId="0" applyNumberFormat="1" applyFont="1" applyBorder="1" applyAlignment="1">
      <alignment horizontal="right"/>
    </xf>
    <xf numFmtId="4" fontId="2" fillId="0" borderId="15" xfId="0" applyNumberFormat="1" applyFont="1" applyFill="1" applyBorder="1"/>
    <xf numFmtId="4" fontId="2" fillId="0" borderId="1" xfId="0" applyNumberFormat="1" applyFont="1" applyFill="1" applyBorder="1"/>
    <xf numFmtId="4" fontId="2" fillId="0" borderId="50" xfId="0" applyNumberFormat="1" applyFont="1" applyFill="1" applyBorder="1"/>
    <xf numFmtId="4" fontId="2" fillId="0" borderId="7" xfId="0" applyNumberFormat="1" applyFont="1" applyFill="1" applyBorder="1"/>
    <xf numFmtId="4" fontId="2" fillId="0" borderId="49" xfId="0" applyNumberFormat="1" applyFont="1" applyFill="1" applyBorder="1"/>
    <xf numFmtId="4" fontId="1" fillId="0" borderId="0" xfId="0" applyNumberFormat="1" applyFont="1" applyBorder="1" applyAlignment="1">
      <alignment horizontal="left" vertical="top"/>
    </xf>
    <xf numFmtId="4" fontId="1" fillId="2" borderId="1" xfId="0" applyNumberFormat="1" applyFont="1" applyFill="1" applyBorder="1" applyAlignment="1">
      <alignment horizontal="left" vertical="top"/>
    </xf>
    <xf numFmtId="4" fontId="1" fillId="2" borderId="21" xfId="0" applyNumberFormat="1" applyFont="1" applyFill="1" applyBorder="1" applyAlignment="1">
      <alignment horizontal="left" vertical="top"/>
    </xf>
    <xf numFmtId="0" fontId="1" fillId="0" borderId="0" xfId="0" applyFont="1"/>
    <xf numFmtId="0" fontId="2" fillId="0" borderId="0" xfId="0" applyFont="1"/>
    <xf numFmtId="0" fontId="2" fillId="0" borderId="0" xfId="0" applyFont="1" applyAlignment="1">
      <alignment horizontal="center"/>
    </xf>
    <xf numFmtId="4" fontId="2" fillId="0" borderId="0" xfId="0" applyNumberFormat="1" applyFont="1"/>
    <xf numFmtId="4" fontId="1" fillId="0" borderId="14" xfId="0" applyNumberFormat="1" applyFont="1" applyBorder="1" applyAlignment="1">
      <alignment horizontal="left" vertical="top"/>
    </xf>
    <xf numFmtId="4" fontId="1" fillId="0" borderId="15" xfId="0" applyNumberFormat="1" applyFont="1" applyBorder="1" applyAlignment="1">
      <alignment horizontal="left" vertical="top"/>
    </xf>
    <xf numFmtId="4" fontId="1" fillId="2" borderId="7" xfId="0" applyNumberFormat="1" applyFont="1" applyFill="1" applyBorder="1" applyAlignment="1">
      <alignment horizontal="left" vertical="top"/>
    </xf>
    <xf numFmtId="4" fontId="1" fillId="0" borderId="20" xfId="0" applyNumberFormat="1" applyFont="1" applyBorder="1" applyAlignment="1">
      <alignment horizontal="left" vertical="top"/>
    </xf>
    <xf numFmtId="4" fontId="1" fillId="2" borderId="22" xfId="0" applyNumberFormat="1" applyFont="1" applyFill="1" applyBorder="1" applyAlignment="1">
      <alignment horizontal="left" vertical="top"/>
    </xf>
    <xf numFmtId="4" fontId="2" fillId="0" borderId="0" xfId="0" applyNumberFormat="1" applyFont="1" applyBorder="1"/>
    <xf numFmtId="4" fontId="2" fillId="0" borderId="13" xfId="0" applyNumberFormat="1" applyFont="1" applyBorder="1"/>
    <xf numFmtId="0" fontId="2" fillId="0" borderId="24" xfId="0" applyFont="1" applyBorder="1"/>
    <xf numFmtId="2" fontId="2" fillId="0" borderId="62" xfId="0" applyNumberFormat="1" applyFont="1" applyBorder="1"/>
    <xf numFmtId="2" fontId="2" fillId="0" borderId="46" xfId="0" applyNumberFormat="1" applyFont="1" applyBorder="1"/>
    <xf numFmtId="0" fontId="2" fillId="0" borderId="2" xfId="0" applyFont="1" applyBorder="1"/>
    <xf numFmtId="4" fontId="1" fillId="2" borderId="4" xfId="0" applyNumberFormat="1" applyFont="1" applyFill="1" applyBorder="1" applyAlignment="1">
      <alignment horizontal="right" vertical="top"/>
    </xf>
    <xf numFmtId="4" fontId="1" fillId="2" borderId="5" xfId="0" applyNumberFormat="1" applyFont="1" applyFill="1" applyBorder="1" applyAlignment="1">
      <alignment horizontal="right" vertical="top"/>
    </xf>
    <xf numFmtId="4" fontId="1" fillId="2" borderId="1" xfId="0" applyNumberFormat="1" applyFont="1" applyFill="1" applyBorder="1" applyAlignment="1">
      <alignment horizontal="right" vertical="top"/>
    </xf>
    <xf numFmtId="4" fontId="1" fillId="2" borderId="7" xfId="0" applyNumberFormat="1" applyFont="1" applyFill="1" applyBorder="1" applyAlignment="1">
      <alignment horizontal="right" vertical="top"/>
    </xf>
    <xf numFmtId="4" fontId="1" fillId="2" borderId="21" xfId="0" applyNumberFormat="1" applyFont="1" applyFill="1" applyBorder="1" applyAlignment="1">
      <alignment horizontal="right" vertical="top"/>
    </xf>
    <xf numFmtId="4" fontId="1" fillId="2" borderId="22" xfId="0" applyNumberFormat="1" applyFont="1" applyFill="1" applyBorder="1" applyAlignment="1">
      <alignment horizontal="right" vertical="top"/>
    </xf>
    <xf numFmtId="0" fontId="2" fillId="0" borderId="17" xfId="0" applyFont="1" applyBorder="1"/>
    <xf numFmtId="4" fontId="1" fillId="0" borderId="16" xfId="0" applyNumberFormat="1" applyFont="1" applyBorder="1" applyAlignment="1">
      <alignment horizontal="left" vertical="top"/>
    </xf>
    <xf numFmtId="4" fontId="1" fillId="2" borderId="9" xfId="0" applyNumberFormat="1" applyFont="1" applyFill="1" applyBorder="1" applyAlignment="1">
      <alignment horizontal="right" vertical="top"/>
    </xf>
    <xf numFmtId="4" fontId="1" fillId="2" borderId="10" xfId="0" applyNumberFormat="1" applyFont="1" applyFill="1" applyBorder="1" applyAlignment="1">
      <alignment horizontal="right" vertical="top"/>
    </xf>
    <xf numFmtId="0" fontId="2" fillId="0" borderId="0" xfId="0" applyFont="1" applyBorder="1"/>
    <xf numFmtId="3" fontId="3" fillId="0" borderId="28" xfId="0" applyNumberFormat="1" applyFont="1" applyFill="1" applyBorder="1" applyAlignment="1">
      <alignment horizontal="right"/>
    </xf>
    <xf numFmtId="3" fontId="3" fillId="0" borderId="20" xfId="0" applyNumberFormat="1" applyFont="1" applyFill="1" applyBorder="1" applyAlignment="1">
      <alignment horizontal="right"/>
    </xf>
    <xf numFmtId="3" fontId="3" fillId="0" borderId="21" xfId="0" applyNumberFormat="1" applyFont="1" applyFill="1" applyBorder="1" applyAlignment="1">
      <alignment horizontal="right"/>
    </xf>
    <xf numFmtId="3" fontId="3" fillId="0" borderId="22" xfId="0" applyNumberFormat="1" applyFont="1" applyFill="1" applyBorder="1" applyAlignment="1">
      <alignment horizontal="right"/>
    </xf>
    <xf numFmtId="3" fontId="6" fillId="0" borderId="28" xfId="0" applyNumberFormat="1" applyFont="1" applyFill="1" applyBorder="1" applyAlignment="1">
      <alignment horizontal="right"/>
    </xf>
    <xf numFmtId="3" fontId="3" fillId="0" borderId="52" xfId="0" applyNumberFormat="1" applyFont="1" applyFill="1" applyBorder="1" applyAlignment="1">
      <alignment horizontal="right"/>
    </xf>
    <xf numFmtId="3" fontId="3" fillId="0" borderId="43" xfId="0" applyNumberFormat="1" applyFont="1" applyFill="1" applyBorder="1" applyAlignment="1">
      <alignment horizontal="right"/>
    </xf>
    <xf numFmtId="9" fontId="3" fillId="0" borderId="1" xfId="2" applyNumberFormat="1" applyFont="1" applyFill="1" applyBorder="1"/>
    <xf numFmtId="0" fontId="1" fillId="0" borderId="27" xfId="0" applyFont="1" applyBorder="1" applyAlignment="1">
      <alignment horizontal="left" vertical="top" wrapText="1"/>
    </xf>
    <xf numFmtId="2" fontId="7" fillId="4" borderId="1" xfId="0" applyNumberFormat="1" applyFont="1" applyFill="1" applyBorder="1" applyAlignment="1">
      <alignment horizontal="center" vertical="top"/>
    </xf>
    <xf numFmtId="2" fontId="7" fillId="4" borderId="9" xfId="0" applyNumberFormat="1" applyFont="1" applyFill="1" applyBorder="1" applyAlignment="1">
      <alignment horizontal="center" vertical="top"/>
    </xf>
    <xf numFmtId="4" fontId="1" fillId="0" borderId="11" xfId="0" applyNumberFormat="1" applyFont="1" applyBorder="1" applyAlignment="1">
      <alignment horizontal="left" vertical="top"/>
    </xf>
    <xf numFmtId="3" fontId="3" fillId="0" borderId="0" xfId="0" applyNumberFormat="1" applyFont="1" applyBorder="1" applyAlignment="1">
      <alignment horizontal="left" vertical="top"/>
    </xf>
    <xf numFmtId="3" fontId="3" fillId="0" borderId="45" xfId="0" applyNumberFormat="1" applyFont="1" applyBorder="1" applyAlignment="1">
      <alignment horizontal="right" vertical="top"/>
    </xf>
    <xf numFmtId="165" fontId="2" fillId="0" borderId="0" xfId="1" applyNumberFormat="1" applyFont="1" applyFill="1" applyBorder="1" applyAlignment="1">
      <alignment horizontal="left" vertical="top"/>
    </xf>
    <xf numFmtId="4" fontId="2" fillId="0" borderId="0" xfId="0" applyNumberFormat="1" applyFont="1" applyBorder="1" applyAlignment="1">
      <alignment horizontal="left" vertical="top"/>
    </xf>
    <xf numFmtId="4" fontId="1" fillId="0" borderId="17" xfId="0" applyNumberFormat="1" applyFont="1" applyBorder="1" applyAlignment="1">
      <alignment horizontal="left" vertical="top"/>
    </xf>
    <xf numFmtId="3" fontId="1" fillId="0" borderId="18" xfId="0" applyNumberFormat="1" applyFont="1" applyBorder="1" applyAlignment="1">
      <alignment horizontal="left" vertical="top"/>
    </xf>
    <xf numFmtId="10" fontId="1" fillId="0" borderId="19" xfId="0" applyNumberFormat="1" applyFont="1" applyBorder="1" applyAlignment="1">
      <alignment horizontal="left" vertical="top"/>
    </xf>
    <xf numFmtId="4" fontId="2" fillId="0" borderId="62" xfId="0" applyNumberFormat="1" applyFont="1" applyBorder="1" applyAlignment="1">
      <alignment horizontal="left" vertical="top"/>
    </xf>
    <xf numFmtId="4" fontId="2" fillId="0" borderId="24" xfId="0" applyNumberFormat="1" applyFont="1" applyBorder="1" applyAlignment="1">
      <alignment horizontal="right"/>
    </xf>
    <xf numFmtId="4" fontId="1" fillId="0" borderId="26" xfId="0" applyNumberFormat="1" applyFont="1" applyFill="1" applyBorder="1"/>
    <xf numFmtId="4" fontId="1" fillId="0" borderId="28" xfId="0" applyNumberFormat="1" applyFont="1" applyFill="1" applyBorder="1"/>
    <xf numFmtId="3" fontId="1" fillId="0" borderId="0" xfId="0" applyNumberFormat="1" applyFont="1"/>
    <xf numFmtId="3" fontId="1" fillId="0" borderId="0" xfId="0" applyNumberFormat="1" applyFont="1" applyAlignment="1">
      <alignment horizontal="left" vertical="top"/>
    </xf>
    <xf numFmtId="3" fontId="2" fillId="0" borderId="0" xfId="0" applyNumberFormat="1" applyFont="1"/>
    <xf numFmtId="3" fontId="2" fillId="0" borderId="0" xfId="0" applyNumberFormat="1" applyFont="1" applyBorder="1"/>
    <xf numFmtId="4" fontId="1" fillId="0" borderId="0" xfId="0" applyNumberFormat="1" applyFont="1"/>
    <xf numFmtId="4" fontId="1" fillId="0" borderId="0" xfId="0" applyNumberFormat="1" applyFont="1" applyFill="1"/>
    <xf numFmtId="3" fontId="1" fillId="0" borderId="0" xfId="0" applyNumberFormat="1" applyFont="1" applyFill="1"/>
    <xf numFmtId="164" fontId="1" fillId="0" borderId="0" xfId="0" applyNumberFormat="1" applyFont="1" applyFill="1" applyBorder="1"/>
    <xf numFmtId="164" fontId="1" fillId="0" borderId="0" xfId="0" applyNumberFormat="1" applyFont="1" applyFill="1"/>
    <xf numFmtId="3" fontId="1" fillId="0" borderId="0" xfId="0" applyNumberFormat="1" applyFont="1" applyAlignment="1">
      <alignment horizontal="right"/>
    </xf>
    <xf numFmtId="3" fontId="3" fillId="0" borderId="0" xfId="0" applyNumberFormat="1" applyFont="1" applyAlignment="1">
      <alignment horizontal="right"/>
    </xf>
    <xf numFmtId="3" fontId="3" fillId="0" borderId="0" xfId="0" applyNumberFormat="1" applyFont="1"/>
    <xf numFmtId="10" fontId="1" fillId="0" borderId="0" xfId="0" applyNumberFormat="1" applyFont="1"/>
    <xf numFmtId="165" fontId="2" fillId="0" borderId="0" xfId="1" applyNumberFormat="1" applyFont="1" applyFill="1"/>
    <xf numFmtId="9" fontId="3" fillId="0" borderId="18" xfId="2" applyNumberFormat="1" applyFont="1" applyFill="1" applyBorder="1" applyAlignment="1">
      <alignment horizontal="right"/>
    </xf>
    <xf numFmtId="3" fontId="3" fillId="0" borderId="0" xfId="0" applyNumberFormat="1" applyFont="1" applyFill="1" applyBorder="1"/>
    <xf numFmtId="9" fontId="1" fillId="0" borderId="18" xfId="2" applyNumberFormat="1" applyFont="1" applyFill="1" applyBorder="1" applyAlignment="1">
      <alignment horizontal="left"/>
    </xf>
    <xf numFmtId="3" fontId="1" fillId="0" borderId="18" xfId="0" applyNumberFormat="1" applyFont="1" applyFill="1" applyBorder="1" applyAlignment="1">
      <alignment horizontal="right"/>
    </xf>
    <xf numFmtId="3" fontId="6" fillId="0" borderId="26" xfId="0" applyNumberFormat="1" applyFont="1" applyFill="1" applyBorder="1"/>
    <xf numFmtId="164" fontId="2" fillId="3" borderId="38" xfId="0" applyNumberFormat="1" applyFont="1" applyFill="1" applyBorder="1"/>
    <xf numFmtId="164" fontId="1" fillId="0" borderId="39" xfId="0" applyNumberFormat="1" applyFont="1" applyFill="1" applyBorder="1"/>
    <xf numFmtId="164" fontId="1" fillId="0" borderId="40" xfId="0" applyNumberFormat="1" applyFont="1" applyFill="1" applyBorder="1"/>
    <xf numFmtId="164" fontId="1" fillId="0" borderId="48" xfId="0" applyNumberFormat="1" applyFont="1" applyFill="1" applyBorder="1"/>
    <xf numFmtId="164" fontId="1" fillId="0" borderId="41" xfId="0" applyNumberFormat="1" applyFont="1" applyFill="1" applyBorder="1"/>
    <xf numFmtId="164" fontId="2" fillId="3" borderId="67" xfId="0" applyNumberFormat="1" applyFont="1" applyFill="1" applyBorder="1"/>
    <xf numFmtId="164" fontId="1" fillId="0" borderId="1" xfId="0" applyNumberFormat="1" applyFont="1" applyFill="1" applyBorder="1"/>
    <xf numFmtId="164" fontId="1" fillId="0" borderId="49" xfId="0" applyNumberFormat="1" applyFont="1" applyFill="1" applyBorder="1"/>
    <xf numFmtId="164" fontId="1" fillId="0" borderId="47" xfId="0" applyNumberFormat="1" applyFont="1" applyFill="1" applyBorder="1"/>
    <xf numFmtId="164" fontId="1" fillId="0" borderId="68" xfId="0" applyNumberFormat="1" applyFont="1" applyFill="1" applyBorder="1"/>
    <xf numFmtId="4" fontId="1" fillId="0" borderId="0" xfId="0" applyNumberFormat="1" applyFont="1" applyBorder="1"/>
    <xf numFmtId="4" fontId="1" fillId="0" borderId="0" xfId="0" applyNumberFormat="1" applyFont="1" applyBorder="1" applyAlignment="1">
      <alignment horizontal="right"/>
    </xf>
    <xf numFmtId="4" fontId="1" fillId="0" borderId="0" xfId="0" applyNumberFormat="1" applyFont="1" applyFill="1" applyBorder="1"/>
    <xf numFmtId="4" fontId="2" fillId="0" borderId="0" xfId="0" applyNumberFormat="1" applyFont="1" applyBorder="1" applyAlignment="1">
      <alignment horizontal="right"/>
    </xf>
    <xf numFmtId="4" fontId="2" fillId="0" borderId="0" xfId="0" applyNumberFormat="1" applyFont="1" applyFill="1" applyBorder="1"/>
    <xf numFmtId="10" fontId="1" fillId="0" borderId="16" xfId="0" applyNumberFormat="1" applyFont="1" applyFill="1" applyBorder="1"/>
    <xf numFmtId="10" fontId="1" fillId="0" borderId="9" xfId="0" applyNumberFormat="1" applyFont="1" applyFill="1" applyBorder="1"/>
    <xf numFmtId="10" fontId="1" fillId="0" borderId="57" xfId="0" applyNumberFormat="1" applyFont="1" applyFill="1" applyBorder="1"/>
    <xf numFmtId="10" fontId="1" fillId="0" borderId="10" xfId="0" applyNumberFormat="1" applyFont="1" applyFill="1" applyBorder="1"/>
    <xf numFmtId="10" fontId="1" fillId="3" borderId="27" xfId="0" applyNumberFormat="1" applyFont="1" applyFill="1" applyBorder="1"/>
    <xf numFmtId="10" fontId="1" fillId="0" borderId="61" xfId="0" applyNumberFormat="1" applyFont="1" applyFill="1" applyBorder="1"/>
    <xf numFmtId="4" fontId="2" fillId="0" borderId="19" xfId="0" applyNumberFormat="1" applyFont="1" applyBorder="1" applyAlignment="1">
      <alignment horizontal="left" vertical="top"/>
    </xf>
    <xf numFmtId="9" fontId="1" fillId="0" borderId="18" xfId="2" applyNumberFormat="1" applyFont="1" applyFill="1" applyBorder="1"/>
    <xf numFmtId="4" fontId="1" fillId="0" borderId="19" xfId="0" applyNumberFormat="1" applyFont="1" applyBorder="1" applyAlignment="1">
      <alignment horizontal="left" vertical="top"/>
    </xf>
    <xf numFmtId="9" fontId="1" fillId="0" borderId="19" xfId="2" applyNumberFormat="1" applyFont="1" applyFill="1" applyBorder="1" applyAlignment="1">
      <alignment horizontal="left"/>
    </xf>
    <xf numFmtId="3" fontId="1" fillId="0" borderId="63" xfId="0" applyNumberFormat="1" applyFont="1" applyFill="1" applyBorder="1" applyAlignment="1">
      <alignment horizontal="right" vertical="top"/>
    </xf>
    <xf numFmtId="3" fontId="1" fillId="0" borderId="19" xfId="0" applyNumberFormat="1" applyFont="1" applyFill="1" applyBorder="1" applyAlignment="1">
      <alignment horizontal="right"/>
    </xf>
    <xf numFmtId="3" fontId="1" fillId="0" borderId="16" xfId="0" applyNumberFormat="1" applyFont="1" applyFill="1" applyBorder="1" applyAlignment="1">
      <alignment horizontal="right"/>
    </xf>
    <xf numFmtId="3" fontId="1" fillId="0" borderId="9" xfId="0" applyNumberFormat="1" applyFont="1" applyFill="1" applyBorder="1" applyAlignment="1">
      <alignment horizontal="right"/>
    </xf>
    <xf numFmtId="3" fontId="1" fillId="0" borderId="10" xfId="0" applyNumberFormat="1" applyFont="1" applyFill="1" applyBorder="1" applyAlignment="1">
      <alignment horizontal="right"/>
    </xf>
    <xf numFmtId="3" fontId="6" fillId="0" borderId="19" xfId="0" applyNumberFormat="1" applyFont="1" applyFill="1" applyBorder="1"/>
    <xf numFmtId="3" fontId="1" fillId="0" borderId="57" xfId="0" applyNumberFormat="1" applyFont="1" applyFill="1" applyBorder="1" applyAlignment="1">
      <alignment horizontal="right"/>
    </xf>
    <xf numFmtId="10" fontId="1" fillId="0" borderId="63" xfId="0" applyNumberFormat="1" applyFont="1" applyBorder="1" applyAlignment="1">
      <alignment horizontal="left" vertical="top"/>
    </xf>
    <xf numFmtId="10" fontId="1" fillId="2" borderId="8" xfId="0" applyNumberFormat="1" applyFont="1" applyFill="1" applyBorder="1"/>
    <xf numFmtId="164" fontId="3" fillId="0" borderId="17" xfId="0" applyNumberFormat="1" applyFont="1" applyBorder="1" applyAlignment="1">
      <alignment horizontal="left" vertical="top"/>
    </xf>
    <xf numFmtId="164" fontId="3" fillId="0" borderId="11" xfId="0" applyNumberFormat="1" applyFont="1" applyBorder="1" applyAlignment="1">
      <alignment horizontal="left" vertical="top"/>
    </xf>
    <xf numFmtId="164" fontId="3" fillId="0" borderId="17" xfId="0" applyNumberFormat="1" applyFont="1" applyFill="1" applyBorder="1" applyAlignment="1">
      <alignment horizontal="right"/>
    </xf>
    <xf numFmtId="164" fontId="3" fillId="0" borderId="35" xfId="2" applyNumberFormat="1" applyFont="1" applyFill="1" applyBorder="1" applyAlignment="1">
      <alignment horizontal="right"/>
    </xf>
    <xf numFmtId="164" fontId="3" fillId="0" borderId="36" xfId="2" applyNumberFormat="1" applyFont="1" applyFill="1" applyBorder="1" applyAlignment="1">
      <alignment horizontal="right"/>
    </xf>
    <xf numFmtId="164" fontId="3" fillId="0" borderId="37" xfId="2" applyNumberFormat="1" applyFont="1" applyFill="1" applyBorder="1" applyAlignment="1">
      <alignment horizontal="right"/>
    </xf>
    <xf numFmtId="164" fontId="6" fillId="3" borderId="25" xfId="0" applyNumberFormat="1" applyFont="1" applyFill="1" applyBorder="1"/>
    <xf numFmtId="164" fontId="3" fillId="0" borderId="56" xfId="2" applyNumberFormat="1" applyFont="1" applyFill="1" applyBorder="1" applyAlignment="1">
      <alignment horizontal="right"/>
    </xf>
    <xf numFmtId="164" fontId="3" fillId="0" borderId="0" xfId="0" applyNumberFormat="1" applyFont="1"/>
    <xf numFmtId="164" fontId="3" fillId="0" borderId="18" xfId="0" applyNumberFormat="1" applyFont="1" applyBorder="1" applyAlignment="1">
      <alignment horizontal="left" vertical="top"/>
    </xf>
    <xf numFmtId="164" fontId="3" fillId="0" borderId="0" xfId="0" applyNumberFormat="1" applyFont="1" applyBorder="1" applyAlignment="1">
      <alignment horizontal="left" vertical="top"/>
    </xf>
    <xf numFmtId="164" fontId="3" fillId="0" borderId="18" xfId="0" applyNumberFormat="1" applyFont="1" applyFill="1" applyBorder="1" applyAlignment="1">
      <alignment horizontal="right"/>
    </xf>
    <xf numFmtId="164" fontId="3" fillId="0" borderId="20" xfId="2" applyNumberFormat="1" applyFont="1" applyFill="1" applyBorder="1" applyAlignment="1">
      <alignment horizontal="right"/>
    </xf>
    <xf numFmtId="164" fontId="3" fillId="0" borderId="21" xfId="2" applyNumberFormat="1" applyFont="1" applyFill="1" applyBorder="1" applyAlignment="1">
      <alignment horizontal="right"/>
    </xf>
    <xf numFmtId="164" fontId="3" fillId="0" borderId="22" xfId="2" applyNumberFormat="1" applyFont="1" applyFill="1" applyBorder="1" applyAlignment="1">
      <alignment horizontal="right"/>
    </xf>
    <xf numFmtId="164" fontId="3" fillId="3" borderId="26" xfId="0" applyNumberFormat="1" applyFont="1" applyFill="1" applyBorder="1"/>
    <xf numFmtId="164" fontId="3" fillId="0" borderId="52" xfId="2" applyNumberFormat="1" applyFont="1" applyFill="1" applyBorder="1" applyAlignment="1">
      <alignment horizontal="right"/>
    </xf>
    <xf numFmtId="164" fontId="3" fillId="0" borderId="19" xfId="0" applyNumberFormat="1" applyFont="1" applyBorder="1" applyAlignment="1">
      <alignment horizontal="left" vertical="top"/>
    </xf>
    <xf numFmtId="164" fontId="3" fillId="0" borderId="63" xfId="0" applyNumberFormat="1" applyFont="1" applyBorder="1" applyAlignment="1">
      <alignment horizontal="left" vertical="top"/>
    </xf>
    <xf numFmtId="164" fontId="3" fillId="0" borderId="19" xfId="0" applyNumberFormat="1" applyFont="1" applyFill="1" applyBorder="1" applyAlignment="1">
      <alignment horizontal="right"/>
    </xf>
    <xf numFmtId="164" fontId="3" fillId="0" borderId="16" xfId="2" applyNumberFormat="1" applyFont="1" applyFill="1" applyBorder="1" applyAlignment="1">
      <alignment horizontal="right"/>
    </xf>
    <xf numFmtId="164" fontId="3" fillId="0" borderId="9" xfId="2" applyNumberFormat="1" applyFont="1" applyFill="1" applyBorder="1" applyAlignment="1">
      <alignment horizontal="right"/>
    </xf>
    <xf numFmtId="164" fontId="3" fillId="0" borderId="10" xfId="2" applyNumberFormat="1" applyFont="1" applyFill="1" applyBorder="1" applyAlignment="1">
      <alignment horizontal="right"/>
    </xf>
    <xf numFmtId="164" fontId="3" fillId="3" borderId="27" xfId="0" applyNumberFormat="1" applyFont="1" applyFill="1" applyBorder="1"/>
    <xf numFmtId="164" fontId="3" fillId="0" borderId="57" xfId="2" applyNumberFormat="1" applyFont="1" applyFill="1" applyBorder="1" applyAlignment="1">
      <alignment horizontal="right"/>
    </xf>
    <xf numFmtId="9" fontId="3" fillId="0" borderId="17" xfId="2" applyFont="1" applyBorder="1" applyAlignment="1">
      <alignment horizontal="left" vertical="top"/>
    </xf>
    <xf numFmtId="9" fontId="3" fillId="0" borderId="11" xfId="2" applyFont="1" applyBorder="1" applyAlignment="1">
      <alignment horizontal="right" vertical="top"/>
    </xf>
    <xf numFmtId="9" fontId="3" fillId="0" borderId="17" xfId="2" applyFont="1" applyFill="1" applyBorder="1" applyAlignment="1">
      <alignment horizontal="right"/>
    </xf>
    <xf numFmtId="164" fontId="3" fillId="0" borderId="14" xfId="2" applyNumberFormat="1" applyFont="1" applyFill="1" applyBorder="1" applyAlignment="1">
      <alignment horizontal="right"/>
    </xf>
    <xf numFmtId="164" fontId="3" fillId="0" borderId="4" xfId="2" applyNumberFormat="1" applyFont="1" applyFill="1" applyBorder="1" applyAlignment="1">
      <alignment horizontal="right"/>
    </xf>
    <xf numFmtId="164" fontId="3" fillId="0" borderId="5" xfId="2" applyNumberFormat="1" applyFont="1" applyFill="1" applyBorder="1" applyAlignment="1">
      <alignment horizontal="right"/>
    </xf>
    <xf numFmtId="9" fontId="3" fillId="3" borderId="25" xfId="2" applyFont="1" applyFill="1" applyBorder="1"/>
    <xf numFmtId="164" fontId="3" fillId="0" borderId="53" xfId="2" applyNumberFormat="1" applyFont="1" applyFill="1" applyBorder="1" applyAlignment="1">
      <alignment horizontal="right"/>
    </xf>
    <xf numFmtId="9" fontId="3" fillId="0" borderId="0" xfId="2" applyFont="1"/>
    <xf numFmtId="0" fontId="3" fillId="0" borderId="18" xfId="0" applyFont="1" applyBorder="1" applyAlignment="1">
      <alignment horizontal="left" vertical="top"/>
    </xf>
    <xf numFmtId="0" fontId="3" fillId="0" borderId="0" xfId="0" applyFont="1" applyBorder="1" applyAlignment="1">
      <alignment horizontal="left" vertical="top"/>
    </xf>
    <xf numFmtId="0" fontId="3" fillId="2" borderId="3" xfId="0" applyFont="1" applyFill="1" applyBorder="1"/>
    <xf numFmtId="4" fontId="3" fillId="0" borderId="39" xfId="0" applyNumberFormat="1" applyFont="1" applyFill="1" applyBorder="1"/>
    <xf numFmtId="4" fontId="3" fillId="0" borderId="40" xfId="0" applyNumberFormat="1" applyFont="1" applyFill="1" applyBorder="1"/>
    <xf numFmtId="4" fontId="3" fillId="0" borderId="48" xfId="0" applyNumberFormat="1" applyFont="1" applyFill="1" applyBorder="1"/>
    <xf numFmtId="4" fontId="3" fillId="0" borderId="41" xfId="0" applyNumberFormat="1" applyFont="1" applyFill="1" applyBorder="1"/>
    <xf numFmtId="4" fontId="6" fillId="3" borderId="38" xfId="0" applyNumberFormat="1" applyFont="1" applyFill="1" applyBorder="1"/>
    <xf numFmtId="4" fontId="3" fillId="0" borderId="47" xfId="0" applyNumberFormat="1" applyFont="1" applyFill="1" applyBorder="1"/>
    <xf numFmtId="0" fontId="3" fillId="0" borderId="0" xfId="0" applyFont="1"/>
    <xf numFmtId="10" fontId="3" fillId="0" borderId="18" xfId="0" applyNumberFormat="1" applyFont="1" applyBorder="1" applyAlignment="1">
      <alignment horizontal="left" vertical="top"/>
    </xf>
    <xf numFmtId="10" fontId="3" fillId="0" borderId="0" xfId="0" applyNumberFormat="1" applyFont="1" applyBorder="1" applyAlignment="1">
      <alignment horizontal="left" vertical="top"/>
    </xf>
    <xf numFmtId="10" fontId="3" fillId="2" borderId="6" xfId="0" applyNumberFormat="1" applyFont="1" applyFill="1" applyBorder="1"/>
    <xf numFmtId="10" fontId="3" fillId="0" borderId="15" xfId="0" applyNumberFormat="1" applyFont="1" applyFill="1" applyBorder="1"/>
    <xf numFmtId="10" fontId="3" fillId="0" borderId="1" xfId="0" applyNumberFormat="1" applyFont="1" applyFill="1" applyBorder="1"/>
    <xf numFmtId="10" fontId="3" fillId="0" borderId="50" xfId="0" applyNumberFormat="1" applyFont="1" applyFill="1" applyBorder="1"/>
    <xf numFmtId="10" fontId="3" fillId="0" borderId="7" xfId="0" applyNumberFormat="1" applyFont="1" applyFill="1" applyBorder="1"/>
    <xf numFmtId="10" fontId="3" fillId="3" borderId="26" xfId="0" applyNumberFormat="1" applyFont="1" applyFill="1" applyBorder="1"/>
    <xf numFmtId="10" fontId="3" fillId="0" borderId="49" xfId="0" applyNumberFormat="1" applyFont="1" applyFill="1" applyBorder="1"/>
    <xf numFmtId="10" fontId="3" fillId="0" borderId="0" xfId="0" applyNumberFormat="1" applyFont="1"/>
    <xf numFmtId="2" fontId="1" fillId="2" borderId="7" xfId="0" applyNumberFormat="1" applyFont="1" applyFill="1" applyBorder="1" applyAlignment="1">
      <alignment horizontal="center" vertical="top"/>
    </xf>
    <xf numFmtId="2" fontId="1" fillId="2" borderId="10" xfId="0" applyNumberFormat="1" applyFont="1" applyFill="1" applyBorder="1" applyAlignment="1">
      <alignment horizontal="center" vertical="top"/>
    </xf>
    <xf numFmtId="0" fontId="1" fillId="2" borderId="40" xfId="0" applyFont="1" applyFill="1" applyBorder="1" applyAlignment="1">
      <alignment horizontal="center" vertical="top"/>
    </xf>
    <xf numFmtId="2" fontId="7" fillId="4" borderId="40" xfId="0" applyNumberFormat="1" applyFont="1" applyFill="1" applyBorder="1" applyAlignment="1">
      <alignment horizontal="center" vertical="top"/>
    </xf>
    <xf numFmtId="2" fontId="1" fillId="2" borderId="41" xfId="0" applyNumberFormat="1" applyFont="1" applyFill="1" applyBorder="1" applyAlignment="1">
      <alignment horizontal="center" vertical="top"/>
    </xf>
    <xf numFmtId="0" fontId="1" fillId="0" borderId="62" xfId="0" applyFont="1" applyBorder="1" applyAlignment="1">
      <alignment horizontal="center" vertical="top" wrapText="1"/>
    </xf>
    <xf numFmtId="0" fontId="1" fillId="0" borderId="46" xfId="0" applyFont="1" applyBorder="1" applyAlignment="1">
      <alignment horizontal="center" vertical="top" wrapText="1"/>
    </xf>
    <xf numFmtId="4" fontId="1" fillId="2" borderId="47" xfId="0" applyNumberFormat="1" applyFont="1" applyFill="1" applyBorder="1" applyAlignment="1">
      <alignment horizontal="center" vertical="top"/>
    </xf>
    <xf numFmtId="4" fontId="1" fillId="2" borderId="49" xfId="0" applyNumberFormat="1" applyFont="1" applyFill="1" applyBorder="1" applyAlignment="1">
      <alignment horizontal="center" vertical="top"/>
    </xf>
    <xf numFmtId="4" fontId="1" fillId="2" borderId="61" xfId="0" applyNumberFormat="1" applyFont="1" applyFill="1" applyBorder="1" applyAlignment="1">
      <alignment horizontal="center" vertical="top"/>
    </xf>
    <xf numFmtId="0" fontId="1" fillId="0" borderId="2" xfId="0" applyFont="1" applyBorder="1" applyAlignment="1">
      <alignment horizontal="left" vertical="top" wrapText="1"/>
    </xf>
    <xf numFmtId="0" fontId="1" fillId="0" borderId="18" xfId="0" applyNumberFormat="1" applyFont="1" applyBorder="1" applyAlignment="1">
      <alignment horizontal="left" vertical="top"/>
    </xf>
    <xf numFmtId="9" fontId="3" fillId="0" borderId="18" xfId="2" applyNumberFormat="1" applyFont="1" applyFill="1" applyBorder="1"/>
    <xf numFmtId="3" fontId="3" fillId="0" borderId="0" xfId="0" applyNumberFormat="1" applyFont="1" applyFill="1"/>
    <xf numFmtId="9" fontId="3" fillId="0" borderId="0" xfId="2" applyNumberFormat="1" applyFont="1" applyFill="1" applyBorder="1"/>
    <xf numFmtId="9" fontId="3" fillId="0" borderId="0" xfId="2" applyNumberFormat="1" applyFont="1" applyFill="1" applyBorder="1" applyAlignment="1">
      <alignment horizontal="right" vertical="top"/>
    </xf>
    <xf numFmtId="9" fontId="3" fillId="0" borderId="28" xfId="2" applyNumberFormat="1" applyFont="1" applyFill="1" applyBorder="1" applyAlignment="1">
      <alignment horizontal="right"/>
    </xf>
    <xf numFmtId="9" fontId="3" fillId="0" borderId="20" xfId="2" applyNumberFormat="1" applyFont="1" applyFill="1" applyBorder="1"/>
    <xf numFmtId="9" fontId="3" fillId="0" borderId="52" xfId="2" applyNumberFormat="1" applyFont="1" applyFill="1" applyBorder="1"/>
    <xf numFmtId="9" fontId="3" fillId="0" borderId="22" xfId="2" applyNumberFormat="1" applyFont="1" applyFill="1" applyBorder="1"/>
    <xf numFmtId="9" fontId="6" fillId="3" borderId="28" xfId="2" applyNumberFormat="1" applyFont="1" applyFill="1" applyBorder="1"/>
    <xf numFmtId="9" fontId="3" fillId="0" borderId="21" xfId="2" applyNumberFormat="1" applyFont="1" applyFill="1" applyBorder="1"/>
    <xf numFmtId="9" fontId="3" fillId="0" borderId="51" xfId="2" applyNumberFormat="1" applyFont="1" applyFill="1" applyBorder="1"/>
    <xf numFmtId="9" fontId="3" fillId="0" borderId="0" xfId="2" applyNumberFormat="1" applyFont="1" applyFill="1"/>
    <xf numFmtId="9" fontId="3" fillId="0" borderId="0" xfId="0" applyNumberFormat="1" applyFont="1" applyFill="1" applyBorder="1"/>
    <xf numFmtId="9" fontId="3" fillId="0" borderId="45" xfId="0" applyNumberFormat="1" applyFont="1" applyFill="1" applyBorder="1" applyAlignment="1">
      <alignment horizontal="right" vertical="top"/>
    </xf>
    <xf numFmtId="9" fontId="3" fillId="0" borderId="43" xfId="0" applyNumberFormat="1" applyFont="1" applyFill="1" applyBorder="1" applyAlignment="1">
      <alignment horizontal="right"/>
    </xf>
    <xf numFmtId="9" fontId="3" fillId="0" borderId="0" xfId="0" applyNumberFormat="1" applyFont="1" applyFill="1"/>
    <xf numFmtId="164" fontId="1" fillId="0" borderId="0" xfId="0" applyNumberFormat="1" applyFont="1" applyFill="1" applyBorder="1" applyAlignment="1">
      <alignment horizontal="left" vertical="top"/>
    </xf>
    <xf numFmtId="9" fontId="3" fillId="0" borderId="15" xfId="0" applyNumberFormat="1" applyFont="1" applyFill="1" applyBorder="1"/>
    <xf numFmtId="9" fontId="3" fillId="0" borderId="1" xfId="0" applyNumberFormat="1" applyFont="1" applyFill="1" applyBorder="1"/>
    <xf numFmtId="9" fontId="3" fillId="0" borderId="50" xfId="0" applyNumberFormat="1" applyFont="1" applyFill="1" applyBorder="1"/>
    <xf numFmtId="9" fontId="3" fillId="0" borderId="7" xfId="0" applyNumberFormat="1" applyFont="1" applyFill="1" applyBorder="1"/>
    <xf numFmtId="9" fontId="6" fillId="3" borderId="26" xfId="0" applyNumberFormat="1" applyFont="1" applyFill="1" applyBorder="1"/>
    <xf numFmtId="9" fontId="3" fillId="0" borderId="49" xfId="0" applyNumberFormat="1" applyFont="1" applyFill="1" applyBorder="1"/>
    <xf numFmtId="164" fontId="2" fillId="3" borderId="6" xfId="0" applyNumberFormat="1" applyFont="1" applyFill="1" applyBorder="1"/>
    <xf numFmtId="164" fontId="1" fillId="0" borderId="51" xfId="0" applyNumberFormat="1" applyFont="1" applyFill="1" applyBorder="1"/>
    <xf numFmtId="164" fontId="1" fillId="0" borderId="69" xfId="0" applyNumberFormat="1" applyFont="1" applyFill="1" applyBorder="1"/>
    <xf numFmtId="9" fontId="3" fillId="0" borderId="17" xfId="2" applyNumberFormat="1" applyFont="1" applyFill="1" applyBorder="1"/>
    <xf numFmtId="3" fontId="3" fillId="0" borderId="11" xfId="0" applyNumberFormat="1" applyFont="1" applyFill="1" applyBorder="1" applyAlignment="1">
      <alignment horizontal="right" vertical="top"/>
    </xf>
    <xf numFmtId="3" fontId="3" fillId="0" borderId="25" xfId="0" applyNumberFormat="1" applyFont="1" applyFill="1" applyBorder="1" applyAlignment="1">
      <alignment horizontal="right"/>
    </xf>
    <xf numFmtId="3" fontId="3" fillId="0" borderId="14" xfId="0" applyNumberFormat="1" applyFont="1" applyFill="1" applyBorder="1"/>
    <xf numFmtId="3" fontId="3" fillId="0" borderId="4" xfId="0" applyNumberFormat="1" applyFont="1" applyFill="1" applyBorder="1"/>
    <xf numFmtId="3" fontId="3" fillId="0" borderId="53" xfId="0" applyNumberFormat="1" applyFont="1" applyFill="1" applyBorder="1"/>
    <xf numFmtId="3" fontId="3" fillId="0" borderId="5" xfId="0" applyNumberFormat="1" applyFont="1" applyFill="1" applyBorder="1"/>
    <xf numFmtId="3" fontId="6" fillId="3" borderId="25" xfId="0" applyNumberFormat="1" applyFont="1" applyFill="1" applyBorder="1"/>
    <xf numFmtId="3" fontId="3" fillId="0" borderId="58" xfId="0" applyNumberFormat="1" applyFont="1" applyFill="1" applyBorder="1"/>
    <xf numFmtId="9" fontId="3" fillId="0" borderId="19" xfId="2" applyNumberFormat="1" applyFont="1" applyFill="1" applyBorder="1"/>
    <xf numFmtId="9" fontId="3" fillId="0" borderId="63" xfId="0" applyNumberFormat="1" applyFont="1" applyFill="1" applyBorder="1" applyAlignment="1">
      <alignment horizontal="right" vertical="top"/>
    </xf>
    <xf numFmtId="9" fontId="3" fillId="0" borderId="19" xfId="0" applyNumberFormat="1" applyFont="1" applyFill="1" applyBorder="1" applyAlignment="1">
      <alignment horizontal="right"/>
    </xf>
    <xf numFmtId="9" fontId="3" fillId="0" borderId="16" xfId="0" applyNumberFormat="1" applyFont="1" applyFill="1" applyBorder="1"/>
    <xf numFmtId="9" fontId="3" fillId="0" borderId="9" xfId="0" applyNumberFormat="1" applyFont="1" applyFill="1" applyBorder="1"/>
    <xf numFmtId="9" fontId="3" fillId="0" borderId="57" xfId="0" applyNumberFormat="1" applyFont="1" applyFill="1" applyBorder="1"/>
    <xf numFmtId="9" fontId="3" fillId="0" borderId="10" xfId="0" applyNumberFormat="1" applyFont="1" applyFill="1" applyBorder="1"/>
    <xf numFmtId="9" fontId="6" fillId="3" borderId="27" xfId="0" applyNumberFormat="1" applyFont="1" applyFill="1" applyBorder="1"/>
    <xf numFmtId="9" fontId="3" fillId="0" borderId="61" xfId="0" applyNumberFormat="1" applyFont="1" applyFill="1" applyBorder="1"/>
    <xf numFmtId="3" fontId="1" fillId="2" borderId="6" xfId="0" applyNumberFormat="1" applyFont="1" applyFill="1" applyBorder="1" applyAlignment="1">
      <alignment horizontal="right"/>
    </xf>
    <xf numFmtId="3" fontId="1" fillId="0" borderId="39" xfId="0" applyNumberFormat="1" applyFont="1" applyFill="1" applyBorder="1"/>
    <xf numFmtId="3" fontId="1" fillId="0" borderId="40" xfId="0" applyNumberFormat="1" applyFont="1" applyFill="1" applyBorder="1"/>
    <xf numFmtId="3" fontId="1" fillId="0" borderId="48" xfId="0" applyNumberFormat="1" applyFont="1" applyFill="1" applyBorder="1"/>
    <xf numFmtId="3" fontId="1" fillId="0" borderId="41" xfId="0" applyNumberFormat="1" applyFont="1" applyFill="1" applyBorder="1"/>
    <xf numFmtId="3" fontId="2" fillId="3" borderId="38" xfId="0" applyNumberFormat="1" applyFont="1" applyFill="1" applyBorder="1"/>
    <xf numFmtId="3" fontId="1" fillId="0" borderId="47" xfId="0" applyNumberFormat="1" applyFont="1" applyFill="1" applyBorder="1"/>
    <xf numFmtId="0" fontId="1" fillId="0" borderId="0" xfId="0" applyFont="1" applyAlignment="1">
      <alignment wrapText="1"/>
    </xf>
    <xf numFmtId="0" fontId="1" fillId="0" borderId="0" xfId="0" applyFont="1" applyAlignment="1">
      <alignment horizontal="center"/>
    </xf>
    <xf numFmtId="164" fontId="1" fillId="2" borderId="11" xfId="2" applyNumberFormat="1" applyFont="1" applyFill="1" applyBorder="1"/>
    <xf numFmtId="164" fontId="1" fillId="0" borderId="11" xfId="2" applyNumberFormat="1" applyFont="1" applyFill="1" applyBorder="1"/>
    <xf numFmtId="164" fontId="1" fillId="0" borderId="12" xfId="2" applyNumberFormat="1" applyFont="1" applyFill="1" applyBorder="1"/>
    <xf numFmtId="164" fontId="1" fillId="2" borderId="0" xfId="2" applyNumberFormat="1" applyFont="1" applyFill="1" applyBorder="1"/>
    <xf numFmtId="164" fontId="1" fillId="0" borderId="0" xfId="2" applyNumberFormat="1" applyFont="1" applyFill="1" applyBorder="1"/>
    <xf numFmtId="164" fontId="1" fillId="0" borderId="13" xfId="2" applyNumberFormat="1" applyFont="1" applyFill="1" applyBorder="1"/>
    <xf numFmtId="164" fontId="1" fillId="2" borderId="63" xfId="2" applyNumberFormat="1" applyFont="1" applyFill="1" applyBorder="1"/>
    <xf numFmtId="164" fontId="1" fillId="0" borderId="63" xfId="2" applyNumberFormat="1" applyFont="1" applyFill="1" applyBorder="1"/>
    <xf numFmtId="164" fontId="1" fillId="0" borderId="23" xfId="2" applyNumberFormat="1" applyFont="1" applyFill="1" applyBorder="1"/>
    <xf numFmtId="164" fontId="1" fillId="0" borderId="0" xfId="2" applyNumberFormat="1" applyFont="1"/>
    <xf numFmtId="0" fontId="1" fillId="0" borderId="17" xfId="0" applyFont="1" applyBorder="1"/>
    <xf numFmtId="164" fontId="1" fillId="0" borderId="11" xfId="2" applyNumberFormat="1" applyFont="1" applyBorder="1"/>
    <xf numFmtId="164" fontId="1" fillId="0" borderId="12" xfId="2" applyNumberFormat="1" applyFont="1" applyBorder="1"/>
    <xf numFmtId="0" fontId="1" fillId="0" borderId="18" xfId="0" applyFont="1" applyBorder="1"/>
    <xf numFmtId="164" fontId="1" fillId="0" borderId="0" xfId="2" applyNumberFormat="1" applyFont="1" applyBorder="1"/>
    <xf numFmtId="164" fontId="1" fillId="0" borderId="13" xfId="2" applyNumberFormat="1" applyFont="1" applyBorder="1"/>
    <xf numFmtId="0" fontId="1" fillId="0" borderId="19" xfId="0" applyFont="1" applyBorder="1"/>
    <xf numFmtId="164" fontId="1" fillId="0" borderId="63" xfId="2" applyNumberFormat="1" applyFont="1" applyBorder="1"/>
    <xf numFmtId="164" fontId="1" fillId="0" borderId="23" xfId="2" applyNumberFormat="1" applyFont="1" applyBorder="1"/>
    <xf numFmtId="0" fontId="1" fillId="0" borderId="63" xfId="0" applyFont="1" applyBorder="1"/>
    <xf numFmtId="0" fontId="2" fillId="0" borderId="63" xfId="0" applyFont="1" applyBorder="1"/>
    <xf numFmtId="0" fontId="2" fillId="0" borderId="23" xfId="0" applyFont="1" applyBorder="1"/>
    <xf numFmtId="0" fontId="2" fillId="0" borderId="62" xfId="0" applyFont="1" applyBorder="1" applyAlignment="1">
      <alignment horizontal="left" vertical="top"/>
    </xf>
    <xf numFmtId="0" fontId="2" fillId="0" borderId="62" xfId="0" applyFont="1" applyBorder="1"/>
    <xf numFmtId="4" fontId="2" fillId="0" borderId="24" xfId="0" applyNumberFormat="1" applyFont="1" applyBorder="1"/>
    <xf numFmtId="4" fontId="2" fillId="0" borderId="62" xfId="0" applyNumberFormat="1" applyFont="1" applyBorder="1"/>
    <xf numFmtId="4" fontId="2" fillId="0" borderId="46" xfId="0" applyNumberFormat="1" applyFont="1" applyBorder="1"/>
    <xf numFmtId="4" fontId="2" fillId="0" borderId="2" xfId="0" applyNumberFormat="1" applyFont="1" applyBorder="1"/>
    <xf numFmtId="4" fontId="6" fillId="0" borderId="2" xfId="0" applyNumberFormat="1" applyFont="1" applyBorder="1" applyAlignment="1">
      <alignment horizontal="left" vertical="top"/>
    </xf>
    <xf numFmtId="3" fontId="6" fillId="0" borderId="17" xfId="0" applyNumberFormat="1" applyFont="1" applyBorder="1" applyAlignment="1">
      <alignment horizontal="left" vertical="top"/>
    </xf>
    <xf numFmtId="0" fontId="6" fillId="0" borderId="17" xfId="0" applyFont="1" applyBorder="1" applyAlignment="1">
      <alignment horizontal="left" vertical="top"/>
    </xf>
    <xf numFmtId="0" fontId="1" fillId="0" borderId="3" xfId="0" applyFont="1" applyBorder="1" applyAlignment="1">
      <alignment horizontal="left" vertical="top"/>
    </xf>
    <xf numFmtId="0" fontId="1" fillId="0" borderId="11" xfId="0" applyFont="1" applyBorder="1" applyAlignment="1">
      <alignment horizontal="left" vertical="top"/>
    </xf>
    <xf numFmtId="0" fontId="1" fillId="0" borderId="11" xfId="0" applyFont="1" applyBorder="1"/>
    <xf numFmtId="0" fontId="2" fillId="0" borderId="11" xfId="0" applyFont="1" applyBorder="1"/>
    <xf numFmtId="0" fontId="2" fillId="0" borderId="12" xfId="0" applyFont="1" applyBorder="1"/>
    <xf numFmtId="0" fontId="1" fillId="0" borderId="8" xfId="0" applyFont="1" applyBorder="1" applyAlignment="1">
      <alignment horizontal="left" vertical="top"/>
    </xf>
    <xf numFmtId="0" fontId="1" fillId="0" borderId="63" xfId="0" applyFont="1" applyBorder="1" applyAlignment="1">
      <alignment horizontal="left" vertical="top"/>
    </xf>
    <xf numFmtId="0" fontId="2" fillId="0" borderId="11" xfId="0" applyFont="1" applyBorder="1" applyAlignment="1">
      <alignment horizontal="left" vertical="top"/>
    </xf>
    <xf numFmtId="4" fontId="1" fillId="0" borderId="11" xfId="0" applyNumberFormat="1" applyFont="1" applyBorder="1"/>
    <xf numFmtId="0" fontId="1" fillId="0" borderId="6" xfId="0" applyFont="1" applyBorder="1" applyAlignment="1">
      <alignment horizontal="left" vertical="top"/>
    </xf>
    <xf numFmtId="4" fontId="1" fillId="0" borderId="12" xfId="0" applyNumberFormat="1" applyFont="1" applyBorder="1"/>
    <xf numFmtId="4" fontId="1" fillId="0" borderId="13" xfId="0" applyNumberFormat="1" applyFont="1" applyBorder="1"/>
    <xf numFmtId="0" fontId="1" fillId="0" borderId="17" xfId="0" applyFont="1" applyBorder="1" applyAlignment="1">
      <alignment horizontal="left" vertical="top"/>
    </xf>
    <xf numFmtId="4" fontId="1" fillId="0" borderId="17" xfId="0" applyNumberFormat="1" applyFont="1" applyBorder="1"/>
    <xf numFmtId="4" fontId="1" fillId="0" borderId="18" xfId="0" applyNumberFormat="1" applyFont="1" applyBorder="1"/>
    <xf numFmtId="0" fontId="1" fillId="0" borderId="38" xfId="0" applyFont="1" applyBorder="1" applyAlignment="1">
      <alignment horizontal="left" vertical="top"/>
    </xf>
    <xf numFmtId="0" fontId="1" fillId="0" borderId="70" xfId="0" applyFont="1" applyBorder="1" applyAlignment="1">
      <alignment horizontal="left" vertical="top"/>
    </xf>
    <xf numFmtId="4" fontId="2" fillId="0" borderId="18" xfId="0" applyNumberFormat="1" applyFont="1" applyBorder="1"/>
    <xf numFmtId="4" fontId="1" fillId="2" borderId="25" xfId="0" applyNumberFormat="1" applyFont="1" applyFill="1" applyBorder="1" applyAlignment="1">
      <alignment horizontal="center" vertical="top"/>
    </xf>
    <xf numFmtId="4" fontId="1" fillId="2" borderId="26" xfId="0" applyNumberFormat="1" applyFont="1" applyFill="1" applyBorder="1" applyAlignment="1">
      <alignment horizontal="center" vertical="top"/>
    </xf>
    <xf numFmtId="4" fontId="1" fillId="0" borderId="3" xfId="0" applyNumberFormat="1" applyFont="1" applyBorder="1"/>
    <xf numFmtId="0" fontId="1" fillId="0" borderId="0" xfId="0" applyFont="1" applyBorder="1" applyAlignment="1">
      <alignment horizontal="center" vertical="top"/>
    </xf>
    <xf numFmtId="0" fontId="1" fillId="0" borderId="0" xfId="0" applyFont="1" applyBorder="1" applyAlignment="1">
      <alignment horizontal="center"/>
    </xf>
    <xf numFmtId="3" fontId="1" fillId="0" borderId="0" xfId="0" applyNumberFormat="1" applyFont="1" applyBorder="1" applyAlignment="1">
      <alignment horizontal="center"/>
    </xf>
    <xf numFmtId="10" fontId="1" fillId="0" borderId="26" xfId="2" applyNumberFormat="1" applyFont="1" applyBorder="1" applyAlignment="1">
      <alignment horizontal="center" vertical="top"/>
    </xf>
    <xf numFmtId="4" fontId="1" fillId="0" borderId="3" xfId="0" applyNumberFormat="1" applyFont="1" applyBorder="1" applyAlignment="1">
      <alignment horizontal="left" vertical="top"/>
    </xf>
    <xf numFmtId="0" fontId="1" fillId="0" borderId="2" xfId="0" applyFont="1" applyBorder="1" applyAlignment="1">
      <alignment horizontal="left" vertical="top"/>
    </xf>
    <xf numFmtId="4" fontId="1" fillId="0" borderId="46" xfId="0" applyNumberFormat="1" applyFont="1" applyBorder="1" applyAlignment="1">
      <alignment horizontal="center" vertical="top"/>
    </xf>
    <xf numFmtId="4" fontId="2" fillId="0" borderId="46" xfId="0" applyNumberFormat="1" applyFont="1" applyBorder="1" applyAlignment="1">
      <alignment horizontal="center" vertical="top"/>
    </xf>
    <xf numFmtId="4" fontId="2" fillId="0" borderId="0" xfId="0" applyNumberFormat="1" applyFont="1" applyBorder="1" applyAlignment="1">
      <alignment horizontal="center" vertical="top"/>
    </xf>
    <xf numFmtId="0" fontId="1" fillId="0" borderId="6" xfId="0" applyFont="1" applyBorder="1" applyAlignment="1">
      <alignment horizontal="center"/>
    </xf>
    <xf numFmtId="0" fontId="1" fillId="0" borderId="13" xfId="0" applyFont="1" applyBorder="1" applyAlignment="1">
      <alignment horizontal="center"/>
    </xf>
  </cellXfs>
  <cellStyles count="3">
    <cellStyle name="Обычный" xfId="0" builtinId="0"/>
    <cellStyle name="Процентный" xfId="2" builtinId="5"/>
    <cellStyle name="Финансовый" xfId="1" builtinId="3"/>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REVENUE and profit</a:t>
            </a:r>
            <a:endParaRPr lang="ru-RU"/>
          </a:p>
        </c:rich>
      </c:tx>
      <c:layout/>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ru-RU"/>
        </a:p>
      </c:txPr>
    </c:title>
    <c:autoTitleDeleted val="0"/>
    <c:plotArea>
      <c:layout>
        <c:manualLayout>
          <c:layoutTarget val="inner"/>
          <c:xMode val="edge"/>
          <c:yMode val="edge"/>
          <c:x val="0.10337270341207348"/>
          <c:y val="0.19486111111111112"/>
          <c:w val="0.8966272965879265"/>
          <c:h val="0.77174431321084869"/>
        </c:manualLayout>
      </c:layout>
      <c:lineChart>
        <c:grouping val="standard"/>
        <c:varyColors val="0"/>
        <c:ser>
          <c:idx val="0"/>
          <c:order val="0"/>
          <c:tx>
            <c:v>Total revenue</c:v>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strRef>
              <c:f>(MODEL!$E$3:$H$3,MODEL!$J$3:$M$3,MODEL!$O$3:$R$3,MODEL!$T$3:$W$3)</c:f>
              <c:strCache>
                <c:ptCount val="16"/>
                <c:pt idx="0">
                  <c:v>Q1Y1</c:v>
                </c:pt>
                <c:pt idx="1">
                  <c:v>Q2Y1</c:v>
                </c:pt>
                <c:pt idx="2">
                  <c:v>Q3Y1</c:v>
                </c:pt>
                <c:pt idx="3">
                  <c:v>Q4Y1</c:v>
                </c:pt>
                <c:pt idx="4">
                  <c:v>Q1Y2</c:v>
                </c:pt>
                <c:pt idx="5">
                  <c:v>Q2Y2</c:v>
                </c:pt>
                <c:pt idx="6">
                  <c:v>Q3Y2</c:v>
                </c:pt>
                <c:pt idx="7">
                  <c:v>Q4Y2</c:v>
                </c:pt>
                <c:pt idx="8">
                  <c:v>Q1Y3</c:v>
                </c:pt>
                <c:pt idx="9">
                  <c:v>Q2Y3</c:v>
                </c:pt>
                <c:pt idx="10">
                  <c:v>Q3Y3</c:v>
                </c:pt>
                <c:pt idx="11">
                  <c:v>Q4Y3</c:v>
                </c:pt>
                <c:pt idx="12">
                  <c:v>Q1Y4</c:v>
                </c:pt>
                <c:pt idx="13">
                  <c:v>Q2Y4</c:v>
                </c:pt>
                <c:pt idx="14">
                  <c:v>Q3Y4</c:v>
                </c:pt>
                <c:pt idx="15">
                  <c:v>Q4Y4</c:v>
                </c:pt>
              </c:strCache>
            </c:strRef>
          </c:cat>
          <c:val>
            <c:numRef>
              <c:f>(MODEL!$E$38:$H$38,MODEL!$J$38:$M$38,MODEL!$O$38:$R$38,MODEL!$T$38:$W$38)</c:f>
              <c:numCache>
                <c:formatCode>#,##0.00</c:formatCode>
                <c:ptCount val="16"/>
                <c:pt idx="0">
                  <c:v>527350</c:v>
                </c:pt>
                <c:pt idx="1">
                  <c:v>1309168.4134999998</c:v>
                </c:pt>
                <c:pt idx="2">
                  <c:v>6538612.3844374996</c:v>
                </c:pt>
                <c:pt idx="3">
                  <c:v>20924000.11211</c:v>
                </c:pt>
                <c:pt idx="4">
                  <c:v>28840682.864940837</c:v>
                </c:pt>
                <c:pt idx="5">
                  <c:v>39371966.240768313</c:v>
                </c:pt>
                <c:pt idx="6">
                  <c:v>50114376.262065411</c:v>
                </c:pt>
                <c:pt idx="7">
                  <c:v>66344667.712030329</c:v>
                </c:pt>
                <c:pt idx="8">
                  <c:v>77431081.388805479</c:v>
                </c:pt>
                <c:pt idx="9">
                  <c:v>88649469.740840197</c:v>
                </c:pt>
                <c:pt idx="10">
                  <c:v>100000463.74660875</c:v>
                </c:pt>
                <c:pt idx="11">
                  <c:v>111484826.27042054</c:v>
                </c:pt>
                <c:pt idx="12">
                  <c:v>128574509.06071571</c:v>
                </c:pt>
                <c:pt idx="13">
                  <c:v>148811932.05437303</c:v>
                </c:pt>
                <c:pt idx="14">
                  <c:v>166781612.75280383</c:v>
                </c:pt>
                <c:pt idx="15">
                  <c:v>185051710.69595513</c:v>
                </c:pt>
              </c:numCache>
            </c:numRef>
          </c:val>
          <c:smooth val="0"/>
        </c:ser>
        <c:ser>
          <c:idx val="1"/>
          <c:order val="1"/>
          <c:tx>
            <c:v>Total gross profit</c:v>
          </c:tx>
          <c:spPr>
            <a:ln w="22225" cap="rnd">
              <a:solidFill>
                <a:schemeClr val="accent3"/>
              </a:solidFill>
              <a:round/>
            </a:ln>
            <a:effectLst/>
          </c:spPr>
          <c:marker>
            <c:symbol val="square"/>
            <c:size val="6"/>
            <c:spPr>
              <a:solidFill>
                <a:schemeClr val="accent2"/>
              </a:solidFill>
              <a:ln w="9525">
                <a:solidFill>
                  <a:schemeClr val="accent3"/>
                </a:solidFill>
                <a:round/>
              </a:ln>
              <a:effectLst/>
            </c:spPr>
          </c:marker>
          <c:cat>
            <c:strRef>
              <c:f>(MODEL!$E$3:$H$3,MODEL!$J$3:$M$3,MODEL!$O$3:$R$3,MODEL!$T$3:$W$3)</c:f>
              <c:strCache>
                <c:ptCount val="16"/>
                <c:pt idx="0">
                  <c:v>Q1Y1</c:v>
                </c:pt>
                <c:pt idx="1">
                  <c:v>Q2Y1</c:v>
                </c:pt>
                <c:pt idx="2">
                  <c:v>Q3Y1</c:v>
                </c:pt>
                <c:pt idx="3">
                  <c:v>Q4Y1</c:v>
                </c:pt>
                <c:pt idx="4">
                  <c:v>Q1Y2</c:v>
                </c:pt>
                <c:pt idx="5">
                  <c:v>Q2Y2</c:v>
                </c:pt>
                <c:pt idx="6">
                  <c:v>Q3Y2</c:v>
                </c:pt>
                <c:pt idx="7">
                  <c:v>Q4Y2</c:v>
                </c:pt>
                <c:pt idx="8">
                  <c:v>Q1Y3</c:v>
                </c:pt>
                <c:pt idx="9">
                  <c:v>Q2Y3</c:v>
                </c:pt>
                <c:pt idx="10">
                  <c:v>Q3Y3</c:v>
                </c:pt>
                <c:pt idx="11">
                  <c:v>Q4Y3</c:v>
                </c:pt>
                <c:pt idx="12">
                  <c:v>Q1Y4</c:v>
                </c:pt>
                <c:pt idx="13">
                  <c:v>Q2Y4</c:v>
                </c:pt>
                <c:pt idx="14">
                  <c:v>Q3Y4</c:v>
                </c:pt>
                <c:pt idx="15">
                  <c:v>Q4Y4</c:v>
                </c:pt>
              </c:strCache>
            </c:strRef>
          </c:cat>
          <c:val>
            <c:numRef>
              <c:f>(MODEL!$E$53:$H$53,MODEL!$J$53:$M$53,MODEL!$O$53:$R$53,MODEL!$T$53:$W$53)</c:f>
              <c:numCache>
                <c:formatCode>#,##0.00</c:formatCode>
                <c:ptCount val="16"/>
                <c:pt idx="0">
                  <c:v>130071.33999999997</c:v>
                </c:pt>
                <c:pt idx="1">
                  <c:v>381657.56131999986</c:v>
                </c:pt>
                <c:pt idx="2">
                  <c:v>2062336.4465724998</c:v>
                </c:pt>
                <c:pt idx="3">
                  <c:v>6658285.5334357601</c:v>
                </c:pt>
                <c:pt idx="4">
                  <c:v>9157883.4402435012</c:v>
                </c:pt>
                <c:pt idx="5">
                  <c:v>12459809.791560806</c:v>
                </c:pt>
                <c:pt idx="6">
                  <c:v>15828487.237199066</c:v>
                </c:pt>
                <c:pt idx="7">
                  <c:v>20925938.59462579</c:v>
                </c:pt>
                <c:pt idx="8">
                  <c:v>24379831.483601585</c:v>
                </c:pt>
                <c:pt idx="9">
                  <c:v>27860527.588118389</c:v>
                </c:pt>
                <c:pt idx="10">
                  <c:v>31367795.522707514</c:v>
                </c:pt>
                <c:pt idx="11">
                  <c:v>34901433.586516134</c:v>
                </c:pt>
                <c:pt idx="12">
                  <c:v>40172466.518592015</c:v>
                </c:pt>
                <c:pt idx="13">
                  <c:v>46435755.298768423</c:v>
                </c:pt>
                <c:pt idx="14">
                  <c:v>52010787.40928337</c:v>
                </c:pt>
                <c:pt idx="15">
                  <c:v>57671353.565240845</c:v>
                </c:pt>
              </c:numCache>
            </c:numRef>
          </c:val>
          <c:smooth val="0"/>
        </c:ser>
        <c:dLbls>
          <c:showLegendKey val="0"/>
          <c:showVal val="0"/>
          <c:showCatName val="0"/>
          <c:showSerName val="0"/>
          <c:showPercent val="0"/>
          <c:showBubbleSize val="0"/>
        </c:dLbls>
        <c:marker val="1"/>
        <c:smooth val="0"/>
        <c:axId val="182785728"/>
        <c:axId val="182786112"/>
      </c:lineChart>
      <c:catAx>
        <c:axId val="18278572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ru-RU"/>
          </a:p>
        </c:txPr>
        <c:crossAx val="182786112"/>
        <c:crosses val="autoZero"/>
        <c:auto val="1"/>
        <c:lblAlgn val="ctr"/>
        <c:lblOffset val="100"/>
        <c:noMultiLvlLbl val="0"/>
      </c:catAx>
      <c:valAx>
        <c:axId val="182786112"/>
        <c:scaling>
          <c:orientation val="minMax"/>
        </c:scaling>
        <c:delete val="0"/>
        <c:axPos val="l"/>
        <c:numFmt formatCode="#,##0.00"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82785728"/>
        <c:crosses val="autoZero"/>
        <c:crossBetween val="between"/>
      </c:valAx>
      <c:spPr>
        <a:noFill/>
        <a:ln>
          <a:noFill/>
        </a:ln>
        <a:effectLst/>
      </c:spPr>
    </c:plotArea>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13606</xdr:colOff>
      <xdr:row>13</xdr:row>
      <xdr:rowOff>0</xdr:rowOff>
    </xdr:from>
    <xdr:to>
      <xdr:col>7</xdr:col>
      <xdr:colOff>1129393</xdr:colOff>
      <xdr:row>26</xdr:row>
      <xdr:rowOff>13607</xdr:rowOff>
    </xdr:to>
    <xdr:graphicFrame macro="">
      <xdr:nvGraphicFramePr>
        <xdr:cNvPr id="2" name="Диаграмма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sheetPr>
  <dimension ref="A1:A6"/>
  <sheetViews>
    <sheetView tabSelected="1" topLeftCell="A6" workbookViewId="0">
      <selection activeCell="A6" sqref="A6"/>
    </sheetView>
  </sheetViews>
  <sheetFormatPr defaultRowHeight="14.25" x14ac:dyDescent="0.2"/>
  <cols>
    <col min="1" max="1" width="82.7109375" style="150" customWidth="1"/>
    <col min="2" max="16384" width="9.140625" style="150"/>
  </cols>
  <sheetData>
    <row r="1" spans="1:1" x14ac:dyDescent="0.2">
      <c r="A1" s="152" t="s">
        <v>107</v>
      </c>
    </row>
    <row r="3" spans="1:1" ht="99.75" x14ac:dyDescent="0.2">
      <c r="A3" s="369" t="s">
        <v>136</v>
      </c>
    </row>
    <row r="4" spans="1:1" ht="200.25" customHeight="1" x14ac:dyDescent="0.2">
      <c r="A4" s="369" t="s">
        <v>141</v>
      </c>
    </row>
    <row r="5" spans="1:1" ht="128.25" x14ac:dyDescent="0.2">
      <c r="A5" s="369" t="s">
        <v>142</v>
      </c>
    </row>
    <row r="6" spans="1:1" ht="313.5" x14ac:dyDescent="0.2">
      <c r="A6" s="369" t="s">
        <v>144</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6" tint="0.59999389629810485"/>
  </sheetPr>
  <dimension ref="A1:L50"/>
  <sheetViews>
    <sheetView topLeftCell="C1" zoomScale="70" zoomScaleNormal="70" workbookViewId="0">
      <selection activeCell="G5" sqref="G5"/>
    </sheetView>
  </sheetViews>
  <sheetFormatPr defaultRowHeight="14.25" x14ac:dyDescent="0.25"/>
  <cols>
    <col min="1" max="1" width="40.5703125" style="3" customWidth="1"/>
    <col min="2" max="2" width="32.42578125" style="3" customWidth="1"/>
    <col min="3" max="3" width="7.140625" style="3" customWidth="1"/>
    <col min="4" max="4" width="43.5703125" style="3" customWidth="1"/>
    <col min="5" max="5" width="26.140625" style="67" customWidth="1"/>
    <col min="6" max="6" width="7.140625" style="3" customWidth="1"/>
    <col min="7" max="7" width="31" style="3" customWidth="1"/>
    <col min="8" max="8" width="17.140625" style="3" customWidth="1"/>
    <col min="9" max="9" width="21.140625" style="3" customWidth="1"/>
    <col min="10" max="12" width="26" style="3" customWidth="1"/>
    <col min="13" max="16384" width="9.140625" style="3"/>
  </cols>
  <sheetData>
    <row r="1" spans="1:12" ht="18" customHeight="1" x14ac:dyDescent="0.25"/>
    <row r="2" spans="1:12" ht="18" customHeight="1" thickBot="1" x14ac:dyDescent="0.3">
      <c r="A2" s="4"/>
      <c r="B2" s="67"/>
    </row>
    <row r="3" spans="1:12" ht="18" customHeight="1" thickBot="1" x14ac:dyDescent="0.3">
      <c r="A3" s="68" t="s">
        <v>19</v>
      </c>
      <c r="B3" s="67"/>
      <c r="D3" s="104" t="s">
        <v>139</v>
      </c>
      <c r="G3" s="104" t="s">
        <v>20</v>
      </c>
      <c r="I3" s="67"/>
      <c r="J3" s="67"/>
      <c r="K3" s="67"/>
      <c r="L3" s="67"/>
    </row>
    <row r="4" spans="1:12" ht="18" customHeight="1" x14ac:dyDescent="0.25">
      <c r="A4" s="69" t="s">
        <v>8</v>
      </c>
      <c r="B4" s="98" t="s">
        <v>2</v>
      </c>
      <c r="D4" s="105" t="s">
        <v>29</v>
      </c>
      <c r="E4" s="111">
        <v>0.95</v>
      </c>
      <c r="G4" s="105" t="s">
        <v>34</v>
      </c>
      <c r="H4" s="113">
        <v>100</v>
      </c>
      <c r="I4" s="66"/>
    </row>
    <row r="5" spans="1:12" ht="18" customHeight="1" x14ac:dyDescent="0.25">
      <c r="A5" s="72" t="s">
        <v>5</v>
      </c>
      <c r="B5" s="99">
        <f>VLOOKUP(Dashboard!B4,'Market Inputs'!A3:E6,2,FALSE)</f>
        <v>7800</v>
      </c>
      <c r="D5" s="106" t="s">
        <v>27</v>
      </c>
      <c r="E5" s="112">
        <v>3.0000000000000001E-3</v>
      </c>
      <c r="G5" s="106" t="s">
        <v>21</v>
      </c>
      <c r="H5" s="114">
        <v>0.2</v>
      </c>
      <c r="I5" s="66"/>
    </row>
    <row r="6" spans="1:12" ht="18" customHeight="1" x14ac:dyDescent="0.25">
      <c r="A6" s="72" t="s">
        <v>108</v>
      </c>
      <c r="B6" s="100">
        <f>VLOOKUP(Dashboard!B4,'Market Inputs'!A3:E6,3,FALSE)</f>
        <v>3200000</v>
      </c>
      <c r="D6" s="106" t="s">
        <v>28</v>
      </c>
      <c r="E6" s="112">
        <v>0.5</v>
      </c>
      <c r="G6" s="106" t="s">
        <v>30</v>
      </c>
      <c r="H6" s="115">
        <v>0.33</v>
      </c>
      <c r="I6" s="66"/>
    </row>
    <row r="7" spans="1:12" ht="18" customHeight="1" x14ac:dyDescent="0.25">
      <c r="A7" s="72" t="s">
        <v>14</v>
      </c>
      <c r="B7" s="99">
        <f>VLOOKUP(Dashboard!B4,'Market Inputs'!A3:E6,4,FALSE)</f>
        <v>19.89</v>
      </c>
      <c r="D7" s="106" t="s">
        <v>123</v>
      </c>
      <c r="E7" s="112">
        <v>0.15</v>
      </c>
      <c r="G7" s="106"/>
      <c r="H7" s="118"/>
      <c r="I7" s="66"/>
    </row>
    <row r="8" spans="1:12" ht="18" customHeight="1" x14ac:dyDescent="0.25">
      <c r="A8" s="71" t="s">
        <v>18</v>
      </c>
      <c r="B8" s="99">
        <f>VLOOKUP(Dashboard!B4,'Market Inputs'!A3:E6,5,FALSE)</f>
        <v>40</v>
      </c>
      <c r="D8" s="106" t="s">
        <v>31</v>
      </c>
      <c r="E8" s="112">
        <v>0.5</v>
      </c>
      <c r="G8" s="106"/>
      <c r="H8" s="116"/>
      <c r="I8" s="66"/>
    </row>
    <row r="9" spans="1:12" ht="18" customHeight="1" x14ac:dyDescent="0.25">
      <c r="A9" s="72" t="s">
        <v>11</v>
      </c>
      <c r="B9" s="101">
        <v>0.04</v>
      </c>
      <c r="D9" s="106" t="s">
        <v>72</v>
      </c>
      <c r="E9" s="129" t="s">
        <v>37</v>
      </c>
      <c r="G9" s="106"/>
      <c r="H9" s="116"/>
      <c r="I9" s="66"/>
    </row>
    <row r="10" spans="1:12" ht="18" customHeight="1" x14ac:dyDescent="0.25">
      <c r="A10" s="72" t="s">
        <v>10</v>
      </c>
      <c r="B10" s="102">
        <v>3.5</v>
      </c>
      <c r="D10" s="106" t="s">
        <v>137</v>
      </c>
      <c r="E10" s="112">
        <v>0.06</v>
      </c>
      <c r="G10" s="106"/>
      <c r="H10" s="117"/>
    </row>
    <row r="11" spans="1:12" ht="18" customHeight="1" x14ac:dyDescent="0.25">
      <c r="A11" s="72" t="s">
        <v>22</v>
      </c>
      <c r="B11" s="102" t="s">
        <v>25</v>
      </c>
      <c r="D11" s="106"/>
      <c r="E11" s="117"/>
      <c r="G11" s="106"/>
      <c r="H11" s="108"/>
    </row>
    <row r="12" spans="1:12" ht="18" customHeight="1" thickBot="1" x14ac:dyDescent="0.3">
      <c r="A12" s="184" t="s">
        <v>140</v>
      </c>
      <c r="B12" s="103">
        <v>0.3</v>
      </c>
      <c r="D12" s="107"/>
      <c r="E12" s="130"/>
      <c r="G12" s="107"/>
      <c r="H12" s="109"/>
    </row>
    <row r="13" spans="1:12" ht="18" customHeight="1" thickBot="1" x14ac:dyDescent="0.3"/>
    <row r="14" spans="1:12" ht="18" customHeight="1" thickBot="1" x14ac:dyDescent="0.3">
      <c r="A14" s="104" t="s">
        <v>124</v>
      </c>
    </row>
    <row r="15" spans="1:12" ht="18" customHeight="1" thickBot="1" x14ac:dyDescent="0.3">
      <c r="A15" s="428" t="s">
        <v>128</v>
      </c>
      <c r="B15" s="429">
        <f>-SUM(MODEL!E65:X65)</f>
        <v>0</v>
      </c>
    </row>
    <row r="16" spans="1:12" ht="18" customHeight="1" thickBot="1" x14ac:dyDescent="0.3"/>
    <row r="17" spans="1:2" ht="18" customHeight="1" thickBot="1" x14ac:dyDescent="0.3">
      <c r="A17" s="70" t="s">
        <v>127</v>
      </c>
      <c r="B17" s="430">
        <f>B15+B22</f>
        <v>500000</v>
      </c>
    </row>
    <row r="18" spans="1:2" ht="18" customHeight="1" x14ac:dyDescent="0.25">
      <c r="A18" s="119"/>
      <c r="B18" s="431"/>
    </row>
    <row r="19" spans="1:2" ht="18" customHeight="1" thickBot="1" x14ac:dyDescent="0.3"/>
    <row r="20" spans="1:2" ht="18" customHeight="1" thickBot="1" x14ac:dyDescent="0.3">
      <c r="A20" s="70" t="s">
        <v>116</v>
      </c>
      <c r="B20" s="67"/>
    </row>
    <row r="21" spans="1:2" ht="18" customHeight="1" x14ac:dyDescent="0.25">
      <c r="A21" s="418" t="s">
        <v>118</v>
      </c>
      <c r="B21" s="420">
        <v>20000</v>
      </c>
    </row>
    <row r="22" spans="1:2" ht="18" customHeight="1" x14ac:dyDescent="0.25">
      <c r="A22" s="417" t="s">
        <v>117</v>
      </c>
      <c r="B22" s="421">
        <v>500000</v>
      </c>
    </row>
    <row r="23" spans="1:2" ht="18" customHeight="1" x14ac:dyDescent="0.25">
      <c r="A23" s="417" t="s">
        <v>119</v>
      </c>
      <c r="B23" s="117" t="str">
        <f>HLOOKUP("DONE!",MODEL!E59:X61,3,FALSE)</f>
        <v>Q2Y1</v>
      </c>
    </row>
    <row r="24" spans="1:2" ht="18" customHeight="1" x14ac:dyDescent="0.25">
      <c r="A24" s="417" t="s">
        <v>129</v>
      </c>
      <c r="B24" s="117" t="str">
        <f>HLOOKUP("DONE!",MODEL!E60:X61,2,FALSE)</f>
        <v>Q2Y1</v>
      </c>
    </row>
    <row r="25" spans="1:2" ht="18" customHeight="1" x14ac:dyDescent="0.25">
      <c r="A25" s="417" t="s">
        <v>122</v>
      </c>
      <c r="B25" s="426">
        <f>MODEL!X53/MODEL!X38</f>
        <v>0.31195835516696779</v>
      </c>
    </row>
    <row r="26" spans="1:2" ht="18" customHeight="1" thickBot="1" x14ac:dyDescent="0.3">
      <c r="A26" s="9"/>
      <c r="B26" s="131"/>
    </row>
    <row r="27" spans="1:2" ht="18" customHeight="1" x14ac:dyDescent="0.25"/>
    <row r="28" spans="1:2" ht="18" customHeight="1" x14ac:dyDescent="0.25"/>
    <row r="29" spans="1:2" ht="18" customHeight="1" x14ac:dyDescent="0.25"/>
    <row r="30" spans="1:2" ht="18" customHeight="1" x14ac:dyDescent="0.25"/>
    <row r="31" spans="1:2" ht="18" customHeight="1" x14ac:dyDescent="0.25"/>
    <row r="32" spans="1:2" ht="18" customHeight="1" x14ac:dyDescent="0.25"/>
    <row r="33" ht="18" customHeight="1" x14ac:dyDescent="0.25"/>
    <row r="34" ht="18" customHeight="1" x14ac:dyDescent="0.25"/>
    <row r="35" ht="18" customHeight="1" x14ac:dyDescent="0.25"/>
    <row r="36" ht="18" customHeight="1" x14ac:dyDescent="0.25"/>
    <row r="37" ht="18" customHeight="1" x14ac:dyDescent="0.25"/>
    <row r="38" ht="18" customHeight="1" x14ac:dyDescent="0.25"/>
    <row r="39" ht="18" customHeight="1" x14ac:dyDescent="0.25"/>
    <row r="40" ht="18" customHeight="1" x14ac:dyDescent="0.25"/>
    <row r="41" ht="18" customHeight="1" x14ac:dyDescent="0.25"/>
    <row r="42" ht="18" customHeight="1" x14ac:dyDescent="0.25"/>
    <row r="43" ht="18" customHeight="1" x14ac:dyDescent="0.25"/>
    <row r="44" ht="18" customHeight="1" x14ac:dyDescent="0.25"/>
    <row r="45" ht="18" customHeight="1" x14ac:dyDescent="0.25"/>
    <row r="46" ht="18" customHeight="1" x14ac:dyDescent="0.25"/>
    <row r="47" ht="18" customHeight="1" x14ac:dyDescent="0.25"/>
    <row r="48" ht="18" customHeight="1" x14ac:dyDescent="0.25"/>
    <row r="49" ht="18" customHeight="1" x14ac:dyDescent="0.25"/>
    <row r="50" ht="18" customHeight="1" x14ac:dyDescent="0.25"/>
  </sheetData>
  <dataValidations count="2">
    <dataValidation type="decimal" operator="lessThan" allowBlank="1" showInputMessage="1" showErrorMessage="1" error="% of repeated usage + % of buyback can't be more than 100%" sqref="H6">
      <formula1>1-H5</formula1>
    </dataValidation>
    <dataValidation type="decimal" operator="lessThan" allowBlank="1" showInputMessage="1" showErrorMessage="1" error="% of repeated usage + % of buyback can't be more than 100%" sqref="H5">
      <formula1>1-H6</formula1>
    </dataValidation>
  </dataValidations>
  <pageMargins left="0.7" right="0.7" top="0.75" bottom="0.75" header="0.3" footer="0.3"/>
  <pageSetup paperSize="9" orientation="portrait" r:id="rId1"/>
  <drawing r:id="rId2"/>
  <legacyDrawing r:id="rId3"/>
  <extLst>
    <ext xmlns:x14="http://schemas.microsoft.com/office/spreadsheetml/2009/9/main" uri="{CCE6A557-97BC-4b89-ADB6-D9C93CAAB3DF}">
      <x14:dataValidations xmlns:xm="http://schemas.microsoft.com/office/excel/2006/main" count="3">
        <x14:dataValidation type="list" allowBlank="1" showInputMessage="1" showErrorMessage="1">
          <x14:formula1>
            <xm:f>'Market Inputs'!$A$4:$A$6</xm:f>
          </x14:formula1>
          <xm:sqref>B4</xm:sqref>
        </x14:dataValidation>
        <x14:dataValidation type="list" allowBlank="1" showInputMessage="1" showErrorMessage="1">
          <x14:formula1>
            <xm:f>'Market Inputs'!$A$10:$A$12</xm:f>
          </x14:formula1>
          <xm:sqref>B11</xm:sqref>
        </x14:dataValidation>
        <x14:dataValidation type="list" allowBlank="1" showInputMessage="1" showErrorMessage="1">
          <x14:formula1>
            <xm:f>'Market Inputs'!$A$16:$A$19</xm:f>
          </x14:formula1>
          <xm:sqref>E9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68"/>
  <sheetViews>
    <sheetView zoomScale="70" zoomScaleNormal="70" workbookViewId="0">
      <selection activeCell="G35" sqref="G35"/>
    </sheetView>
  </sheetViews>
  <sheetFormatPr defaultRowHeight="14.25" x14ac:dyDescent="0.2"/>
  <cols>
    <col min="1" max="1" width="2.7109375" style="150" customWidth="1"/>
    <col min="2" max="2" width="49" style="3" customWidth="1"/>
    <col min="3" max="3" width="37.85546875" style="3" hidden="1" customWidth="1"/>
    <col min="4" max="4" width="18.5703125" style="150" hidden="1" customWidth="1"/>
    <col min="5" max="8" width="18.5703125" style="150" customWidth="1"/>
    <col min="9" max="9" width="18.5703125" style="151" customWidth="1"/>
    <col min="10" max="13" width="18.5703125" style="150" customWidth="1"/>
    <col min="14" max="14" width="18.5703125" style="151" customWidth="1"/>
    <col min="15" max="18" width="18.5703125" style="150" customWidth="1"/>
    <col min="19" max="19" width="18.5703125" style="151" customWidth="1"/>
    <col min="20" max="23" width="18.5703125" style="150" customWidth="1"/>
    <col min="24" max="24" width="18.5703125" style="151" customWidth="1"/>
    <col min="25" max="16384" width="9.140625" style="150"/>
  </cols>
  <sheetData>
    <row r="1" spans="1:25" s="199" customFormat="1" x14ac:dyDescent="0.2">
      <c r="B1" s="200"/>
      <c r="C1" s="200"/>
      <c r="I1" s="201"/>
      <c r="N1" s="201"/>
      <c r="S1" s="201"/>
      <c r="X1" s="201"/>
    </row>
    <row r="2" spans="1:25" s="199" customFormat="1" ht="15" thickBot="1" x14ac:dyDescent="0.25">
      <c r="B2" s="200"/>
      <c r="C2" s="200"/>
      <c r="I2" s="201"/>
      <c r="N2" s="202"/>
      <c r="O2" s="22"/>
      <c r="P2" s="22"/>
      <c r="S2" s="201"/>
      <c r="X2" s="201"/>
    </row>
    <row r="3" spans="1:25" s="199" customFormat="1" ht="15" thickBot="1" x14ac:dyDescent="0.25">
      <c r="B3" s="13"/>
      <c r="C3" s="14"/>
      <c r="D3" s="15" t="s">
        <v>0</v>
      </c>
      <c r="E3" s="16" t="s">
        <v>56</v>
      </c>
      <c r="F3" s="15" t="s">
        <v>57</v>
      </c>
      <c r="G3" s="15" t="s">
        <v>58</v>
      </c>
      <c r="H3" s="17" t="s">
        <v>59</v>
      </c>
      <c r="I3" s="18" t="s">
        <v>1</v>
      </c>
      <c r="J3" s="16" t="s">
        <v>60</v>
      </c>
      <c r="K3" s="15" t="s">
        <v>61</v>
      </c>
      <c r="L3" s="15" t="s">
        <v>62</v>
      </c>
      <c r="M3" s="17" t="s">
        <v>63</v>
      </c>
      <c r="N3" s="18" t="s">
        <v>15</v>
      </c>
      <c r="O3" s="16" t="s">
        <v>64</v>
      </c>
      <c r="P3" s="15" t="s">
        <v>65</v>
      </c>
      <c r="Q3" s="15" t="s">
        <v>66</v>
      </c>
      <c r="R3" s="17" t="s">
        <v>67</v>
      </c>
      <c r="S3" s="18" t="s">
        <v>16</v>
      </c>
      <c r="T3" s="16" t="s">
        <v>68</v>
      </c>
      <c r="U3" s="15" t="s">
        <v>69</v>
      </c>
      <c r="V3" s="15" t="s">
        <v>70</v>
      </c>
      <c r="W3" s="17" t="s">
        <v>71</v>
      </c>
      <c r="X3" s="18" t="s">
        <v>17</v>
      </c>
    </row>
    <row r="4" spans="1:25" s="199" customFormat="1" ht="15" thickBot="1" x14ac:dyDescent="0.25">
      <c r="B4" s="400" t="s">
        <v>32</v>
      </c>
      <c r="C4" s="19"/>
      <c r="D4" s="20"/>
      <c r="E4" s="21"/>
      <c r="F4" s="22"/>
      <c r="G4" s="22"/>
      <c r="H4" s="23"/>
      <c r="I4" s="32"/>
      <c r="J4" s="21"/>
      <c r="K4" s="22"/>
      <c r="L4" s="22"/>
      <c r="M4" s="23"/>
      <c r="N4" s="32"/>
      <c r="O4" s="21"/>
      <c r="P4" s="22"/>
      <c r="Q4" s="22"/>
      <c r="R4" s="23"/>
      <c r="S4" s="32"/>
      <c r="T4" s="21"/>
      <c r="U4" s="22"/>
      <c r="V4" s="22"/>
      <c r="W4" s="23"/>
      <c r="X4" s="32"/>
    </row>
    <row r="5" spans="1:25" s="203" customFormat="1" x14ac:dyDescent="0.2">
      <c r="B5" s="192" t="s">
        <v>103</v>
      </c>
      <c r="C5" s="187"/>
      <c r="D5" s="48"/>
      <c r="E5" s="92">
        <f>Dashboard!$B$5*Dashboard!$B$10*1000/4</f>
        <v>6825000</v>
      </c>
      <c r="F5" s="93">
        <f>E5*(1+Dashboard!$B$9/4)</f>
        <v>6893250</v>
      </c>
      <c r="G5" s="94">
        <f>F5*(1+Dashboard!$B$9/4)</f>
        <v>6962182.5</v>
      </c>
      <c r="H5" s="95">
        <f>G5*(1+Dashboard!$B$9/4)</f>
        <v>7031804.3250000002</v>
      </c>
      <c r="I5" s="35">
        <f>SUM(E5:H5)</f>
        <v>27712236.824999999</v>
      </c>
      <c r="J5" s="92">
        <f>H5*(1+Dashboard!$B$9/4)</f>
        <v>7102122.3682500003</v>
      </c>
      <c r="K5" s="96">
        <f>J5*(1+Dashboard!$B$9/4)</f>
        <v>7173143.5919325007</v>
      </c>
      <c r="L5" s="94">
        <f>K5*(1+Dashboard!$B$9/4)</f>
        <v>7244875.0278518256</v>
      </c>
      <c r="M5" s="95">
        <f>L5*(1+Dashboard!$B$9/4)</f>
        <v>7317323.7781303441</v>
      </c>
      <c r="N5" s="35">
        <f t="shared" ref="N5" si="0">SUM(J5:M5)</f>
        <v>28837464.766164672</v>
      </c>
      <c r="O5" s="92">
        <f>M5*(1+Dashboard!$B$9/4)</f>
        <v>7390497.015911648</v>
      </c>
      <c r="P5" s="96">
        <f>O5*(1+Dashboard!$B$9/4)</f>
        <v>7464401.9860707643</v>
      </c>
      <c r="Q5" s="93">
        <f>P5*(1+Dashboard!$B$9/4)</f>
        <v>7539046.0059314724</v>
      </c>
      <c r="R5" s="94">
        <f>Q5*(1+Dashboard!$B$9/4)</f>
        <v>7614436.4659907874</v>
      </c>
      <c r="S5" s="35">
        <f t="shared" ref="S5" si="1">SUM(O5:R5)</f>
        <v>30008381.473904677</v>
      </c>
      <c r="T5" s="92">
        <f>R5*(1+Dashboard!$B$9/4)</f>
        <v>7690580.8306506956</v>
      </c>
      <c r="U5" s="96">
        <f>T5*(1+Dashboard!$B$9/4)</f>
        <v>7767486.6389572024</v>
      </c>
      <c r="V5" s="93">
        <f>U5*(1+Dashboard!$B$9/4)</f>
        <v>7845161.5053467741</v>
      </c>
      <c r="W5" s="95">
        <f>V5*(1+Dashboard!$B$9/4)</f>
        <v>7923613.1204002416</v>
      </c>
      <c r="X5" s="35">
        <f t="shared" ref="X5" si="2">SUM(T5:W5)</f>
        <v>31226842.095354915</v>
      </c>
      <c r="Y5" s="204"/>
    </row>
    <row r="6" spans="1:25" s="199" customFormat="1" x14ac:dyDescent="0.2">
      <c r="B6" s="193" t="s">
        <v>33</v>
      </c>
      <c r="C6" s="28"/>
      <c r="D6" s="49"/>
      <c r="E6" s="123">
        <f>Dashboard!$B6/4</f>
        <v>800000</v>
      </c>
      <c r="F6" s="124">
        <f>E6*(1+Dashboard!$B$9/4)</f>
        <v>808000</v>
      </c>
      <c r="G6" s="125">
        <f>F6*(1+Dashboard!$B$9/4)</f>
        <v>816080</v>
      </c>
      <c r="H6" s="126">
        <f>G6*(1+Dashboard!$B$9/4)</f>
        <v>824240.8</v>
      </c>
      <c r="I6" s="127">
        <f>SUM(E6:H6)</f>
        <v>3248320.8</v>
      </c>
      <c r="J6" s="123">
        <f>H6*(1+Dashboard!$B$9/4)</f>
        <v>832483.2080000001</v>
      </c>
      <c r="K6" s="124">
        <f>J6*(1+Dashboard!$B$9/4)</f>
        <v>840808.04008000006</v>
      </c>
      <c r="L6" s="125">
        <f>K6*(1+Dashboard!$B$9/4)</f>
        <v>849216.12048080005</v>
      </c>
      <c r="M6" s="126">
        <f>L6*(1+Dashboard!$B$9/4)</f>
        <v>857708.28168560809</v>
      </c>
      <c r="N6" s="127">
        <f t="shared" ref="N6" si="3">SUM(J6:M6)</f>
        <v>3380215.6502464083</v>
      </c>
      <c r="O6" s="25">
        <f>M6*(1+Dashboard!$B$9/4)</f>
        <v>866285.36450246419</v>
      </c>
      <c r="P6" s="82">
        <f>O6*(1+Dashboard!$B$9/4)</f>
        <v>874948.21814748889</v>
      </c>
      <c r="Q6" s="26">
        <f>P6*(1+Dashboard!$B$9/4)</f>
        <v>883697.70032896381</v>
      </c>
      <c r="R6" s="75">
        <f>Q6*(1+Dashboard!$B$9/4)</f>
        <v>892534.67733225343</v>
      </c>
      <c r="S6" s="127">
        <f t="shared" ref="S6" si="4">SUM(O6:R6)</f>
        <v>3517465.9603111707</v>
      </c>
      <c r="T6" s="123">
        <f>R6*(1+Dashboard!$B$9/4)</f>
        <v>901460.02410557598</v>
      </c>
      <c r="U6" s="128">
        <f>T6*(1+Dashboard!$B$9/4)</f>
        <v>910474.6243466317</v>
      </c>
      <c r="V6" s="124">
        <f>U6*(1+Dashboard!$B$9/4)</f>
        <v>919579.37059009797</v>
      </c>
      <c r="W6" s="126">
        <f>V6*(1+Dashboard!$B$9/4)</f>
        <v>928775.16429599898</v>
      </c>
      <c r="X6" s="127">
        <f t="shared" ref="X6" si="5">SUM(T6:W6)</f>
        <v>3660289.1833383045</v>
      </c>
      <c r="Y6" s="205"/>
    </row>
    <row r="7" spans="1:25" s="207" customFormat="1" x14ac:dyDescent="0.2">
      <c r="A7" s="206"/>
      <c r="B7" s="240" t="s">
        <v>84</v>
      </c>
      <c r="C7" s="120"/>
      <c r="D7" s="121"/>
      <c r="E7" s="219">
        <f>VLOOKUP(Dashboard!$B$11,'Market Inputs'!$A$10:$U$12,COLUMN(E7)-3,FALSE)</f>
        <v>2E-3</v>
      </c>
      <c r="F7" s="220">
        <f>VLOOKUP(Dashboard!$B$11,'Market Inputs'!$A$10:$U$12,COLUMN(F7)-3,FALSE)</f>
        <v>5.0000000000000001E-3</v>
      </c>
      <c r="G7" s="221">
        <f>VLOOKUP(Dashboard!$B$11,'Market Inputs'!$A$10:$U$12,COLUMN(G7)-3,FALSE)</f>
        <v>2.5000000000000001E-2</v>
      </c>
      <c r="H7" s="222">
        <f>VLOOKUP(Dashboard!$B$11,'Market Inputs'!$A$10:$U$12,COLUMN(H7)-3,FALSE)</f>
        <v>0.08</v>
      </c>
      <c r="I7" s="218"/>
      <c r="J7" s="219">
        <f>VLOOKUP(Dashboard!$B$11,'Market Inputs'!$A$10:$U$12,COLUMN(J7)-3,FALSE)</f>
        <v>0.11</v>
      </c>
      <c r="K7" s="220">
        <f>VLOOKUP(Dashboard!$B$11,'Market Inputs'!$A$10:$U$12,COLUMN(K7)-3,FALSE)</f>
        <v>0.15</v>
      </c>
      <c r="L7" s="221">
        <f>VLOOKUP(Dashboard!$B$11,'Market Inputs'!$A$10:$U$12,COLUMN(L7)-3,FALSE)</f>
        <v>0.19</v>
      </c>
      <c r="M7" s="222">
        <f>VLOOKUP(Dashboard!$B$11,'Market Inputs'!$A$10:$U$12,COLUMN(M7)-3,FALSE)</f>
        <v>0.25</v>
      </c>
      <c r="N7" s="223"/>
      <c r="O7" s="224">
        <f>VLOOKUP(Dashboard!$B$11,'Market Inputs'!$A$10:$U$12,COLUMN(O7)-3,FALSE)</f>
        <v>0.28999999999999998</v>
      </c>
      <c r="P7" s="225">
        <f>VLOOKUP(Dashboard!$B$11,'Market Inputs'!$A$10:$U$12,COLUMN(P7)-3,FALSE)</f>
        <v>0.33</v>
      </c>
      <c r="Q7" s="225">
        <f>VLOOKUP(Dashboard!$B$11,'Market Inputs'!$A$10:$U$12,COLUMN(Q7)-3,FALSE)</f>
        <v>0.37</v>
      </c>
      <c r="R7" s="227">
        <f>VLOOKUP(Dashboard!$B$11,'Market Inputs'!$A$10:$U$12,COLUMN(R7)-3,FALSE)</f>
        <v>0.41</v>
      </c>
      <c r="S7" s="218"/>
      <c r="T7" s="219">
        <f>VLOOKUP(Dashboard!$B$11,'Market Inputs'!$A$10:$U$12,COLUMN(T7)-3,FALSE)</f>
        <v>0.47</v>
      </c>
      <c r="U7" s="226">
        <f>VLOOKUP(Dashboard!$B$11,'Market Inputs'!$A$10:$U$12,COLUMN(U7)-3,FALSE)</f>
        <v>0.54</v>
      </c>
      <c r="V7" s="220">
        <f>VLOOKUP(Dashboard!$B$11,'Market Inputs'!$A$10:$U$12,COLUMN(V7)-3,FALSE)</f>
        <v>0.6</v>
      </c>
      <c r="W7" s="222">
        <f>VLOOKUP(Dashboard!$B$11,'Market Inputs'!$A$10:$U$12,COLUMN(W7)-3,FALSE)</f>
        <v>0.66</v>
      </c>
      <c r="X7" s="218"/>
    </row>
    <row r="8" spans="1:25" s="207" customFormat="1" ht="15" thickBot="1" x14ac:dyDescent="0.25">
      <c r="A8" s="206"/>
      <c r="B8" s="240"/>
      <c r="C8" s="334"/>
      <c r="D8" s="42"/>
      <c r="E8" s="43"/>
      <c r="F8" s="44"/>
      <c r="G8" s="76"/>
      <c r="H8" s="45"/>
      <c r="I8" s="46"/>
      <c r="J8" s="43"/>
      <c r="K8" s="44"/>
      <c r="L8" s="76"/>
      <c r="M8" s="45"/>
      <c r="N8" s="341"/>
      <c r="O8" s="342"/>
      <c r="P8" s="342"/>
      <c r="Q8" s="342"/>
      <c r="R8" s="343"/>
      <c r="S8" s="46"/>
      <c r="T8" s="43"/>
      <c r="U8" s="84"/>
      <c r="V8" s="44"/>
      <c r="W8" s="45"/>
      <c r="X8" s="46"/>
    </row>
    <row r="9" spans="1:25" s="319" customFormat="1" x14ac:dyDescent="0.2">
      <c r="A9" s="214"/>
      <c r="B9" s="344" t="s">
        <v>9</v>
      </c>
      <c r="C9" s="345"/>
      <c r="D9" s="346"/>
      <c r="E9" s="347">
        <f>Dashboard!$H$4</f>
        <v>100</v>
      </c>
      <c r="F9" s="348">
        <f>E9</f>
        <v>100</v>
      </c>
      <c r="G9" s="349">
        <f>F9</f>
        <v>100</v>
      </c>
      <c r="H9" s="350">
        <f>G9</f>
        <v>100</v>
      </c>
      <c r="I9" s="351"/>
      <c r="J9" s="347">
        <f>H9</f>
        <v>100</v>
      </c>
      <c r="K9" s="348">
        <f>J9</f>
        <v>100</v>
      </c>
      <c r="L9" s="349">
        <f t="shared" ref="L9:M11" si="6">K9</f>
        <v>100</v>
      </c>
      <c r="M9" s="350">
        <f t="shared" si="6"/>
        <v>100</v>
      </c>
      <c r="N9" s="351"/>
      <c r="O9" s="347">
        <f t="shared" ref="O9" si="7">M9</f>
        <v>100</v>
      </c>
      <c r="P9" s="352">
        <f t="shared" ref="P9:W11" si="8">O9</f>
        <v>100</v>
      </c>
      <c r="Q9" s="352">
        <f t="shared" si="8"/>
        <v>100</v>
      </c>
      <c r="R9" s="349">
        <f t="shared" si="8"/>
        <v>100</v>
      </c>
      <c r="S9" s="351"/>
      <c r="T9" s="347">
        <f t="shared" ref="T9" si="9">R9</f>
        <v>100</v>
      </c>
      <c r="U9" s="352">
        <f t="shared" ref="U9:U11" si="10">T9</f>
        <v>100</v>
      </c>
      <c r="V9" s="348">
        <f t="shared" si="8"/>
        <v>100</v>
      </c>
      <c r="W9" s="350">
        <f t="shared" si="8"/>
        <v>100</v>
      </c>
      <c r="X9" s="351"/>
    </row>
    <row r="10" spans="1:25" s="329" customFormat="1" x14ac:dyDescent="0.2">
      <c r="A10" s="320"/>
      <c r="B10" s="318" t="s">
        <v>38</v>
      </c>
      <c r="C10" s="321"/>
      <c r="D10" s="322"/>
      <c r="E10" s="323">
        <f>Dashboard!$H$5</f>
        <v>0.2</v>
      </c>
      <c r="F10" s="183">
        <f>E10</f>
        <v>0.2</v>
      </c>
      <c r="G10" s="324">
        <f t="shared" ref="G10:H11" si="11">F10</f>
        <v>0.2</v>
      </c>
      <c r="H10" s="325">
        <f t="shared" si="11"/>
        <v>0.2</v>
      </c>
      <c r="I10" s="326"/>
      <c r="J10" s="323">
        <f>H10</f>
        <v>0.2</v>
      </c>
      <c r="K10" s="327">
        <f>J10</f>
        <v>0.2</v>
      </c>
      <c r="L10" s="324">
        <f t="shared" si="6"/>
        <v>0.2</v>
      </c>
      <c r="M10" s="325">
        <f t="shared" si="6"/>
        <v>0.2</v>
      </c>
      <c r="N10" s="326"/>
      <c r="O10" s="323">
        <f t="shared" ref="O10" si="12">M10</f>
        <v>0.2</v>
      </c>
      <c r="P10" s="328">
        <f t="shared" si="8"/>
        <v>0.2</v>
      </c>
      <c r="Q10" s="328">
        <f t="shared" si="8"/>
        <v>0.2</v>
      </c>
      <c r="R10" s="324">
        <f t="shared" si="8"/>
        <v>0.2</v>
      </c>
      <c r="S10" s="326"/>
      <c r="T10" s="323">
        <f t="shared" ref="T10" si="13">R10</f>
        <v>0.2</v>
      </c>
      <c r="U10" s="328">
        <f t="shared" si="10"/>
        <v>0.2</v>
      </c>
      <c r="V10" s="327">
        <f t="shared" si="8"/>
        <v>0.2</v>
      </c>
      <c r="W10" s="325">
        <f t="shared" si="8"/>
        <v>0.2</v>
      </c>
      <c r="X10" s="326"/>
    </row>
    <row r="11" spans="1:25" s="333" customFormat="1" x14ac:dyDescent="0.2">
      <c r="A11" s="330"/>
      <c r="B11" s="318" t="s">
        <v>30</v>
      </c>
      <c r="C11" s="331"/>
      <c r="D11" s="332"/>
      <c r="E11" s="335">
        <f>Dashboard!$H$6</f>
        <v>0.33</v>
      </c>
      <c r="F11" s="336">
        <f>E11</f>
        <v>0.33</v>
      </c>
      <c r="G11" s="337">
        <f t="shared" si="11"/>
        <v>0.33</v>
      </c>
      <c r="H11" s="338">
        <f t="shared" si="11"/>
        <v>0.33</v>
      </c>
      <c r="I11" s="339"/>
      <c r="J11" s="335">
        <f>H11</f>
        <v>0.33</v>
      </c>
      <c r="K11" s="336">
        <f>J11</f>
        <v>0.33</v>
      </c>
      <c r="L11" s="337">
        <f t="shared" si="6"/>
        <v>0.33</v>
      </c>
      <c r="M11" s="338">
        <f t="shared" si="6"/>
        <v>0.33</v>
      </c>
      <c r="N11" s="339"/>
      <c r="O11" s="335">
        <f t="shared" ref="O11" si="14">M11</f>
        <v>0.33</v>
      </c>
      <c r="P11" s="340">
        <f t="shared" si="8"/>
        <v>0.33</v>
      </c>
      <c r="Q11" s="340">
        <f t="shared" si="8"/>
        <v>0.33</v>
      </c>
      <c r="R11" s="337">
        <f t="shared" si="8"/>
        <v>0.33</v>
      </c>
      <c r="S11" s="339"/>
      <c r="T11" s="335">
        <f t="shared" ref="T11" si="15">R11</f>
        <v>0.33</v>
      </c>
      <c r="U11" s="340">
        <f t="shared" si="10"/>
        <v>0.33</v>
      </c>
      <c r="V11" s="336">
        <f t="shared" si="8"/>
        <v>0.33</v>
      </c>
      <c r="W11" s="338">
        <f t="shared" si="8"/>
        <v>0.33</v>
      </c>
      <c r="X11" s="339"/>
    </row>
    <row r="12" spans="1:25" s="333" customFormat="1" ht="15" thickBot="1" x14ac:dyDescent="0.25">
      <c r="A12" s="330"/>
      <c r="B12" s="353"/>
      <c r="C12" s="354"/>
      <c r="D12" s="355"/>
      <c r="E12" s="356"/>
      <c r="F12" s="357"/>
      <c r="G12" s="358"/>
      <c r="H12" s="359"/>
      <c r="I12" s="360"/>
      <c r="J12" s="356"/>
      <c r="K12" s="357"/>
      <c r="L12" s="358"/>
      <c r="M12" s="359"/>
      <c r="N12" s="360"/>
      <c r="O12" s="356"/>
      <c r="P12" s="361"/>
      <c r="Q12" s="361"/>
      <c r="R12" s="358"/>
      <c r="S12" s="360"/>
      <c r="T12" s="356"/>
      <c r="U12" s="361"/>
      <c r="V12" s="357"/>
      <c r="W12" s="359"/>
      <c r="X12" s="360"/>
    </row>
    <row r="13" spans="1:25" s="203" customFormat="1" x14ac:dyDescent="0.2">
      <c r="B13" s="240" t="s">
        <v>104</v>
      </c>
      <c r="C13" s="147"/>
      <c r="D13" s="37"/>
      <c r="E13" s="38">
        <f>E5*E7</f>
        <v>13650</v>
      </c>
      <c r="F13" s="39">
        <f t="shared" ref="F13:H13" si="16">F5*F7</f>
        <v>34466.25</v>
      </c>
      <c r="G13" s="74">
        <f t="shared" si="16"/>
        <v>174054.5625</v>
      </c>
      <c r="H13" s="40">
        <f t="shared" si="16"/>
        <v>562544.34600000002</v>
      </c>
      <c r="I13" s="41">
        <f t="shared" ref="I13:I18" si="17">SUM(E13:H13)</f>
        <v>784715.15850000002</v>
      </c>
      <c r="J13" s="38">
        <f t="shared" ref="J13:W13" si="18">J5*J7</f>
        <v>781233.46050749999</v>
      </c>
      <c r="K13" s="39">
        <f t="shared" si="18"/>
        <v>1075971.5387898751</v>
      </c>
      <c r="L13" s="74">
        <f t="shared" si="18"/>
        <v>1376526.2552918468</v>
      </c>
      <c r="M13" s="40">
        <f t="shared" si="18"/>
        <v>1829330.944532586</v>
      </c>
      <c r="N13" s="41">
        <f t="shared" ref="N13:N18" si="19">SUM(J13:M13)</f>
        <v>5063062.1991218077</v>
      </c>
      <c r="O13" s="38">
        <f t="shared" ref="O13" si="20">O5*O7</f>
        <v>2143244.1346143777</v>
      </c>
      <c r="P13" s="81">
        <f t="shared" si="18"/>
        <v>2463252.6554033523</v>
      </c>
      <c r="Q13" s="39">
        <f t="shared" si="18"/>
        <v>2789447.0221946449</v>
      </c>
      <c r="R13" s="74">
        <f t="shared" si="18"/>
        <v>3121918.9510562224</v>
      </c>
      <c r="S13" s="41">
        <f t="shared" ref="S13:S18" si="21">SUM(O13:R13)</f>
        <v>10517862.763268597</v>
      </c>
      <c r="T13" s="38">
        <f t="shared" ref="T13" si="22">T5*T7</f>
        <v>3614572.9904058268</v>
      </c>
      <c r="U13" s="81">
        <f t="shared" si="18"/>
        <v>4194442.7850368898</v>
      </c>
      <c r="V13" s="39">
        <f t="shared" si="18"/>
        <v>4707096.9032080639</v>
      </c>
      <c r="W13" s="40">
        <f t="shared" si="18"/>
        <v>5229584.65946416</v>
      </c>
      <c r="X13" s="41">
        <f t="shared" ref="X13:X18" si="23">SUM(T13:W13)</f>
        <v>17745697.33811494</v>
      </c>
    </row>
    <row r="14" spans="1:25" s="199" customFormat="1" x14ac:dyDescent="0.2">
      <c r="B14" s="240" t="s">
        <v>39</v>
      </c>
      <c r="C14" s="47"/>
      <c r="D14" s="24"/>
      <c r="E14" s="25">
        <f>E6*E7</f>
        <v>1600</v>
      </c>
      <c r="F14" s="26">
        <f t="shared" ref="F14:H14" si="24">F6*F7</f>
        <v>4040</v>
      </c>
      <c r="G14" s="75">
        <f t="shared" si="24"/>
        <v>20402</v>
      </c>
      <c r="H14" s="27">
        <f t="shared" si="24"/>
        <v>65939.26400000001</v>
      </c>
      <c r="I14" s="33">
        <f t="shared" si="17"/>
        <v>91981.26400000001</v>
      </c>
      <c r="J14" s="25">
        <f t="shared" ref="J14:W14" si="25">J6*J7</f>
        <v>91573.152880000009</v>
      </c>
      <c r="K14" s="26">
        <f t="shared" si="25"/>
        <v>126121.20601200001</v>
      </c>
      <c r="L14" s="75">
        <f t="shared" si="25"/>
        <v>161351.06289135202</v>
      </c>
      <c r="M14" s="27">
        <f t="shared" si="25"/>
        <v>214427.07042140202</v>
      </c>
      <c r="N14" s="33">
        <f t="shared" si="19"/>
        <v>593472.49220475403</v>
      </c>
      <c r="O14" s="25">
        <f t="shared" ref="O14" si="26">O6*O7</f>
        <v>251222.7557057146</v>
      </c>
      <c r="P14" s="82">
        <f t="shared" si="25"/>
        <v>288732.91198867135</v>
      </c>
      <c r="Q14" s="26">
        <f t="shared" si="25"/>
        <v>326968.14912171662</v>
      </c>
      <c r="R14" s="75">
        <f t="shared" si="25"/>
        <v>365939.21770622389</v>
      </c>
      <c r="S14" s="33">
        <f t="shared" si="21"/>
        <v>1232863.0345223264</v>
      </c>
      <c r="T14" s="25">
        <f t="shared" ref="T14" si="27">T6*T7</f>
        <v>423686.21132962068</v>
      </c>
      <c r="U14" s="82">
        <f t="shared" si="25"/>
        <v>491656.29714718118</v>
      </c>
      <c r="V14" s="26">
        <f t="shared" si="25"/>
        <v>551747.62235405878</v>
      </c>
      <c r="W14" s="27">
        <f t="shared" si="25"/>
        <v>612991.60843535932</v>
      </c>
      <c r="X14" s="33">
        <f t="shared" si="23"/>
        <v>2080081.73926622</v>
      </c>
    </row>
    <row r="15" spans="1:25" s="199" customFormat="1" x14ac:dyDescent="0.2">
      <c r="B15" s="240" t="s">
        <v>80</v>
      </c>
      <c r="C15" s="47"/>
      <c r="D15" s="24"/>
      <c r="E15" s="25">
        <f>ROUND(E14/E9*1000,0)</f>
        <v>16000</v>
      </c>
      <c r="F15" s="26">
        <f>ROUND(F14/F9*1000,0)</f>
        <v>40400</v>
      </c>
      <c r="G15" s="75">
        <f>ROUND(G14/G9*1000,0)</f>
        <v>204020</v>
      </c>
      <c r="H15" s="27">
        <f>ROUND(H14/H9*1000,0)</f>
        <v>659393</v>
      </c>
      <c r="I15" s="33">
        <f t="shared" si="17"/>
        <v>919813</v>
      </c>
      <c r="J15" s="25">
        <f t="shared" ref="J15" si="28">ROUND(J14/J9*1000,0)</f>
        <v>915732</v>
      </c>
      <c r="K15" s="26">
        <f t="shared" ref="K15" si="29">ROUND(K14/K9*1000,0)</f>
        <v>1261212</v>
      </c>
      <c r="L15" s="75">
        <f t="shared" ref="L15" si="30">ROUND(L14/L9*1000,0)</f>
        <v>1613511</v>
      </c>
      <c r="M15" s="27">
        <f t="shared" ref="M15" si="31">ROUND(M14/M9*1000,0)</f>
        <v>2144271</v>
      </c>
      <c r="N15" s="33">
        <f t="shared" si="19"/>
        <v>5934726</v>
      </c>
      <c r="O15" s="25">
        <f t="shared" ref="O15" si="32">ROUND(O14/O9*1000,0)</f>
        <v>2512228</v>
      </c>
      <c r="P15" s="82">
        <f t="shared" ref="P15" si="33">ROUND(P14/P9*1000,0)</f>
        <v>2887329</v>
      </c>
      <c r="Q15" s="26">
        <f t="shared" ref="Q15" si="34">ROUND(Q14/Q9*1000,0)</f>
        <v>3269681</v>
      </c>
      <c r="R15" s="75">
        <f t="shared" ref="R15" si="35">ROUND(R14/R9*1000,0)</f>
        <v>3659392</v>
      </c>
      <c r="S15" s="33">
        <f t="shared" si="21"/>
        <v>12328630</v>
      </c>
      <c r="T15" s="25">
        <f t="shared" ref="T15" si="36">ROUND(T14/T9*1000,0)</f>
        <v>4236862</v>
      </c>
      <c r="U15" s="82">
        <f t="shared" ref="U15" si="37">ROUND(U14/U9*1000,0)</f>
        <v>4916563</v>
      </c>
      <c r="V15" s="26">
        <f t="shared" ref="V15" si="38">ROUND(V14/V9*1000,0)</f>
        <v>5517476</v>
      </c>
      <c r="W15" s="27">
        <f t="shared" ref="W15" si="39">ROUND(W14/W9*1000,0)</f>
        <v>6129916</v>
      </c>
      <c r="X15" s="33">
        <f t="shared" si="23"/>
        <v>20800817</v>
      </c>
    </row>
    <row r="16" spans="1:25" s="208" customFormat="1" x14ac:dyDescent="0.2">
      <c r="B16" s="240" t="s">
        <v>77</v>
      </c>
      <c r="C16" s="28"/>
      <c r="D16" s="24"/>
      <c r="E16" s="29">
        <f>E17+E18</f>
        <v>12800</v>
      </c>
      <c r="F16" s="30">
        <f t="shared" ref="F16:H16" si="40">F17+F18</f>
        <v>32320</v>
      </c>
      <c r="G16" s="30">
        <f t="shared" si="40"/>
        <v>163216</v>
      </c>
      <c r="H16" s="31">
        <f t="shared" si="40"/>
        <v>527515</v>
      </c>
      <c r="I16" s="34">
        <f t="shared" si="17"/>
        <v>735851</v>
      </c>
      <c r="J16" s="29">
        <f t="shared" ref="J16" si="41">J17+J18</f>
        <v>732586</v>
      </c>
      <c r="K16" s="30">
        <f t="shared" ref="K16" si="42">K17+K18</f>
        <v>1008970</v>
      </c>
      <c r="L16" s="80">
        <f t="shared" ref="L16" si="43">L17+L18</f>
        <v>1290809</v>
      </c>
      <c r="M16" s="31">
        <f t="shared" ref="M16" si="44">M17+M18</f>
        <v>1715416</v>
      </c>
      <c r="N16" s="34">
        <f t="shared" si="19"/>
        <v>4747781</v>
      </c>
      <c r="O16" s="29">
        <f t="shared" ref="O16" si="45">O17+O18</f>
        <v>2009782</v>
      </c>
      <c r="P16" s="83">
        <f t="shared" ref="P16" si="46">P17+P18</f>
        <v>2309864</v>
      </c>
      <c r="Q16" s="30">
        <f t="shared" ref="Q16" si="47">Q17+Q18</f>
        <v>2615745</v>
      </c>
      <c r="R16" s="80">
        <f t="shared" ref="R16" si="48">R17+R18</f>
        <v>2927513</v>
      </c>
      <c r="S16" s="34">
        <f t="shared" si="21"/>
        <v>9862904</v>
      </c>
      <c r="T16" s="29">
        <f t="shared" ref="T16" si="49">T17+T18</f>
        <v>3389489</v>
      </c>
      <c r="U16" s="83">
        <f t="shared" ref="U16" si="50">U17+U18</f>
        <v>3933251</v>
      </c>
      <c r="V16" s="30">
        <f t="shared" ref="V16" si="51">V17+V18</f>
        <v>4413981</v>
      </c>
      <c r="W16" s="31">
        <f t="shared" ref="W16" si="52">W17+W18</f>
        <v>4903933</v>
      </c>
      <c r="X16" s="34">
        <f t="shared" si="23"/>
        <v>16640654</v>
      </c>
    </row>
    <row r="17" spans="2:24" s="209" customFormat="1" x14ac:dyDescent="0.2">
      <c r="B17" s="213" t="s">
        <v>78</v>
      </c>
      <c r="C17" s="188"/>
      <c r="D17" s="176"/>
      <c r="E17" s="177">
        <f>ROUND(E15*E11,0)</f>
        <v>5280</v>
      </c>
      <c r="F17" s="178">
        <f t="shared" ref="F17:H17" si="53">ROUND(F15*F11,0)</f>
        <v>13332</v>
      </c>
      <c r="G17" s="178">
        <f t="shared" si="53"/>
        <v>67327</v>
      </c>
      <c r="H17" s="179">
        <f t="shared" si="53"/>
        <v>217600</v>
      </c>
      <c r="I17" s="180">
        <f t="shared" si="17"/>
        <v>303539</v>
      </c>
      <c r="J17" s="177">
        <f t="shared" ref="J17:M17" si="54">ROUND(J15*J11,0)</f>
        <v>302192</v>
      </c>
      <c r="K17" s="178">
        <f t="shared" si="54"/>
        <v>416200</v>
      </c>
      <c r="L17" s="178">
        <f t="shared" si="54"/>
        <v>532459</v>
      </c>
      <c r="M17" s="179">
        <f t="shared" si="54"/>
        <v>707609</v>
      </c>
      <c r="N17" s="180">
        <f t="shared" si="19"/>
        <v>1958460</v>
      </c>
      <c r="O17" s="177">
        <f t="shared" ref="O17:R17" si="55">ROUND(O15*O11,0)</f>
        <v>829035</v>
      </c>
      <c r="P17" s="178">
        <f t="shared" si="55"/>
        <v>952819</v>
      </c>
      <c r="Q17" s="178">
        <f t="shared" si="55"/>
        <v>1078995</v>
      </c>
      <c r="R17" s="181">
        <f t="shared" si="55"/>
        <v>1207599</v>
      </c>
      <c r="S17" s="180">
        <f t="shared" si="21"/>
        <v>4068448</v>
      </c>
      <c r="T17" s="177">
        <f t="shared" ref="T17:W17" si="56">ROUND(T15*T11,0)</f>
        <v>1398164</v>
      </c>
      <c r="U17" s="178">
        <f t="shared" si="56"/>
        <v>1622466</v>
      </c>
      <c r="V17" s="178">
        <f t="shared" si="56"/>
        <v>1820767</v>
      </c>
      <c r="W17" s="179">
        <f t="shared" si="56"/>
        <v>2022872</v>
      </c>
      <c r="X17" s="180">
        <f t="shared" si="23"/>
        <v>6864269</v>
      </c>
    </row>
    <row r="18" spans="2:24" s="210" customFormat="1" x14ac:dyDescent="0.2">
      <c r="B18" s="213" t="s">
        <v>79</v>
      </c>
      <c r="C18" s="189"/>
      <c r="D18" s="182"/>
      <c r="E18" s="177">
        <f>ROUND(E15*(1-E11-E10),0)</f>
        <v>7520</v>
      </c>
      <c r="F18" s="178">
        <f t="shared" ref="F18:H18" si="57">ROUND(F15*(1-F11-F10),0)</f>
        <v>18988</v>
      </c>
      <c r="G18" s="178">
        <f t="shared" si="57"/>
        <v>95889</v>
      </c>
      <c r="H18" s="179">
        <f t="shared" si="57"/>
        <v>309915</v>
      </c>
      <c r="I18" s="217">
        <f t="shared" si="17"/>
        <v>432312</v>
      </c>
      <c r="J18" s="177">
        <f t="shared" ref="J18:M18" si="58">ROUND(J15*(1-J11-J10),0)</f>
        <v>430394</v>
      </c>
      <c r="K18" s="178">
        <f t="shared" si="58"/>
        <v>592770</v>
      </c>
      <c r="L18" s="178">
        <f t="shared" si="58"/>
        <v>758350</v>
      </c>
      <c r="M18" s="179">
        <f t="shared" si="58"/>
        <v>1007807</v>
      </c>
      <c r="N18" s="217">
        <f t="shared" si="19"/>
        <v>2789321</v>
      </c>
      <c r="O18" s="177">
        <f t="shared" ref="O18:R18" si="59">ROUND(O15*(1-O11-O10),0)</f>
        <v>1180747</v>
      </c>
      <c r="P18" s="178">
        <f t="shared" si="59"/>
        <v>1357045</v>
      </c>
      <c r="Q18" s="178">
        <f t="shared" si="59"/>
        <v>1536750</v>
      </c>
      <c r="R18" s="181">
        <f t="shared" si="59"/>
        <v>1719914</v>
      </c>
      <c r="S18" s="217">
        <f t="shared" si="21"/>
        <v>5794456</v>
      </c>
      <c r="T18" s="177">
        <f t="shared" ref="T18:W18" si="60">ROUND(T15*(1-T11-T10),0)</f>
        <v>1991325</v>
      </c>
      <c r="U18" s="178">
        <f t="shared" si="60"/>
        <v>2310785</v>
      </c>
      <c r="V18" s="178">
        <f t="shared" si="60"/>
        <v>2593214</v>
      </c>
      <c r="W18" s="179">
        <f t="shared" si="60"/>
        <v>2881061</v>
      </c>
      <c r="X18" s="217">
        <f t="shared" si="23"/>
        <v>9776385</v>
      </c>
    </row>
    <row r="19" spans="2:24" s="205" customFormat="1" hidden="1" x14ac:dyDescent="0.2">
      <c r="B19" s="215" t="s">
        <v>81</v>
      </c>
      <c r="C19" s="122"/>
      <c r="D19" s="216"/>
      <c r="E19" s="29"/>
      <c r="F19" s="30"/>
      <c r="G19" s="30"/>
      <c r="H19" s="31"/>
      <c r="I19" s="217"/>
      <c r="J19" s="29"/>
      <c r="K19" s="30"/>
      <c r="L19" s="30"/>
      <c r="M19" s="31"/>
      <c r="N19" s="217"/>
      <c r="O19" s="29"/>
      <c r="P19" s="30"/>
      <c r="Q19" s="30"/>
      <c r="R19" s="80"/>
      <c r="S19" s="217"/>
      <c r="T19" s="29"/>
      <c r="U19" s="30"/>
      <c r="V19" s="30"/>
      <c r="W19" s="31"/>
      <c r="X19" s="217"/>
    </row>
    <row r="20" spans="2:24" s="205" customFormat="1" ht="15" thickBot="1" x14ac:dyDescent="0.25">
      <c r="B20" s="242"/>
      <c r="C20" s="243"/>
      <c r="D20" s="244"/>
      <c r="E20" s="245"/>
      <c r="F20" s="246"/>
      <c r="G20" s="246"/>
      <c r="H20" s="247"/>
      <c r="I20" s="248"/>
      <c r="J20" s="245"/>
      <c r="K20" s="246"/>
      <c r="L20" s="246"/>
      <c r="M20" s="247"/>
      <c r="N20" s="248"/>
      <c r="O20" s="245"/>
      <c r="P20" s="246"/>
      <c r="Q20" s="246"/>
      <c r="R20" s="249"/>
      <c r="S20" s="248"/>
      <c r="T20" s="245"/>
      <c r="U20" s="246"/>
      <c r="V20" s="246"/>
      <c r="W20" s="247"/>
      <c r="X20" s="248"/>
    </row>
    <row r="21" spans="2:24" s="260" customFormat="1" x14ac:dyDescent="0.2">
      <c r="B21" s="252" t="s">
        <v>74</v>
      </c>
      <c r="C21" s="253"/>
      <c r="D21" s="254"/>
      <c r="E21" s="255">
        <f>VLOOKUP(Dashboard!$E$9,'Market Inputs'!$A$16:$U$19,COLUMN(E7)-3,FALSE)</f>
        <v>0</v>
      </c>
      <c r="F21" s="256">
        <f>VLOOKUP(Dashboard!$E$9,'Market Inputs'!$A$16:$U$19,COLUMN(F7)-3,FALSE)</f>
        <v>0.14000000000000001</v>
      </c>
      <c r="G21" s="256">
        <f>VLOOKUP(Dashboard!$E$9,'Market Inputs'!$A$16:$U$19,COLUMN(G7)-3,FALSE)</f>
        <v>0.23</v>
      </c>
      <c r="H21" s="257">
        <f>VLOOKUP(Dashboard!$E$9,'Market Inputs'!$A$16:$U$19,COLUMN(H7)-3,FALSE)</f>
        <v>0.31</v>
      </c>
      <c r="I21" s="258"/>
      <c r="J21" s="255">
        <f>VLOOKUP(Dashboard!$E$9,'Market Inputs'!$A$16:$U$19,COLUMN(J7)-3,FALSE)</f>
        <v>0.37</v>
      </c>
      <c r="K21" s="256">
        <f>VLOOKUP(Dashboard!$E$9,'Market Inputs'!$A$16:$U$19,COLUMN(K7)-3,FALSE)</f>
        <v>0.44</v>
      </c>
      <c r="L21" s="256">
        <f>VLOOKUP(Dashboard!$E$9,'Market Inputs'!$A$16:$U$19,COLUMN(L7)-3,FALSE)</f>
        <v>0.48</v>
      </c>
      <c r="M21" s="257">
        <f>VLOOKUP(Dashboard!$E$9,'Market Inputs'!$A$16:$U$19,COLUMN(M7)-3,FALSE)</f>
        <v>0.51</v>
      </c>
      <c r="N21" s="258"/>
      <c r="O21" s="255">
        <f>VLOOKUP(Dashboard!$E$9,'Market Inputs'!$A$16:$U$19,COLUMN(O7)-3,FALSE)</f>
        <v>0.54</v>
      </c>
      <c r="P21" s="256">
        <f>VLOOKUP(Dashboard!$E$9,'Market Inputs'!$A$16:$U$19,COLUMN(P7)-3,FALSE)</f>
        <v>0.56999999999999995</v>
      </c>
      <c r="Q21" s="256">
        <f>VLOOKUP(Dashboard!$E$9,'Market Inputs'!$A$16:$U$19,COLUMN(Q7)-3,FALSE)</f>
        <v>0.6</v>
      </c>
      <c r="R21" s="259">
        <f>VLOOKUP(Dashboard!$E$9,'Market Inputs'!$A$16:$U$19,COLUMN(R7)-3,FALSE)</f>
        <v>0.63</v>
      </c>
      <c r="S21" s="258"/>
      <c r="T21" s="255">
        <f>VLOOKUP(Dashboard!$E$9,'Market Inputs'!$A$16:$U$19,COLUMN(T7)-3,FALSE)</f>
        <v>0.66</v>
      </c>
      <c r="U21" s="256">
        <f>VLOOKUP(Dashboard!$E$9,'Market Inputs'!$A$16:$U$19,COLUMN(U7)-3,FALSE)</f>
        <v>0.68</v>
      </c>
      <c r="V21" s="256">
        <f>VLOOKUP(Dashboard!$E$9,'Market Inputs'!$A$16:$U$19,COLUMN(V7)-3,FALSE)</f>
        <v>0.69</v>
      </c>
      <c r="W21" s="257">
        <f>VLOOKUP(Dashboard!$E$9,'Market Inputs'!$A$16:$U$19,COLUMN(W7)-3,FALSE)</f>
        <v>0.7</v>
      </c>
      <c r="X21" s="258"/>
    </row>
    <row r="22" spans="2:24" s="260" customFormat="1" x14ac:dyDescent="0.2">
      <c r="B22" s="261" t="s">
        <v>75</v>
      </c>
      <c r="C22" s="262"/>
      <c r="D22" s="263"/>
      <c r="E22" s="264">
        <f>1-E21</f>
        <v>1</v>
      </c>
      <c r="F22" s="265">
        <f t="shared" ref="F22:H22" si="61">1-F21</f>
        <v>0.86</v>
      </c>
      <c r="G22" s="265">
        <f t="shared" si="61"/>
        <v>0.77</v>
      </c>
      <c r="H22" s="266">
        <f t="shared" si="61"/>
        <v>0.69</v>
      </c>
      <c r="I22" s="267"/>
      <c r="J22" s="264">
        <f t="shared" ref="J22" si="62">1-J21</f>
        <v>0.63</v>
      </c>
      <c r="K22" s="265">
        <f t="shared" ref="K22" si="63">1-K21</f>
        <v>0.56000000000000005</v>
      </c>
      <c r="L22" s="265">
        <f t="shared" ref="L22" si="64">1-L21</f>
        <v>0.52</v>
      </c>
      <c r="M22" s="266">
        <f t="shared" ref="M22" si="65">1-M21</f>
        <v>0.49</v>
      </c>
      <c r="N22" s="267"/>
      <c r="O22" s="264">
        <f t="shared" ref="O22" si="66">1-O21</f>
        <v>0.45999999999999996</v>
      </c>
      <c r="P22" s="265">
        <f t="shared" ref="P22" si="67">1-P21</f>
        <v>0.43000000000000005</v>
      </c>
      <c r="Q22" s="265">
        <f t="shared" ref="Q22" si="68">1-Q21</f>
        <v>0.4</v>
      </c>
      <c r="R22" s="268">
        <f t="shared" ref="R22" si="69">1-R21</f>
        <v>0.37</v>
      </c>
      <c r="S22" s="267"/>
      <c r="T22" s="264">
        <f t="shared" ref="T22" si="70">1-T21</f>
        <v>0.33999999999999997</v>
      </c>
      <c r="U22" s="265">
        <f t="shared" ref="U22" si="71">1-U21</f>
        <v>0.31999999999999995</v>
      </c>
      <c r="V22" s="265">
        <f t="shared" ref="V22" si="72">1-V21</f>
        <v>0.31000000000000005</v>
      </c>
      <c r="W22" s="266">
        <f t="shared" ref="W22" si="73">1-W21</f>
        <v>0.30000000000000004</v>
      </c>
      <c r="X22" s="267"/>
    </row>
    <row r="23" spans="2:24" s="260" customFormat="1" x14ac:dyDescent="0.2">
      <c r="B23" s="261" t="s">
        <v>89</v>
      </c>
      <c r="C23" s="262"/>
      <c r="D23" s="263"/>
      <c r="E23" s="264">
        <f>Dashboard!$E$7</f>
        <v>0.15</v>
      </c>
      <c r="F23" s="265">
        <f>Dashboard!$E$7</f>
        <v>0.15</v>
      </c>
      <c r="G23" s="265">
        <f>Dashboard!$E$7</f>
        <v>0.15</v>
      </c>
      <c r="H23" s="266">
        <f>Dashboard!$E$7</f>
        <v>0.15</v>
      </c>
      <c r="I23" s="267"/>
      <c r="J23" s="264">
        <f>Dashboard!$E$7</f>
        <v>0.15</v>
      </c>
      <c r="K23" s="265">
        <f>Dashboard!$E$7</f>
        <v>0.15</v>
      </c>
      <c r="L23" s="265">
        <f>Dashboard!$E$7</f>
        <v>0.15</v>
      </c>
      <c r="M23" s="266">
        <f>Dashboard!$E$7</f>
        <v>0.15</v>
      </c>
      <c r="N23" s="267"/>
      <c r="O23" s="264">
        <f>Dashboard!$E$7</f>
        <v>0.15</v>
      </c>
      <c r="P23" s="265">
        <f>Dashboard!$E$7</f>
        <v>0.15</v>
      </c>
      <c r="Q23" s="265">
        <f>Dashboard!$E$7</f>
        <v>0.15</v>
      </c>
      <c r="R23" s="268">
        <f>Dashboard!$E$7</f>
        <v>0.15</v>
      </c>
      <c r="S23" s="267"/>
      <c r="T23" s="264">
        <f>Dashboard!$E$7</f>
        <v>0.15</v>
      </c>
      <c r="U23" s="265">
        <f>Dashboard!$E$7</f>
        <v>0.15</v>
      </c>
      <c r="V23" s="265">
        <f>Dashboard!$E$7</f>
        <v>0.15</v>
      </c>
      <c r="W23" s="266">
        <f>Dashboard!$E$7</f>
        <v>0.15</v>
      </c>
      <c r="X23" s="267"/>
    </row>
    <row r="24" spans="2:24" s="260" customFormat="1" ht="15" thickBot="1" x14ac:dyDescent="0.25">
      <c r="B24" s="269"/>
      <c r="C24" s="270"/>
      <c r="D24" s="271"/>
      <c r="E24" s="272"/>
      <c r="F24" s="273"/>
      <c r="G24" s="273"/>
      <c r="H24" s="274"/>
      <c r="I24" s="275"/>
      <c r="J24" s="272"/>
      <c r="K24" s="273"/>
      <c r="L24" s="273"/>
      <c r="M24" s="274"/>
      <c r="N24" s="275"/>
      <c r="O24" s="272"/>
      <c r="P24" s="273"/>
      <c r="Q24" s="273"/>
      <c r="R24" s="276"/>
      <c r="S24" s="275"/>
      <c r="T24" s="272"/>
      <c r="U24" s="273"/>
      <c r="V24" s="273"/>
      <c r="W24" s="274"/>
      <c r="X24" s="275"/>
    </row>
    <row r="25" spans="2:24" s="285" customFormat="1" ht="15" thickBot="1" x14ac:dyDescent="0.25">
      <c r="B25" s="277" t="s">
        <v>28</v>
      </c>
      <c r="C25" s="278"/>
      <c r="D25" s="279"/>
      <c r="E25" s="280">
        <f>Dashboard!$E$6</f>
        <v>0.5</v>
      </c>
      <c r="F25" s="281">
        <f>Dashboard!$E$6</f>
        <v>0.5</v>
      </c>
      <c r="G25" s="281">
        <f>Dashboard!$E$6</f>
        <v>0.5</v>
      </c>
      <c r="H25" s="282">
        <f>Dashboard!$E$6</f>
        <v>0.5</v>
      </c>
      <c r="I25" s="283"/>
      <c r="J25" s="280">
        <f>Dashboard!$E$6</f>
        <v>0.5</v>
      </c>
      <c r="K25" s="281">
        <f>Dashboard!$E$6</f>
        <v>0.5</v>
      </c>
      <c r="L25" s="281">
        <f>Dashboard!$E$6</f>
        <v>0.5</v>
      </c>
      <c r="M25" s="282">
        <f>Dashboard!$E$6</f>
        <v>0.5</v>
      </c>
      <c r="N25" s="283"/>
      <c r="O25" s="280">
        <f>Dashboard!$E$6</f>
        <v>0.5</v>
      </c>
      <c r="P25" s="281">
        <f>Dashboard!$E$6</f>
        <v>0.5</v>
      </c>
      <c r="Q25" s="281">
        <f>Dashboard!$E$6</f>
        <v>0.5</v>
      </c>
      <c r="R25" s="284">
        <f>Dashboard!$E$6</f>
        <v>0.5</v>
      </c>
      <c r="S25" s="283"/>
      <c r="T25" s="280">
        <f>Dashboard!$E$6</f>
        <v>0.5</v>
      </c>
      <c r="U25" s="281">
        <f>Dashboard!$E$6</f>
        <v>0.5</v>
      </c>
      <c r="V25" s="281">
        <f>Dashboard!$E$6</f>
        <v>0.5</v>
      </c>
      <c r="W25" s="282">
        <f>Dashboard!$E$6</f>
        <v>0.5</v>
      </c>
      <c r="X25" s="283"/>
    </row>
    <row r="26" spans="2:24" s="295" customFormat="1" x14ac:dyDescent="0.2">
      <c r="B26" s="286" t="s">
        <v>83</v>
      </c>
      <c r="C26" s="287"/>
      <c r="D26" s="288"/>
      <c r="E26" s="289">
        <f>Dashboard!$B$8*Dashboard!$E$4</f>
        <v>38</v>
      </c>
      <c r="F26" s="290">
        <f>Dashboard!$B$8*Dashboard!$E$4</f>
        <v>38</v>
      </c>
      <c r="G26" s="291">
        <f>Dashboard!$B$8*Dashboard!$E$4</f>
        <v>38</v>
      </c>
      <c r="H26" s="292">
        <f>Dashboard!$B$8*Dashboard!$E$4</f>
        <v>38</v>
      </c>
      <c r="I26" s="293"/>
      <c r="J26" s="289">
        <f>Dashboard!$B$8*Dashboard!$E$4</f>
        <v>38</v>
      </c>
      <c r="K26" s="290">
        <f>Dashboard!$B$8*Dashboard!$E$4</f>
        <v>38</v>
      </c>
      <c r="L26" s="291">
        <f>Dashboard!$B$8*Dashboard!$E$4</f>
        <v>38</v>
      </c>
      <c r="M26" s="292">
        <f>Dashboard!$B$8*Dashboard!$E$4</f>
        <v>38</v>
      </c>
      <c r="N26" s="293"/>
      <c r="O26" s="289">
        <f>Dashboard!$B$8*Dashboard!$E$4</f>
        <v>38</v>
      </c>
      <c r="P26" s="294">
        <f>Dashboard!$B$8*Dashboard!$E$4</f>
        <v>38</v>
      </c>
      <c r="Q26" s="290">
        <f>Dashboard!$B$8*Dashboard!$E$4</f>
        <v>38</v>
      </c>
      <c r="R26" s="292">
        <f>Dashboard!$B$8*Dashboard!$E$4</f>
        <v>38</v>
      </c>
      <c r="S26" s="293"/>
      <c r="T26" s="289">
        <f>Dashboard!$B$8*Dashboard!$E$4</f>
        <v>38</v>
      </c>
      <c r="U26" s="294">
        <f>Dashboard!$B$8*Dashboard!$E$4</f>
        <v>38</v>
      </c>
      <c r="V26" s="290">
        <f>Dashboard!$B$8*Dashboard!$E$4</f>
        <v>38</v>
      </c>
      <c r="W26" s="292">
        <f>Dashboard!$B$8*Dashboard!$E$4</f>
        <v>38</v>
      </c>
      <c r="X26" s="293"/>
    </row>
    <row r="27" spans="2:24" s="305" customFormat="1" x14ac:dyDescent="0.2">
      <c r="B27" s="296" t="s">
        <v>82</v>
      </c>
      <c r="C27" s="297"/>
      <c r="D27" s="298"/>
      <c r="E27" s="299">
        <f>Dashboard!$E$5</f>
        <v>3.0000000000000001E-3</v>
      </c>
      <c r="F27" s="300">
        <f>Dashboard!$E$5</f>
        <v>3.0000000000000001E-3</v>
      </c>
      <c r="G27" s="301">
        <f>Dashboard!$E$5</f>
        <v>3.0000000000000001E-3</v>
      </c>
      <c r="H27" s="302">
        <f>Dashboard!$E$5</f>
        <v>3.0000000000000001E-3</v>
      </c>
      <c r="I27" s="303"/>
      <c r="J27" s="299">
        <f>Dashboard!$E$5</f>
        <v>3.0000000000000001E-3</v>
      </c>
      <c r="K27" s="300">
        <f>Dashboard!$E$5</f>
        <v>3.0000000000000001E-3</v>
      </c>
      <c r="L27" s="301">
        <f>Dashboard!$E$5</f>
        <v>3.0000000000000001E-3</v>
      </c>
      <c r="M27" s="302">
        <f>Dashboard!$E$5</f>
        <v>3.0000000000000001E-3</v>
      </c>
      <c r="N27" s="303"/>
      <c r="O27" s="299">
        <f>Dashboard!$E$5</f>
        <v>3.0000000000000001E-3</v>
      </c>
      <c r="P27" s="304">
        <f>Dashboard!$E$5</f>
        <v>3.0000000000000001E-3</v>
      </c>
      <c r="Q27" s="300">
        <f>Dashboard!$E$5</f>
        <v>3.0000000000000001E-3</v>
      </c>
      <c r="R27" s="302">
        <f>Dashboard!$E$5</f>
        <v>3.0000000000000001E-3</v>
      </c>
      <c r="S27" s="303"/>
      <c r="T27" s="299">
        <f>Dashboard!$E$5</f>
        <v>3.0000000000000001E-3</v>
      </c>
      <c r="U27" s="304">
        <f>Dashboard!$E$5</f>
        <v>3.0000000000000001E-3</v>
      </c>
      <c r="V27" s="300">
        <f>Dashboard!$E$5</f>
        <v>3.0000000000000001E-3</v>
      </c>
      <c r="W27" s="302">
        <f>Dashboard!$E$5</f>
        <v>3.0000000000000001E-3</v>
      </c>
      <c r="X27" s="303"/>
    </row>
    <row r="28" spans="2:24" s="211" customFormat="1" ht="15" thickBot="1" x14ac:dyDescent="0.25">
      <c r="B28" s="194"/>
      <c r="C28" s="250"/>
      <c r="D28" s="251"/>
      <c r="E28" s="233"/>
      <c r="F28" s="234"/>
      <c r="G28" s="235"/>
      <c r="H28" s="236"/>
      <c r="I28" s="237"/>
      <c r="J28" s="233"/>
      <c r="K28" s="234"/>
      <c r="L28" s="235"/>
      <c r="M28" s="236"/>
      <c r="N28" s="237"/>
      <c r="O28" s="233"/>
      <c r="P28" s="238"/>
      <c r="Q28" s="234"/>
      <c r="R28" s="236"/>
      <c r="S28" s="237"/>
      <c r="T28" s="233"/>
      <c r="U28" s="238"/>
      <c r="V28" s="234"/>
      <c r="W28" s="236"/>
      <c r="X28" s="237"/>
    </row>
    <row r="29" spans="2:24" x14ac:dyDescent="0.2">
      <c r="B29" s="8" t="s">
        <v>85</v>
      </c>
      <c r="C29" s="7"/>
      <c r="D29" s="2"/>
      <c r="E29" s="38">
        <f>E26*E18*E22</f>
        <v>285760</v>
      </c>
      <c r="F29" s="39">
        <f>F26*F18*F22</f>
        <v>620527.84</v>
      </c>
      <c r="G29" s="74">
        <f>G26*G18*G22</f>
        <v>2805712.14</v>
      </c>
      <c r="H29" s="40">
        <f>H26*H18*H22</f>
        <v>8125971.2999999998</v>
      </c>
      <c r="I29" s="41">
        <f>SUM(E29:H29)</f>
        <v>11837971.279999999</v>
      </c>
      <c r="J29" s="38">
        <f>J26*J18*J22</f>
        <v>10303632.359999999</v>
      </c>
      <c r="K29" s="39">
        <f>K26*K18*K22</f>
        <v>12614145.600000001</v>
      </c>
      <c r="L29" s="74">
        <f>L26*L18*L22</f>
        <v>14984996</v>
      </c>
      <c r="M29" s="40">
        <f>M26*M18*M22</f>
        <v>18765366.34</v>
      </c>
      <c r="N29" s="41">
        <f t="shared" ref="N29:N32" si="74">SUM(J29:M29)</f>
        <v>56668140.299999997</v>
      </c>
      <c r="O29" s="38">
        <f>O26*O18*O22</f>
        <v>20639457.559999999</v>
      </c>
      <c r="P29" s="81">
        <f>P26*P18*P22</f>
        <v>22174115.300000001</v>
      </c>
      <c r="Q29" s="39">
        <f>Q26*Q18*Q22</f>
        <v>23358600</v>
      </c>
      <c r="R29" s="40">
        <f>R26*R18*R22</f>
        <v>24181990.84</v>
      </c>
      <c r="S29" s="41">
        <f t="shared" ref="S29:S32" si="75">SUM(O29:R29)</f>
        <v>90354163.700000003</v>
      </c>
      <c r="T29" s="38">
        <f>T26*T18*T22</f>
        <v>25727918.999999996</v>
      </c>
      <c r="U29" s="81">
        <f>U26*U18*U22</f>
        <v>28099145.599999994</v>
      </c>
      <c r="V29" s="39">
        <f>V26*V18*V22</f>
        <v>30548060.920000006</v>
      </c>
      <c r="W29" s="40">
        <f>W26*W18*W22</f>
        <v>32844095.400000006</v>
      </c>
      <c r="X29" s="41">
        <f t="shared" ref="X29:X30" si="76">SUM(T29:W29)</f>
        <v>117219220.92</v>
      </c>
    </row>
    <row r="30" spans="2:24" x14ac:dyDescent="0.2">
      <c r="B30" s="8" t="s">
        <v>86</v>
      </c>
      <c r="C30" s="7"/>
      <c r="D30" s="2"/>
      <c r="E30" s="10">
        <f>E18*E21*E26*(1-E23)</f>
        <v>0</v>
      </c>
      <c r="F30" s="11">
        <f>F18*F21*F26*(1-F23)</f>
        <v>85863.736000000004</v>
      </c>
      <c r="G30" s="77">
        <f>G18*G21*G26*(1-G23)</f>
        <v>712359.38100000005</v>
      </c>
      <c r="H30" s="12">
        <f>H18*H21*H26*(1-H23)</f>
        <v>3103178.8949999996</v>
      </c>
      <c r="I30" s="36">
        <f>SUM(E30:H30)</f>
        <v>3901402.0119999996</v>
      </c>
      <c r="J30" s="10">
        <f>J18*J21*J26*(1-J23)</f>
        <v>5143638.6939999992</v>
      </c>
      <c r="K30" s="11">
        <f>K18*K21*K26*(1-K23)</f>
        <v>8424447.2400000002</v>
      </c>
      <c r="L30" s="77">
        <f>L18*L21*L26*(1-L23)</f>
        <v>11757458.4</v>
      </c>
      <c r="M30" s="12">
        <f>M18*M21*M26*(1-M23)</f>
        <v>16601604.710999999</v>
      </c>
      <c r="N30" s="36">
        <f t="shared" si="74"/>
        <v>41927149.045000002</v>
      </c>
      <c r="O30" s="10">
        <f>O18*O21*O26*(1-O23)</f>
        <v>20594589.174000002</v>
      </c>
      <c r="P30" s="85">
        <f>P18*P21*P26*(1-P23)</f>
        <v>24984555.494999997</v>
      </c>
      <c r="Q30" s="11">
        <f>Q18*Q21*Q26*(1-Q23)</f>
        <v>29782215</v>
      </c>
      <c r="R30" s="12">
        <f>R18*R21*R26*(1-R23)</f>
        <v>34998529.986000001</v>
      </c>
      <c r="S30" s="36">
        <f t="shared" si="75"/>
        <v>110359889.655</v>
      </c>
      <c r="T30" s="10">
        <f>T18*T21*T26*(1-T23)</f>
        <v>42451066.350000001</v>
      </c>
      <c r="U30" s="85">
        <f>U18*U21*U26*(1-U23)</f>
        <v>50754081.739999995</v>
      </c>
      <c r="V30" s="11">
        <f>V18*V21*V26*(1-V23)</f>
        <v>57794960.417999998</v>
      </c>
      <c r="W30" s="12">
        <f>W18*W21*W26*(1-W23)</f>
        <v>65140789.209999993</v>
      </c>
      <c r="X30" s="36">
        <f t="shared" si="76"/>
        <v>216140897.71799999</v>
      </c>
    </row>
    <row r="31" spans="2:24" s="203" customFormat="1" x14ac:dyDescent="0.2">
      <c r="B31" s="51" t="s">
        <v>87</v>
      </c>
      <c r="C31" s="147"/>
      <c r="D31" s="52"/>
      <c r="E31" s="10">
        <f>E17*E26</f>
        <v>200640</v>
      </c>
      <c r="F31" s="11">
        <f>F17*F26</f>
        <v>506616</v>
      </c>
      <c r="G31" s="77">
        <f>G17*G26</f>
        <v>2558426</v>
      </c>
      <c r="H31" s="12">
        <f>H17*H26</f>
        <v>8268800</v>
      </c>
      <c r="I31" s="36">
        <f>SUM(E31:H31)</f>
        <v>11534482</v>
      </c>
      <c r="J31" s="10">
        <f>J17*J26</f>
        <v>11483296</v>
      </c>
      <c r="K31" s="11">
        <f>K17*K26</f>
        <v>15815600</v>
      </c>
      <c r="L31" s="77">
        <f>L17*L26</f>
        <v>20233442</v>
      </c>
      <c r="M31" s="12">
        <f>M17*M26</f>
        <v>26889142</v>
      </c>
      <c r="N31" s="36">
        <f t="shared" si="74"/>
        <v>74421480</v>
      </c>
      <c r="O31" s="10">
        <f>O17*O26</f>
        <v>31503330</v>
      </c>
      <c r="P31" s="85">
        <f>P17*P26</f>
        <v>36207122</v>
      </c>
      <c r="Q31" s="11">
        <f>Q17*Q26</f>
        <v>41001810</v>
      </c>
      <c r="R31" s="12">
        <f>R17*R26</f>
        <v>45888762</v>
      </c>
      <c r="S31" s="36">
        <f t="shared" si="75"/>
        <v>154601024</v>
      </c>
      <c r="T31" s="10">
        <f>T17*T26</f>
        <v>53130232</v>
      </c>
      <c r="U31" s="85">
        <f>U17*U26</f>
        <v>61653708</v>
      </c>
      <c r="V31" s="11">
        <f>V17*V26</f>
        <v>69189146</v>
      </c>
      <c r="W31" s="12">
        <f>W17*W26</f>
        <v>76869136</v>
      </c>
      <c r="X31" s="36">
        <f t="shared" ref="X31:X32" si="77">SUM(T31:W31)</f>
        <v>260842222</v>
      </c>
    </row>
    <row r="32" spans="2:24" s="212" customFormat="1" x14ac:dyDescent="0.2">
      <c r="B32" s="132" t="s">
        <v>88</v>
      </c>
      <c r="C32" s="190"/>
      <c r="D32" s="133"/>
      <c r="E32" s="134">
        <f>SUM(E29:E31)</f>
        <v>486400</v>
      </c>
      <c r="F32" s="135">
        <f t="shared" ref="F32:H32" si="78">SUM(F29:F31)</f>
        <v>1213007.5759999999</v>
      </c>
      <c r="G32" s="136">
        <f t="shared" si="78"/>
        <v>6076497.5209999997</v>
      </c>
      <c r="H32" s="137">
        <f t="shared" si="78"/>
        <v>19497950.195</v>
      </c>
      <c r="I32" s="36">
        <f>SUM(E32:H32)</f>
        <v>27273855.291999999</v>
      </c>
      <c r="J32" s="134">
        <f t="shared" ref="J32" si="79">SUM(J29:J31)</f>
        <v>26930567.053999998</v>
      </c>
      <c r="K32" s="135">
        <f t="shared" ref="K32" si="80">SUM(K29:K31)</f>
        <v>36854192.840000004</v>
      </c>
      <c r="L32" s="136">
        <f t="shared" ref="L32" si="81">SUM(L29:L31)</f>
        <v>46975896.399999999</v>
      </c>
      <c r="M32" s="137">
        <f t="shared" ref="M32" si="82">SUM(M29:M31)</f>
        <v>62256113.050999999</v>
      </c>
      <c r="N32" s="138">
        <f t="shared" si="74"/>
        <v>173016769.345</v>
      </c>
      <c r="O32" s="134">
        <f t="shared" ref="O32" si="83">SUM(O29:O31)</f>
        <v>72737376.733999997</v>
      </c>
      <c r="P32" s="139">
        <f t="shared" ref="P32" si="84">SUM(P29:P31)</f>
        <v>83365792.795000002</v>
      </c>
      <c r="Q32" s="135">
        <f t="shared" ref="Q32" si="85">SUM(Q29:Q31)</f>
        <v>94142625</v>
      </c>
      <c r="R32" s="137">
        <f t="shared" ref="R32" si="86">SUM(R29:R31)</f>
        <v>105069282.82600001</v>
      </c>
      <c r="S32" s="138">
        <f t="shared" si="75"/>
        <v>355315077.35500002</v>
      </c>
      <c r="T32" s="134">
        <f t="shared" ref="T32" si="87">SUM(T29:T31)</f>
        <v>121309217.34999999</v>
      </c>
      <c r="U32" s="139">
        <f t="shared" ref="U32" si="88">SUM(U29:U31)</f>
        <v>140506935.33999997</v>
      </c>
      <c r="V32" s="135">
        <f t="shared" ref="V32" si="89">SUM(V29:V31)</f>
        <v>157532167.338</v>
      </c>
      <c r="W32" s="137">
        <f t="shared" ref="W32" si="90">SUM(W29:W31)</f>
        <v>174854020.61000001</v>
      </c>
      <c r="X32" s="138">
        <f t="shared" si="77"/>
        <v>594202340.63800001</v>
      </c>
    </row>
    <row r="33" spans="1:25" s="203" customFormat="1" x14ac:dyDescent="0.2">
      <c r="B33" s="65" t="s">
        <v>90</v>
      </c>
      <c r="C33" s="147"/>
      <c r="D33" s="56"/>
      <c r="E33" s="50">
        <f>E27*E13*1000*E21*E25</f>
        <v>0</v>
      </c>
      <c r="F33" s="57">
        <f>F27*F13*1000*F21*F25</f>
        <v>7237.9125000000004</v>
      </c>
      <c r="G33" s="78">
        <f>G27*G13*1000*G21*G25</f>
        <v>60048.824062500011</v>
      </c>
      <c r="H33" s="58">
        <f>H27*H13*1000*H21*H25</f>
        <v>261583.12089000002</v>
      </c>
      <c r="I33" s="59">
        <f t="shared" ref="I33:I38" si="91">SUM(E33:H33)</f>
        <v>328869.85745250003</v>
      </c>
      <c r="J33" s="50">
        <f>J27*J13*1000*J21*J25</f>
        <v>433584.57058166247</v>
      </c>
      <c r="K33" s="57">
        <f>K27*K13*1000*K21*K25</f>
        <v>710141.21560131758</v>
      </c>
      <c r="L33" s="78">
        <f>L27*L13*1000*L21*L25</f>
        <v>991098.90381012973</v>
      </c>
      <c r="M33" s="58">
        <f>M27*M13*1000*M21*M25</f>
        <v>1399438.1725674286</v>
      </c>
      <c r="N33" s="59">
        <f t="shared" ref="N33:N38" si="92">SUM(J33:M33)</f>
        <v>3534262.8625605381</v>
      </c>
      <c r="O33" s="50">
        <f>O27*O13*1000*O21*O25</f>
        <v>1736027.7490376462</v>
      </c>
      <c r="P33" s="86">
        <f>P27*P13*1000*P21*P25</f>
        <v>2106081.0203698659</v>
      </c>
      <c r="Q33" s="57">
        <f>Q27*Q13*1000*Q21*Q25</f>
        <v>2510502.3199751801</v>
      </c>
      <c r="R33" s="58">
        <f>R27*R13*1000*R21*R25</f>
        <v>2950213.4087481303</v>
      </c>
      <c r="S33" s="59">
        <f t="shared" ref="S33:S38" si="93">SUM(O33:R33)</f>
        <v>9302824.4981308226</v>
      </c>
      <c r="T33" s="50">
        <f>T27*T13*1000*T21*T25</f>
        <v>3578427.2605017684</v>
      </c>
      <c r="U33" s="86">
        <f>U27*U13*1000*U21*U25</f>
        <v>4278331.6407376286</v>
      </c>
      <c r="V33" s="57">
        <f>V27*V13*1000*V21*V25</f>
        <v>4871845.2948203459</v>
      </c>
      <c r="W33" s="58">
        <f>W27*W13*1000*W21*W25</f>
        <v>5491063.8924373677</v>
      </c>
      <c r="X33" s="59">
        <f t="shared" ref="X33:X38" si="94">SUM(T33:W33)</f>
        <v>18219668.08849711</v>
      </c>
    </row>
    <row r="34" spans="1:25" s="203" customFormat="1" x14ac:dyDescent="0.2">
      <c r="B34" s="51" t="s">
        <v>91</v>
      </c>
      <c r="C34" s="147"/>
      <c r="D34" s="52"/>
      <c r="E34" s="10">
        <f>E27*E13*1000*E22</f>
        <v>40950</v>
      </c>
      <c r="F34" s="11">
        <f>F27*F13*1000*F22</f>
        <v>88922.925000000003</v>
      </c>
      <c r="G34" s="77">
        <f>G27*G13*1000*G22</f>
        <v>402066.03937500005</v>
      </c>
      <c r="H34" s="12">
        <f>H27*H13*1000*H22</f>
        <v>1164466.7962200001</v>
      </c>
      <c r="I34" s="36">
        <f t="shared" si="91"/>
        <v>1696405.7605950003</v>
      </c>
      <c r="J34" s="10">
        <f>J27*J13*1000*J22</f>
        <v>1476531.240359175</v>
      </c>
      <c r="K34" s="11">
        <f>K27*K13*1000*K22</f>
        <v>1807632.1851669904</v>
      </c>
      <c r="L34" s="77">
        <f>L27*L13*1000*L22</f>
        <v>2147380.9582552812</v>
      </c>
      <c r="M34" s="12">
        <f>M27*M13*1000*M22</f>
        <v>2689116.4884629017</v>
      </c>
      <c r="N34" s="36">
        <f t="shared" si="92"/>
        <v>8120660.8722443478</v>
      </c>
      <c r="O34" s="10">
        <f>O27*O13*1000*O22</f>
        <v>2957676.9057678413</v>
      </c>
      <c r="P34" s="85">
        <f>P27*P13*1000*P22</f>
        <v>3177595.9254703247</v>
      </c>
      <c r="Q34" s="11">
        <f>Q27*Q13*1000*Q22</f>
        <v>3347336.4266335741</v>
      </c>
      <c r="R34" s="12">
        <f>R27*R13*1000*R22</f>
        <v>3465330.0356724071</v>
      </c>
      <c r="S34" s="36">
        <f t="shared" si="93"/>
        <v>12947939.293544147</v>
      </c>
      <c r="T34" s="10">
        <f>T27*T13*1000*T22</f>
        <v>3686864.4502139427</v>
      </c>
      <c r="U34" s="85">
        <f>U27*U13*1000*U22</f>
        <v>4026665.0736354142</v>
      </c>
      <c r="V34" s="11">
        <f>V27*V13*1000*V22</f>
        <v>4377600.1199834999</v>
      </c>
      <c r="W34" s="12">
        <f>W27*W13*1000*W22</f>
        <v>4706626.1935177445</v>
      </c>
      <c r="X34" s="36">
        <f t="shared" si="94"/>
        <v>16797755.837350599</v>
      </c>
    </row>
    <row r="35" spans="1:25" s="153" customFormat="1" x14ac:dyDescent="0.2">
      <c r="B35" s="140" t="s">
        <v>92</v>
      </c>
      <c r="C35" s="191"/>
      <c r="D35" s="141"/>
      <c r="E35" s="142">
        <f>E33+E34</f>
        <v>40950</v>
      </c>
      <c r="F35" s="143">
        <f t="shared" ref="F35:H35" si="95">F33+F34</f>
        <v>96160.837500000009</v>
      </c>
      <c r="G35" s="144">
        <f t="shared" si="95"/>
        <v>462114.86343750008</v>
      </c>
      <c r="H35" s="145">
        <f t="shared" si="95"/>
        <v>1426049.9171100003</v>
      </c>
      <c r="I35" s="36">
        <f t="shared" si="91"/>
        <v>2025275.6180475005</v>
      </c>
      <c r="J35" s="142">
        <f t="shared" ref="J35" si="96">J33+J34</f>
        <v>1910115.8109408375</v>
      </c>
      <c r="K35" s="143">
        <f t="shared" ref="K35" si="97">K33+K34</f>
        <v>2517773.400768308</v>
      </c>
      <c r="L35" s="144">
        <f t="shared" ref="L35" si="98">L33+L34</f>
        <v>3138479.8620654112</v>
      </c>
      <c r="M35" s="145">
        <f t="shared" ref="M35" si="99">M33+M34</f>
        <v>4088554.6610303302</v>
      </c>
      <c r="N35" s="36">
        <f t="shared" si="92"/>
        <v>11654923.734804887</v>
      </c>
      <c r="O35" s="142">
        <f t="shared" ref="O35" si="100">O33+O34</f>
        <v>4693704.654805487</v>
      </c>
      <c r="P35" s="146">
        <f t="shared" ref="P35" si="101">P33+P34</f>
        <v>5283676.9458401911</v>
      </c>
      <c r="Q35" s="143">
        <f t="shared" ref="Q35" si="102">Q33+Q34</f>
        <v>5857838.7466087546</v>
      </c>
      <c r="R35" s="145">
        <f t="shared" ref="R35" si="103">R33+R34</f>
        <v>6415543.444420537</v>
      </c>
      <c r="S35" s="36">
        <f t="shared" si="93"/>
        <v>22250763.791674972</v>
      </c>
      <c r="T35" s="142">
        <f t="shared" ref="T35" si="104">T33+T34</f>
        <v>7265291.7107157111</v>
      </c>
      <c r="U35" s="146">
        <f t="shared" ref="U35" si="105">U33+U34</f>
        <v>8304996.7143730428</v>
      </c>
      <c r="V35" s="143">
        <f t="shared" ref="V35" si="106">V33+V34</f>
        <v>9249445.4148038458</v>
      </c>
      <c r="W35" s="145">
        <f t="shared" ref="W35" si="107">W33+W34</f>
        <v>10197690.085955113</v>
      </c>
      <c r="X35" s="36">
        <f t="shared" si="94"/>
        <v>35017423.925847709</v>
      </c>
    </row>
    <row r="36" spans="1:25" s="203" customFormat="1" x14ac:dyDescent="0.2">
      <c r="B36" s="51" t="s">
        <v>93</v>
      </c>
      <c r="C36" s="147"/>
      <c r="D36" s="52"/>
      <c r="E36" s="10">
        <f>E29+E34+E31</f>
        <v>527350</v>
      </c>
      <c r="F36" s="11">
        <f t="shared" ref="F36:H36" si="108">F29+F34+F31</f>
        <v>1216066.7650000001</v>
      </c>
      <c r="G36" s="77">
        <f t="shared" si="108"/>
        <v>5766204.1793750003</v>
      </c>
      <c r="H36" s="12">
        <f t="shared" si="108"/>
        <v>17559238.096220002</v>
      </c>
      <c r="I36" s="197">
        <f t="shared" si="91"/>
        <v>25068859.040595002</v>
      </c>
      <c r="J36" s="10">
        <f t="shared" ref="J36:M36" si="109">J29+J34+J31</f>
        <v>23263459.600359175</v>
      </c>
      <c r="K36" s="11">
        <f t="shared" si="109"/>
        <v>30237377.785166994</v>
      </c>
      <c r="L36" s="77">
        <f t="shared" si="109"/>
        <v>37365818.958255276</v>
      </c>
      <c r="M36" s="12">
        <f t="shared" si="109"/>
        <v>48343624.828462899</v>
      </c>
      <c r="N36" s="197">
        <f t="shared" si="92"/>
        <v>139210281.17224434</v>
      </c>
      <c r="O36" s="10">
        <f t="shared" ref="O36:R36" si="110">O29+O34+O31</f>
        <v>55100464.465767838</v>
      </c>
      <c r="P36" s="85">
        <f t="shared" si="110"/>
        <v>61558833.225470327</v>
      </c>
      <c r="Q36" s="11">
        <f t="shared" si="110"/>
        <v>67707746.426633567</v>
      </c>
      <c r="R36" s="12">
        <f t="shared" si="110"/>
        <v>73536082.8756724</v>
      </c>
      <c r="S36" s="197">
        <f t="shared" si="93"/>
        <v>257903126.99354413</v>
      </c>
      <c r="T36" s="10">
        <f t="shared" ref="T36:W36" si="111">T29+T34+T31</f>
        <v>82545015.450213939</v>
      </c>
      <c r="U36" s="85">
        <f t="shared" si="111"/>
        <v>93779518.673635408</v>
      </c>
      <c r="V36" s="11">
        <f t="shared" si="111"/>
        <v>104114807.03998351</v>
      </c>
      <c r="W36" s="12">
        <f t="shared" si="111"/>
        <v>114419857.59351775</v>
      </c>
      <c r="X36" s="197">
        <f t="shared" si="94"/>
        <v>394859198.75735056</v>
      </c>
    </row>
    <row r="37" spans="1:25" s="203" customFormat="1" ht="15" thickBot="1" x14ac:dyDescent="0.25">
      <c r="B37" s="241" t="s">
        <v>94</v>
      </c>
      <c r="C37" s="147"/>
      <c r="D37" s="52"/>
      <c r="E37" s="50">
        <f>E30+E33</f>
        <v>0</v>
      </c>
      <c r="F37" s="57">
        <f t="shared" ref="F37:H37" si="112">F30+F33</f>
        <v>93101.64850000001</v>
      </c>
      <c r="G37" s="78">
        <f t="shared" si="112"/>
        <v>772408.20506250008</v>
      </c>
      <c r="H37" s="58">
        <f t="shared" si="112"/>
        <v>3364762.0158899995</v>
      </c>
      <c r="I37" s="198">
        <f t="shared" si="91"/>
        <v>4230271.8694524998</v>
      </c>
      <c r="J37" s="50">
        <f t="shared" ref="J37:M37" si="113">J30+J33</f>
        <v>5577223.2645816617</v>
      </c>
      <c r="K37" s="57">
        <f t="shared" si="113"/>
        <v>9134588.4556013178</v>
      </c>
      <c r="L37" s="78">
        <f t="shared" si="113"/>
        <v>12748557.303810131</v>
      </c>
      <c r="M37" s="58">
        <f t="shared" si="113"/>
        <v>18001042.883567426</v>
      </c>
      <c r="N37" s="198">
        <f t="shared" si="92"/>
        <v>45461411.907560542</v>
      </c>
      <c r="O37" s="50">
        <f t="shared" ref="O37:R37" si="114">O30+O33</f>
        <v>22330616.923037648</v>
      </c>
      <c r="P37" s="86">
        <f t="shared" si="114"/>
        <v>27090636.515369862</v>
      </c>
      <c r="Q37" s="57">
        <f t="shared" si="114"/>
        <v>32292717.319975179</v>
      </c>
      <c r="R37" s="58">
        <f t="shared" si="114"/>
        <v>37948743.394748129</v>
      </c>
      <c r="S37" s="198">
        <f t="shared" si="93"/>
        <v>119662714.15313083</v>
      </c>
      <c r="T37" s="50">
        <f t="shared" ref="T37:W37" si="115">T30+T33</f>
        <v>46029493.610501766</v>
      </c>
      <c r="U37" s="86">
        <f t="shared" si="115"/>
        <v>55032413.380737625</v>
      </c>
      <c r="V37" s="57">
        <f t="shared" si="115"/>
        <v>62666805.712820344</v>
      </c>
      <c r="W37" s="58">
        <f t="shared" si="115"/>
        <v>70631853.102437362</v>
      </c>
      <c r="X37" s="198">
        <f t="shared" si="94"/>
        <v>234360565.8064971</v>
      </c>
    </row>
    <row r="38" spans="1:25" s="153" customFormat="1" ht="15" thickBot="1" x14ac:dyDescent="0.25">
      <c r="B38" s="239" t="s">
        <v>76</v>
      </c>
      <c r="C38" s="195"/>
      <c r="D38" s="196"/>
      <c r="E38" s="61">
        <f>E35+E32</f>
        <v>527350</v>
      </c>
      <c r="F38" s="62">
        <f t="shared" ref="F38:H38" si="116">F35+F32</f>
        <v>1309168.4134999998</v>
      </c>
      <c r="G38" s="79">
        <f t="shared" si="116"/>
        <v>6538612.3844374996</v>
      </c>
      <c r="H38" s="63">
        <f t="shared" si="116"/>
        <v>20924000.11211</v>
      </c>
      <c r="I38" s="64">
        <f t="shared" si="91"/>
        <v>29299130.910047501</v>
      </c>
      <c r="J38" s="61">
        <f t="shared" ref="J38:W38" si="117">J35+J32</f>
        <v>28840682.864940837</v>
      </c>
      <c r="K38" s="62">
        <f t="shared" si="117"/>
        <v>39371966.240768313</v>
      </c>
      <c r="L38" s="79">
        <f t="shared" si="117"/>
        <v>50114376.262065411</v>
      </c>
      <c r="M38" s="63">
        <f t="shared" si="117"/>
        <v>66344667.712030329</v>
      </c>
      <c r="N38" s="64">
        <f t="shared" si="92"/>
        <v>184671693.0798049</v>
      </c>
      <c r="O38" s="61">
        <f t="shared" ref="O38" si="118">O35+O32</f>
        <v>77431081.388805479</v>
      </c>
      <c r="P38" s="87">
        <f t="shared" si="117"/>
        <v>88649469.740840197</v>
      </c>
      <c r="Q38" s="62">
        <f t="shared" si="117"/>
        <v>100000463.74660875</v>
      </c>
      <c r="R38" s="63">
        <f t="shared" si="117"/>
        <v>111484826.27042054</v>
      </c>
      <c r="S38" s="64">
        <f t="shared" si="93"/>
        <v>377565841.14667499</v>
      </c>
      <c r="T38" s="61">
        <f t="shared" ref="T38" si="119">T35+T32</f>
        <v>128574509.06071571</v>
      </c>
      <c r="U38" s="87">
        <f t="shared" si="117"/>
        <v>148811932.05437303</v>
      </c>
      <c r="V38" s="62">
        <f t="shared" si="117"/>
        <v>166781612.75280383</v>
      </c>
      <c r="W38" s="63">
        <f t="shared" si="117"/>
        <v>185051710.69595513</v>
      </c>
      <c r="X38" s="64">
        <f t="shared" si="94"/>
        <v>629219764.56384766</v>
      </c>
    </row>
    <row r="39" spans="1:25" s="153" customFormat="1" ht="15" thickBot="1" x14ac:dyDescent="0.25">
      <c r="A39" s="159"/>
      <c r="B39" s="191"/>
      <c r="C39" s="191"/>
      <c r="D39" s="231"/>
      <c r="E39" s="232"/>
      <c r="F39" s="232"/>
      <c r="G39" s="232"/>
      <c r="H39" s="232"/>
      <c r="I39" s="232"/>
      <c r="J39" s="232"/>
      <c r="K39" s="232"/>
      <c r="L39" s="232"/>
      <c r="M39" s="232"/>
      <c r="N39" s="232"/>
      <c r="O39" s="232"/>
      <c r="P39" s="232"/>
      <c r="Q39" s="232"/>
      <c r="R39" s="232"/>
      <c r="S39" s="232"/>
      <c r="T39" s="232"/>
      <c r="U39" s="232"/>
      <c r="V39" s="232"/>
      <c r="W39" s="232"/>
      <c r="X39" s="232"/>
      <c r="Y39" s="159"/>
    </row>
    <row r="40" spans="1:25" s="203" customFormat="1" ht="15" thickBot="1" x14ac:dyDescent="0.25">
      <c r="A40" s="228"/>
      <c r="B40" s="399" t="s">
        <v>40</v>
      </c>
      <c r="C40" s="147"/>
      <c r="D40" s="229"/>
      <c r="E40" s="230"/>
      <c r="F40" s="230"/>
      <c r="G40" s="230"/>
      <c r="H40" s="230"/>
      <c r="I40" s="232"/>
      <c r="J40" s="230"/>
      <c r="K40" s="230"/>
      <c r="L40" s="230"/>
      <c r="M40" s="230"/>
      <c r="N40" s="232"/>
      <c r="O40" s="230"/>
      <c r="P40" s="230"/>
      <c r="Q40" s="230"/>
      <c r="R40" s="230"/>
      <c r="S40" s="232"/>
      <c r="T40" s="230"/>
      <c r="U40" s="230"/>
      <c r="V40" s="230"/>
      <c r="W40" s="230"/>
      <c r="X40" s="232"/>
      <c r="Y40" s="228"/>
    </row>
    <row r="41" spans="1:25" s="203" customFormat="1" x14ac:dyDescent="0.2">
      <c r="B41" s="192" t="s">
        <v>95</v>
      </c>
      <c r="C41" s="147"/>
      <c r="D41" s="54"/>
      <c r="E41" s="92">
        <f>Dashboard!$B$7</f>
        <v>19.89</v>
      </c>
      <c r="F41" s="93">
        <f>Dashboard!$B$7</f>
        <v>19.89</v>
      </c>
      <c r="G41" s="94">
        <f>Dashboard!$B$7</f>
        <v>19.89</v>
      </c>
      <c r="H41" s="95">
        <f>Dashboard!$B$7</f>
        <v>19.89</v>
      </c>
      <c r="I41" s="53"/>
      <c r="J41" s="92">
        <f>Dashboard!$B$7</f>
        <v>19.89</v>
      </c>
      <c r="K41" s="93">
        <f>Dashboard!$B$7</f>
        <v>19.89</v>
      </c>
      <c r="L41" s="94">
        <f>Dashboard!$B$7</f>
        <v>19.89</v>
      </c>
      <c r="M41" s="95">
        <f>Dashboard!$B$7</f>
        <v>19.89</v>
      </c>
      <c r="N41" s="53"/>
      <c r="O41" s="92">
        <f>Dashboard!$B$7</f>
        <v>19.89</v>
      </c>
      <c r="P41" s="96">
        <f>Dashboard!$B$7</f>
        <v>19.89</v>
      </c>
      <c r="Q41" s="93">
        <f>Dashboard!$B$7</f>
        <v>19.89</v>
      </c>
      <c r="R41" s="95">
        <f>Dashboard!$B$7</f>
        <v>19.89</v>
      </c>
      <c r="S41" s="53"/>
      <c r="T41" s="92">
        <f>Dashboard!$B$7</f>
        <v>19.89</v>
      </c>
      <c r="U41" s="96">
        <f>Dashboard!$B$7</f>
        <v>19.89</v>
      </c>
      <c r="V41" s="93">
        <f>Dashboard!$B$7</f>
        <v>19.89</v>
      </c>
      <c r="W41" s="95">
        <f>Dashboard!$B$7</f>
        <v>19.89</v>
      </c>
      <c r="X41" s="53"/>
    </row>
    <row r="42" spans="1:25" s="199" customFormat="1" x14ac:dyDescent="0.2">
      <c r="B42" s="193" t="s">
        <v>97</v>
      </c>
      <c r="C42" s="28"/>
      <c r="D42" s="362"/>
      <c r="E42" s="363">
        <f>E18</f>
        <v>7520</v>
      </c>
      <c r="F42" s="364">
        <f t="shared" ref="F42:H42" si="120">F18</f>
        <v>18988</v>
      </c>
      <c r="G42" s="365">
        <f t="shared" si="120"/>
        <v>95889</v>
      </c>
      <c r="H42" s="366">
        <f t="shared" si="120"/>
        <v>309915</v>
      </c>
      <c r="I42" s="367"/>
      <c r="J42" s="363">
        <f t="shared" ref="J42:W42" si="121">J18</f>
        <v>430394</v>
      </c>
      <c r="K42" s="364">
        <f t="shared" si="121"/>
        <v>592770</v>
      </c>
      <c r="L42" s="365">
        <f t="shared" si="121"/>
        <v>758350</v>
      </c>
      <c r="M42" s="366">
        <f t="shared" si="121"/>
        <v>1007807</v>
      </c>
      <c r="N42" s="367"/>
      <c r="O42" s="363">
        <f t="shared" ref="O42" si="122">O18</f>
        <v>1180747</v>
      </c>
      <c r="P42" s="368">
        <f t="shared" si="121"/>
        <v>1357045</v>
      </c>
      <c r="Q42" s="364">
        <f t="shared" si="121"/>
        <v>1536750</v>
      </c>
      <c r="R42" s="366">
        <f t="shared" si="121"/>
        <v>1719914</v>
      </c>
      <c r="S42" s="367"/>
      <c r="T42" s="363">
        <f t="shared" ref="T42" si="123">T18</f>
        <v>1991325</v>
      </c>
      <c r="U42" s="368">
        <f t="shared" si="121"/>
        <v>2310785</v>
      </c>
      <c r="V42" s="364">
        <f t="shared" si="121"/>
        <v>2593214</v>
      </c>
      <c r="W42" s="366">
        <f t="shared" si="121"/>
        <v>2881061</v>
      </c>
      <c r="X42" s="367"/>
    </row>
    <row r="43" spans="1:25" s="203" customFormat="1" x14ac:dyDescent="0.2">
      <c r="B43" s="51" t="s">
        <v>96</v>
      </c>
      <c r="C43" s="147"/>
      <c r="D43" s="52"/>
      <c r="E43" s="10">
        <f>-E41*E18</f>
        <v>-149572.80000000002</v>
      </c>
      <c r="F43" s="11">
        <f>-F41*F18</f>
        <v>-377671.32</v>
      </c>
      <c r="G43" s="77">
        <f>-G41*G18</f>
        <v>-1907232.21</v>
      </c>
      <c r="H43" s="12">
        <f>-H41*H18</f>
        <v>-6164209.3500000006</v>
      </c>
      <c r="I43" s="36">
        <f t="shared" ref="I43:I47" si="124">SUM(E43:H43)</f>
        <v>-8598685.6799999997</v>
      </c>
      <c r="J43" s="10">
        <f>-J41*J18</f>
        <v>-8560536.6600000001</v>
      </c>
      <c r="K43" s="11">
        <f>-K41*K18</f>
        <v>-11790195.300000001</v>
      </c>
      <c r="L43" s="77">
        <f>-L41*L18</f>
        <v>-15083581.5</v>
      </c>
      <c r="M43" s="12">
        <f>-M41*M18</f>
        <v>-20045281.23</v>
      </c>
      <c r="N43" s="36">
        <f t="shared" ref="N43" si="125">SUM(J43:M43)</f>
        <v>-55479594.689999998</v>
      </c>
      <c r="O43" s="10">
        <f>-O41*O18</f>
        <v>-23485057.830000002</v>
      </c>
      <c r="P43" s="85">
        <f>-P41*P18</f>
        <v>-26991625.050000001</v>
      </c>
      <c r="Q43" s="11">
        <f>-Q41*Q18</f>
        <v>-30565957.5</v>
      </c>
      <c r="R43" s="12">
        <f>-R41*R18</f>
        <v>-34209089.460000001</v>
      </c>
      <c r="S43" s="36">
        <f t="shared" ref="S43" si="126">SUM(O43:R43)</f>
        <v>-115251729.84</v>
      </c>
      <c r="T43" s="10">
        <f>-T41*T18</f>
        <v>-39607454.25</v>
      </c>
      <c r="U43" s="85">
        <f>-U41*U18</f>
        <v>-45961513.649999999</v>
      </c>
      <c r="V43" s="11">
        <f>-V41*V18</f>
        <v>-51579026.460000001</v>
      </c>
      <c r="W43" s="12">
        <f>-W41*W18</f>
        <v>-57304303.289999999</v>
      </c>
      <c r="X43" s="36">
        <f t="shared" ref="X43" si="127">SUM(T43:W43)</f>
        <v>-194452297.65000001</v>
      </c>
    </row>
    <row r="44" spans="1:25" s="203" customFormat="1" x14ac:dyDescent="0.2">
      <c r="B44" s="51" t="s">
        <v>106</v>
      </c>
      <c r="C44" s="147"/>
      <c r="D44" s="52"/>
      <c r="E44" s="10">
        <f>E26*Dashboard!$E$8</f>
        <v>19</v>
      </c>
      <c r="F44" s="11">
        <f>F26*Dashboard!$E$8</f>
        <v>19</v>
      </c>
      <c r="G44" s="77">
        <f>G26*Dashboard!$E$8</f>
        <v>19</v>
      </c>
      <c r="H44" s="12">
        <f>H26*Dashboard!$E$8</f>
        <v>19</v>
      </c>
      <c r="I44" s="55"/>
      <c r="J44" s="10">
        <f>J26*Dashboard!$E$8</f>
        <v>19</v>
      </c>
      <c r="K44" s="11">
        <f>K26*Dashboard!$E$8</f>
        <v>19</v>
      </c>
      <c r="L44" s="77">
        <f>L26*Dashboard!$E$8</f>
        <v>19</v>
      </c>
      <c r="M44" s="12">
        <f>M26*Dashboard!$E$8</f>
        <v>19</v>
      </c>
      <c r="N44" s="55"/>
      <c r="O44" s="10">
        <f>O26*Dashboard!$E$8</f>
        <v>19</v>
      </c>
      <c r="P44" s="85">
        <f>P26*Dashboard!$E$8</f>
        <v>19</v>
      </c>
      <c r="Q44" s="11">
        <f>Q26*Dashboard!$E$8</f>
        <v>19</v>
      </c>
      <c r="R44" s="12">
        <f>R26*Dashboard!$E$8</f>
        <v>19</v>
      </c>
      <c r="S44" s="55"/>
      <c r="T44" s="10">
        <f>T26*Dashboard!$E$8</f>
        <v>19</v>
      </c>
      <c r="U44" s="85">
        <f>U26*Dashboard!$E$8</f>
        <v>19</v>
      </c>
      <c r="V44" s="11">
        <f>V26*Dashboard!$E$8</f>
        <v>19</v>
      </c>
      <c r="W44" s="12">
        <f>W26*Dashboard!$E$8</f>
        <v>19</v>
      </c>
      <c r="X44" s="55"/>
    </row>
    <row r="45" spans="1:25" s="203" customFormat="1" x14ac:dyDescent="0.2">
      <c r="B45" s="51" t="s">
        <v>109</v>
      </c>
      <c r="C45" s="147"/>
      <c r="D45" s="52"/>
      <c r="E45" s="10">
        <f>-E44*E17</f>
        <v>-100320</v>
      </c>
      <c r="F45" s="11">
        <f>-F44*F17</f>
        <v>-253308</v>
      </c>
      <c r="G45" s="77">
        <f>-G44*G17</f>
        <v>-1279213</v>
      </c>
      <c r="H45" s="12">
        <f>-H44*H17</f>
        <v>-4134400</v>
      </c>
      <c r="I45" s="36">
        <f t="shared" si="124"/>
        <v>-5767241</v>
      </c>
      <c r="J45" s="10">
        <f>-J44*J17</f>
        <v>-5741648</v>
      </c>
      <c r="K45" s="11">
        <f>-K44*K17</f>
        <v>-7907800</v>
      </c>
      <c r="L45" s="77">
        <f>-L44*L17</f>
        <v>-10116721</v>
      </c>
      <c r="M45" s="12">
        <f>-M44*M17</f>
        <v>-13444571</v>
      </c>
      <c r="N45" s="36">
        <f t="shared" ref="N45:N48" si="128">SUM(J45:M45)</f>
        <v>-37210740</v>
      </c>
      <c r="O45" s="10">
        <f>-O44*O17</f>
        <v>-15751665</v>
      </c>
      <c r="P45" s="85">
        <f>-P44*P17</f>
        <v>-18103561</v>
      </c>
      <c r="Q45" s="11">
        <f>-Q44*Q17</f>
        <v>-20500905</v>
      </c>
      <c r="R45" s="12">
        <f>-R44*R17</f>
        <v>-22944381</v>
      </c>
      <c r="S45" s="36">
        <f t="shared" ref="S45" si="129">SUM(O45:R45)</f>
        <v>-77300512</v>
      </c>
      <c r="T45" s="10">
        <f>-T44*T17</f>
        <v>-26565116</v>
      </c>
      <c r="U45" s="85">
        <f>-U44*U17</f>
        <v>-30826854</v>
      </c>
      <c r="V45" s="11">
        <f>-V44*V17</f>
        <v>-34594573</v>
      </c>
      <c r="W45" s="12">
        <f>-W44*W17</f>
        <v>-38434568</v>
      </c>
      <c r="X45" s="36">
        <f t="shared" ref="X45" si="130">SUM(T45:W45)</f>
        <v>-130421111</v>
      </c>
    </row>
    <row r="46" spans="1:25" s="203" customFormat="1" x14ac:dyDescent="0.2">
      <c r="B46" s="51" t="s">
        <v>138</v>
      </c>
      <c r="C46" s="147"/>
      <c r="D46" s="229"/>
      <c r="E46" s="10">
        <f>-E36*Dashboard!$E$10</f>
        <v>-31641</v>
      </c>
      <c r="F46" s="11">
        <f>-F36*Dashboard!$E$10</f>
        <v>-72964.005900000004</v>
      </c>
      <c r="G46" s="77">
        <f>-G36*Dashboard!$E$10</f>
        <v>-345972.25076249999</v>
      </c>
      <c r="H46" s="12">
        <f>-H36*Dashboard!$E$10</f>
        <v>-1053554.2857732</v>
      </c>
      <c r="I46" s="36">
        <f t="shared" si="124"/>
        <v>-1504131.5424357001</v>
      </c>
      <c r="J46" s="10">
        <f>-J36*Dashboard!$E$10</f>
        <v>-1395807.5760215505</v>
      </c>
      <c r="K46" s="11">
        <f>-K36*Dashboard!$E$10</f>
        <v>-1814242.6671100196</v>
      </c>
      <c r="L46" s="77">
        <f>-L36*Dashboard!$E$10</f>
        <v>-2241949.1374953166</v>
      </c>
      <c r="M46" s="12">
        <f>-M36*Dashboard!$E$10</f>
        <v>-2900617.489707774</v>
      </c>
      <c r="N46" s="36">
        <f t="shared" ref="N46" si="131">SUM(J46:M46)</f>
        <v>-8352616.8703346606</v>
      </c>
      <c r="O46" s="10">
        <f>-O36*Dashboard!$E$10</f>
        <v>-3306027.8679460702</v>
      </c>
      <c r="P46" s="11">
        <f>-P36*Dashboard!$E$10</f>
        <v>-3693529.9935282194</v>
      </c>
      <c r="Q46" s="77">
        <f>-Q36*Dashboard!$E$10</f>
        <v>-4062464.785598014</v>
      </c>
      <c r="R46" s="12">
        <f>-R36*Dashboard!$E$10</f>
        <v>-4412164.9725403441</v>
      </c>
      <c r="S46" s="36">
        <f t="shared" ref="S46" si="132">SUM(O46:R46)</f>
        <v>-15474187.619612649</v>
      </c>
      <c r="T46" s="10">
        <f>-T36*Dashboard!$E$10</f>
        <v>-4952700.9270128366</v>
      </c>
      <c r="U46" s="11">
        <f>-U36*Dashboard!$E$10</f>
        <v>-5626771.1204181239</v>
      </c>
      <c r="V46" s="77">
        <f>-V36*Dashboard!$E$10</f>
        <v>-6246888.4223990105</v>
      </c>
      <c r="W46" s="12">
        <f>-W36*Dashboard!$E$10</f>
        <v>-6865191.455611065</v>
      </c>
      <c r="X46" s="36">
        <f t="shared" ref="X46" si="133">SUM(T46:W46)</f>
        <v>-23691551.925441034</v>
      </c>
    </row>
    <row r="47" spans="1:25" s="203" customFormat="1" ht="15" thickBot="1" x14ac:dyDescent="0.25">
      <c r="B47" s="51" t="s">
        <v>113</v>
      </c>
      <c r="C47" s="66"/>
      <c r="E47" s="10">
        <f>-Dashboard!$B$21*3</f>
        <v>-60000</v>
      </c>
      <c r="F47" s="11">
        <f>E47</f>
        <v>-60000</v>
      </c>
      <c r="G47" s="77">
        <f t="shared" ref="G47:H47" si="134">F47</f>
        <v>-60000</v>
      </c>
      <c r="H47" s="12">
        <f t="shared" si="134"/>
        <v>-60000</v>
      </c>
      <c r="I47" s="36">
        <f t="shared" si="124"/>
        <v>-240000</v>
      </c>
      <c r="J47" s="56">
        <f>H47</f>
        <v>-60000</v>
      </c>
      <c r="K47" s="228">
        <f>J47</f>
        <v>-60000</v>
      </c>
      <c r="L47" s="228">
        <f t="shared" ref="L47:M47" si="135">K47</f>
        <v>-60000</v>
      </c>
      <c r="M47" s="228">
        <f t="shared" si="135"/>
        <v>-60000</v>
      </c>
      <c r="N47" s="36">
        <f t="shared" si="128"/>
        <v>-240000</v>
      </c>
      <c r="O47" s="56">
        <f t="shared" ref="O47" si="136">M47</f>
        <v>-60000</v>
      </c>
      <c r="P47" s="228">
        <f t="shared" ref="P47:W47" si="137">O47</f>
        <v>-60000</v>
      </c>
      <c r="Q47" s="228">
        <f t="shared" si="137"/>
        <v>-60000</v>
      </c>
      <c r="R47" s="413">
        <f t="shared" si="137"/>
        <v>-60000</v>
      </c>
      <c r="S47" s="419">
        <f t="shared" ref="S47:S48" si="138">SUM(O47:R47)</f>
        <v>-240000</v>
      </c>
      <c r="T47" s="56">
        <f t="shared" ref="T47" si="139">R47</f>
        <v>-60000</v>
      </c>
      <c r="U47" s="228">
        <f t="shared" ref="U47" si="140">T47</f>
        <v>-60000</v>
      </c>
      <c r="V47" s="228">
        <f t="shared" si="137"/>
        <v>-60000</v>
      </c>
      <c r="W47" s="413">
        <f t="shared" si="137"/>
        <v>-60000</v>
      </c>
      <c r="X47" s="419">
        <f t="shared" ref="X47:X48" si="141">SUM(T47:W47)</f>
        <v>-240000</v>
      </c>
    </row>
    <row r="48" spans="1:25" s="151" customFormat="1" ht="15" thickBot="1" x14ac:dyDescent="0.25">
      <c r="B48" s="70" t="s">
        <v>110</v>
      </c>
      <c r="C48" s="393"/>
      <c r="D48" s="394"/>
      <c r="E48" s="395">
        <f>E45+E43+E47+E46</f>
        <v>-341533.80000000005</v>
      </c>
      <c r="F48" s="396">
        <f t="shared" ref="F48:H48" si="142">F45+F43+F47+F46</f>
        <v>-763943.32590000005</v>
      </c>
      <c r="G48" s="396">
        <f t="shared" si="142"/>
        <v>-3592417.4607624998</v>
      </c>
      <c r="H48" s="397">
        <f t="shared" si="142"/>
        <v>-11412163.635773201</v>
      </c>
      <c r="I48" s="398">
        <f>SUM(E48:H48)</f>
        <v>-16110058.222435702</v>
      </c>
      <c r="J48" s="395">
        <f t="shared" ref="J48" si="143">J45+J43+J47+J46</f>
        <v>-15757992.23602155</v>
      </c>
      <c r="K48" s="396">
        <f t="shared" ref="K48" si="144">K45+K43+K47+K46</f>
        <v>-21572237.967110019</v>
      </c>
      <c r="L48" s="396">
        <f t="shared" ref="L48" si="145">L45+L43+L47+L46</f>
        <v>-27502251.637495317</v>
      </c>
      <c r="M48" s="397">
        <f t="shared" ref="M48" si="146">M45+M43+M47+M46</f>
        <v>-36450469.719707772</v>
      </c>
      <c r="N48" s="398">
        <f t="shared" si="128"/>
        <v>-101282951.56033465</v>
      </c>
      <c r="O48" s="395">
        <f t="shared" ref="O48" si="147">O45+O43+O47+O46</f>
        <v>-42602750.697946072</v>
      </c>
      <c r="P48" s="396">
        <f t="shared" ref="P48" si="148">P45+P43+P47+P46</f>
        <v>-48848716.043528214</v>
      </c>
      <c r="Q48" s="396">
        <f t="shared" ref="Q48" si="149">Q45+Q43+Q47+Q46</f>
        <v>-55189327.285598017</v>
      </c>
      <c r="R48" s="397">
        <f t="shared" ref="R48" si="150">R45+R43+R47+R46</f>
        <v>-61625635.432540342</v>
      </c>
      <c r="S48" s="398">
        <f t="shared" si="138"/>
        <v>-208266429.45961267</v>
      </c>
      <c r="T48" s="395">
        <f t="shared" ref="T48" si="151">T45+T43+T47+T46</f>
        <v>-71185271.177012831</v>
      </c>
      <c r="U48" s="396">
        <f t="shared" ref="U48" si="152">U45+U43+U47+U46</f>
        <v>-82475138.770418137</v>
      </c>
      <c r="V48" s="396">
        <f t="shared" ref="V48" si="153">V45+V43+V47+V46</f>
        <v>-92480487.882399023</v>
      </c>
      <c r="W48" s="397">
        <f t="shared" ref="W48" si="154">W45+W43+W47+W46</f>
        <v>-102664062.74561106</v>
      </c>
      <c r="X48" s="398">
        <f t="shared" si="141"/>
        <v>-348804960.57544106</v>
      </c>
    </row>
    <row r="49" spans="2:25" ht="15" thickBot="1" x14ac:dyDescent="0.25">
      <c r="N49" s="175"/>
      <c r="O49" s="1"/>
      <c r="P49" s="1"/>
      <c r="Q49" s="1"/>
    </row>
    <row r="50" spans="2:25" ht="15" thickBot="1" x14ac:dyDescent="0.25">
      <c r="B50" s="401" t="s">
        <v>111</v>
      </c>
      <c r="Q50" s="1"/>
    </row>
    <row r="51" spans="2:25" x14ac:dyDescent="0.2">
      <c r="B51" s="414" t="s">
        <v>114</v>
      </c>
      <c r="C51" s="409"/>
      <c r="D51" s="405"/>
      <c r="E51" s="410">
        <f>E38+E48</f>
        <v>185816.19999999995</v>
      </c>
      <c r="F51" s="410">
        <f t="shared" ref="F51:H51" si="155">F38+F48</f>
        <v>545225.08759999974</v>
      </c>
      <c r="G51" s="410">
        <f t="shared" si="155"/>
        <v>2946194.9236749997</v>
      </c>
      <c r="H51" s="410">
        <f t="shared" si="155"/>
        <v>9511836.4763367996</v>
      </c>
      <c r="I51" s="415">
        <f>SUM(E51:H51)</f>
        <v>13189072.6876118</v>
      </c>
      <c r="J51" s="410">
        <f t="shared" ref="J51:M51" si="156">J38+J48</f>
        <v>13082690.628919287</v>
      </c>
      <c r="K51" s="410">
        <f t="shared" si="156"/>
        <v>17799728.273658294</v>
      </c>
      <c r="L51" s="410">
        <f t="shared" si="156"/>
        <v>22612124.624570094</v>
      </c>
      <c r="M51" s="410">
        <f t="shared" si="156"/>
        <v>29894197.992322557</v>
      </c>
      <c r="N51" s="415">
        <f t="shared" ref="N51:N53" si="157">SUM(J51:M51)</f>
        <v>83388741.51947023</v>
      </c>
      <c r="O51" s="410">
        <f t="shared" ref="O51:R51" si="158">O38+O48</f>
        <v>34828330.690859407</v>
      </c>
      <c r="P51" s="410">
        <f t="shared" si="158"/>
        <v>39800753.697311983</v>
      </c>
      <c r="Q51" s="410">
        <f t="shared" si="158"/>
        <v>44811136.461010732</v>
      </c>
      <c r="R51" s="410">
        <f t="shared" si="158"/>
        <v>49859190.837880194</v>
      </c>
      <c r="S51" s="415">
        <f t="shared" ref="S51:S53" si="159">SUM(O51:R51)</f>
        <v>169299411.68706232</v>
      </c>
      <c r="T51" s="410">
        <f t="shared" ref="T51:W51" si="160">T38+T48</f>
        <v>57389237.883702874</v>
      </c>
      <c r="U51" s="410">
        <f t="shared" si="160"/>
        <v>66336793.283954889</v>
      </c>
      <c r="V51" s="410">
        <f t="shared" si="160"/>
        <v>74301124.87040481</v>
      </c>
      <c r="W51" s="410">
        <f t="shared" si="160"/>
        <v>82387647.950344071</v>
      </c>
      <c r="X51" s="415">
        <f t="shared" ref="X51:X53" si="161">SUM(T51:W51)</f>
        <v>280414803.98840666</v>
      </c>
    </row>
    <row r="52" spans="2:25" ht="15" thickBot="1" x14ac:dyDescent="0.25">
      <c r="B52" s="8" t="s">
        <v>115</v>
      </c>
      <c r="C52" s="119"/>
      <c r="D52" s="175"/>
      <c r="E52" s="228">
        <f>-E51*Dashboard!$B$12</f>
        <v>-55744.859999999986</v>
      </c>
      <c r="F52" s="228">
        <f>-F51*Dashboard!$B$12</f>
        <v>-163567.5262799999</v>
      </c>
      <c r="G52" s="228">
        <f>-G51*Dashboard!$B$12</f>
        <v>-883858.47710249992</v>
      </c>
      <c r="H52" s="228">
        <f>-H51*Dashboard!$B$12</f>
        <v>-2853550.94290104</v>
      </c>
      <c r="I52" s="416">
        <f t="shared" ref="I52:I53" si="162">SUM(E52:H52)</f>
        <v>-3956721.8062835401</v>
      </c>
      <c r="J52" s="228">
        <f>-J51*Dashboard!$B$12</f>
        <v>-3924807.1886757859</v>
      </c>
      <c r="K52" s="228">
        <f>-K51*Dashboard!$B$12</f>
        <v>-5339918.4820974879</v>
      </c>
      <c r="L52" s="228">
        <f>-L51*Dashboard!$B$12</f>
        <v>-6783637.3873710278</v>
      </c>
      <c r="M52" s="228">
        <f>-M51*Dashboard!$B$12</f>
        <v>-8968259.397696767</v>
      </c>
      <c r="N52" s="416">
        <f t="shared" si="157"/>
        <v>-25016622.455841068</v>
      </c>
      <c r="O52" s="228">
        <f>-O51*Dashboard!$B$12</f>
        <v>-10448499.207257822</v>
      </c>
      <c r="P52" s="228">
        <f>-P51*Dashboard!$B$12</f>
        <v>-11940226.109193595</v>
      </c>
      <c r="Q52" s="228">
        <f>-Q51*Dashboard!$B$12</f>
        <v>-13443340.938303219</v>
      </c>
      <c r="R52" s="228">
        <f>-R51*Dashboard!$B$12</f>
        <v>-14957757.251364058</v>
      </c>
      <c r="S52" s="416">
        <f t="shared" si="159"/>
        <v>-50789823.506118692</v>
      </c>
      <c r="T52" s="228">
        <f>-T51*Dashboard!$B$12</f>
        <v>-17216771.365110863</v>
      </c>
      <c r="U52" s="228">
        <f>-U51*Dashboard!$B$12</f>
        <v>-19901037.985186465</v>
      </c>
      <c r="V52" s="228">
        <f>-V51*Dashboard!$B$12</f>
        <v>-22290337.461121444</v>
      </c>
      <c r="W52" s="228">
        <f>-W51*Dashboard!$B$12</f>
        <v>-24716294.385103222</v>
      </c>
      <c r="X52" s="416">
        <f t="shared" si="161"/>
        <v>-84124441.196521997</v>
      </c>
    </row>
    <row r="53" spans="2:25" s="203" customFormat="1" ht="15" thickBot="1" x14ac:dyDescent="0.25">
      <c r="B53" s="60" t="s">
        <v>112</v>
      </c>
      <c r="C53" s="195"/>
      <c r="D53" s="396"/>
      <c r="E53" s="396">
        <f>E51+E52</f>
        <v>130071.33999999997</v>
      </c>
      <c r="F53" s="396">
        <f t="shared" ref="F53:H53" si="163">F51+F52</f>
        <v>381657.56131999986</v>
      </c>
      <c r="G53" s="396">
        <f t="shared" si="163"/>
        <v>2062336.4465724998</v>
      </c>
      <c r="H53" s="396">
        <f t="shared" si="163"/>
        <v>6658285.5334357601</v>
      </c>
      <c r="I53" s="398">
        <f t="shared" si="162"/>
        <v>9232350.8813282587</v>
      </c>
      <c r="J53" s="396">
        <f t="shared" ref="J53" si="164">J51+J52</f>
        <v>9157883.4402435012</v>
      </c>
      <c r="K53" s="396">
        <f t="shared" ref="K53" si="165">K51+K52</f>
        <v>12459809.791560806</v>
      </c>
      <c r="L53" s="396">
        <f t="shared" ref="L53" si="166">L51+L52</f>
        <v>15828487.237199066</v>
      </c>
      <c r="M53" s="396">
        <f t="shared" ref="M53" si="167">M51+M52</f>
        <v>20925938.59462579</v>
      </c>
      <c r="N53" s="398">
        <f t="shared" si="157"/>
        <v>58372119.063629165</v>
      </c>
      <c r="O53" s="396">
        <f t="shared" ref="O53" si="168">O51+O52</f>
        <v>24379831.483601585</v>
      </c>
      <c r="P53" s="396">
        <f t="shared" ref="P53" si="169">P51+P52</f>
        <v>27860527.588118389</v>
      </c>
      <c r="Q53" s="396">
        <f t="shared" ref="Q53" si="170">Q51+Q52</f>
        <v>31367795.522707514</v>
      </c>
      <c r="R53" s="396">
        <f t="shared" ref="R53" si="171">R51+R52</f>
        <v>34901433.586516134</v>
      </c>
      <c r="S53" s="398">
        <f t="shared" si="159"/>
        <v>118509588.18094364</v>
      </c>
      <c r="T53" s="396">
        <f t="shared" ref="T53" si="172">T51+T52</f>
        <v>40172466.518592015</v>
      </c>
      <c r="U53" s="396">
        <f t="shared" ref="U53" si="173">U51+U52</f>
        <v>46435755.298768423</v>
      </c>
      <c r="V53" s="396">
        <f t="shared" ref="V53" si="174">V51+V52</f>
        <v>52010787.40928337</v>
      </c>
      <c r="W53" s="396">
        <f t="shared" ref="W53" si="175">W51+W52</f>
        <v>57671353.565240845</v>
      </c>
      <c r="X53" s="398">
        <f t="shared" si="161"/>
        <v>196290362.79188466</v>
      </c>
    </row>
    <row r="57" spans="2:25" ht="15" hidden="1" thickBot="1" x14ac:dyDescent="0.25">
      <c r="B57" s="401" t="s">
        <v>120</v>
      </c>
    </row>
    <row r="58" spans="2:25" hidden="1" x14ac:dyDescent="0.2">
      <c r="B58" s="402" t="s">
        <v>126</v>
      </c>
      <c r="C58" s="403"/>
      <c r="D58" s="404"/>
      <c r="E58" s="422">
        <f>E53</f>
        <v>130071.33999999997</v>
      </c>
      <c r="F58" s="410">
        <f>E58+F53</f>
        <v>511728.90131999983</v>
      </c>
      <c r="G58" s="410">
        <f>F58+G53</f>
        <v>2574065.3478924995</v>
      </c>
      <c r="H58" s="412">
        <f>G58+H53</f>
        <v>9232350.8813282587</v>
      </c>
      <c r="I58" s="405"/>
      <c r="J58" s="422">
        <f>H58+J53</f>
        <v>18390234.32157176</v>
      </c>
      <c r="K58" s="410">
        <f>J58+K53</f>
        <v>30850044.113132566</v>
      </c>
      <c r="L58" s="410">
        <f>K58+L53</f>
        <v>46678531.350331634</v>
      </c>
      <c r="M58" s="412">
        <f>L58+M53</f>
        <v>67604469.94495742</v>
      </c>
      <c r="N58" s="405"/>
      <c r="O58" s="422">
        <f>M58+O53</f>
        <v>91984301.428559005</v>
      </c>
      <c r="P58" s="410">
        <f>O58+P53</f>
        <v>119844829.01667739</v>
      </c>
      <c r="Q58" s="410">
        <f>P58+Q53</f>
        <v>151212624.5393849</v>
      </c>
      <c r="R58" s="412">
        <f>Q58+R53</f>
        <v>186114058.12590104</v>
      </c>
      <c r="S58" s="405"/>
      <c r="T58" s="422">
        <f>R58+T53</f>
        <v>226286524.64449304</v>
      </c>
      <c r="U58" s="410">
        <f>T58+U53</f>
        <v>272722279.94326144</v>
      </c>
      <c r="V58" s="410">
        <f>U58+V53</f>
        <v>324733067.35254478</v>
      </c>
      <c r="W58" s="412">
        <f>V58+W53</f>
        <v>382404420.91778564</v>
      </c>
      <c r="X58" s="406"/>
    </row>
    <row r="59" spans="2:25" s="370" customFormat="1" hidden="1" x14ac:dyDescent="0.2">
      <c r="B59" s="411" t="s">
        <v>130</v>
      </c>
      <c r="C59" s="423"/>
      <c r="D59" s="424"/>
      <c r="E59" s="432" t="str">
        <f>IF(E58&gt;Dashboard!$B$22,"DONE!","")</f>
        <v/>
      </c>
      <c r="F59" s="424" t="str">
        <f>IF(F58&gt;Dashboard!$B$22,"DONE!","")</f>
        <v>DONE!</v>
      </c>
      <c r="G59" s="424" t="str">
        <f>IF(G58&gt;Dashboard!$B$22,"DONE!","")</f>
        <v>DONE!</v>
      </c>
      <c r="H59" s="433" t="str">
        <f>IF(H58&gt;Dashboard!$B$22,"DONE!","")</f>
        <v>DONE!</v>
      </c>
      <c r="I59" s="424" t="str">
        <f>IF(I58&gt;Dashboard!$B$22,"DONE!","")</f>
        <v/>
      </c>
      <c r="J59" s="432" t="str">
        <f>IF(J58&gt;Dashboard!$B$22,"DONE!","")</f>
        <v>DONE!</v>
      </c>
      <c r="K59" s="424" t="str">
        <f>IF(K58&gt;Dashboard!$B$22,"DONE!","")</f>
        <v>DONE!</v>
      </c>
      <c r="L59" s="424" t="str">
        <f>IF(L58&gt;Dashboard!$B$22,"DONE!","")</f>
        <v>DONE!</v>
      </c>
      <c r="M59" s="433" t="str">
        <f>IF(M58&gt;Dashboard!$B$22,"DONE!","")</f>
        <v>DONE!</v>
      </c>
      <c r="N59" s="424" t="str">
        <f>IF(N58&gt;Dashboard!$B$22,"DONE!","")</f>
        <v/>
      </c>
      <c r="O59" s="432" t="str">
        <f>IF(O58&gt;Dashboard!$B$22,"DONE!","")</f>
        <v>DONE!</v>
      </c>
      <c r="P59" s="424" t="str">
        <f>IF(P58&gt;Dashboard!$B$22,"DONE!","")</f>
        <v>DONE!</v>
      </c>
      <c r="Q59" s="424" t="str">
        <f>IF(Q58&gt;Dashboard!$B$22,"DONE!","")</f>
        <v>DONE!</v>
      </c>
      <c r="R59" s="433" t="str">
        <f>IF(R58&gt;Dashboard!$B$22,"DONE!","")</f>
        <v>DONE!</v>
      </c>
      <c r="S59" s="424" t="str">
        <f>IF(S58&gt;Dashboard!$B$22,"DONE!","")</f>
        <v/>
      </c>
      <c r="T59" s="432" t="str">
        <f>IF(T58&gt;Dashboard!$B$22,"DONE!","")</f>
        <v>DONE!</v>
      </c>
      <c r="U59" s="424" t="str">
        <f>IF(U58&gt;Dashboard!$B$22,"DONE!","")</f>
        <v>DONE!</v>
      </c>
      <c r="V59" s="424" t="str">
        <f>IF(V58&gt;Dashboard!$B$22,"DONE!","")</f>
        <v>DONE!</v>
      </c>
      <c r="W59" s="433" t="str">
        <f>IF(W58&gt;Dashboard!$B$22,"DONE!","")</f>
        <v>DONE!</v>
      </c>
      <c r="X59" s="433" t="str">
        <f>IF(X58&gt;Dashboard!$B$22,"DONE!","")</f>
        <v/>
      </c>
    </row>
    <row r="60" spans="2:25" s="370" customFormat="1" hidden="1" x14ac:dyDescent="0.2">
      <c r="B60" s="7" t="s">
        <v>131</v>
      </c>
      <c r="C60" s="423"/>
      <c r="D60" s="424"/>
      <c r="E60" s="424" t="str">
        <f>IF(E58&gt;Dashboard!$B$17,"DONE!","")</f>
        <v/>
      </c>
      <c r="F60" s="424" t="str">
        <f>IF(F58&gt;Dashboard!$B$17,"DONE!","")</f>
        <v>DONE!</v>
      </c>
      <c r="G60" s="424" t="str">
        <f>IF(G58&gt;Dashboard!$B$17,"DONE!","")</f>
        <v>DONE!</v>
      </c>
      <c r="H60" s="424" t="str">
        <f>IF(H58&gt;Dashboard!$B$17,"DONE!","")</f>
        <v>DONE!</v>
      </c>
      <c r="I60" s="424" t="str">
        <f>IF(I58&gt;Dashboard!$B$17,"DONE!","")</f>
        <v/>
      </c>
      <c r="J60" s="424" t="str">
        <f>IF(J58&gt;Dashboard!$B$17,"DONE!","")</f>
        <v>DONE!</v>
      </c>
      <c r="K60" s="424" t="str">
        <f>IF(K58&gt;Dashboard!$B$17,"DONE!","")</f>
        <v>DONE!</v>
      </c>
      <c r="L60" s="424" t="str">
        <f>IF(L58&gt;Dashboard!$B$17,"DONE!","")</f>
        <v>DONE!</v>
      </c>
      <c r="M60" s="424" t="str">
        <f>IF(M58&gt;Dashboard!$B$17,"DONE!","")</f>
        <v>DONE!</v>
      </c>
      <c r="N60" s="424" t="str">
        <f>IF(N58&gt;Dashboard!$B$17,"DONE!","")</f>
        <v/>
      </c>
      <c r="O60" s="424" t="str">
        <f>IF(O58&gt;Dashboard!$B$17,"DONE!","")</f>
        <v>DONE!</v>
      </c>
      <c r="P60" s="424" t="str">
        <f>IF(P58&gt;Dashboard!$B$17,"DONE!","")</f>
        <v>DONE!</v>
      </c>
      <c r="Q60" s="424" t="str">
        <f>IF(Q58&gt;Dashboard!$B$17,"DONE!","")</f>
        <v>DONE!</v>
      </c>
      <c r="R60" s="424" t="str">
        <f>IF(R58&gt;Dashboard!$B$17,"DONE!","")</f>
        <v>DONE!</v>
      </c>
      <c r="S60" s="424" t="str">
        <f>IF(S58&gt;Dashboard!$B$17,"DONE!","")</f>
        <v/>
      </c>
      <c r="T60" s="424" t="str">
        <f>IF(T58&gt;Dashboard!$B$17,"DONE!","")</f>
        <v>DONE!</v>
      </c>
      <c r="U60" s="424" t="str">
        <f>IF(U58&gt;Dashboard!$B$17,"DONE!","")</f>
        <v>DONE!</v>
      </c>
      <c r="V60" s="424" t="str">
        <f>IF(V58&gt;Dashboard!$B$17,"DONE!","")</f>
        <v>DONE!</v>
      </c>
      <c r="W60" s="424" t="str">
        <f>IF(W58&gt;Dashboard!$B$17,"DONE!","")</f>
        <v>DONE!</v>
      </c>
      <c r="X60" s="424" t="str">
        <f>IF(X58&gt;Dashboard!$B$17,"DONE!","")</f>
        <v/>
      </c>
      <c r="Y60" s="424"/>
    </row>
    <row r="61" spans="2:25" s="370" customFormat="1" hidden="1" x14ac:dyDescent="0.2">
      <c r="B61" s="7" t="s">
        <v>121</v>
      </c>
      <c r="C61" s="423"/>
      <c r="D61" s="424"/>
      <c r="E61" s="425" t="str">
        <f>E3</f>
        <v>Q1Y1</v>
      </c>
      <c r="F61" s="424" t="str">
        <f t="shared" ref="F61:X61" si="176">F3</f>
        <v>Q2Y1</v>
      </c>
      <c r="G61" s="424" t="str">
        <f t="shared" si="176"/>
        <v>Q3Y1</v>
      </c>
      <c r="H61" s="424" t="str">
        <f t="shared" si="176"/>
        <v>Q4Y1</v>
      </c>
      <c r="I61" s="424" t="str">
        <f t="shared" si="176"/>
        <v>Y1</v>
      </c>
      <c r="J61" s="424" t="str">
        <f t="shared" si="176"/>
        <v>Q1Y2</v>
      </c>
      <c r="K61" s="424" t="str">
        <f t="shared" si="176"/>
        <v>Q2Y2</v>
      </c>
      <c r="L61" s="424" t="str">
        <f t="shared" si="176"/>
        <v>Q3Y2</v>
      </c>
      <c r="M61" s="424" t="str">
        <f t="shared" si="176"/>
        <v>Q4Y2</v>
      </c>
      <c r="N61" s="424" t="str">
        <f t="shared" si="176"/>
        <v>Y2</v>
      </c>
      <c r="O61" s="424" t="str">
        <f t="shared" si="176"/>
        <v>Q1Y3</v>
      </c>
      <c r="P61" s="424" t="str">
        <f t="shared" si="176"/>
        <v>Q2Y3</v>
      </c>
      <c r="Q61" s="424" t="str">
        <f t="shared" si="176"/>
        <v>Q3Y3</v>
      </c>
      <c r="R61" s="424" t="str">
        <f t="shared" si="176"/>
        <v>Q4Y3</v>
      </c>
      <c r="S61" s="424" t="str">
        <f t="shared" si="176"/>
        <v>Y3</v>
      </c>
      <c r="T61" s="424" t="str">
        <f t="shared" si="176"/>
        <v>Q1Y4</v>
      </c>
      <c r="U61" s="424" t="str">
        <f t="shared" si="176"/>
        <v>Q2Y4</v>
      </c>
      <c r="V61" s="424" t="str">
        <f t="shared" si="176"/>
        <v>Q3Y4</v>
      </c>
      <c r="W61" s="424" t="str">
        <f t="shared" si="176"/>
        <v>Q4Y4</v>
      </c>
      <c r="X61" s="424" t="str">
        <f t="shared" si="176"/>
        <v>Y4</v>
      </c>
      <c r="Y61" s="424"/>
    </row>
    <row r="62" spans="2:25" s="370" customFormat="1" hidden="1" x14ac:dyDescent="0.2">
      <c r="B62" s="7"/>
      <c r="C62" s="423"/>
      <c r="D62" s="424"/>
      <c r="E62" s="424"/>
      <c r="F62" s="424"/>
      <c r="G62" s="424"/>
      <c r="H62" s="424"/>
      <c r="I62" s="424"/>
      <c r="J62" s="424"/>
      <c r="K62" s="424"/>
      <c r="L62" s="424"/>
      <c r="M62" s="424"/>
      <c r="N62" s="424"/>
      <c r="O62" s="424"/>
      <c r="P62" s="424"/>
      <c r="Q62" s="424"/>
      <c r="R62" s="424"/>
      <c r="S62" s="424"/>
      <c r="T62" s="424"/>
      <c r="U62" s="424"/>
      <c r="V62" s="424"/>
      <c r="W62" s="424"/>
      <c r="X62" s="424"/>
    </row>
    <row r="63" spans="2:25" ht="15" hidden="1" thickBot="1" x14ac:dyDescent="0.25"/>
    <row r="64" spans="2:25" ht="15" hidden="1" thickBot="1" x14ac:dyDescent="0.25">
      <c r="B64" s="104" t="s">
        <v>124</v>
      </c>
    </row>
    <row r="65" spans="2:24" s="203" customFormat="1" hidden="1" x14ac:dyDescent="0.2">
      <c r="B65" s="427" t="s">
        <v>125</v>
      </c>
      <c r="C65" s="187"/>
      <c r="D65" s="410"/>
      <c r="E65" s="410" t="str">
        <f>IF(E58&lt;0,E58,"")</f>
        <v/>
      </c>
      <c r="F65" s="410" t="str">
        <f t="shared" ref="F65:X65" si="177">IF(F58&lt;0,F58,"")</f>
        <v/>
      </c>
      <c r="G65" s="410" t="str">
        <f t="shared" si="177"/>
        <v/>
      </c>
      <c r="H65" s="410" t="str">
        <f t="shared" si="177"/>
        <v/>
      </c>
      <c r="I65" s="410" t="str">
        <f t="shared" si="177"/>
        <v/>
      </c>
      <c r="J65" s="410" t="str">
        <f t="shared" si="177"/>
        <v/>
      </c>
      <c r="K65" s="410" t="str">
        <f t="shared" si="177"/>
        <v/>
      </c>
      <c r="L65" s="410" t="str">
        <f t="shared" si="177"/>
        <v/>
      </c>
      <c r="M65" s="410" t="str">
        <f t="shared" si="177"/>
        <v/>
      </c>
      <c r="N65" s="410" t="str">
        <f t="shared" si="177"/>
        <v/>
      </c>
      <c r="O65" s="410" t="str">
        <f t="shared" si="177"/>
        <v/>
      </c>
      <c r="P65" s="410" t="str">
        <f t="shared" si="177"/>
        <v/>
      </c>
      <c r="Q65" s="410" t="str">
        <f t="shared" si="177"/>
        <v/>
      </c>
      <c r="R65" s="410" t="str">
        <f t="shared" si="177"/>
        <v/>
      </c>
      <c r="S65" s="410" t="str">
        <f t="shared" si="177"/>
        <v/>
      </c>
      <c r="T65" s="410" t="str">
        <f t="shared" si="177"/>
        <v/>
      </c>
      <c r="U65" s="410" t="str">
        <f t="shared" si="177"/>
        <v/>
      </c>
      <c r="V65" s="410" t="str">
        <f t="shared" si="177"/>
        <v/>
      </c>
      <c r="W65" s="410" t="str">
        <f t="shared" si="177"/>
        <v/>
      </c>
      <c r="X65" s="412" t="str">
        <f t="shared" si="177"/>
        <v/>
      </c>
    </row>
    <row r="66" spans="2:24" ht="15" hidden="1" thickBot="1" x14ac:dyDescent="0.25">
      <c r="B66" s="407"/>
      <c r="C66" s="408"/>
      <c r="D66" s="390"/>
      <c r="E66" s="390"/>
      <c r="F66" s="390"/>
      <c r="G66" s="390"/>
      <c r="H66" s="390"/>
      <c r="I66" s="391"/>
      <c r="J66" s="390"/>
      <c r="K66" s="390"/>
      <c r="L66" s="390"/>
      <c r="M66" s="390"/>
      <c r="N66" s="391"/>
      <c r="O66" s="390"/>
      <c r="P66" s="390"/>
      <c r="Q66" s="390"/>
      <c r="R66" s="390"/>
      <c r="S66" s="391"/>
      <c r="T66" s="390"/>
      <c r="U66" s="390"/>
      <c r="V66" s="390"/>
      <c r="W66" s="390"/>
      <c r="X66" s="392"/>
    </row>
    <row r="67" spans="2:24" hidden="1" x14ac:dyDescent="0.2"/>
    <row r="68" spans="2:24" hidden="1" x14ac:dyDescent="0.2"/>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59999389629810485"/>
  </sheetPr>
  <dimension ref="A2:U19"/>
  <sheetViews>
    <sheetView zoomScale="85" zoomScaleNormal="85" workbookViewId="0">
      <selection activeCell="E7" sqref="E7"/>
    </sheetView>
  </sheetViews>
  <sheetFormatPr defaultRowHeight="14.25" x14ac:dyDescent="0.2"/>
  <cols>
    <col min="1" max="1" width="41.28515625" style="150" customWidth="1"/>
    <col min="2" max="5" width="16.42578125" style="150" customWidth="1"/>
    <col min="6" max="6" width="16.42578125" style="150" hidden="1" customWidth="1"/>
    <col min="7" max="10" width="16.42578125" style="150" customWidth="1"/>
    <col min="11" max="11" width="16.42578125" style="150" hidden="1" customWidth="1"/>
    <col min="12" max="15" width="16.42578125" style="150" customWidth="1"/>
    <col min="16" max="16" width="16.42578125" style="150" hidden="1" customWidth="1"/>
    <col min="17" max="20" width="16.42578125" style="150" customWidth="1"/>
    <col min="21" max="21" width="16.42578125" style="150" hidden="1" customWidth="1"/>
    <col min="22" max="16384" width="9.140625" style="150"/>
  </cols>
  <sheetData>
    <row r="2" spans="1:21" ht="15" thickBot="1" x14ac:dyDescent="0.25"/>
    <row r="3" spans="1:21" s="369" customFormat="1" ht="29.25" thickBot="1" x14ac:dyDescent="0.25">
      <c r="A3" s="316"/>
      <c r="B3" s="311" t="s">
        <v>6</v>
      </c>
      <c r="C3" s="311" t="s">
        <v>7</v>
      </c>
      <c r="D3" s="311" t="s">
        <v>12</v>
      </c>
      <c r="E3" s="312" t="s">
        <v>13</v>
      </c>
    </row>
    <row r="4" spans="1:21" x14ac:dyDescent="0.2">
      <c r="A4" s="317" t="s">
        <v>2</v>
      </c>
      <c r="B4" s="313">
        <v>7800</v>
      </c>
      <c r="C4" s="308">
        <v>3200000</v>
      </c>
      <c r="D4" s="309">
        <f>'Direct Costs'!D38</f>
        <v>19.89</v>
      </c>
      <c r="E4" s="310">
        <v>40</v>
      </c>
    </row>
    <row r="5" spans="1:21" x14ac:dyDescent="0.2">
      <c r="A5" s="317" t="s">
        <v>3</v>
      </c>
      <c r="B5" s="314">
        <v>34300</v>
      </c>
      <c r="C5" s="73">
        <v>1406300</v>
      </c>
      <c r="D5" s="185">
        <f>'Direct Costs'!B38</f>
        <v>16.060000000000002</v>
      </c>
      <c r="E5" s="306">
        <v>63</v>
      </c>
    </row>
    <row r="6" spans="1:21" ht="15" thickBot="1" x14ac:dyDescent="0.25">
      <c r="A6" s="110" t="s">
        <v>4</v>
      </c>
      <c r="B6" s="315">
        <v>366.35</v>
      </c>
      <c r="C6" s="97">
        <v>242356</v>
      </c>
      <c r="D6" s="186">
        <f>'Direct Costs'!C38</f>
        <v>8.34</v>
      </c>
      <c r="E6" s="307">
        <v>18</v>
      </c>
    </row>
    <row r="7" spans="1:21" x14ac:dyDescent="0.2">
      <c r="B7" s="370"/>
      <c r="C7" s="370"/>
      <c r="D7" s="370"/>
      <c r="E7" s="370"/>
    </row>
    <row r="8" spans="1:21" ht="15" thickBot="1" x14ac:dyDescent="0.25">
      <c r="B8" s="370"/>
      <c r="C8" s="370"/>
      <c r="D8" s="370"/>
      <c r="E8" s="370"/>
    </row>
    <row r="9" spans="1:21" ht="15" thickBot="1" x14ac:dyDescent="0.25">
      <c r="A9" s="88" t="s">
        <v>23</v>
      </c>
      <c r="B9" s="16" t="s">
        <v>56</v>
      </c>
      <c r="C9" s="15" t="s">
        <v>57</v>
      </c>
      <c r="D9" s="15" t="s">
        <v>58</v>
      </c>
      <c r="E9" s="17" t="s">
        <v>59</v>
      </c>
      <c r="F9" s="18" t="s">
        <v>1</v>
      </c>
      <c r="G9" s="16" t="s">
        <v>60</v>
      </c>
      <c r="H9" s="15" t="s">
        <v>61</v>
      </c>
      <c r="I9" s="15" t="s">
        <v>62</v>
      </c>
      <c r="J9" s="17" t="s">
        <v>63</v>
      </c>
      <c r="K9" s="18" t="s">
        <v>15</v>
      </c>
      <c r="L9" s="16" t="s">
        <v>64</v>
      </c>
      <c r="M9" s="15" t="s">
        <v>65</v>
      </c>
      <c r="N9" s="15" t="s">
        <v>66</v>
      </c>
      <c r="O9" s="17" t="s">
        <v>67</v>
      </c>
      <c r="P9" s="18" t="s">
        <v>16</v>
      </c>
      <c r="Q9" s="16" t="s">
        <v>68</v>
      </c>
      <c r="R9" s="15" t="s">
        <v>69</v>
      </c>
      <c r="S9" s="15" t="s">
        <v>70</v>
      </c>
      <c r="T9" s="17" t="s">
        <v>71</v>
      </c>
      <c r="U9" s="18" t="s">
        <v>17</v>
      </c>
    </row>
    <row r="10" spans="1:21" x14ac:dyDescent="0.2">
      <c r="A10" s="89" t="s">
        <v>24</v>
      </c>
      <c r="B10" s="371">
        <v>3.0000000000000001E-3</v>
      </c>
      <c r="C10" s="371">
        <v>0.01</v>
      </c>
      <c r="D10" s="371">
        <v>0.05</v>
      </c>
      <c r="E10" s="371">
        <v>0.12</v>
      </c>
      <c r="F10" s="372"/>
      <c r="G10" s="371">
        <v>0.16</v>
      </c>
      <c r="H10" s="371">
        <v>0.22</v>
      </c>
      <c r="I10" s="371">
        <v>0.28999999999999998</v>
      </c>
      <c r="J10" s="371">
        <v>0.35</v>
      </c>
      <c r="K10" s="372"/>
      <c r="L10" s="371">
        <v>0.4</v>
      </c>
      <c r="M10" s="371">
        <v>0.47</v>
      </c>
      <c r="N10" s="371">
        <v>0.54</v>
      </c>
      <c r="O10" s="371">
        <v>0.63</v>
      </c>
      <c r="P10" s="372"/>
      <c r="Q10" s="371">
        <v>0.72</v>
      </c>
      <c r="R10" s="371">
        <v>0.81</v>
      </c>
      <c r="S10" s="371">
        <v>0.9</v>
      </c>
      <c r="T10" s="371">
        <v>1</v>
      </c>
      <c r="U10" s="373"/>
    </row>
    <row r="11" spans="1:21" x14ac:dyDescent="0.2">
      <c r="A11" s="90" t="s">
        <v>25</v>
      </c>
      <c r="B11" s="374">
        <v>2E-3</v>
      </c>
      <c r="C11" s="374">
        <v>5.0000000000000001E-3</v>
      </c>
      <c r="D11" s="374">
        <v>2.5000000000000001E-2</v>
      </c>
      <c r="E11" s="374">
        <v>0.08</v>
      </c>
      <c r="F11" s="375"/>
      <c r="G11" s="374">
        <v>0.11</v>
      </c>
      <c r="H11" s="374">
        <v>0.15</v>
      </c>
      <c r="I11" s="374">
        <v>0.19</v>
      </c>
      <c r="J11" s="374">
        <v>0.25</v>
      </c>
      <c r="K11" s="375"/>
      <c r="L11" s="374">
        <v>0.28999999999999998</v>
      </c>
      <c r="M11" s="374">
        <v>0.33</v>
      </c>
      <c r="N11" s="374">
        <v>0.37</v>
      </c>
      <c r="O11" s="374">
        <v>0.41</v>
      </c>
      <c r="P11" s="375"/>
      <c r="Q11" s="374">
        <v>0.47</v>
      </c>
      <c r="R11" s="374">
        <v>0.54</v>
      </c>
      <c r="S11" s="374">
        <v>0.6</v>
      </c>
      <c r="T11" s="374">
        <v>0.66</v>
      </c>
      <c r="U11" s="376"/>
    </row>
    <row r="12" spans="1:21" ht="15" thickBot="1" x14ac:dyDescent="0.25">
      <c r="A12" s="91" t="s">
        <v>26</v>
      </c>
      <c r="B12" s="377">
        <v>1E-3</v>
      </c>
      <c r="C12" s="377">
        <v>3.0000000000000001E-3</v>
      </c>
      <c r="D12" s="377">
        <v>1.2999999999999999E-2</v>
      </c>
      <c r="E12" s="377">
        <v>3.3000000000000002E-2</v>
      </c>
      <c r="F12" s="378"/>
      <c r="G12" s="377">
        <v>7.0000000000000007E-2</v>
      </c>
      <c r="H12" s="377">
        <v>0.1</v>
      </c>
      <c r="I12" s="377">
        <v>0.13</v>
      </c>
      <c r="J12" s="377">
        <v>0.17</v>
      </c>
      <c r="K12" s="378"/>
      <c r="L12" s="377">
        <v>0.2</v>
      </c>
      <c r="M12" s="377">
        <v>0.23</v>
      </c>
      <c r="N12" s="377">
        <v>0.26</v>
      </c>
      <c r="O12" s="377">
        <v>0.28000000000000003</v>
      </c>
      <c r="P12" s="378"/>
      <c r="Q12" s="377">
        <v>0.3</v>
      </c>
      <c r="R12" s="377">
        <v>0.31</v>
      </c>
      <c r="S12" s="377">
        <v>0.32</v>
      </c>
      <c r="T12" s="377">
        <v>0.33</v>
      </c>
      <c r="U12" s="379"/>
    </row>
    <row r="13" spans="1:21" x14ac:dyDescent="0.2">
      <c r="B13" s="380"/>
      <c r="C13" s="380"/>
      <c r="D13" s="380"/>
      <c r="E13" s="380"/>
      <c r="F13" s="380"/>
      <c r="G13" s="380"/>
      <c r="H13" s="380"/>
      <c r="I13" s="380"/>
      <c r="J13" s="380"/>
      <c r="K13" s="380"/>
      <c r="L13" s="380"/>
      <c r="M13" s="380"/>
      <c r="N13" s="380"/>
      <c r="O13" s="380"/>
      <c r="P13" s="380"/>
      <c r="Q13" s="380"/>
      <c r="R13" s="380"/>
      <c r="S13" s="380"/>
      <c r="T13" s="380"/>
      <c r="U13" s="380"/>
    </row>
    <row r="14" spans="1:21" ht="15" thickBot="1" x14ac:dyDescent="0.25"/>
    <row r="15" spans="1:21" ht="15" thickBot="1" x14ac:dyDescent="0.25">
      <c r="A15" s="88" t="s">
        <v>73</v>
      </c>
      <c r="B15" s="16" t="s">
        <v>56</v>
      </c>
      <c r="C15" s="15" t="s">
        <v>57</v>
      </c>
      <c r="D15" s="15" t="s">
        <v>58</v>
      </c>
      <c r="E15" s="17" t="s">
        <v>59</v>
      </c>
      <c r="F15" s="18" t="s">
        <v>1</v>
      </c>
      <c r="G15" s="16" t="s">
        <v>60</v>
      </c>
      <c r="H15" s="15" t="s">
        <v>61</v>
      </c>
      <c r="I15" s="15" t="s">
        <v>62</v>
      </c>
      <c r="J15" s="17" t="s">
        <v>63</v>
      </c>
      <c r="K15" s="18" t="s">
        <v>15</v>
      </c>
      <c r="L15" s="16" t="s">
        <v>64</v>
      </c>
      <c r="M15" s="15" t="s">
        <v>65</v>
      </c>
      <c r="N15" s="15" t="s">
        <v>66</v>
      </c>
      <c r="O15" s="17" t="s">
        <v>67</v>
      </c>
      <c r="P15" s="18" t="s">
        <v>16</v>
      </c>
      <c r="Q15" s="16" t="s">
        <v>68</v>
      </c>
      <c r="R15" s="15" t="s">
        <v>69</v>
      </c>
      <c r="S15" s="15" t="s">
        <v>70</v>
      </c>
      <c r="T15" s="17" t="s">
        <v>71</v>
      </c>
      <c r="U15" s="18" t="s">
        <v>17</v>
      </c>
    </row>
    <row r="16" spans="1:21" x14ac:dyDescent="0.2">
      <c r="A16" s="381" t="s">
        <v>35</v>
      </c>
      <c r="B16" s="371">
        <v>0</v>
      </c>
      <c r="C16" s="371">
        <v>0.15</v>
      </c>
      <c r="D16" s="371">
        <v>0.25</v>
      </c>
      <c r="E16" s="371">
        <v>0.33</v>
      </c>
      <c r="F16" s="382"/>
      <c r="G16" s="371">
        <v>0.4</v>
      </c>
      <c r="H16" s="371">
        <v>0.46</v>
      </c>
      <c r="I16" s="371">
        <v>0.51</v>
      </c>
      <c r="J16" s="371">
        <v>0.55000000000000004</v>
      </c>
      <c r="K16" s="382"/>
      <c r="L16" s="371">
        <v>0.6</v>
      </c>
      <c r="M16" s="371">
        <v>0.65</v>
      </c>
      <c r="N16" s="371">
        <v>0.7</v>
      </c>
      <c r="O16" s="371">
        <v>0.75</v>
      </c>
      <c r="P16" s="382"/>
      <c r="Q16" s="371">
        <v>0.8</v>
      </c>
      <c r="R16" s="371">
        <v>0.84</v>
      </c>
      <c r="S16" s="371">
        <v>0.87</v>
      </c>
      <c r="T16" s="371">
        <v>0.9</v>
      </c>
      <c r="U16" s="383"/>
    </row>
    <row r="17" spans="1:21" x14ac:dyDescent="0.2">
      <c r="A17" s="384" t="s">
        <v>37</v>
      </c>
      <c r="B17" s="374">
        <v>0</v>
      </c>
      <c r="C17" s="374">
        <v>0.14000000000000001</v>
      </c>
      <c r="D17" s="374">
        <v>0.23</v>
      </c>
      <c r="E17" s="374">
        <v>0.31</v>
      </c>
      <c r="F17" s="385"/>
      <c r="G17" s="374">
        <v>0.37</v>
      </c>
      <c r="H17" s="374">
        <v>0.44</v>
      </c>
      <c r="I17" s="374">
        <v>0.48</v>
      </c>
      <c r="J17" s="374">
        <v>0.51</v>
      </c>
      <c r="K17" s="385"/>
      <c r="L17" s="374">
        <v>0.54</v>
      </c>
      <c r="M17" s="374">
        <v>0.56999999999999995</v>
      </c>
      <c r="N17" s="374">
        <v>0.6</v>
      </c>
      <c r="O17" s="374">
        <v>0.63</v>
      </c>
      <c r="P17" s="385"/>
      <c r="Q17" s="374">
        <v>0.66</v>
      </c>
      <c r="R17" s="374">
        <v>0.68</v>
      </c>
      <c r="S17" s="374">
        <v>0.69</v>
      </c>
      <c r="T17" s="374">
        <v>0.7</v>
      </c>
      <c r="U17" s="386"/>
    </row>
    <row r="18" spans="1:21" x14ac:dyDescent="0.2">
      <c r="A18" s="384" t="s">
        <v>36</v>
      </c>
      <c r="B18" s="374">
        <v>0</v>
      </c>
      <c r="C18" s="374">
        <v>0.1</v>
      </c>
      <c r="D18" s="374">
        <v>0.15</v>
      </c>
      <c r="E18" s="374">
        <v>0.17</v>
      </c>
      <c r="F18" s="385"/>
      <c r="G18" s="374">
        <v>0.18</v>
      </c>
      <c r="H18" s="374">
        <v>0.19</v>
      </c>
      <c r="I18" s="374">
        <v>0.2</v>
      </c>
      <c r="J18" s="374">
        <v>0.21</v>
      </c>
      <c r="K18" s="385"/>
      <c r="L18" s="374">
        <v>0.22</v>
      </c>
      <c r="M18" s="374">
        <v>0.23</v>
      </c>
      <c r="N18" s="374">
        <v>0.24</v>
      </c>
      <c r="O18" s="374">
        <v>0.25</v>
      </c>
      <c r="P18" s="385"/>
      <c r="Q18" s="374">
        <v>0.26</v>
      </c>
      <c r="R18" s="374">
        <v>0.27</v>
      </c>
      <c r="S18" s="374">
        <v>0.28000000000000003</v>
      </c>
      <c r="T18" s="374">
        <v>0.3</v>
      </c>
      <c r="U18" s="386"/>
    </row>
    <row r="19" spans="1:21" ht="15" thickBot="1" x14ac:dyDescent="0.25">
      <c r="A19" s="387" t="s">
        <v>105</v>
      </c>
      <c r="B19" s="377">
        <v>0</v>
      </c>
      <c r="C19" s="377">
        <v>0</v>
      </c>
      <c r="D19" s="377">
        <v>0</v>
      </c>
      <c r="E19" s="377">
        <v>0</v>
      </c>
      <c r="F19" s="388"/>
      <c r="G19" s="377">
        <v>0</v>
      </c>
      <c r="H19" s="377">
        <v>0</v>
      </c>
      <c r="I19" s="377">
        <v>0</v>
      </c>
      <c r="J19" s="377">
        <v>0</v>
      </c>
      <c r="K19" s="388"/>
      <c r="L19" s="377">
        <v>0</v>
      </c>
      <c r="M19" s="377">
        <v>0</v>
      </c>
      <c r="N19" s="377">
        <v>0</v>
      </c>
      <c r="O19" s="377">
        <v>0</v>
      </c>
      <c r="P19" s="388"/>
      <c r="Q19" s="377">
        <v>0</v>
      </c>
      <c r="R19" s="377">
        <v>0</v>
      </c>
      <c r="S19" s="377">
        <v>0</v>
      </c>
      <c r="T19" s="377">
        <v>0</v>
      </c>
      <c r="U19" s="389"/>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59999389629810485"/>
  </sheetPr>
  <dimension ref="A2:D38"/>
  <sheetViews>
    <sheetView topLeftCell="A14" zoomScale="90" zoomScaleNormal="90" workbookViewId="0">
      <selection activeCell="C35" sqref="C35"/>
    </sheetView>
  </sheetViews>
  <sheetFormatPr defaultRowHeight="14.25" x14ac:dyDescent="0.2"/>
  <cols>
    <col min="1" max="1" width="45" style="150" customWidth="1"/>
    <col min="2" max="4" width="17.140625" style="150" customWidth="1"/>
    <col min="5" max="16384" width="9.140625" style="150"/>
  </cols>
  <sheetData>
    <row r="2" spans="1:4" s="152" customFormat="1" ht="15" thickBot="1" x14ac:dyDescent="0.25">
      <c r="B2" s="152" t="s">
        <v>3</v>
      </c>
      <c r="C2" s="152" t="s">
        <v>4</v>
      </c>
      <c r="D2" s="152" t="s">
        <v>2</v>
      </c>
    </row>
    <row r="3" spans="1:4" ht="15" thickBot="1" x14ac:dyDescent="0.25">
      <c r="A3" s="164" t="s">
        <v>132</v>
      </c>
    </row>
    <row r="4" spans="1:4" x14ac:dyDescent="0.2">
      <c r="A4" s="154" t="s">
        <v>41</v>
      </c>
      <c r="B4" s="165">
        <v>2600</v>
      </c>
      <c r="C4" s="165">
        <v>1630</v>
      </c>
      <c r="D4" s="166">
        <v>2790</v>
      </c>
    </row>
    <row r="5" spans="1:4" x14ac:dyDescent="0.2">
      <c r="A5" s="155" t="s">
        <v>42</v>
      </c>
      <c r="B5" s="167">
        <v>54</v>
      </c>
      <c r="C5" s="167">
        <v>157</v>
      </c>
      <c r="D5" s="168">
        <v>43</v>
      </c>
    </row>
    <row r="6" spans="1:4" x14ac:dyDescent="0.2">
      <c r="A6" s="155" t="s">
        <v>43</v>
      </c>
      <c r="B6" s="167">
        <v>756</v>
      </c>
      <c r="C6" s="167">
        <v>250</v>
      </c>
      <c r="D6" s="168">
        <v>530</v>
      </c>
    </row>
    <row r="7" spans="1:4" x14ac:dyDescent="0.2">
      <c r="A7" s="155" t="s">
        <v>44</v>
      </c>
      <c r="B7" s="167">
        <v>100</v>
      </c>
      <c r="C7" s="167">
        <v>97</v>
      </c>
      <c r="D7" s="168">
        <v>109</v>
      </c>
    </row>
    <row r="8" spans="1:4" x14ac:dyDescent="0.2">
      <c r="A8" s="155" t="s">
        <v>45</v>
      </c>
      <c r="B8" s="167">
        <v>150</v>
      </c>
      <c r="C8" s="167">
        <v>100</v>
      </c>
      <c r="D8" s="168">
        <v>100</v>
      </c>
    </row>
    <row r="9" spans="1:4" x14ac:dyDescent="0.2">
      <c r="A9" s="155" t="s">
        <v>46</v>
      </c>
      <c r="B9" s="167">
        <v>1300</v>
      </c>
      <c r="C9" s="167">
        <v>570</v>
      </c>
      <c r="D9" s="168">
        <v>1057</v>
      </c>
    </row>
    <row r="10" spans="1:4" x14ac:dyDescent="0.2">
      <c r="A10" s="155" t="s">
        <v>47</v>
      </c>
      <c r="B10" s="167">
        <v>1820</v>
      </c>
      <c r="C10" s="167">
        <v>1730</v>
      </c>
      <c r="D10" s="168">
        <v>3316</v>
      </c>
    </row>
    <row r="11" spans="1:4" x14ac:dyDescent="0.2">
      <c r="A11" s="155" t="s">
        <v>48</v>
      </c>
      <c r="B11" s="167">
        <v>755</v>
      </c>
      <c r="C11" s="167">
        <v>76</v>
      </c>
      <c r="D11" s="168">
        <v>437</v>
      </c>
    </row>
    <row r="12" spans="1:4" x14ac:dyDescent="0.2">
      <c r="A12" s="155" t="s">
        <v>143</v>
      </c>
      <c r="B12" s="167">
        <v>6160</v>
      </c>
      <c r="C12" s="167">
        <v>2500</v>
      </c>
      <c r="D12" s="168">
        <v>8900</v>
      </c>
    </row>
    <row r="13" spans="1:4" x14ac:dyDescent="0.2">
      <c r="A13" s="155" t="s">
        <v>49</v>
      </c>
      <c r="B13" s="167">
        <v>20</v>
      </c>
      <c r="C13" s="167">
        <v>13</v>
      </c>
      <c r="D13" s="168">
        <v>20</v>
      </c>
    </row>
    <row r="14" spans="1:4" x14ac:dyDescent="0.2">
      <c r="A14" s="155" t="s">
        <v>50</v>
      </c>
      <c r="B14" s="167">
        <v>20</v>
      </c>
      <c r="C14" s="167">
        <v>13</v>
      </c>
      <c r="D14" s="168">
        <v>20</v>
      </c>
    </row>
    <row r="15" spans="1:4" x14ac:dyDescent="0.2">
      <c r="A15" s="155" t="s">
        <v>51</v>
      </c>
      <c r="B15" s="167">
        <v>20</v>
      </c>
      <c r="C15" s="167">
        <v>13</v>
      </c>
      <c r="D15" s="168">
        <v>20</v>
      </c>
    </row>
    <row r="16" spans="1:4" x14ac:dyDescent="0.2">
      <c r="A16" s="155" t="s">
        <v>98</v>
      </c>
      <c r="B16" s="167">
        <v>40</v>
      </c>
      <c r="C16" s="167">
        <v>26</v>
      </c>
      <c r="D16" s="168">
        <v>40</v>
      </c>
    </row>
    <row r="17" spans="1:4" x14ac:dyDescent="0.2">
      <c r="A17" s="155" t="s">
        <v>99</v>
      </c>
      <c r="B17" s="167">
        <v>50</v>
      </c>
      <c r="C17" s="167">
        <v>26</v>
      </c>
      <c r="D17" s="168">
        <v>50</v>
      </c>
    </row>
    <row r="18" spans="1:4" x14ac:dyDescent="0.2">
      <c r="A18" s="155" t="s">
        <v>100</v>
      </c>
      <c r="B18" s="167">
        <v>20</v>
      </c>
      <c r="C18" s="167">
        <v>13</v>
      </c>
      <c r="D18" s="168">
        <v>20</v>
      </c>
    </row>
    <row r="19" spans="1:4" x14ac:dyDescent="0.2">
      <c r="A19" s="155" t="s">
        <v>101</v>
      </c>
      <c r="B19" s="167">
        <v>20</v>
      </c>
      <c r="C19" s="167">
        <v>13</v>
      </c>
      <c r="D19" s="168">
        <v>20</v>
      </c>
    </row>
    <row r="20" spans="1:4" x14ac:dyDescent="0.2">
      <c r="A20" s="155" t="s">
        <v>102</v>
      </c>
      <c r="B20" s="167">
        <v>120</v>
      </c>
      <c r="C20" s="167">
        <v>104</v>
      </c>
      <c r="D20" s="168">
        <v>120</v>
      </c>
    </row>
    <row r="21" spans="1:4" x14ac:dyDescent="0.2">
      <c r="A21" s="155" t="s">
        <v>52</v>
      </c>
      <c r="B21" s="167">
        <v>66</v>
      </c>
      <c r="C21" s="167">
        <v>65</v>
      </c>
      <c r="D21" s="168">
        <v>66</v>
      </c>
    </row>
    <row r="22" spans="1:4" x14ac:dyDescent="0.2">
      <c r="A22" s="157" t="s">
        <v>53</v>
      </c>
      <c r="B22" s="169">
        <v>26</v>
      </c>
      <c r="C22" s="169">
        <v>15</v>
      </c>
      <c r="D22" s="170">
        <v>26</v>
      </c>
    </row>
    <row r="23" spans="1:4" x14ac:dyDescent="0.2">
      <c r="A23" s="155"/>
      <c r="B23" s="148"/>
      <c r="C23" s="148"/>
      <c r="D23" s="156"/>
    </row>
    <row r="24" spans="1:4" hidden="1" x14ac:dyDescent="0.2">
      <c r="A24" s="155"/>
      <c r="B24" s="149"/>
      <c r="C24" s="149"/>
      <c r="D24" s="158"/>
    </row>
    <row r="25" spans="1:4" hidden="1" x14ac:dyDescent="0.2">
      <c r="A25" s="155"/>
      <c r="B25" s="148"/>
      <c r="C25" s="148"/>
      <c r="D25" s="156"/>
    </row>
    <row r="26" spans="1:4" hidden="1" x14ac:dyDescent="0.2">
      <c r="A26" s="157"/>
      <c r="B26" s="149"/>
      <c r="C26" s="149"/>
      <c r="D26" s="158"/>
    </row>
    <row r="27" spans="1:4" s="151" customFormat="1" ht="15" thickBot="1" x14ac:dyDescent="0.25">
      <c r="A27" s="5" t="s">
        <v>54</v>
      </c>
      <c r="B27" s="159">
        <f>SUM(B4:B26)</f>
        <v>14097</v>
      </c>
      <c r="C27" s="159">
        <f t="shared" ref="C27:D27" si="0">SUM(C4:C26)</f>
        <v>7411</v>
      </c>
      <c r="D27" s="160">
        <f t="shared" si="0"/>
        <v>17684</v>
      </c>
    </row>
    <row r="28" spans="1:4" ht="15" thickBot="1" x14ac:dyDescent="0.25">
      <c r="A28" s="161" t="s">
        <v>55</v>
      </c>
      <c r="B28" s="162">
        <f>ROUNDUP(B27/1000,2)</f>
        <v>14.1</v>
      </c>
      <c r="C28" s="162">
        <f t="shared" ref="C28:D28" si="1">ROUNDUP(C27/1000,2)</f>
        <v>7.42</v>
      </c>
      <c r="D28" s="163">
        <f t="shared" si="1"/>
        <v>17.690000000000001</v>
      </c>
    </row>
    <row r="29" spans="1:4" x14ac:dyDescent="0.2">
      <c r="A29" s="175"/>
      <c r="B29" s="6"/>
      <c r="C29" s="6"/>
      <c r="D29" s="6"/>
    </row>
    <row r="30" spans="1:4" ht="15" thickBot="1" x14ac:dyDescent="0.25"/>
    <row r="31" spans="1:4" ht="15" thickBot="1" x14ac:dyDescent="0.25">
      <c r="A31" s="171" t="s">
        <v>133</v>
      </c>
    </row>
    <row r="32" spans="1:4" x14ac:dyDescent="0.2">
      <c r="A32" s="154" t="s">
        <v>134</v>
      </c>
      <c r="B32" s="165">
        <v>1955</v>
      </c>
      <c r="C32" s="165">
        <v>924</v>
      </c>
      <c r="D32" s="166">
        <v>2199</v>
      </c>
    </row>
    <row r="33" spans="1:4" hidden="1" x14ac:dyDescent="0.2">
      <c r="A33" s="155"/>
      <c r="B33" s="169"/>
      <c r="C33" s="169"/>
      <c r="D33" s="170"/>
    </row>
    <row r="34" spans="1:4" hidden="1" x14ac:dyDescent="0.2">
      <c r="A34" s="155"/>
      <c r="B34" s="167"/>
      <c r="C34" s="167"/>
      <c r="D34" s="168"/>
    </row>
    <row r="35" spans="1:4" ht="15" thickBot="1" x14ac:dyDescent="0.25">
      <c r="A35" s="172"/>
      <c r="B35" s="173"/>
      <c r="C35" s="173"/>
      <c r="D35" s="174"/>
    </row>
    <row r="37" spans="1:4" ht="15" thickBot="1" x14ac:dyDescent="0.25"/>
    <row r="38" spans="1:4" ht="15" thickBot="1" x14ac:dyDescent="0.25">
      <c r="A38" s="161" t="s">
        <v>135</v>
      </c>
      <c r="B38" s="162">
        <f>ROUNDUP((B32+B27)/1000,2)</f>
        <v>16.060000000000002</v>
      </c>
      <c r="C38" s="162">
        <f t="shared" ref="C38:D38" si="2">ROUNDUP((C32+C27)/1000,2)</f>
        <v>8.34</v>
      </c>
      <c r="D38" s="163">
        <f t="shared" si="2"/>
        <v>19.89</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5</vt:i4>
      </vt:variant>
    </vt:vector>
  </HeadingPairs>
  <TitlesOfParts>
    <vt:vector size="5" baseType="lpstr">
      <vt:lpstr>readme</vt:lpstr>
      <vt:lpstr>Dashboard</vt:lpstr>
      <vt:lpstr>MODEL</vt:lpstr>
      <vt:lpstr>Market Inputs</vt:lpstr>
      <vt:lpstr>Direct Costs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2018-09-06T02:03:45Z</dcterms:modified>
</cp:coreProperties>
</file>