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Documents/Users/Atipat Lorwongam/Desktop/Gambling/"/>
    </mc:Choice>
  </mc:AlternateContent>
  <xr:revisionPtr revIDLastSave="0" documentId="13_ncr:1_{3E55758E-3073-DC45-B5FB-EA7074AF101A}" xr6:coauthVersionLast="36" xr6:coauthVersionMax="45" xr10:uidLastSave="{00000000-0000-0000-0000-000000000000}"/>
  <bookViews>
    <workbookView xWindow="0" yWindow="460" windowWidth="25600" windowHeight="14800" tabRatio="867" xr2:uid="{00000000-000D-0000-FFFF-FFFF00000000}"/>
  </bookViews>
  <sheets>
    <sheet name="Rules" sheetId="32" r:id="rId1"/>
    <sheet name="Dealer" sheetId="12" state="hidden" r:id="rId2"/>
    <sheet name="Stand" sheetId="13" r:id="rId3"/>
    <sheet name="Hit" sheetId="14" state="hidden" r:id="rId4"/>
    <sheet name="HS" sheetId="15" r:id="rId5"/>
    <sheet name="Double" sheetId="17" state="hidden" r:id="rId6"/>
    <sheet name="HSD" sheetId="18" r:id="rId7"/>
    <sheet name="Surrender" sheetId="19" state="hidden" r:id="rId8"/>
    <sheet name="HSDR" sheetId="20" r:id="rId9"/>
    <sheet name="Pair" sheetId="22" r:id="rId10"/>
    <sheet name="Blackjack" sheetId="28" state="hidden" r:id="rId11"/>
    <sheet name="Prob" sheetId="24" r:id="rId12"/>
    <sheet name="5 Cards" sheetId="33" state="hidden" r:id="rId13"/>
    <sheet name="Three 7 Cards" sheetId="34" state="hidden" r:id="rId14"/>
    <sheet name="ER EL" sheetId="25" r:id="rId15"/>
    <sheet name="Summary" sheetId="27" r:id="rId16"/>
    <sheet name="EV" sheetId="26" r:id="rId17"/>
    <sheet name="WL Prob" sheetId="29" r:id="rId18"/>
    <sheet name="Analysis" sheetId="35" r:id="rId19"/>
    <sheet name="1x1" sheetId="122" r:id="rId20"/>
    <sheet name="1x2" sheetId="80" r:id="rId21"/>
    <sheet name="1x3" sheetId="87" r:id="rId22"/>
    <sheet name="1x4" sheetId="88" r:id="rId23"/>
    <sheet name="1x5" sheetId="90" r:id="rId24"/>
    <sheet name="1x6" sheetId="91" r:id="rId25"/>
    <sheet name="1x7" sheetId="92" r:id="rId26"/>
    <sheet name="1x8" sheetId="93" r:id="rId27"/>
    <sheet name="1x9" sheetId="94" r:id="rId28"/>
    <sheet name="1x10" sheetId="96" r:id="rId29"/>
    <sheet name="2x3" sheetId="89" r:id="rId30"/>
    <sheet name="2x4" sheetId="100" r:id="rId31"/>
    <sheet name="2x5" sheetId="101" r:id="rId32"/>
    <sheet name="2x6" sheetId="102" r:id="rId33"/>
    <sheet name="2x7" sheetId="103" r:id="rId34"/>
    <sheet name="2x8" sheetId="104" r:id="rId35"/>
    <sheet name="2x9" sheetId="105" r:id="rId36"/>
    <sheet name="2x10" sheetId="106" r:id="rId37"/>
    <sheet name="3x4" sheetId="99" r:id="rId38"/>
    <sheet name="3x5" sheetId="107" r:id="rId39"/>
    <sheet name="3x6" sheetId="108" r:id="rId40"/>
    <sheet name="3x7" sheetId="109" r:id="rId41"/>
    <sheet name="3x8" sheetId="110" r:id="rId42"/>
    <sheet name="3x9" sheetId="111" r:id="rId43"/>
    <sheet name="3x10" sheetId="112" r:id="rId44"/>
    <sheet name="4x4" sheetId="115" r:id="rId45"/>
    <sheet name="4x5" sheetId="116" r:id="rId46"/>
    <sheet name="4x6" sheetId="117" r:id="rId47"/>
    <sheet name="4x7" sheetId="118" r:id="rId48"/>
    <sheet name="4x8" sheetId="119" r:id="rId49"/>
    <sheet name="4x9" sheetId="120" r:id="rId50"/>
    <sheet name="4x10" sheetId="121" r:id="rId51"/>
    <sheet name="Strategy Summary" sheetId="95" r:id="rId52"/>
    <sheet name="Final" sheetId="97" r:id="rId53"/>
  </sheets>
  <definedNames>
    <definedName name="_xlnm.Print_Area" localSheetId="19">'1x1'!#REF!</definedName>
    <definedName name="_xlnm.Print_Area" localSheetId="28">'1x10'!#REF!</definedName>
    <definedName name="_xlnm.Print_Area" localSheetId="20">'1x2'!#REF!</definedName>
    <definedName name="_xlnm.Print_Area" localSheetId="21">'1x3'!#REF!</definedName>
    <definedName name="_xlnm.Print_Area" localSheetId="22">'1x4'!#REF!</definedName>
    <definedName name="_xlnm.Print_Area" localSheetId="23">'1x5'!#REF!</definedName>
    <definedName name="_xlnm.Print_Area" localSheetId="24">'1x6'!#REF!</definedName>
    <definedName name="_xlnm.Print_Area" localSheetId="25">'1x7'!#REF!</definedName>
    <definedName name="_xlnm.Print_Area" localSheetId="26">'1x8'!#REF!</definedName>
    <definedName name="_xlnm.Print_Area" localSheetId="27">'1x9'!#REF!</definedName>
    <definedName name="_xlnm.Print_Area" localSheetId="36">'2x10'!#REF!</definedName>
    <definedName name="_xlnm.Print_Area" localSheetId="29">'2x3'!#REF!</definedName>
    <definedName name="_xlnm.Print_Area" localSheetId="30">'2x4'!#REF!</definedName>
    <definedName name="_xlnm.Print_Area" localSheetId="31">'2x5'!#REF!</definedName>
    <definedName name="_xlnm.Print_Area" localSheetId="32">'2x6'!#REF!</definedName>
    <definedName name="_xlnm.Print_Area" localSheetId="33">'2x7'!#REF!</definedName>
    <definedName name="_xlnm.Print_Area" localSheetId="34">'2x8'!#REF!</definedName>
    <definedName name="_xlnm.Print_Area" localSheetId="35">'2x9'!#REF!</definedName>
    <definedName name="_xlnm.Print_Area" localSheetId="43">'3x10'!#REF!</definedName>
    <definedName name="_xlnm.Print_Area" localSheetId="37">'3x4'!#REF!</definedName>
    <definedName name="_xlnm.Print_Area" localSheetId="38">'3x5'!#REF!</definedName>
    <definedName name="_xlnm.Print_Area" localSheetId="39">'3x6'!#REF!</definedName>
    <definedName name="_xlnm.Print_Area" localSheetId="40">'3x7'!#REF!</definedName>
    <definedName name="_xlnm.Print_Area" localSheetId="41">'3x8'!#REF!</definedName>
    <definedName name="_xlnm.Print_Area" localSheetId="42">'3x9'!#REF!</definedName>
    <definedName name="_xlnm.Print_Area" localSheetId="50">'4x10'!#REF!</definedName>
    <definedName name="_xlnm.Print_Area" localSheetId="44">'4x4'!#REF!</definedName>
    <definedName name="_xlnm.Print_Area" localSheetId="45">'4x5'!#REF!</definedName>
    <definedName name="_xlnm.Print_Area" localSheetId="46">'4x6'!#REF!</definedName>
    <definedName name="_xlnm.Print_Area" localSheetId="47">'4x7'!#REF!</definedName>
    <definedName name="_xlnm.Print_Area" localSheetId="48">'4x8'!#REF!</definedName>
    <definedName name="_xlnm.Print_Area" localSheetId="49">'4x9'!#REF!</definedName>
    <definedName name="_xlnm.Print_Area" localSheetId="52">Final!$A$1:$AH$46</definedName>
    <definedName name="_xlnm.Print_Area" localSheetId="0">Rules!$A$1:$V$43</definedName>
  </definedNames>
  <calcPr calcId="181029"/>
</workbook>
</file>

<file path=xl/calcChain.xml><?xml version="1.0" encoding="utf-8"?>
<calcChain xmlns="http://schemas.openxmlformats.org/spreadsheetml/2006/main">
  <c r="L38" i="32" l="1"/>
  <c r="O35" i="97" l="1"/>
  <c r="P35" i="97"/>
  <c r="Q35" i="97"/>
  <c r="R35" i="97"/>
  <c r="S35" i="97"/>
  <c r="T35" i="97"/>
  <c r="U35" i="97"/>
  <c r="V35" i="97"/>
  <c r="O34" i="97"/>
  <c r="P34" i="97"/>
  <c r="Q34" i="97"/>
  <c r="R34" i="97"/>
  <c r="S34" i="97"/>
  <c r="T34" i="97"/>
  <c r="U34" i="97"/>
  <c r="V34" i="97"/>
  <c r="N35" i="97"/>
  <c r="N34" i="97"/>
  <c r="B46" i="122" l="1"/>
  <c r="C46" i="122" s="1"/>
  <c r="C45" i="122"/>
  <c r="B35" i="122"/>
  <c r="B36" i="122" s="1"/>
  <c r="B34" i="122"/>
  <c r="C34" i="122" s="1"/>
  <c r="C33" i="122"/>
  <c r="D33" i="122" s="1"/>
  <c r="C21" i="122"/>
  <c r="D21" i="122" s="1"/>
  <c r="B22" i="122" l="1"/>
  <c r="C22" i="122" s="1"/>
  <c r="D26" i="122" s="1"/>
  <c r="B47" i="122"/>
  <c r="B48" i="122" s="1"/>
  <c r="C48" i="122" s="1"/>
  <c r="C36" i="122"/>
  <c r="B37" i="122"/>
  <c r="B23" i="122"/>
  <c r="C23" i="122" s="1"/>
  <c r="B24" i="122" s="1"/>
  <c r="C24" i="122" s="1"/>
  <c r="B25" i="122" s="1"/>
  <c r="C25" i="122" s="1"/>
  <c r="B26" i="122" s="1"/>
  <c r="C26" i="122" s="1"/>
  <c r="B27" i="122" s="1"/>
  <c r="C27" i="122" s="1"/>
  <c r="B28" i="122" s="1"/>
  <c r="C28" i="122" s="1"/>
  <c r="B29" i="122" s="1"/>
  <c r="C29" i="122" s="1"/>
  <c r="B30" i="122" s="1"/>
  <c r="C30" i="122" s="1"/>
  <c r="D24" i="122"/>
  <c r="D22" i="122"/>
  <c r="B49" i="122"/>
  <c r="D34" i="122"/>
  <c r="C47" i="122"/>
  <c r="D47" i="122" s="1"/>
  <c r="C35" i="122"/>
  <c r="D45" i="122"/>
  <c r="D23" i="122"/>
  <c r="D25" i="122"/>
  <c r="D27" i="122"/>
  <c r="D46" i="122"/>
  <c r="B46" i="121"/>
  <c r="C46" i="121" s="1"/>
  <c r="C45" i="121"/>
  <c r="D45" i="121" s="1"/>
  <c r="B34" i="121"/>
  <c r="C34" i="121" s="1"/>
  <c r="C33" i="121"/>
  <c r="D33" i="121" s="1"/>
  <c r="C21" i="121"/>
  <c r="B46" i="120"/>
  <c r="C46" i="120" s="1"/>
  <c r="C45" i="120"/>
  <c r="D45" i="120" s="1"/>
  <c r="B34" i="120"/>
  <c r="C34" i="120" s="1"/>
  <c r="C33" i="120"/>
  <c r="D33" i="120" s="1"/>
  <c r="C21" i="120"/>
  <c r="B46" i="119"/>
  <c r="C46" i="119" s="1"/>
  <c r="C45" i="119"/>
  <c r="D45" i="119" s="1"/>
  <c r="B34" i="119"/>
  <c r="C34" i="119" s="1"/>
  <c r="C33" i="119"/>
  <c r="D33" i="119" s="1"/>
  <c r="C21" i="119"/>
  <c r="D21" i="119" s="1"/>
  <c r="B46" i="118"/>
  <c r="C46" i="118" s="1"/>
  <c r="C45" i="118"/>
  <c r="D45" i="118" s="1"/>
  <c r="B34" i="118"/>
  <c r="C34" i="118" s="1"/>
  <c r="C33" i="118"/>
  <c r="D33" i="118" s="1"/>
  <c r="C21" i="118"/>
  <c r="B46" i="117"/>
  <c r="C46" i="117" s="1"/>
  <c r="C45" i="117"/>
  <c r="D45" i="117" s="1"/>
  <c r="B34" i="117"/>
  <c r="C34" i="117" s="1"/>
  <c r="C33" i="117"/>
  <c r="C21" i="117"/>
  <c r="D21" i="117" s="1"/>
  <c r="B46" i="116"/>
  <c r="C46" i="116" s="1"/>
  <c r="C45" i="116"/>
  <c r="D45" i="116" s="1"/>
  <c r="B34" i="116"/>
  <c r="B35" i="116" s="1"/>
  <c r="B36" i="116" s="1"/>
  <c r="B37" i="116" s="1"/>
  <c r="B38" i="116" s="1"/>
  <c r="B39" i="116" s="1"/>
  <c r="B40" i="116" s="1"/>
  <c r="B41" i="116" s="1"/>
  <c r="B42" i="116" s="1"/>
  <c r="C42" i="116" s="1"/>
  <c r="C33" i="116"/>
  <c r="D33" i="116" s="1"/>
  <c r="C21" i="116"/>
  <c r="B46" i="115"/>
  <c r="B47" i="115" s="1"/>
  <c r="B48" i="115" s="1"/>
  <c r="C45" i="115"/>
  <c r="D45" i="115" s="1"/>
  <c r="B34" i="115"/>
  <c r="B35" i="115" s="1"/>
  <c r="C33" i="115"/>
  <c r="C21" i="115"/>
  <c r="D29" i="122" l="1"/>
  <c r="D28" i="122"/>
  <c r="C34" i="115"/>
  <c r="D34" i="119"/>
  <c r="B50" i="122"/>
  <c r="C49" i="122"/>
  <c r="D36" i="122"/>
  <c r="D30" i="122"/>
  <c r="D35" i="122"/>
  <c r="D49" i="122"/>
  <c r="B38" i="122"/>
  <c r="C37" i="122"/>
  <c r="D37" i="122" s="1"/>
  <c r="D48" i="122"/>
  <c r="C34" i="116"/>
  <c r="D34" i="116" s="1"/>
  <c r="C46" i="115"/>
  <c r="C35" i="116"/>
  <c r="B22" i="119"/>
  <c r="C22" i="119" s="1"/>
  <c r="B23" i="119" s="1"/>
  <c r="C23" i="119" s="1"/>
  <c r="B24" i="119" s="1"/>
  <c r="C24" i="119" s="1"/>
  <c r="B25" i="119" s="1"/>
  <c r="C25" i="119" s="1"/>
  <c r="B26" i="119" s="1"/>
  <c r="C26" i="119" s="1"/>
  <c r="B27" i="119" s="1"/>
  <c r="C27" i="119" s="1"/>
  <c r="B28" i="119" s="1"/>
  <c r="C28" i="119" s="1"/>
  <c r="B29" i="119" s="1"/>
  <c r="C29" i="119" s="1"/>
  <c r="B30" i="119" s="1"/>
  <c r="C30" i="119" s="1"/>
  <c r="B22" i="121"/>
  <c r="C22" i="121" s="1"/>
  <c r="D21" i="121"/>
  <c r="B47" i="121"/>
  <c r="D34" i="121"/>
  <c r="B35" i="121"/>
  <c r="D46" i="121"/>
  <c r="D21" i="120"/>
  <c r="B22" i="120"/>
  <c r="C22" i="120" s="1"/>
  <c r="B23" i="120" s="1"/>
  <c r="C23" i="120" s="1"/>
  <c r="B24" i="120" s="1"/>
  <c r="C24" i="120" s="1"/>
  <c r="B25" i="120" s="1"/>
  <c r="C25" i="120" s="1"/>
  <c r="B26" i="120" s="1"/>
  <c r="C26" i="120" s="1"/>
  <c r="B27" i="120" s="1"/>
  <c r="C27" i="120" s="1"/>
  <c r="B28" i="120" s="1"/>
  <c r="C28" i="120" s="1"/>
  <c r="B29" i="120" s="1"/>
  <c r="C29" i="120" s="1"/>
  <c r="B30" i="120" s="1"/>
  <c r="C30" i="120" s="1"/>
  <c r="B47" i="120"/>
  <c r="D34" i="120"/>
  <c r="B35" i="120"/>
  <c r="D46" i="120"/>
  <c r="D30" i="119"/>
  <c r="D28" i="119"/>
  <c r="D27" i="119"/>
  <c r="D26" i="119"/>
  <c r="D24" i="119"/>
  <c r="D23" i="119"/>
  <c r="B47" i="119"/>
  <c r="B35" i="119"/>
  <c r="D46" i="119"/>
  <c r="B47" i="118"/>
  <c r="D21" i="118"/>
  <c r="D34" i="118"/>
  <c r="B22" i="118"/>
  <c r="C22" i="118" s="1"/>
  <c r="B23" i="118" s="1"/>
  <c r="C23" i="118" s="1"/>
  <c r="B24" i="118" s="1"/>
  <c r="C24" i="118" s="1"/>
  <c r="B25" i="118" s="1"/>
  <c r="C25" i="118" s="1"/>
  <c r="B26" i="118" s="1"/>
  <c r="C26" i="118" s="1"/>
  <c r="B27" i="118" s="1"/>
  <c r="C27" i="118" s="1"/>
  <c r="B28" i="118" s="1"/>
  <c r="C28" i="118" s="1"/>
  <c r="B29" i="118" s="1"/>
  <c r="C29" i="118" s="1"/>
  <c r="B30" i="118" s="1"/>
  <c r="C30" i="118" s="1"/>
  <c r="B35" i="118"/>
  <c r="D46" i="118"/>
  <c r="D33" i="117"/>
  <c r="B47" i="117"/>
  <c r="B22" i="117"/>
  <c r="C22" i="117" s="1"/>
  <c r="B23" i="117" s="1"/>
  <c r="C23" i="117" s="1"/>
  <c r="B24" i="117" s="1"/>
  <c r="C24" i="117" s="1"/>
  <c r="B25" i="117" s="1"/>
  <c r="C25" i="117" s="1"/>
  <c r="B26" i="117" s="1"/>
  <c r="C26" i="117" s="1"/>
  <c r="B27" i="117" s="1"/>
  <c r="C27" i="117" s="1"/>
  <c r="B28" i="117" s="1"/>
  <c r="C28" i="117" s="1"/>
  <c r="B29" i="117" s="1"/>
  <c r="C29" i="117" s="1"/>
  <c r="B30" i="117" s="1"/>
  <c r="C30" i="117" s="1"/>
  <c r="D34" i="117"/>
  <c r="D22" i="117"/>
  <c r="B35" i="117"/>
  <c r="D46" i="117"/>
  <c r="C36" i="116"/>
  <c r="C40" i="116"/>
  <c r="C39" i="116"/>
  <c r="B22" i="116"/>
  <c r="C22" i="116" s="1"/>
  <c r="B23" i="116" s="1"/>
  <c r="C23" i="116" s="1"/>
  <c r="B24" i="116" s="1"/>
  <c r="C24" i="116" s="1"/>
  <c r="B25" i="116" s="1"/>
  <c r="C25" i="116" s="1"/>
  <c r="B26" i="116" s="1"/>
  <c r="C26" i="116" s="1"/>
  <c r="B27" i="116" s="1"/>
  <c r="C27" i="116" s="1"/>
  <c r="B28" i="116" s="1"/>
  <c r="C28" i="116" s="1"/>
  <c r="B29" i="116" s="1"/>
  <c r="C29" i="116" s="1"/>
  <c r="B30" i="116" s="1"/>
  <c r="C30" i="116" s="1"/>
  <c r="C38" i="116"/>
  <c r="D21" i="116"/>
  <c r="C37" i="116"/>
  <c r="C41" i="116"/>
  <c r="D36" i="116"/>
  <c r="B47" i="116"/>
  <c r="D46" i="116"/>
  <c r="D33" i="115"/>
  <c r="C35" i="115"/>
  <c r="D35" i="115" s="1"/>
  <c r="B36" i="115"/>
  <c r="D21" i="115"/>
  <c r="B22" i="115"/>
  <c r="C22" i="115" s="1"/>
  <c r="B23" i="115" s="1"/>
  <c r="C23" i="115" s="1"/>
  <c r="B24" i="115" s="1"/>
  <c r="C24" i="115" s="1"/>
  <c r="B25" i="115" s="1"/>
  <c r="C25" i="115" s="1"/>
  <c r="B26" i="115" s="1"/>
  <c r="C26" i="115" s="1"/>
  <c r="B27" i="115" s="1"/>
  <c r="C27" i="115" s="1"/>
  <c r="B28" i="115" s="1"/>
  <c r="C28" i="115" s="1"/>
  <c r="B29" i="115" s="1"/>
  <c r="C29" i="115" s="1"/>
  <c r="B30" i="115" s="1"/>
  <c r="C30" i="115" s="1"/>
  <c r="C48" i="115"/>
  <c r="B49" i="115"/>
  <c r="C47" i="115"/>
  <c r="D34" i="115"/>
  <c r="D46" i="115"/>
  <c r="D41" i="116" l="1"/>
  <c r="D35" i="116"/>
  <c r="D40" i="116"/>
  <c r="D25" i="119"/>
  <c r="D29" i="119"/>
  <c r="D28" i="120"/>
  <c r="D24" i="120"/>
  <c r="D22" i="120"/>
  <c r="C38" i="122"/>
  <c r="B39" i="122"/>
  <c r="B51" i="122"/>
  <c r="C50" i="122"/>
  <c r="D29" i="120"/>
  <c r="D37" i="116"/>
  <c r="D24" i="117"/>
  <c r="D38" i="116"/>
  <c r="D26" i="117"/>
  <c r="D27" i="117"/>
  <c r="D28" i="117"/>
  <c r="D29" i="117"/>
  <c r="D30" i="117"/>
  <c r="D26" i="120"/>
  <c r="D22" i="119"/>
  <c r="B23" i="121"/>
  <c r="C23" i="121" s="1"/>
  <c r="B24" i="121" s="1"/>
  <c r="C24" i="121" s="1"/>
  <c r="B25" i="121" s="1"/>
  <c r="C25" i="121" s="1"/>
  <c r="B26" i="121" s="1"/>
  <c r="C26" i="121" s="1"/>
  <c r="B27" i="121" s="1"/>
  <c r="C27" i="121" s="1"/>
  <c r="B28" i="121" s="1"/>
  <c r="C28" i="121" s="1"/>
  <c r="B29" i="121" s="1"/>
  <c r="C29" i="121" s="1"/>
  <c r="B30" i="121" s="1"/>
  <c r="C30" i="121" s="1"/>
  <c r="D22" i="121"/>
  <c r="C35" i="121"/>
  <c r="B36" i="121"/>
  <c r="C47" i="121"/>
  <c r="B48" i="121"/>
  <c r="C47" i="120"/>
  <c r="B48" i="120"/>
  <c r="D25" i="120"/>
  <c r="D23" i="120"/>
  <c r="D30" i="120"/>
  <c r="C35" i="120"/>
  <c r="B36" i="120"/>
  <c r="D27" i="120"/>
  <c r="C35" i="119"/>
  <c r="B36" i="119"/>
  <c r="C47" i="119"/>
  <c r="B48" i="119"/>
  <c r="C47" i="118"/>
  <c r="B48" i="118"/>
  <c r="D27" i="118"/>
  <c r="C35" i="118"/>
  <c r="B36" i="118"/>
  <c r="D26" i="118"/>
  <c r="D28" i="118"/>
  <c r="D24" i="118"/>
  <c r="D29" i="118"/>
  <c r="D25" i="118"/>
  <c r="D23" i="118"/>
  <c r="D22" i="118"/>
  <c r="D30" i="118"/>
  <c r="C35" i="117"/>
  <c r="B36" i="117"/>
  <c r="C47" i="117"/>
  <c r="B48" i="117"/>
  <c r="D23" i="117"/>
  <c r="D25" i="117"/>
  <c r="C47" i="116"/>
  <c r="B48" i="116"/>
  <c r="D39" i="116"/>
  <c r="D22" i="116"/>
  <c r="D26" i="116"/>
  <c r="D30" i="116"/>
  <c r="D42" i="116"/>
  <c r="D23" i="116"/>
  <c r="D27" i="116"/>
  <c r="D24" i="116"/>
  <c r="D28" i="116"/>
  <c r="D25" i="116"/>
  <c r="D29" i="116"/>
  <c r="C36" i="115"/>
  <c r="B37" i="115"/>
  <c r="D24" i="115"/>
  <c r="D28" i="115"/>
  <c r="D48" i="115"/>
  <c r="C49" i="115"/>
  <c r="B50" i="115"/>
  <c r="D25" i="115"/>
  <c r="D29" i="115"/>
  <c r="D47" i="115"/>
  <c r="D22" i="115"/>
  <c r="D26" i="115"/>
  <c r="D30" i="115"/>
  <c r="D23" i="115"/>
  <c r="D27" i="115"/>
  <c r="D29" i="121" l="1"/>
  <c r="D27" i="121"/>
  <c r="B40" i="122"/>
  <c r="C39" i="122"/>
  <c r="D38" i="122"/>
  <c r="D39" i="122"/>
  <c r="D51" i="122"/>
  <c r="B52" i="122"/>
  <c r="C51" i="122"/>
  <c r="D50" i="122"/>
  <c r="D26" i="121"/>
  <c r="D47" i="121"/>
  <c r="C36" i="121"/>
  <c r="D36" i="121" s="1"/>
  <c r="B37" i="121"/>
  <c r="D23" i="121"/>
  <c r="D30" i="121"/>
  <c r="C48" i="121"/>
  <c r="B49" i="121"/>
  <c r="D28" i="121"/>
  <c r="D35" i="121"/>
  <c r="D24" i="121"/>
  <c r="D25" i="121"/>
  <c r="C48" i="120"/>
  <c r="B49" i="120"/>
  <c r="D47" i="120"/>
  <c r="D48" i="120"/>
  <c r="C36" i="120"/>
  <c r="D36" i="120" s="1"/>
  <c r="B37" i="120"/>
  <c r="D35" i="120"/>
  <c r="C48" i="119"/>
  <c r="D48" i="119" s="1"/>
  <c r="B49" i="119"/>
  <c r="D35" i="119"/>
  <c r="D47" i="119"/>
  <c r="C36" i="119"/>
  <c r="B37" i="119"/>
  <c r="C36" i="118"/>
  <c r="D36" i="118" s="1"/>
  <c r="B37" i="118"/>
  <c r="C48" i="118"/>
  <c r="D48" i="118" s="1"/>
  <c r="B49" i="118"/>
  <c r="D35" i="118"/>
  <c r="D47" i="118"/>
  <c r="C48" i="117"/>
  <c r="D48" i="117" s="1"/>
  <c r="B49" i="117"/>
  <c r="C36" i="117"/>
  <c r="B37" i="117"/>
  <c r="D47" i="117"/>
  <c r="D35" i="117"/>
  <c r="C48" i="116"/>
  <c r="B49" i="116"/>
  <c r="D47" i="116"/>
  <c r="D48" i="116"/>
  <c r="D49" i="115"/>
  <c r="C37" i="115"/>
  <c r="D37" i="115" s="1"/>
  <c r="B38" i="115"/>
  <c r="D36" i="115"/>
  <c r="C50" i="115"/>
  <c r="B51" i="115"/>
  <c r="A29" i="32"/>
  <c r="A28" i="32"/>
  <c r="A34" i="32"/>
  <c r="A33" i="32"/>
  <c r="A38" i="32"/>
  <c r="A23" i="32"/>
  <c r="A24" i="32"/>
  <c r="A39" i="32"/>
  <c r="C52" i="122" l="1"/>
  <c r="B53" i="122"/>
  <c r="C40" i="122"/>
  <c r="D40" i="122" s="1"/>
  <c r="B41" i="122"/>
  <c r="C37" i="121"/>
  <c r="B38" i="121"/>
  <c r="D48" i="121"/>
  <c r="C49" i="121"/>
  <c r="B50" i="121"/>
  <c r="C49" i="120"/>
  <c r="B50" i="120"/>
  <c r="C37" i="120"/>
  <c r="B38" i="120"/>
  <c r="C37" i="119"/>
  <c r="D37" i="119" s="1"/>
  <c r="B38" i="119"/>
  <c r="D36" i="119"/>
  <c r="C49" i="119"/>
  <c r="B50" i="119"/>
  <c r="C37" i="118"/>
  <c r="B38" i="118"/>
  <c r="C49" i="118"/>
  <c r="B50" i="118"/>
  <c r="D36" i="117"/>
  <c r="C37" i="117"/>
  <c r="B38" i="117"/>
  <c r="C49" i="117"/>
  <c r="B50" i="117"/>
  <c r="C49" i="116"/>
  <c r="B50" i="116"/>
  <c r="D50" i="115"/>
  <c r="C38" i="115"/>
  <c r="B39" i="115"/>
  <c r="C51" i="115"/>
  <c r="B52" i="115"/>
  <c r="T1" i="97"/>
  <c r="A1" i="97"/>
  <c r="D52" i="122" l="1"/>
  <c r="B42" i="122"/>
  <c r="C42" i="122" s="1"/>
  <c r="D42" i="122" s="1"/>
  <c r="C41" i="122"/>
  <c r="D41" i="122" s="1"/>
  <c r="B54" i="122"/>
  <c r="C54" i="122" s="1"/>
  <c r="D54" i="122" s="1"/>
  <c r="C53" i="122"/>
  <c r="D53" i="122" s="1"/>
  <c r="D49" i="121"/>
  <c r="D37" i="121"/>
  <c r="C50" i="121"/>
  <c r="D50" i="121" s="1"/>
  <c r="B51" i="121"/>
  <c r="C38" i="121"/>
  <c r="B39" i="121"/>
  <c r="C50" i="120"/>
  <c r="B51" i="120"/>
  <c r="C38" i="120"/>
  <c r="D38" i="120" s="1"/>
  <c r="B39" i="120"/>
  <c r="D50" i="120"/>
  <c r="D49" i="120"/>
  <c r="D37" i="120"/>
  <c r="D49" i="119"/>
  <c r="C38" i="119"/>
  <c r="D38" i="119" s="1"/>
  <c r="B39" i="119"/>
  <c r="C50" i="119"/>
  <c r="B51" i="119"/>
  <c r="D37" i="118"/>
  <c r="C50" i="118"/>
  <c r="B51" i="118"/>
  <c r="D50" i="118"/>
  <c r="D49" i="118"/>
  <c r="C38" i="118"/>
  <c r="B39" i="118"/>
  <c r="C50" i="117"/>
  <c r="D50" i="117" s="1"/>
  <c r="B51" i="117"/>
  <c r="C38" i="117"/>
  <c r="B39" i="117"/>
  <c r="D37" i="117"/>
  <c r="D38" i="117"/>
  <c r="D49" i="117"/>
  <c r="C50" i="116"/>
  <c r="D50" i="116" s="1"/>
  <c r="B51" i="116"/>
  <c r="D49" i="116"/>
  <c r="D51" i="115"/>
  <c r="C39" i="115"/>
  <c r="B40" i="115"/>
  <c r="C52" i="115"/>
  <c r="D52" i="115" s="1"/>
  <c r="B53" i="115"/>
  <c r="D38" i="115"/>
  <c r="C21" i="87"/>
  <c r="C39" i="121" l="1"/>
  <c r="B40" i="121"/>
  <c r="D38" i="121"/>
  <c r="C51" i="121"/>
  <c r="B52" i="121"/>
  <c r="C51" i="120"/>
  <c r="B52" i="120"/>
  <c r="C39" i="120"/>
  <c r="B40" i="120"/>
  <c r="D50" i="119"/>
  <c r="C39" i="119"/>
  <c r="B40" i="119"/>
  <c r="C51" i="119"/>
  <c r="D51" i="119" s="1"/>
  <c r="B52" i="119"/>
  <c r="D39" i="119"/>
  <c r="C39" i="118"/>
  <c r="B40" i="118"/>
  <c r="D38" i="118"/>
  <c r="C51" i="118"/>
  <c r="B52" i="118"/>
  <c r="C39" i="117"/>
  <c r="B40" i="117"/>
  <c r="C51" i="117"/>
  <c r="B52" i="117"/>
  <c r="C51" i="116"/>
  <c r="B52" i="116"/>
  <c r="C53" i="115"/>
  <c r="B54" i="115"/>
  <c r="C54" i="115" s="1"/>
  <c r="C40" i="115"/>
  <c r="B41" i="115"/>
  <c r="D53" i="115"/>
  <c r="D39" i="115"/>
  <c r="D39" i="121" l="1"/>
  <c r="D51" i="121"/>
  <c r="C52" i="121"/>
  <c r="D52" i="121" s="1"/>
  <c r="B53" i="121"/>
  <c r="C40" i="121"/>
  <c r="D40" i="121" s="1"/>
  <c r="B41" i="121"/>
  <c r="D39" i="120"/>
  <c r="D51" i="120"/>
  <c r="C40" i="120"/>
  <c r="D40" i="120" s="1"/>
  <c r="B41" i="120"/>
  <c r="C52" i="120"/>
  <c r="D52" i="120" s="1"/>
  <c r="B53" i="120"/>
  <c r="C40" i="119"/>
  <c r="B41" i="119"/>
  <c r="C52" i="119"/>
  <c r="B53" i="119"/>
  <c r="D51" i="118"/>
  <c r="D39" i="118"/>
  <c r="C40" i="118"/>
  <c r="D40" i="118" s="1"/>
  <c r="B41" i="118"/>
  <c r="C52" i="118"/>
  <c r="B53" i="118"/>
  <c r="C52" i="117"/>
  <c r="D52" i="117" s="1"/>
  <c r="B53" i="117"/>
  <c r="C40" i="117"/>
  <c r="B41" i="117"/>
  <c r="D51" i="117"/>
  <c r="D40" i="117"/>
  <c r="D39" i="117"/>
  <c r="C52" i="116"/>
  <c r="B53" i="116"/>
  <c r="D52" i="116"/>
  <c r="D51" i="116"/>
  <c r="C41" i="115"/>
  <c r="B42" i="115"/>
  <c r="C42" i="115" s="1"/>
  <c r="D41" i="115"/>
  <c r="D54" i="115"/>
  <c r="D40" i="115"/>
  <c r="D42" i="115" l="1"/>
  <c r="C53" i="121"/>
  <c r="D53" i="121" s="1"/>
  <c r="B54" i="121"/>
  <c r="C54" i="121" s="1"/>
  <c r="C41" i="121"/>
  <c r="D41" i="121" s="1"/>
  <c r="B42" i="121"/>
  <c r="C42" i="121" s="1"/>
  <c r="C41" i="120"/>
  <c r="D41" i="120" s="1"/>
  <c r="B42" i="120"/>
  <c r="C42" i="120" s="1"/>
  <c r="D42" i="120" s="1"/>
  <c r="C53" i="120"/>
  <c r="D53" i="120" s="1"/>
  <c r="B54" i="120"/>
  <c r="C54" i="120" s="1"/>
  <c r="C53" i="119"/>
  <c r="D53" i="119" s="1"/>
  <c r="B54" i="119"/>
  <c r="C54" i="119" s="1"/>
  <c r="D54" i="119" s="1"/>
  <c r="D52" i="119"/>
  <c r="C41" i="119"/>
  <c r="D41" i="119" s="1"/>
  <c r="B42" i="119"/>
  <c r="C42" i="119" s="1"/>
  <c r="D40" i="119"/>
  <c r="C53" i="118"/>
  <c r="D53" i="118" s="1"/>
  <c r="B54" i="118"/>
  <c r="C54" i="118" s="1"/>
  <c r="D52" i="118"/>
  <c r="C41" i="118"/>
  <c r="D41" i="118" s="1"/>
  <c r="B42" i="118"/>
  <c r="C42" i="118" s="1"/>
  <c r="C53" i="117"/>
  <c r="B54" i="117"/>
  <c r="C54" i="117" s="1"/>
  <c r="C41" i="117"/>
  <c r="D41" i="117" s="1"/>
  <c r="B42" i="117"/>
  <c r="C42" i="117" s="1"/>
  <c r="C53" i="116"/>
  <c r="D53" i="116" s="1"/>
  <c r="B54" i="116"/>
  <c r="C54" i="116" s="1"/>
  <c r="D54" i="116" s="1"/>
  <c r="C21" i="80"/>
  <c r="D21" i="80" s="1"/>
  <c r="W14" i="12"/>
  <c r="Q14" i="12" s="1"/>
  <c r="M45" i="12" s="1"/>
  <c r="Q15" i="12"/>
  <c r="P15" i="12" s="1"/>
  <c r="O15" i="12" s="1"/>
  <c r="O25" i="12" s="1"/>
  <c r="Q16" i="12"/>
  <c r="P16" i="12" s="1"/>
  <c r="Q17" i="12"/>
  <c r="P17" i="12" s="1"/>
  <c r="P27" i="12" s="1"/>
  <c r="Q18" i="12"/>
  <c r="B22" i="15"/>
  <c r="B23" i="15"/>
  <c r="B24" i="15"/>
  <c r="B25" i="15"/>
  <c r="B26" i="15"/>
  <c r="B27" i="15"/>
  <c r="B28" i="15"/>
  <c r="B29" i="15"/>
  <c r="B30" i="15"/>
  <c r="B31" i="15"/>
  <c r="Q19" i="12"/>
  <c r="B30" i="24"/>
  <c r="C22" i="15"/>
  <c r="C23" i="15"/>
  <c r="P23" i="15" s="1"/>
  <c r="C24" i="15"/>
  <c r="C25" i="15"/>
  <c r="C26" i="15"/>
  <c r="C27" i="15"/>
  <c r="C28" i="15"/>
  <c r="C29" i="15"/>
  <c r="C30" i="15"/>
  <c r="C31" i="15"/>
  <c r="P31" i="15" s="1"/>
  <c r="C30" i="24"/>
  <c r="D22" i="15"/>
  <c r="D23" i="15"/>
  <c r="D24" i="15"/>
  <c r="D25" i="15"/>
  <c r="D26" i="15"/>
  <c r="D27" i="15"/>
  <c r="D28" i="15"/>
  <c r="D29" i="15"/>
  <c r="D30" i="15"/>
  <c r="D31" i="15"/>
  <c r="D30" i="24"/>
  <c r="E22" i="15"/>
  <c r="E23" i="15"/>
  <c r="E24" i="15"/>
  <c r="E25" i="15"/>
  <c r="E26" i="15"/>
  <c r="E27" i="15"/>
  <c r="E28" i="15"/>
  <c r="E29" i="15"/>
  <c r="E30" i="15"/>
  <c r="E31" i="15"/>
  <c r="E30" i="24"/>
  <c r="F22" i="15"/>
  <c r="F23" i="15"/>
  <c r="F24" i="15"/>
  <c r="F25" i="15"/>
  <c r="F26" i="15"/>
  <c r="F27" i="15"/>
  <c r="F28" i="15"/>
  <c r="F29" i="15"/>
  <c r="F30" i="15"/>
  <c r="S30" i="15" s="1"/>
  <c r="F31" i="15"/>
  <c r="F30" i="24"/>
  <c r="G22" i="15"/>
  <c r="G23" i="15"/>
  <c r="G24" i="15"/>
  <c r="G25" i="15"/>
  <c r="G26" i="15"/>
  <c r="G27" i="15"/>
  <c r="G28" i="15"/>
  <c r="G29" i="15"/>
  <c r="G30" i="15"/>
  <c r="G31" i="15"/>
  <c r="G30" i="24"/>
  <c r="H22" i="15"/>
  <c r="H23" i="15"/>
  <c r="H24" i="15"/>
  <c r="U24" i="15" s="1"/>
  <c r="U24" i="18" s="1"/>
  <c r="H25" i="15"/>
  <c r="H26" i="15"/>
  <c r="H27" i="15"/>
  <c r="H28" i="15"/>
  <c r="H29" i="15"/>
  <c r="H30" i="15"/>
  <c r="H31" i="15"/>
  <c r="H30" i="24"/>
  <c r="I22" i="15"/>
  <c r="I23" i="15"/>
  <c r="I24" i="15"/>
  <c r="I25" i="15"/>
  <c r="I26" i="15"/>
  <c r="I27" i="15"/>
  <c r="I28" i="15"/>
  <c r="I29" i="15"/>
  <c r="V29" i="15" s="1"/>
  <c r="I30" i="15"/>
  <c r="I31" i="15"/>
  <c r="I30" i="24"/>
  <c r="J22" i="15"/>
  <c r="J23" i="15"/>
  <c r="J24" i="15"/>
  <c r="J25" i="15"/>
  <c r="J26" i="15"/>
  <c r="J27" i="15"/>
  <c r="J28" i="15"/>
  <c r="J29" i="15"/>
  <c r="J30" i="15"/>
  <c r="J31" i="15"/>
  <c r="J30" i="24"/>
  <c r="K22" i="15"/>
  <c r="K23" i="15"/>
  <c r="X23" i="15" s="1"/>
  <c r="X23" i="18" s="1"/>
  <c r="K24" i="15"/>
  <c r="K25" i="15"/>
  <c r="K26" i="15"/>
  <c r="K27" i="15"/>
  <c r="K28" i="15"/>
  <c r="K29" i="15"/>
  <c r="K30" i="15"/>
  <c r="K31" i="15"/>
  <c r="K30" i="24"/>
  <c r="B31" i="24"/>
  <c r="C31" i="24"/>
  <c r="D31" i="24"/>
  <c r="E31" i="24"/>
  <c r="F31" i="24"/>
  <c r="G31" i="24"/>
  <c r="H31" i="24"/>
  <c r="I31" i="24"/>
  <c r="J31" i="24"/>
  <c r="K31" i="24"/>
  <c r="B32" i="24"/>
  <c r="C32" i="24"/>
  <c r="D32" i="24"/>
  <c r="E32" i="24"/>
  <c r="F32" i="24"/>
  <c r="G32" i="24"/>
  <c r="H32" i="24"/>
  <c r="I32" i="24"/>
  <c r="J32" i="24"/>
  <c r="K32" i="24"/>
  <c r="B33" i="24"/>
  <c r="C33" i="24"/>
  <c r="D33" i="24"/>
  <c r="E33" i="24"/>
  <c r="F33" i="24"/>
  <c r="G33" i="24"/>
  <c r="H33" i="24"/>
  <c r="I33" i="24"/>
  <c r="J33" i="24"/>
  <c r="K33" i="24"/>
  <c r="B34" i="24"/>
  <c r="C34" i="24"/>
  <c r="D34" i="24"/>
  <c r="E34" i="24"/>
  <c r="F34" i="24"/>
  <c r="G34" i="24"/>
  <c r="H34" i="24"/>
  <c r="I34" i="24"/>
  <c r="J34" i="24"/>
  <c r="K34" i="24"/>
  <c r="B35" i="24"/>
  <c r="C35" i="24"/>
  <c r="D35" i="24"/>
  <c r="E35" i="24"/>
  <c r="F35" i="24"/>
  <c r="G35" i="24"/>
  <c r="H35" i="24"/>
  <c r="I35" i="24"/>
  <c r="J35" i="24"/>
  <c r="K35" i="24"/>
  <c r="B36" i="24"/>
  <c r="C36" i="24"/>
  <c r="D36" i="24"/>
  <c r="E36" i="24"/>
  <c r="F36" i="24"/>
  <c r="G36" i="24"/>
  <c r="H36" i="24"/>
  <c r="I36" i="24"/>
  <c r="J36" i="24"/>
  <c r="K36" i="24"/>
  <c r="B37" i="24"/>
  <c r="C37" i="24"/>
  <c r="D37" i="24"/>
  <c r="E37" i="24"/>
  <c r="F37" i="24"/>
  <c r="G37" i="24"/>
  <c r="H37" i="24"/>
  <c r="I37" i="24"/>
  <c r="J37" i="24"/>
  <c r="K37" i="24"/>
  <c r="B38" i="24"/>
  <c r="C38" i="24"/>
  <c r="D38" i="24"/>
  <c r="E38" i="24"/>
  <c r="F38" i="24"/>
  <c r="G38" i="24"/>
  <c r="H38" i="24"/>
  <c r="I38" i="24"/>
  <c r="J38" i="24"/>
  <c r="K38" i="24"/>
  <c r="D45" i="24"/>
  <c r="D58" i="24"/>
  <c r="E45" i="24"/>
  <c r="F45" i="24"/>
  <c r="G45" i="24"/>
  <c r="H45" i="24"/>
  <c r="I45" i="24"/>
  <c r="J45" i="24"/>
  <c r="K45" i="24"/>
  <c r="C46" i="24"/>
  <c r="E46" i="24"/>
  <c r="F46" i="24"/>
  <c r="G46" i="24"/>
  <c r="H46" i="24"/>
  <c r="I46" i="24"/>
  <c r="J46" i="24"/>
  <c r="K46" i="24"/>
  <c r="C47" i="24"/>
  <c r="D47" i="24"/>
  <c r="F47" i="24"/>
  <c r="G47" i="24"/>
  <c r="H47" i="24"/>
  <c r="I47" i="24"/>
  <c r="J47" i="24"/>
  <c r="K47" i="24"/>
  <c r="C48" i="24"/>
  <c r="D48" i="24"/>
  <c r="E48" i="24"/>
  <c r="G48" i="24"/>
  <c r="H48" i="24"/>
  <c r="I48" i="24"/>
  <c r="J48" i="24"/>
  <c r="K48" i="24"/>
  <c r="C49" i="24"/>
  <c r="D49" i="24"/>
  <c r="E49" i="24"/>
  <c r="F49" i="24"/>
  <c r="H49" i="24"/>
  <c r="I49" i="24"/>
  <c r="J49" i="24"/>
  <c r="K49" i="24"/>
  <c r="C50" i="24"/>
  <c r="D50" i="24"/>
  <c r="E50" i="24"/>
  <c r="F50" i="24"/>
  <c r="G50" i="24"/>
  <c r="I50" i="24"/>
  <c r="J50" i="24"/>
  <c r="K50" i="24"/>
  <c r="C51" i="24"/>
  <c r="D51" i="24"/>
  <c r="E51" i="24"/>
  <c r="F51" i="24"/>
  <c r="G51" i="24"/>
  <c r="H51" i="24"/>
  <c r="J51" i="24"/>
  <c r="K51" i="24"/>
  <c r="C52" i="24"/>
  <c r="D52" i="24"/>
  <c r="E52" i="24"/>
  <c r="F52" i="24"/>
  <c r="G52" i="24"/>
  <c r="H52" i="24"/>
  <c r="I52" i="24"/>
  <c r="K52" i="24"/>
  <c r="C53" i="24"/>
  <c r="D53" i="24"/>
  <c r="E53" i="24"/>
  <c r="F53" i="24"/>
  <c r="G53" i="24"/>
  <c r="H53" i="24"/>
  <c r="I53" i="24"/>
  <c r="J53" i="24"/>
  <c r="E58" i="24"/>
  <c r="F58" i="24"/>
  <c r="G58" i="24"/>
  <c r="H58" i="24"/>
  <c r="I58" i="24"/>
  <c r="J58" i="24"/>
  <c r="K58" i="24"/>
  <c r="C59" i="24"/>
  <c r="E59" i="24"/>
  <c r="F59" i="24"/>
  <c r="G59" i="24"/>
  <c r="H59" i="24"/>
  <c r="I59" i="24"/>
  <c r="J59" i="24"/>
  <c r="K59" i="24"/>
  <c r="C60" i="24"/>
  <c r="D60" i="24"/>
  <c r="F60" i="24"/>
  <c r="G60" i="24"/>
  <c r="H60" i="24"/>
  <c r="I60" i="24"/>
  <c r="J60" i="24"/>
  <c r="K60" i="24"/>
  <c r="C61" i="24"/>
  <c r="D61" i="24"/>
  <c r="E61" i="24"/>
  <c r="G61" i="24"/>
  <c r="H61" i="24"/>
  <c r="I61" i="24"/>
  <c r="J61" i="24"/>
  <c r="K61" i="24"/>
  <c r="C62" i="24"/>
  <c r="D62" i="24"/>
  <c r="E62" i="24"/>
  <c r="F62" i="24"/>
  <c r="H62" i="24"/>
  <c r="I62" i="24"/>
  <c r="J62" i="24"/>
  <c r="K62" i="24"/>
  <c r="C63" i="24"/>
  <c r="D63" i="24"/>
  <c r="E63" i="24"/>
  <c r="F63" i="24"/>
  <c r="G63" i="24"/>
  <c r="I63" i="24"/>
  <c r="J63" i="24"/>
  <c r="K63" i="24"/>
  <c r="C64" i="24"/>
  <c r="D64" i="24"/>
  <c r="E64" i="24"/>
  <c r="F64" i="24"/>
  <c r="G64" i="24"/>
  <c r="H64" i="24"/>
  <c r="J64" i="24"/>
  <c r="K64" i="24"/>
  <c r="C65" i="24"/>
  <c r="D65" i="24"/>
  <c r="E65" i="24"/>
  <c r="F65" i="24"/>
  <c r="G65" i="24"/>
  <c r="H65" i="24"/>
  <c r="I65" i="24"/>
  <c r="K65" i="24"/>
  <c r="C66" i="24"/>
  <c r="D66" i="24"/>
  <c r="E66" i="24"/>
  <c r="F66" i="24"/>
  <c r="G66" i="24"/>
  <c r="H66" i="24"/>
  <c r="I66" i="24"/>
  <c r="J66" i="24"/>
  <c r="B19" i="24"/>
  <c r="C19" i="24"/>
  <c r="D19" i="24"/>
  <c r="E19" i="24"/>
  <c r="F19" i="24"/>
  <c r="G19" i="24"/>
  <c r="H19" i="24"/>
  <c r="I19" i="24"/>
  <c r="J19" i="24"/>
  <c r="K19" i="24"/>
  <c r="B20" i="24"/>
  <c r="C20" i="24"/>
  <c r="D20" i="24"/>
  <c r="E20" i="24"/>
  <c r="F20" i="24"/>
  <c r="G20" i="24"/>
  <c r="H20" i="24"/>
  <c r="I20" i="24"/>
  <c r="J20" i="24"/>
  <c r="K20" i="24"/>
  <c r="B21" i="24"/>
  <c r="C21" i="24"/>
  <c r="D21" i="24"/>
  <c r="E21" i="24"/>
  <c r="F21" i="24"/>
  <c r="G21" i="24"/>
  <c r="H21" i="24"/>
  <c r="I21" i="24"/>
  <c r="J21" i="24"/>
  <c r="K21" i="24"/>
  <c r="B22" i="24"/>
  <c r="C22" i="24"/>
  <c r="D22" i="24"/>
  <c r="E22" i="24"/>
  <c r="F22" i="24"/>
  <c r="G22" i="24"/>
  <c r="H22" i="24"/>
  <c r="I22" i="24"/>
  <c r="J22" i="24"/>
  <c r="K22" i="24"/>
  <c r="B23" i="24"/>
  <c r="C23" i="24"/>
  <c r="D23" i="24"/>
  <c r="E23" i="24"/>
  <c r="F23" i="24"/>
  <c r="G23" i="24"/>
  <c r="H23" i="24"/>
  <c r="I23" i="24"/>
  <c r="J23" i="24"/>
  <c r="K23" i="24"/>
  <c r="B24" i="24"/>
  <c r="C24" i="24"/>
  <c r="D24" i="24"/>
  <c r="E24" i="24"/>
  <c r="F24" i="24"/>
  <c r="G24" i="24"/>
  <c r="H24" i="24"/>
  <c r="I24" i="24"/>
  <c r="J24" i="24"/>
  <c r="K24" i="24"/>
  <c r="B25" i="24"/>
  <c r="C25" i="24"/>
  <c r="D25" i="24"/>
  <c r="E25" i="24"/>
  <c r="F25" i="24"/>
  <c r="G25" i="24"/>
  <c r="H25" i="24"/>
  <c r="I25" i="24"/>
  <c r="J25" i="24"/>
  <c r="K25" i="24"/>
  <c r="B26" i="24"/>
  <c r="C26" i="24"/>
  <c r="D26" i="24"/>
  <c r="E26" i="24"/>
  <c r="F26" i="24"/>
  <c r="G26" i="24"/>
  <c r="H26" i="24"/>
  <c r="I26" i="24"/>
  <c r="J26" i="24"/>
  <c r="K26" i="24"/>
  <c r="B29" i="24"/>
  <c r="C29" i="24"/>
  <c r="D29" i="24"/>
  <c r="E29" i="24"/>
  <c r="F29" i="24"/>
  <c r="G29" i="24"/>
  <c r="H29" i="24"/>
  <c r="I29" i="24"/>
  <c r="J29" i="24"/>
  <c r="K29" i="24"/>
  <c r="B27" i="24"/>
  <c r="B27" i="25"/>
  <c r="Y32" i="97" s="1"/>
  <c r="C27" i="24"/>
  <c r="C27" i="25"/>
  <c r="Z32" i="97" s="1"/>
  <c r="D27" i="24"/>
  <c r="D27" i="25"/>
  <c r="AA32" i="97" s="1"/>
  <c r="E27" i="24"/>
  <c r="E27" i="25"/>
  <c r="AB32" i="97" s="1"/>
  <c r="F27" i="24"/>
  <c r="F27" i="25"/>
  <c r="AC32" i="97" s="1"/>
  <c r="G27" i="24"/>
  <c r="G27" i="25"/>
  <c r="AD32" i="97" s="1"/>
  <c r="H27" i="24"/>
  <c r="H27" i="25"/>
  <c r="I27" i="24"/>
  <c r="I27" i="25"/>
  <c r="AF32" i="97" s="1"/>
  <c r="J27" i="24"/>
  <c r="J27" i="25"/>
  <c r="AG32" i="97" s="1"/>
  <c r="K27" i="24"/>
  <c r="K27" i="25"/>
  <c r="AH32" i="97" s="1"/>
  <c r="J33" i="12"/>
  <c r="C1" i="28" s="1"/>
  <c r="C45" i="80"/>
  <c r="B46" i="80"/>
  <c r="B47" i="80" s="1"/>
  <c r="C47" i="80" s="1"/>
  <c r="C45" i="87"/>
  <c r="D45" i="87" s="1"/>
  <c r="B46" i="87"/>
  <c r="C46" i="87" s="1"/>
  <c r="C45" i="88"/>
  <c r="B46" i="88"/>
  <c r="C46" i="88" s="1"/>
  <c r="C45" i="90"/>
  <c r="B46" i="90"/>
  <c r="C46" i="90" s="1"/>
  <c r="C45" i="91"/>
  <c r="D45" i="91" s="1"/>
  <c r="B46" i="91"/>
  <c r="B47" i="91" s="1"/>
  <c r="C47" i="91" s="1"/>
  <c r="C45" i="92"/>
  <c r="B46" i="92"/>
  <c r="B47" i="92" s="1"/>
  <c r="B48" i="92" s="1"/>
  <c r="C45" i="93"/>
  <c r="B46" i="93"/>
  <c r="B47" i="93" s="1"/>
  <c r="C45" i="94"/>
  <c r="B46" i="94"/>
  <c r="B47" i="94" s="1"/>
  <c r="C45" i="96"/>
  <c r="D45" i="96" s="1"/>
  <c r="B46" i="96"/>
  <c r="B48" i="80"/>
  <c r="C48" i="80" s="1"/>
  <c r="H44" i="26"/>
  <c r="H45" i="26"/>
  <c r="B22" i="87"/>
  <c r="C22" i="87" s="1"/>
  <c r="B23" i="87" s="1"/>
  <c r="C23" i="87" s="1"/>
  <c r="C21" i="88"/>
  <c r="C21" i="90"/>
  <c r="C21" i="91"/>
  <c r="C21" i="92"/>
  <c r="C21" i="93"/>
  <c r="B22" i="93" s="1"/>
  <c r="C22" i="93" s="1"/>
  <c r="C21" i="94"/>
  <c r="C21" i="96"/>
  <c r="D22" i="87"/>
  <c r="AF4" i="97"/>
  <c r="AB4" i="97"/>
  <c r="Z4" i="97"/>
  <c r="U4" i="97"/>
  <c r="P4" i="97"/>
  <c r="L4" i="97"/>
  <c r="E4" i="97"/>
  <c r="A42" i="97"/>
  <c r="A43" i="97"/>
  <c r="A39" i="97"/>
  <c r="A40" i="97"/>
  <c r="A41" i="97"/>
  <c r="C40" i="24"/>
  <c r="D45" i="88"/>
  <c r="C33" i="88"/>
  <c r="B34" i="88"/>
  <c r="C34" i="88" s="1"/>
  <c r="C33" i="87"/>
  <c r="B34" i="87"/>
  <c r="C34" i="87" s="1"/>
  <c r="D34" i="87" s="1"/>
  <c r="D33" i="87"/>
  <c r="D21" i="87"/>
  <c r="M25" i="97"/>
  <c r="A41" i="32" s="1"/>
  <c r="M26" i="97"/>
  <c r="A42" i="32" s="1"/>
  <c r="M24" i="97"/>
  <c r="A40" i="32" s="1"/>
  <c r="O23" i="97"/>
  <c r="P23" i="97"/>
  <c r="Q23" i="97"/>
  <c r="R23" i="97"/>
  <c r="S23" i="97"/>
  <c r="T23" i="97"/>
  <c r="U23" i="97"/>
  <c r="V23" i="97"/>
  <c r="N23" i="97"/>
  <c r="M20" i="97"/>
  <c r="A36" i="32" s="1"/>
  <c r="M21" i="97"/>
  <c r="A37" i="32" s="1"/>
  <c r="M19" i="97"/>
  <c r="A35" i="32" s="1"/>
  <c r="O18" i="97"/>
  <c r="C34" i="32" s="1"/>
  <c r="P18" i="97"/>
  <c r="D34" i="32" s="1"/>
  <c r="Q18" i="97"/>
  <c r="E34" i="32" s="1"/>
  <c r="R18" i="97"/>
  <c r="F34" i="32" s="1"/>
  <c r="S18" i="97"/>
  <c r="G34" i="32" s="1"/>
  <c r="T18" i="97"/>
  <c r="H34" i="32" s="1"/>
  <c r="U18" i="97"/>
  <c r="I34" i="32" s="1"/>
  <c r="V18" i="97"/>
  <c r="J34" i="32" s="1"/>
  <c r="N18" i="97"/>
  <c r="B34" i="32" s="1"/>
  <c r="M15" i="97"/>
  <c r="A31" i="32" s="1"/>
  <c r="M16" i="97"/>
  <c r="A32" i="32" s="1"/>
  <c r="M14" i="97"/>
  <c r="A30" i="32" s="1"/>
  <c r="O13" i="97"/>
  <c r="C29" i="32" s="1"/>
  <c r="P13" i="97"/>
  <c r="D29" i="32" s="1"/>
  <c r="Q13" i="97"/>
  <c r="E29" i="32" s="1"/>
  <c r="R13" i="97"/>
  <c r="F29" i="32" s="1"/>
  <c r="S13" i="97"/>
  <c r="G29" i="32" s="1"/>
  <c r="T13" i="97"/>
  <c r="H29" i="32" s="1"/>
  <c r="U13" i="97"/>
  <c r="I29" i="32" s="1"/>
  <c r="V13" i="97"/>
  <c r="J29" i="32" s="1"/>
  <c r="N13" i="97"/>
  <c r="B29" i="32" s="1"/>
  <c r="M9" i="97"/>
  <c r="A25" i="32" s="1"/>
  <c r="M10" i="97"/>
  <c r="A26" i="32" s="1"/>
  <c r="M11" i="97"/>
  <c r="A27" i="32" s="1"/>
  <c r="N7" i="97"/>
  <c r="B24" i="32" s="1"/>
  <c r="O7" i="97"/>
  <c r="C24" i="32" s="1"/>
  <c r="P7" i="97"/>
  <c r="D24" i="32" s="1"/>
  <c r="Q7" i="97"/>
  <c r="E24" i="32" s="1"/>
  <c r="R7" i="97"/>
  <c r="F24" i="32" s="1"/>
  <c r="S7" i="97"/>
  <c r="G24" i="32" s="1"/>
  <c r="T7" i="97"/>
  <c r="H24" i="32" s="1"/>
  <c r="U7" i="97"/>
  <c r="I24" i="32" s="1"/>
  <c r="V7" i="97"/>
  <c r="J24" i="32" s="1"/>
  <c r="B46" i="112"/>
  <c r="C45" i="112"/>
  <c r="C21" i="112"/>
  <c r="B22" i="112" s="1"/>
  <c r="C22" i="112" s="1"/>
  <c r="B34" i="112"/>
  <c r="C34" i="112" s="1"/>
  <c r="C33" i="112"/>
  <c r="D33" i="112" s="1"/>
  <c r="B46" i="111"/>
  <c r="C46" i="111" s="1"/>
  <c r="C45" i="111"/>
  <c r="C21" i="111"/>
  <c r="B34" i="111"/>
  <c r="B35" i="111" s="1"/>
  <c r="C35" i="111" s="1"/>
  <c r="C33" i="111"/>
  <c r="B46" i="110"/>
  <c r="C45" i="110"/>
  <c r="C21" i="110"/>
  <c r="B22" i="110" s="1"/>
  <c r="C22" i="110" s="1"/>
  <c r="B34" i="110"/>
  <c r="B35" i="110" s="1"/>
  <c r="B36" i="110" s="1"/>
  <c r="C33" i="110"/>
  <c r="D33" i="110" s="1"/>
  <c r="B46" i="109"/>
  <c r="C45" i="109"/>
  <c r="C21" i="109"/>
  <c r="B34" i="109"/>
  <c r="B35" i="109" s="1"/>
  <c r="C33" i="109"/>
  <c r="D33" i="109" s="1"/>
  <c r="B46" i="108"/>
  <c r="C45" i="108"/>
  <c r="D45" i="108" s="1"/>
  <c r="C21" i="108"/>
  <c r="B22" i="108" s="1"/>
  <c r="C22" i="108" s="1"/>
  <c r="B34" i="108"/>
  <c r="C34" i="108" s="1"/>
  <c r="C33" i="108"/>
  <c r="D33" i="108" s="1"/>
  <c r="B46" i="107"/>
  <c r="B47" i="107" s="1"/>
  <c r="C45" i="107"/>
  <c r="D45" i="107" s="1"/>
  <c r="C21" i="107"/>
  <c r="D21" i="107" s="1"/>
  <c r="B34" i="107"/>
  <c r="C34" i="107" s="1"/>
  <c r="C33" i="107"/>
  <c r="D33" i="107" s="1"/>
  <c r="B35" i="112"/>
  <c r="C35" i="112" s="1"/>
  <c r="D33" i="111"/>
  <c r="B36" i="111"/>
  <c r="C34" i="111"/>
  <c r="B47" i="109"/>
  <c r="B48" i="109" s="1"/>
  <c r="C46" i="109"/>
  <c r="D45" i="109"/>
  <c r="B46" i="106"/>
  <c r="C45" i="106"/>
  <c r="C21" i="106"/>
  <c r="B22" i="106" s="1"/>
  <c r="C22" i="106" s="1"/>
  <c r="B34" i="106"/>
  <c r="C34" i="106" s="1"/>
  <c r="C33" i="106"/>
  <c r="D33" i="106" s="1"/>
  <c r="B46" i="105"/>
  <c r="C46" i="105" s="1"/>
  <c r="C45" i="105"/>
  <c r="D45" i="105" s="1"/>
  <c r="C21" i="105"/>
  <c r="B34" i="105"/>
  <c r="B35" i="105" s="1"/>
  <c r="C33" i="105"/>
  <c r="B46" i="104"/>
  <c r="C45" i="104"/>
  <c r="C21" i="104"/>
  <c r="B22" i="104" s="1"/>
  <c r="C22" i="104" s="1"/>
  <c r="B34" i="104"/>
  <c r="B35" i="104" s="1"/>
  <c r="C33" i="104"/>
  <c r="D33" i="104" s="1"/>
  <c r="B46" i="103"/>
  <c r="C45" i="103"/>
  <c r="D45" i="103" s="1"/>
  <c r="C21" i="103"/>
  <c r="D21" i="103" s="1"/>
  <c r="B34" i="103"/>
  <c r="C33" i="103"/>
  <c r="B46" i="102"/>
  <c r="B47" i="102" s="1"/>
  <c r="B48" i="102" s="1"/>
  <c r="C45" i="102"/>
  <c r="C21" i="102"/>
  <c r="D21" i="102" s="1"/>
  <c r="B34" i="102"/>
  <c r="C33" i="102"/>
  <c r="B46" i="101"/>
  <c r="B47" i="101" s="1"/>
  <c r="B48" i="101" s="1"/>
  <c r="B49" i="101" s="1"/>
  <c r="C45" i="101"/>
  <c r="D45" i="101" s="1"/>
  <c r="C21" i="101"/>
  <c r="D21" i="101" s="1"/>
  <c r="B34" i="101"/>
  <c r="C33" i="101"/>
  <c r="D33" i="101" s="1"/>
  <c r="B46" i="100"/>
  <c r="C45" i="100"/>
  <c r="D45" i="100" s="1"/>
  <c r="C21" i="100"/>
  <c r="B34" i="100"/>
  <c r="C34" i="100" s="1"/>
  <c r="C33" i="100"/>
  <c r="D21" i="104"/>
  <c r="C46" i="101"/>
  <c r="D46" i="101" s="1"/>
  <c r="D21" i="106"/>
  <c r="D45" i="104"/>
  <c r="D33" i="103"/>
  <c r="B22" i="103"/>
  <c r="C22" i="103" s="1"/>
  <c r="D33" i="102"/>
  <c r="B22" i="100"/>
  <c r="C22" i="100" s="1"/>
  <c r="D33" i="100"/>
  <c r="L27" i="95" s="1"/>
  <c r="D21" i="100"/>
  <c r="B46" i="99"/>
  <c r="C46" i="99" s="1"/>
  <c r="C45" i="99"/>
  <c r="D45" i="99" s="1"/>
  <c r="B46" i="89"/>
  <c r="C46" i="89" s="1"/>
  <c r="C45" i="89"/>
  <c r="D45" i="94"/>
  <c r="D45" i="93"/>
  <c r="D45" i="92"/>
  <c r="D45" i="90"/>
  <c r="C21" i="99"/>
  <c r="C21" i="89"/>
  <c r="B22" i="89" s="1"/>
  <c r="C22" i="89" s="1"/>
  <c r="D21" i="93"/>
  <c r="D21" i="91"/>
  <c r="D21" i="90"/>
  <c r="B34" i="99"/>
  <c r="C34" i="99" s="1"/>
  <c r="C33" i="99"/>
  <c r="D33" i="99" s="1"/>
  <c r="B34" i="89"/>
  <c r="C34" i="89" s="1"/>
  <c r="C33" i="89"/>
  <c r="D33" i="89" s="1"/>
  <c r="B34" i="96"/>
  <c r="C34" i="96" s="1"/>
  <c r="C33" i="96"/>
  <c r="D33" i="96" s="1"/>
  <c r="B34" i="94"/>
  <c r="C33" i="94"/>
  <c r="D33" i="94" s="1"/>
  <c r="B34" i="93"/>
  <c r="C33" i="93"/>
  <c r="D33" i="93" s="1"/>
  <c r="B34" i="92"/>
  <c r="C34" i="92" s="1"/>
  <c r="D34" i="92" s="1"/>
  <c r="C33" i="92"/>
  <c r="D33" i="92" s="1"/>
  <c r="B34" i="91"/>
  <c r="C34" i="91" s="1"/>
  <c r="C33" i="91"/>
  <c r="D33" i="91" s="1"/>
  <c r="B34" i="90"/>
  <c r="C33" i="90"/>
  <c r="D33" i="90" s="1"/>
  <c r="D45" i="80"/>
  <c r="B34" i="80"/>
  <c r="C33" i="80"/>
  <c r="D33" i="80" s="1"/>
  <c r="B47" i="89"/>
  <c r="D34" i="91"/>
  <c r="B49" i="80"/>
  <c r="C49" i="80" s="1"/>
  <c r="B50" i="80"/>
  <c r="C50" i="80" s="1"/>
  <c r="X43" i="97"/>
  <c r="X40" i="97"/>
  <c r="X41" i="97"/>
  <c r="X42" i="97"/>
  <c r="X34" i="97"/>
  <c r="X35" i="97"/>
  <c r="X36" i="97"/>
  <c r="X37" i="97"/>
  <c r="X38" i="97"/>
  <c r="X39" i="97"/>
  <c r="X8" i="97"/>
  <c r="X9" i="97"/>
  <c r="X10" i="97"/>
  <c r="X11" i="97"/>
  <c r="X12" i="97"/>
  <c r="X13" i="97"/>
  <c r="X14" i="97"/>
  <c r="X15" i="97"/>
  <c r="X16" i="97"/>
  <c r="X17" i="97"/>
  <c r="X18" i="97"/>
  <c r="X19" i="97"/>
  <c r="X20" i="97"/>
  <c r="X21" i="97"/>
  <c r="X22" i="97"/>
  <c r="X23" i="97"/>
  <c r="Y23" i="97"/>
  <c r="Z23" i="97"/>
  <c r="AA23" i="97"/>
  <c r="AB23" i="97"/>
  <c r="AC23" i="97"/>
  <c r="AD23" i="97"/>
  <c r="AE23" i="97"/>
  <c r="AF23" i="97"/>
  <c r="AG23" i="97"/>
  <c r="AH23" i="97"/>
  <c r="X24" i="97"/>
  <c r="X25" i="97"/>
  <c r="X26" i="97"/>
  <c r="X27" i="97"/>
  <c r="X28" i="97"/>
  <c r="X29" i="97"/>
  <c r="X30" i="97"/>
  <c r="X31" i="97"/>
  <c r="X32" i="97"/>
  <c r="X33" i="97"/>
  <c r="Y33" i="97"/>
  <c r="Z33" i="97"/>
  <c r="AA33" i="97"/>
  <c r="AB33" i="97"/>
  <c r="AC33" i="97"/>
  <c r="AD33" i="97"/>
  <c r="AE33" i="97"/>
  <c r="AF33" i="97"/>
  <c r="AG33" i="97"/>
  <c r="AH33" i="97"/>
  <c r="AH7" i="97"/>
  <c r="AD7" i="97"/>
  <c r="AE7" i="97"/>
  <c r="AF7" i="97"/>
  <c r="AG7" i="97"/>
  <c r="Y7" i="97"/>
  <c r="Z7" i="97"/>
  <c r="AA7" i="97"/>
  <c r="AB7" i="97"/>
  <c r="AC7" i="97"/>
  <c r="X7" i="97"/>
  <c r="C7" i="97"/>
  <c r="D7" i="97"/>
  <c r="E7" i="97"/>
  <c r="F7" i="97"/>
  <c r="G7" i="97"/>
  <c r="H7" i="97"/>
  <c r="I7" i="97"/>
  <c r="J7" i="97"/>
  <c r="K7" i="97"/>
  <c r="A36" i="97"/>
  <c r="A35" i="97"/>
  <c r="A22" i="97"/>
  <c r="A23" i="97"/>
  <c r="A24" i="97"/>
  <c r="A25" i="97"/>
  <c r="A26" i="97"/>
  <c r="B26" i="97"/>
  <c r="C26" i="97"/>
  <c r="D26" i="97"/>
  <c r="E26" i="97"/>
  <c r="F26" i="97"/>
  <c r="G26" i="97"/>
  <c r="H26" i="97"/>
  <c r="I26" i="97"/>
  <c r="J26" i="97"/>
  <c r="K26" i="97"/>
  <c r="A27" i="97"/>
  <c r="A28" i="97"/>
  <c r="A29" i="97"/>
  <c r="A30" i="97"/>
  <c r="A31" i="97"/>
  <c r="A32" i="97"/>
  <c r="A33" i="97"/>
  <c r="A34" i="97"/>
  <c r="H18" i="97"/>
  <c r="I18" i="97"/>
  <c r="J18" i="97"/>
  <c r="K18" i="97"/>
  <c r="A7" i="97"/>
  <c r="B7" i="97"/>
  <c r="A8" i="97"/>
  <c r="A9" i="97"/>
  <c r="A10" i="97"/>
  <c r="A11" i="97"/>
  <c r="A12" i="97"/>
  <c r="A13" i="97"/>
  <c r="A14" i="97"/>
  <c r="A15" i="97"/>
  <c r="A16" i="97"/>
  <c r="A17" i="97"/>
  <c r="A18" i="97"/>
  <c r="B18" i="97"/>
  <c r="C18" i="97"/>
  <c r="D18" i="97"/>
  <c r="E18" i="97"/>
  <c r="F18" i="97"/>
  <c r="G18" i="97"/>
  <c r="A19" i="97"/>
  <c r="A20" i="97"/>
  <c r="A21" i="97"/>
  <c r="A6" i="97"/>
  <c r="O23" i="15"/>
  <c r="O24" i="15"/>
  <c r="O25" i="15"/>
  <c r="O29" i="15"/>
  <c r="O30" i="15"/>
  <c r="O31" i="15"/>
  <c r="P22" i="15"/>
  <c r="P26" i="15"/>
  <c r="P27" i="15"/>
  <c r="P30" i="15"/>
  <c r="Q23" i="15"/>
  <c r="Q24" i="15"/>
  <c r="Q25" i="15"/>
  <c r="Q29" i="15"/>
  <c r="Q30" i="15"/>
  <c r="Q31" i="15"/>
  <c r="R22" i="15"/>
  <c r="R23" i="15"/>
  <c r="R26" i="15"/>
  <c r="R27" i="15"/>
  <c r="R30" i="15"/>
  <c r="R31" i="15"/>
  <c r="S23" i="15"/>
  <c r="S24" i="15"/>
  <c r="S25" i="15"/>
  <c r="F25" i="18"/>
  <c r="S29" i="15"/>
  <c r="T22" i="15"/>
  <c r="T23" i="15"/>
  <c r="T26" i="15"/>
  <c r="T27" i="15"/>
  <c r="T30" i="15"/>
  <c r="U23" i="15"/>
  <c r="U25" i="15"/>
  <c r="U29" i="15"/>
  <c r="U30" i="15"/>
  <c r="V23" i="15"/>
  <c r="V27" i="15"/>
  <c r="V28" i="15"/>
  <c r="V30" i="15"/>
  <c r="V31" i="15"/>
  <c r="W22" i="15"/>
  <c r="W23" i="15"/>
  <c r="W24" i="15"/>
  <c r="W25" i="15"/>
  <c r="W29" i="15"/>
  <c r="W30" i="15"/>
  <c r="W31" i="15"/>
  <c r="X27" i="15"/>
  <c r="X28" i="15"/>
  <c r="X29" i="15"/>
  <c r="X31" i="15"/>
  <c r="K17" i="33"/>
  <c r="J18" i="33"/>
  <c r="I19" i="33"/>
  <c r="H20" i="33"/>
  <c r="C17" i="33"/>
  <c r="D17" i="33"/>
  <c r="E17" i="33"/>
  <c r="F17" i="33"/>
  <c r="G17" i="33"/>
  <c r="H17" i="33"/>
  <c r="I17" i="33"/>
  <c r="J17" i="33"/>
  <c r="C18" i="33"/>
  <c r="D18" i="33"/>
  <c r="E18" i="33"/>
  <c r="F18" i="33"/>
  <c r="G18" i="33"/>
  <c r="H18" i="33"/>
  <c r="I18" i="33"/>
  <c r="K18" i="33"/>
  <c r="C19" i="33"/>
  <c r="D19" i="33"/>
  <c r="E19" i="33"/>
  <c r="F19" i="33"/>
  <c r="G19" i="33"/>
  <c r="H19" i="33"/>
  <c r="J19" i="33"/>
  <c r="K19" i="33"/>
  <c r="C20" i="33"/>
  <c r="D20" i="33"/>
  <c r="E20" i="33"/>
  <c r="F20" i="33"/>
  <c r="G20" i="33"/>
  <c r="I20" i="33"/>
  <c r="J20" i="33"/>
  <c r="K20" i="33"/>
  <c r="C21" i="33"/>
  <c r="D21" i="33"/>
  <c r="E21" i="33"/>
  <c r="F21" i="33"/>
  <c r="G21" i="33"/>
  <c r="H21" i="33"/>
  <c r="I21" i="33"/>
  <c r="J21" i="33"/>
  <c r="K21" i="33"/>
  <c r="C22" i="33"/>
  <c r="D22" i="33"/>
  <c r="E22" i="33"/>
  <c r="F22" i="33"/>
  <c r="G22" i="33"/>
  <c r="H22" i="33"/>
  <c r="I22" i="33"/>
  <c r="J22" i="33"/>
  <c r="K22" i="33"/>
  <c r="C23" i="33"/>
  <c r="D23" i="33"/>
  <c r="E23" i="33"/>
  <c r="F23" i="33"/>
  <c r="G23" i="33"/>
  <c r="H23" i="33"/>
  <c r="I23" i="33"/>
  <c r="J23" i="33"/>
  <c r="K23" i="33"/>
  <c r="C24" i="33"/>
  <c r="D24" i="33"/>
  <c r="E24" i="33"/>
  <c r="F24" i="33"/>
  <c r="G24" i="33"/>
  <c r="H24" i="33"/>
  <c r="I24" i="33"/>
  <c r="J24" i="33"/>
  <c r="K24" i="33"/>
  <c r="C25" i="33"/>
  <c r="D25" i="33"/>
  <c r="E25" i="33"/>
  <c r="F25" i="33"/>
  <c r="G25" i="33"/>
  <c r="H25" i="33"/>
  <c r="I25" i="33"/>
  <c r="J25" i="33"/>
  <c r="K25" i="33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Y43" i="33"/>
  <c r="Z43" i="33"/>
  <c r="AA43" i="33"/>
  <c r="AB43" i="33"/>
  <c r="L21" i="33"/>
  <c r="G26" i="33"/>
  <c r="L4" i="33"/>
  <c r="L5" i="33"/>
  <c r="L6" i="33"/>
  <c r="L7" i="33"/>
  <c r="L8" i="33"/>
  <c r="L9" i="33"/>
  <c r="L10" i="33"/>
  <c r="L11" i="33"/>
  <c r="L12" i="33"/>
  <c r="L13" i="33"/>
  <c r="L17" i="33"/>
  <c r="L18" i="33"/>
  <c r="L19" i="33"/>
  <c r="L20" i="33"/>
  <c r="L22" i="33"/>
  <c r="L23" i="33"/>
  <c r="L24" i="33"/>
  <c r="L25" i="33"/>
  <c r="L26" i="33"/>
  <c r="C13" i="33"/>
  <c r="D13" i="33"/>
  <c r="E13" i="33"/>
  <c r="F13" i="33"/>
  <c r="G13" i="33"/>
  <c r="H13" i="33"/>
  <c r="I13" i="33"/>
  <c r="J13" i="33"/>
  <c r="K13" i="33"/>
  <c r="C26" i="33"/>
  <c r="D26" i="33"/>
  <c r="E26" i="33"/>
  <c r="F26" i="33"/>
  <c r="H26" i="33"/>
  <c r="I26" i="33"/>
  <c r="J26" i="33"/>
  <c r="K26" i="33"/>
  <c r="S53" i="33"/>
  <c r="T53" i="33"/>
  <c r="U53" i="33"/>
  <c r="X73" i="33"/>
  <c r="Y73" i="33"/>
  <c r="Z73" i="33"/>
  <c r="AA73" i="33"/>
  <c r="AB73" i="33"/>
  <c r="R82" i="33"/>
  <c r="S82" i="33"/>
  <c r="T82" i="33"/>
  <c r="W102" i="33"/>
  <c r="X102" i="33"/>
  <c r="Y102" i="33"/>
  <c r="Z102" i="33"/>
  <c r="AA102" i="33"/>
  <c r="AB102" i="33"/>
  <c r="B2" i="34"/>
  <c r="C2" i="34" s="1"/>
  <c r="Q110" i="33"/>
  <c r="R110" i="33"/>
  <c r="S110" i="33"/>
  <c r="R114" i="33"/>
  <c r="C114" i="33"/>
  <c r="D114" i="33"/>
  <c r="E114" i="33"/>
  <c r="F114" i="33"/>
  <c r="G114" i="33"/>
  <c r="H114" i="33"/>
  <c r="I114" i="33"/>
  <c r="J114" i="33"/>
  <c r="C86" i="33"/>
  <c r="D86" i="33"/>
  <c r="E86" i="33"/>
  <c r="F86" i="33"/>
  <c r="G86" i="33"/>
  <c r="H86" i="33"/>
  <c r="I86" i="33"/>
  <c r="J86" i="33"/>
  <c r="S86" i="33"/>
  <c r="C57" i="33"/>
  <c r="D57" i="33"/>
  <c r="E57" i="33"/>
  <c r="F57" i="33"/>
  <c r="G57" i="33"/>
  <c r="H57" i="33"/>
  <c r="I57" i="33"/>
  <c r="J57" i="33"/>
  <c r="T110" i="33"/>
  <c r="W20" i="12"/>
  <c r="Q20" i="12" s="1"/>
  <c r="Q30" i="12" s="1"/>
  <c r="R24" i="12"/>
  <c r="R25" i="12"/>
  <c r="R26" i="12"/>
  <c r="R27" i="12"/>
  <c r="R28" i="12"/>
  <c r="R29" i="12"/>
  <c r="R30" i="12"/>
  <c r="S24" i="12"/>
  <c r="S25" i="12"/>
  <c r="S26" i="12"/>
  <c r="S31" i="12" s="1"/>
  <c r="S27" i="12"/>
  <c r="S28" i="12"/>
  <c r="S29" i="12"/>
  <c r="S30" i="12"/>
  <c r="T24" i="12"/>
  <c r="T25" i="12"/>
  <c r="T26" i="12"/>
  <c r="T27" i="12"/>
  <c r="T28" i="12"/>
  <c r="T29" i="12"/>
  <c r="T30" i="12"/>
  <c r="U24" i="12"/>
  <c r="U25" i="12"/>
  <c r="U26" i="12"/>
  <c r="U27" i="12"/>
  <c r="U28" i="12"/>
  <c r="U29" i="12"/>
  <c r="U30" i="12"/>
  <c r="V24" i="12"/>
  <c r="V25" i="12"/>
  <c r="V26" i="12"/>
  <c r="V27" i="12"/>
  <c r="V28" i="12"/>
  <c r="V29" i="12"/>
  <c r="V30" i="12"/>
  <c r="W25" i="12"/>
  <c r="W26" i="12"/>
  <c r="W27" i="12"/>
  <c r="W28" i="12"/>
  <c r="W29" i="12"/>
  <c r="I31" i="12"/>
  <c r="J31" i="12"/>
  <c r="K31" i="12"/>
  <c r="L31" i="12"/>
  <c r="C5" i="32"/>
  <c r="B22" i="20"/>
  <c r="B23" i="20"/>
  <c r="B24" i="20"/>
  <c r="B25" i="20"/>
  <c r="B26" i="20"/>
  <c r="B27" i="20"/>
  <c r="B28" i="20"/>
  <c r="B29" i="20"/>
  <c r="B30" i="20"/>
  <c r="B31" i="20"/>
  <c r="C22" i="20"/>
  <c r="D22" i="20"/>
  <c r="E22" i="20"/>
  <c r="R22" i="20" s="1"/>
  <c r="F22" i="20"/>
  <c r="G22" i="20"/>
  <c r="H22" i="20"/>
  <c r="I22" i="20"/>
  <c r="J22" i="20"/>
  <c r="K22" i="20"/>
  <c r="C23" i="20"/>
  <c r="D23" i="20"/>
  <c r="E23" i="20"/>
  <c r="F23" i="20"/>
  <c r="G23" i="20"/>
  <c r="T23" i="20" s="1"/>
  <c r="H23" i="20"/>
  <c r="I23" i="20"/>
  <c r="J23" i="20"/>
  <c r="K23" i="20"/>
  <c r="C24" i="20"/>
  <c r="D24" i="20"/>
  <c r="E24" i="20"/>
  <c r="F24" i="20"/>
  <c r="G24" i="20"/>
  <c r="H24" i="20"/>
  <c r="I24" i="20"/>
  <c r="J24" i="20"/>
  <c r="K24" i="20"/>
  <c r="C25" i="20"/>
  <c r="D25" i="20"/>
  <c r="E25" i="20"/>
  <c r="R25" i="20" s="1"/>
  <c r="F25" i="20"/>
  <c r="G25" i="20"/>
  <c r="H25" i="20"/>
  <c r="I25" i="20"/>
  <c r="J25" i="20"/>
  <c r="K25" i="20"/>
  <c r="C26" i="20"/>
  <c r="D26" i="20"/>
  <c r="E26" i="20"/>
  <c r="F26" i="20"/>
  <c r="G26" i="20"/>
  <c r="H26" i="20"/>
  <c r="I26" i="20"/>
  <c r="J26" i="20"/>
  <c r="K26" i="20"/>
  <c r="X26" i="20" s="1"/>
  <c r="C27" i="20"/>
  <c r="D27" i="20"/>
  <c r="E27" i="20"/>
  <c r="F27" i="20"/>
  <c r="G27" i="20"/>
  <c r="H27" i="20"/>
  <c r="I27" i="20"/>
  <c r="J27" i="20"/>
  <c r="K27" i="20"/>
  <c r="C28" i="20"/>
  <c r="D28" i="20"/>
  <c r="E28" i="20"/>
  <c r="F28" i="20"/>
  <c r="G28" i="20"/>
  <c r="H28" i="20"/>
  <c r="I28" i="20"/>
  <c r="J28" i="20"/>
  <c r="W28" i="20" s="1"/>
  <c r="K28" i="20"/>
  <c r="C29" i="20"/>
  <c r="D29" i="20"/>
  <c r="E29" i="20"/>
  <c r="F29" i="20"/>
  <c r="G29" i="20"/>
  <c r="H29" i="20"/>
  <c r="I29" i="20"/>
  <c r="J29" i="20"/>
  <c r="K29" i="20"/>
  <c r="C30" i="20"/>
  <c r="D30" i="20"/>
  <c r="E30" i="20"/>
  <c r="F30" i="20"/>
  <c r="G30" i="20"/>
  <c r="H30" i="20"/>
  <c r="I30" i="20"/>
  <c r="V30" i="20" s="1"/>
  <c r="J30" i="20"/>
  <c r="K30" i="20"/>
  <c r="C31" i="20"/>
  <c r="D31" i="20"/>
  <c r="E31" i="20"/>
  <c r="F31" i="20"/>
  <c r="G31" i="20"/>
  <c r="T31" i="20" s="1"/>
  <c r="H31" i="20"/>
  <c r="I31" i="20"/>
  <c r="J31" i="20"/>
  <c r="K31" i="20"/>
  <c r="B22" i="18"/>
  <c r="O22" i="18" s="1"/>
  <c r="O22" i="15"/>
  <c r="C22" i="18"/>
  <c r="D22" i="18"/>
  <c r="Q22" i="15"/>
  <c r="Q22" i="18" s="1"/>
  <c r="E22" i="18"/>
  <c r="R22" i="18" s="1"/>
  <c r="F22" i="18"/>
  <c r="S22" i="15"/>
  <c r="S22" i="18" s="1"/>
  <c r="G22" i="18"/>
  <c r="T22" i="18" s="1"/>
  <c r="H22" i="18"/>
  <c r="U22" i="15"/>
  <c r="U22" i="18" s="1"/>
  <c r="I22" i="18"/>
  <c r="V22" i="15"/>
  <c r="V22" i="18" s="1"/>
  <c r="V22" i="20" s="1"/>
  <c r="J22" i="18"/>
  <c r="W22" i="18" s="1"/>
  <c r="K22" i="18"/>
  <c r="X22" i="15"/>
  <c r="X22" i="18" s="1"/>
  <c r="B23" i="18"/>
  <c r="O23" i="18" s="1"/>
  <c r="C23" i="18"/>
  <c r="D23" i="18"/>
  <c r="Q23" i="18" s="1"/>
  <c r="E23" i="18"/>
  <c r="R23" i="18" s="1"/>
  <c r="F23" i="18"/>
  <c r="S23" i="18" s="1"/>
  <c r="G23" i="18"/>
  <c r="T23" i="18" s="1"/>
  <c r="H23" i="18"/>
  <c r="I23" i="18"/>
  <c r="J23" i="18"/>
  <c r="W23" i="18" s="1"/>
  <c r="K23" i="18"/>
  <c r="B24" i="18"/>
  <c r="O24" i="18" s="1"/>
  <c r="C24" i="18"/>
  <c r="P24" i="15"/>
  <c r="P24" i="18" s="1"/>
  <c r="D24" i="18"/>
  <c r="E24" i="18"/>
  <c r="R24" i="15"/>
  <c r="F24" i="18"/>
  <c r="S24" i="18" s="1"/>
  <c r="G24" i="18"/>
  <c r="T24" i="15"/>
  <c r="T24" i="18" s="1"/>
  <c r="H24" i="18"/>
  <c r="I24" i="18"/>
  <c r="V24" i="18" s="1"/>
  <c r="V24" i="15"/>
  <c r="J24" i="18"/>
  <c r="K24" i="18"/>
  <c r="X24" i="15"/>
  <c r="B25" i="18"/>
  <c r="C25" i="18"/>
  <c r="P25" i="15"/>
  <c r="D25" i="18"/>
  <c r="Q25" i="18" s="1"/>
  <c r="E25" i="18"/>
  <c r="R25" i="18" s="1"/>
  <c r="R25" i="15"/>
  <c r="G25" i="18"/>
  <c r="T25" i="15"/>
  <c r="H25" i="18"/>
  <c r="I25" i="18"/>
  <c r="V25" i="15"/>
  <c r="J25" i="18"/>
  <c r="W25" i="18" s="1"/>
  <c r="K25" i="18"/>
  <c r="X25" i="18" s="1"/>
  <c r="X25" i="15"/>
  <c r="B26" i="18"/>
  <c r="O26" i="15"/>
  <c r="C26" i="18"/>
  <c r="P26" i="18" s="1"/>
  <c r="D26" i="18"/>
  <c r="Q26" i="15"/>
  <c r="E26" i="18"/>
  <c r="R26" i="18" s="1"/>
  <c r="F26" i="18"/>
  <c r="S26" i="15"/>
  <c r="G26" i="18"/>
  <c r="T26" i="18" s="1"/>
  <c r="H26" i="18"/>
  <c r="U26" i="15"/>
  <c r="I26" i="18"/>
  <c r="V26" i="15"/>
  <c r="J26" i="18"/>
  <c r="W26" i="18" s="1"/>
  <c r="W26" i="15"/>
  <c r="K26" i="18"/>
  <c r="X26" i="15"/>
  <c r="B27" i="18"/>
  <c r="O27" i="15"/>
  <c r="C27" i="18"/>
  <c r="D27" i="18"/>
  <c r="Q27" i="15"/>
  <c r="Q27" i="18" s="1"/>
  <c r="E27" i="18"/>
  <c r="R27" i="18" s="1"/>
  <c r="F27" i="18"/>
  <c r="S27" i="15"/>
  <c r="S27" i="18" s="1"/>
  <c r="G27" i="18"/>
  <c r="T27" i="18" s="1"/>
  <c r="H27" i="18"/>
  <c r="U27" i="15"/>
  <c r="I27" i="18"/>
  <c r="V27" i="18" s="1"/>
  <c r="J27" i="18"/>
  <c r="W27" i="18" s="1"/>
  <c r="W27" i="15"/>
  <c r="K27" i="18"/>
  <c r="B28" i="18"/>
  <c r="O28" i="15"/>
  <c r="C28" i="18"/>
  <c r="P28" i="15"/>
  <c r="P28" i="18" s="1"/>
  <c r="D28" i="18"/>
  <c r="Q28" i="15"/>
  <c r="Q28" i="18" s="1"/>
  <c r="E28" i="18"/>
  <c r="R28" i="18" s="1"/>
  <c r="R28" i="15"/>
  <c r="F28" i="18"/>
  <c r="S28" i="15"/>
  <c r="S28" i="18" s="1"/>
  <c r="G28" i="18"/>
  <c r="T28" i="15"/>
  <c r="H28" i="18"/>
  <c r="U28" i="15"/>
  <c r="U28" i="18" s="1"/>
  <c r="I28" i="18"/>
  <c r="J28" i="18"/>
  <c r="W28" i="15"/>
  <c r="W28" i="18" s="1"/>
  <c r="K28" i="18"/>
  <c r="X28" i="18" s="1"/>
  <c r="B29" i="18"/>
  <c r="O29" i="18" s="1"/>
  <c r="C29" i="18"/>
  <c r="P29" i="15"/>
  <c r="D29" i="18"/>
  <c r="Q29" i="18" s="1"/>
  <c r="E29" i="18"/>
  <c r="R29" i="18" s="1"/>
  <c r="R29" i="15"/>
  <c r="F29" i="18"/>
  <c r="G29" i="18"/>
  <c r="T29" i="15"/>
  <c r="H29" i="18"/>
  <c r="U29" i="18" s="1"/>
  <c r="I29" i="18"/>
  <c r="V29" i="18" s="1"/>
  <c r="J29" i="18"/>
  <c r="W29" i="18" s="1"/>
  <c r="K29" i="18"/>
  <c r="X29" i="18" s="1"/>
  <c r="B30" i="18"/>
  <c r="C30" i="18"/>
  <c r="P30" i="18" s="1"/>
  <c r="D30" i="18"/>
  <c r="Q30" i="18" s="1"/>
  <c r="E30" i="18"/>
  <c r="F30" i="18"/>
  <c r="G30" i="18"/>
  <c r="T30" i="18" s="1"/>
  <c r="H30" i="18"/>
  <c r="U30" i="18" s="1"/>
  <c r="I30" i="18"/>
  <c r="V30" i="18" s="1"/>
  <c r="J30" i="18"/>
  <c r="K30" i="18"/>
  <c r="X30" i="15"/>
  <c r="B31" i="18"/>
  <c r="O31" i="18" s="1"/>
  <c r="C31" i="18"/>
  <c r="D31" i="18"/>
  <c r="Q31" i="18" s="1"/>
  <c r="E31" i="18"/>
  <c r="R31" i="18" s="1"/>
  <c r="F31" i="18"/>
  <c r="S31" i="18" s="1"/>
  <c r="G31" i="18"/>
  <c r="T31" i="15"/>
  <c r="T31" i="18" s="1"/>
  <c r="H31" i="18"/>
  <c r="I31" i="18"/>
  <c r="V31" i="18" s="1"/>
  <c r="J31" i="18"/>
  <c r="W31" i="18" s="1"/>
  <c r="K31" i="18"/>
  <c r="F43" i="12"/>
  <c r="F42" i="12"/>
  <c r="F41" i="12"/>
  <c r="F40" i="12"/>
  <c r="F39" i="12"/>
  <c r="F38" i="12"/>
  <c r="F37" i="12"/>
  <c r="F36" i="12"/>
  <c r="F35" i="12"/>
  <c r="F34" i="12"/>
  <c r="R21" i="12"/>
  <c r="S21" i="12"/>
  <c r="T21" i="12"/>
  <c r="U21" i="12"/>
  <c r="V21" i="12"/>
  <c r="X21" i="12"/>
  <c r="Y21" i="12"/>
  <c r="Z21" i="12"/>
  <c r="AA21" i="12"/>
  <c r="AB21" i="12"/>
  <c r="AC21" i="12"/>
  <c r="AD21" i="12"/>
  <c r="AE21" i="12"/>
  <c r="AF21" i="12"/>
  <c r="O25" i="18"/>
  <c r="R24" i="18"/>
  <c r="X27" i="18"/>
  <c r="X26" i="18"/>
  <c r="D2" i="34"/>
  <c r="P27" i="18"/>
  <c r="X31" i="18"/>
  <c r="X24" i="18"/>
  <c r="S31" i="15"/>
  <c r="V23" i="18"/>
  <c r="V28" i="18"/>
  <c r="U25" i="18"/>
  <c r="X30" i="18"/>
  <c r="O30" i="18"/>
  <c r="U23" i="18"/>
  <c r="S29" i="18"/>
  <c r="S26" i="18"/>
  <c r="W24" i="18"/>
  <c r="Q24" i="18"/>
  <c r="B47" i="88" l="1"/>
  <c r="C47" i="88" s="1"/>
  <c r="C46" i="91"/>
  <c r="D46" i="91" s="1"/>
  <c r="C46" i="93"/>
  <c r="D34" i="89"/>
  <c r="B22" i="107"/>
  <c r="C22" i="107" s="1"/>
  <c r="D21" i="110"/>
  <c r="D42" i="117"/>
  <c r="D54" i="118"/>
  <c r="D54" i="120"/>
  <c r="D54" i="121"/>
  <c r="D34" i="108"/>
  <c r="T28" i="97"/>
  <c r="H39" i="32"/>
  <c r="O4" i="33"/>
  <c r="B31" i="33" s="1"/>
  <c r="F31" i="33" s="1"/>
  <c r="B47" i="105"/>
  <c r="B48" i="105" s="1"/>
  <c r="C34" i="110"/>
  <c r="D46" i="87"/>
  <c r="D42" i="118"/>
  <c r="D42" i="121"/>
  <c r="S24" i="20"/>
  <c r="R31" i="12"/>
  <c r="C46" i="102"/>
  <c r="B47" i="90"/>
  <c r="S30" i="18"/>
  <c r="S30" i="20" s="1"/>
  <c r="P29" i="18"/>
  <c r="P25" i="18"/>
  <c r="V28" i="20"/>
  <c r="R24" i="20"/>
  <c r="D34" i="111"/>
  <c r="P31" i="18"/>
  <c r="T28" i="18"/>
  <c r="U27" i="18"/>
  <c r="U27" i="20" s="1"/>
  <c r="O27" i="18"/>
  <c r="P23" i="18"/>
  <c r="X25" i="20"/>
  <c r="Q24" i="20"/>
  <c r="S22" i="20"/>
  <c r="B35" i="99"/>
  <c r="C35" i="99" s="1"/>
  <c r="C46" i="92"/>
  <c r="V28" i="97"/>
  <c r="J39" i="32"/>
  <c r="B35" i="108"/>
  <c r="D46" i="109"/>
  <c r="U28" i="97"/>
  <c r="I39" i="32"/>
  <c r="C46" i="94"/>
  <c r="D46" i="94" s="1"/>
  <c r="H21" i="14"/>
  <c r="W21" i="12"/>
  <c r="S23" i="20"/>
  <c r="D42" i="119"/>
  <c r="D53" i="117"/>
  <c r="D54" i="117"/>
  <c r="Q29" i="20"/>
  <c r="O30" i="20"/>
  <c r="T24" i="20"/>
  <c r="O22" i="20"/>
  <c r="B23" i="112"/>
  <c r="C23" i="112" s="1"/>
  <c r="B24" i="112" s="1"/>
  <c r="C24" i="112" s="1"/>
  <c r="B25" i="112" s="1"/>
  <c r="C25" i="112" s="1"/>
  <c r="B26" i="112" s="1"/>
  <c r="C26" i="112" s="1"/>
  <c r="C47" i="93"/>
  <c r="B48" i="93"/>
  <c r="D22" i="100"/>
  <c r="B23" i="100"/>
  <c r="C23" i="100" s="1"/>
  <c r="D46" i="111"/>
  <c r="C48" i="92"/>
  <c r="B49" i="92"/>
  <c r="B23" i="107"/>
  <c r="C23" i="107" s="1"/>
  <c r="D22" i="107"/>
  <c r="B48" i="94"/>
  <c r="C47" i="94"/>
  <c r="R3" i="33"/>
  <c r="B46" i="33" s="1"/>
  <c r="C46" i="33" s="1"/>
  <c r="C53" i="33" s="1"/>
  <c r="K57" i="33" s="1"/>
  <c r="B76" i="33" s="1"/>
  <c r="B35" i="100"/>
  <c r="D21" i="112"/>
  <c r="E39" i="32"/>
  <c r="Q28" i="97"/>
  <c r="U31" i="15"/>
  <c r="U31" i="18" s="1"/>
  <c r="B35" i="91"/>
  <c r="B36" i="112"/>
  <c r="B37" i="112" s="1"/>
  <c r="D39" i="32"/>
  <c r="P28" i="97"/>
  <c r="B35" i="87"/>
  <c r="B36" i="87" s="1"/>
  <c r="O19" i="33"/>
  <c r="B35" i="96"/>
  <c r="C35" i="96" s="1"/>
  <c r="B36" i="99"/>
  <c r="B35" i="106"/>
  <c r="D21" i="108"/>
  <c r="D45" i="111"/>
  <c r="B39" i="32"/>
  <c r="N28" i="97"/>
  <c r="C39" i="32"/>
  <c r="O28" i="97"/>
  <c r="B48" i="91"/>
  <c r="C48" i="91" s="1"/>
  <c r="D48" i="91" s="1"/>
  <c r="C21" i="14"/>
  <c r="C54" i="14" s="1"/>
  <c r="U26" i="18"/>
  <c r="U26" i="20" s="1"/>
  <c r="S29" i="20"/>
  <c r="R30" i="18"/>
  <c r="B35" i="89"/>
  <c r="B36" i="89" s="1"/>
  <c r="C47" i="102"/>
  <c r="V29" i="20"/>
  <c r="P27" i="20"/>
  <c r="O29" i="20"/>
  <c r="Q26" i="18"/>
  <c r="V25" i="18"/>
  <c r="V25" i="20" s="1"/>
  <c r="T30" i="20"/>
  <c r="Q25" i="20"/>
  <c r="R23" i="20"/>
  <c r="T29" i="18"/>
  <c r="Q31" i="20"/>
  <c r="W25" i="20"/>
  <c r="O26" i="18"/>
  <c r="O26" i="20" s="1"/>
  <c r="T25" i="18"/>
  <c r="T25" i="20" s="1"/>
  <c r="X31" i="20"/>
  <c r="P31" i="20"/>
  <c r="Q30" i="20"/>
  <c r="R29" i="20"/>
  <c r="S28" i="20"/>
  <c r="T27" i="20"/>
  <c r="W24" i="20"/>
  <c r="X23" i="20"/>
  <c r="P23" i="20"/>
  <c r="Q22" i="20"/>
  <c r="R6" i="33"/>
  <c r="B49" i="33" s="1"/>
  <c r="M49" i="33" s="1"/>
  <c r="O17" i="33"/>
  <c r="D21" i="89"/>
  <c r="B47" i="111"/>
  <c r="B48" i="88"/>
  <c r="B47" i="87"/>
  <c r="U30" i="20"/>
  <c r="X27" i="20"/>
  <c r="Q26" i="20"/>
  <c r="U22" i="20"/>
  <c r="T22" i="20"/>
  <c r="R31" i="20"/>
  <c r="U28" i="20"/>
  <c r="W26" i="20"/>
  <c r="O28" i="18"/>
  <c r="O28" i="20" s="1"/>
  <c r="W31" i="20"/>
  <c r="X30" i="20"/>
  <c r="P30" i="20"/>
  <c r="R28" i="20"/>
  <c r="S27" i="20"/>
  <c r="T26" i="20"/>
  <c r="U25" i="20"/>
  <c r="V24" i="20"/>
  <c r="W23" i="20"/>
  <c r="X22" i="20"/>
  <c r="O24" i="20"/>
  <c r="W30" i="18"/>
  <c r="W30" i="20" s="1"/>
  <c r="B35" i="88"/>
  <c r="C35" i="88" s="1"/>
  <c r="D35" i="88" s="1"/>
  <c r="V26" i="18"/>
  <c r="S31" i="20"/>
  <c r="U29" i="20"/>
  <c r="W27" i="20"/>
  <c r="P26" i="20"/>
  <c r="T29" i="20"/>
  <c r="V27" i="20"/>
  <c r="P25" i="20"/>
  <c r="R30" i="20"/>
  <c r="T28" i="20"/>
  <c r="V26" i="20"/>
  <c r="X24" i="20"/>
  <c r="P24" i="20"/>
  <c r="Q23" i="20"/>
  <c r="V31" i="20"/>
  <c r="X29" i="20"/>
  <c r="P29" i="20"/>
  <c r="Q28" i="20"/>
  <c r="R27" i="20"/>
  <c r="S26" i="20"/>
  <c r="U24" i="20"/>
  <c r="V23" i="20"/>
  <c r="W22" i="20"/>
  <c r="O31" i="20"/>
  <c r="V31" i="12"/>
  <c r="U31" i="12"/>
  <c r="T31" i="12"/>
  <c r="O3" i="33"/>
  <c r="B30" i="33" s="1"/>
  <c r="E30" i="33" s="1"/>
  <c r="S25" i="18"/>
  <c r="S25" i="20" s="1"/>
  <c r="G39" i="32"/>
  <c r="S28" i="97"/>
  <c r="D46" i="90"/>
  <c r="U31" i="20"/>
  <c r="W29" i="20"/>
  <c r="X28" i="20"/>
  <c r="P28" i="20"/>
  <c r="Q27" i="20"/>
  <c r="R26" i="20"/>
  <c r="U23" i="20"/>
  <c r="F39" i="32"/>
  <c r="R28" i="97"/>
  <c r="D47" i="93"/>
  <c r="D21" i="14"/>
  <c r="D54" i="14" s="1"/>
  <c r="O15" i="33"/>
  <c r="B42" i="33" s="1"/>
  <c r="O42" i="33" s="1"/>
  <c r="W30" i="12"/>
  <c r="R11" i="33"/>
  <c r="R10" i="33"/>
  <c r="O13" i="33"/>
  <c r="B40" i="33" s="1"/>
  <c r="S40" i="33" s="1"/>
  <c r="R4" i="33"/>
  <c r="B47" i="33" s="1"/>
  <c r="K47" i="33" s="1"/>
  <c r="I27" i="26"/>
  <c r="I26" i="29" s="1"/>
  <c r="O14" i="33"/>
  <c r="B41" i="33" s="1"/>
  <c r="P41" i="33" s="1"/>
  <c r="R8" i="33"/>
  <c r="B51" i="33" s="1"/>
  <c r="J51" i="33" s="1"/>
  <c r="W24" i="12"/>
  <c r="W31" i="12" s="1"/>
  <c r="O5" i="33"/>
  <c r="B32" i="33" s="1"/>
  <c r="G32" i="33" s="1"/>
  <c r="F27" i="26"/>
  <c r="F26" i="29" s="1"/>
  <c r="D27" i="26"/>
  <c r="D26" i="29" s="1"/>
  <c r="M38" i="24"/>
  <c r="O10" i="33"/>
  <c r="B37" i="33" s="1"/>
  <c r="R37" i="33" s="1"/>
  <c r="C71" i="24"/>
  <c r="E71" i="24" s="1"/>
  <c r="D31" i="33"/>
  <c r="K27" i="26"/>
  <c r="K26" i="29" s="1"/>
  <c r="M31" i="33"/>
  <c r="R12" i="33"/>
  <c r="O9" i="33"/>
  <c r="B36" i="33" s="1"/>
  <c r="L36" i="33" s="1"/>
  <c r="O11" i="33"/>
  <c r="B38" i="33" s="1"/>
  <c r="P38" i="33" s="1"/>
  <c r="G27" i="26"/>
  <c r="G26" i="29" s="1"/>
  <c r="E27" i="26"/>
  <c r="E26" i="29" s="1"/>
  <c r="C27" i="26"/>
  <c r="C26" i="29" s="1"/>
  <c r="M27" i="24"/>
  <c r="Q25" i="12"/>
  <c r="F44" i="12"/>
  <c r="C85" i="24"/>
  <c r="E85" i="24" s="1"/>
  <c r="C84" i="24"/>
  <c r="E84" i="24" s="1"/>
  <c r="Q26" i="12"/>
  <c r="H31" i="33"/>
  <c r="K31" i="33"/>
  <c r="N45" i="12"/>
  <c r="O45" i="12" s="1"/>
  <c r="Q21" i="12"/>
  <c r="C2" i="28"/>
  <c r="C3" i="28" s="1"/>
  <c r="H41" i="26" s="1"/>
  <c r="L31" i="33"/>
  <c r="J31" i="33"/>
  <c r="I31" i="33"/>
  <c r="G31" i="33"/>
  <c r="E31" i="33"/>
  <c r="J27" i="26"/>
  <c r="J26" i="29" s="1"/>
  <c r="H27" i="26"/>
  <c r="H26" i="29" s="1"/>
  <c r="O25" i="20"/>
  <c r="O27" i="20"/>
  <c r="I47" i="33"/>
  <c r="H47" i="33"/>
  <c r="E47" i="33"/>
  <c r="O23" i="20"/>
  <c r="C34" i="90"/>
  <c r="B35" i="90"/>
  <c r="C35" i="87"/>
  <c r="B22" i="88"/>
  <c r="C22" i="88" s="1"/>
  <c r="B23" i="88" s="1"/>
  <c r="C23" i="88" s="1"/>
  <c r="B24" i="88" s="1"/>
  <c r="C24" i="88" s="1"/>
  <c r="B25" i="88" s="1"/>
  <c r="C25" i="88" s="1"/>
  <c r="B26" i="88" s="1"/>
  <c r="C26" i="88" s="1"/>
  <c r="B27" i="88" s="1"/>
  <c r="C27" i="88" s="1"/>
  <c r="B28" i="88" s="1"/>
  <c r="C28" i="88" s="1"/>
  <c r="B29" i="88" s="1"/>
  <c r="C29" i="88" s="1"/>
  <c r="B30" i="88" s="1"/>
  <c r="C30" i="88" s="1"/>
  <c r="D21" i="88"/>
  <c r="P20" i="12"/>
  <c r="P22" i="18"/>
  <c r="P22" i="20" s="1"/>
  <c r="D23" i="100"/>
  <c r="D35" i="96"/>
  <c r="D34" i="96"/>
  <c r="B23" i="106"/>
  <c r="C23" i="106" s="1"/>
  <c r="B24" i="106" s="1"/>
  <c r="C24" i="106" s="1"/>
  <c r="B25" i="106" s="1"/>
  <c r="C25" i="106" s="1"/>
  <c r="B26" i="106" s="1"/>
  <c r="C26" i="106" s="1"/>
  <c r="B27" i="106" s="1"/>
  <c r="C27" i="106" s="1"/>
  <c r="B28" i="106" s="1"/>
  <c r="C28" i="106" s="1"/>
  <c r="B29" i="106" s="1"/>
  <c r="C29" i="106" s="1"/>
  <c r="B30" i="106" s="1"/>
  <c r="C30" i="106" s="1"/>
  <c r="D22" i="106"/>
  <c r="B22" i="94"/>
  <c r="C22" i="94" s="1"/>
  <c r="D21" i="94"/>
  <c r="D21" i="109"/>
  <c r="B22" i="109"/>
  <c r="C22" i="109" s="1"/>
  <c r="D22" i="109" s="1"/>
  <c r="C46" i="110"/>
  <c r="B47" i="110"/>
  <c r="C47" i="110" s="1"/>
  <c r="D47" i="110" s="1"/>
  <c r="R9" i="33"/>
  <c r="B52" i="33" s="1"/>
  <c r="R5" i="33"/>
  <c r="R7" i="33"/>
  <c r="B50" i="33" s="1"/>
  <c r="O7" i="33"/>
  <c r="B34" i="33" s="1"/>
  <c r="D21" i="99"/>
  <c r="B22" i="99"/>
  <c r="C22" i="99" s="1"/>
  <c r="O18" i="33"/>
  <c r="O12" i="33"/>
  <c r="B39" i="33" s="1"/>
  <c r="O16" i="33"/>
  <c r="O8" i="33"/>
  <c r="B35" i="33" s="1"/>
  <c r="O6" i="33"/>
  <c r="B37" i="99"/>
  <c r="C36" i="99"/>
  <c r="B35" i="93"/>
  <c r="C34" i="93"/>
  <c r="C46" i="100"/>
  <c r="B47" i="100"/>
  <c r="B35" i="102"/>
  <c r="C34" i="102"/>
  <c r="D34" i="102" s="1"/>
  <c r="C46" i="103"/>
  <c r="B47" i="103"/>
  <c r="B22" i="105"/>
  <c r="C22" i="105" s="1"/>
  <c r="B23" i="105" s="1"/>
  <c r="C23" i="105" s="1"/>
  <c r="B24" i="105" s="1"/>
  <c r="C24" i="105" s="1"/>
  <c r="B25" i="105" s="1"/>
  <c r="C25" i="105" s="1"/>
  <c r="B26" i="105" s="1"/>
  <c r="C26" i="105" s="1"/>
  <c r="B27" i="105" s="1"/>
  <c r="C27" i="105" s="1"/>
  <c r="B28" i="105" s="1"/>
  <c r="C28" i="105" s="1"/>
  <c r="B29" i="105" s="1"/>
  <c r="C29" i="105" s="1"/>
  <c r="B30" i="105" s="1"/>
  <c r="C30" i="105" s="1"/>
  <c r="D21" i="105"/>
  <c r="B47" i="106"/>
  <c r="C47" i="106" s="1"/>
  <c r="C46" i="106"/>
  <c r="B49" i="109"/>
  <c r="C48" i="109"/>
  <c r="C35" i="108"/>
  <c r="B36" i="108"/>
  <c r="B23" i="93"/>
  <c r="C23" i="93" s="1"/>
  <c r="B24" i="93" s="1"/>
  <c r="C24" i="93" s="1"/>
  <c r="B25" i="93" s="1"/>
  <c r="C25" i="93" s="1"/>
  <c r="B26" i="93" s="1"/>
  <c r="C26" i="93" s="1"/>
  <c r="B27" i="93" s="1"/>
  <c r="C27" i="93" s="1"/>
  <c r="B28" i="93" s="1"/>
  <c r="C28" i="93" s="1"/>
  <c r="B29" i="93" s="1"/>
  <c r="C29" i="93" s="1"/>
  <c r="B30" i="93" s="1"/>
  <c r="C30" i="93" s="1"/>
  <c r="B35" i="92"/>
  <c r="C34" i="94"/>
  <c r="B35" i="94"/>
  <c r="D22" i="112"/>
  <c r="C47" i="101"/>
  <c r="C34" i="101"/>
  <c r="D34" i="101" s="1"/>
  <c r="B35" i="101"/>
  <c r="D34" i="110"/>
  <c r="D45" i="112"/>
  <c r="B36" i="88"/>
  <c r="D22" i="93"/>
  <c r="B37" i="111"/>
  <c r="C36" i="111"/>
  <c r="B23" i="108"/>
  <c r="C23" i="108" s="1"/>
  <c r="D22" i="108"/>
  <c r="B22" i="111"/>
  <c r="C22" i="111" s="1"/>
  <c r="D21" i="111"/>
  <c r="B47" i="112"/>
  <c r="C46" i="112"/>
  <c r="B22" i="92"/>
  <c r="C22" i="92" s="1"/>
  <c r="D22" i="92" s="1"/>
  <c r="D21" i="92"/>
  <c r="B47" i="96"/>
  <c r="C46" i="96"/>
  <c r="H3" i="24"/>
  <c r="C76" i="24"/>
  <c r="C73" i="24"/>
  <c r="C78" i="24"/>
  <c r="C80" i="24"/>
  <c r="C81" i="24"/>
  <c r="C77" i="24"/>
  <c r="C82" i="24"/>
  <c r="C83" i="24"/>
  <c r="C74" i="24"/>
  <c r="C75" i="24"/>
  <c r="C79" i="24"/>
  <c r="AE32" i="97"/>
  <c r="C47" i="109"/>
  <c r="D34" i="88"/>
  <c r="D33" i="88"/>
  <c r="D46" i="93"/>
  <c r="B48" i="89"/>
  <c r="C47" i="89"/>
  <c r="B35" i="80"/>
  <c r="C34" i="80"/>
  <c r="B23" i="89"/>
  <c r="C23" i="89" s="1"/>
  <c r="D23" i="89" s="1"/>
  <c r="D22" i="89"/>
  <c r="B35" i="103"/>
  <c r="C35" i="103" s="1"/>
  <c r="C34" i="103"/>
  <c r="D34" i="103" s="1"/>
  <c r="C46" i="104"/>
  <c r="B47" i="104"/>
  <c r="B48" i="104" s="1"/>
  <c r="B49" i="104" s="1"/>
  <c r="B23" i="110"/>
  <c r="C23" i="110" s="1"/>
  <c r="D22" i="110"/>
  <c r="B47" i="108"/>
  <c r="C46" i="108"/>
  <c r="D46" i="88"/>
  <c r="D47" i="88"/>
  <c r="C17" i="24"/>
  <c r="E17" i="24"/>
  <c r="G17" i="24"/>
  <c r="I17" i="24"/>
  <c r="K17" i="24"/>
  <c r="B17" i="24"/>
  <c r="D17" i="24"/>
  <c r="F17" i="24"/>
  <c r="H17" i="24"/>
  <c r="J17" i="24"/>
  <c r="B51" i="80"/>
  <c r="B36" i="96"/>
  <c r="D45" i="89"/>
  <c r="D46" i="89"/>
  <c r="D34" i="112"/>
  <c r="B23" i="103"/>
  <c r="C23" i="103" s="1"/>
  <c r="D22" i="103"/>
  <c r="D45" i="106"/>
  <c r="D46" i="106"/>
  <c r="B36" i="109"/>
  <c r="C35" i="109"/>
  <c r="D46" i="110"/>
  <c r="B22" i="96"/>
  <c r="C22" i="96" s="1"/>
  <c r="D21" i="96"/>
  <c r="B22" i="90"/>
  <c r="C22" i="90" s="1"/>
  <c r="C48" i="88"/>
  <c r="B49" i="88"/>
  <c r="C46" i="80"/>
  <c r="D47" i="80" s="1"/>
  <c r="D46" i="92"/>
  <c r="D23" i="93"/>
  <c r="B47" i="99"/>
  <c r="D46" i="102"/>
  <c r="B27" i="26"/>
  <c r="C34" i="109"/>
  <c r="B22" i="91"/>
  <c r="C22" i="91" s="1"/>
  <c r="C47" i="92"/>
  <c r="D47" i="91"/>
  <c r="D46" i="104"/>
  <c r="H54" i="14"/>
  <c r="C72" i="24"/>
  <c r="I21" i="14"/>
  <c r="J21" i="14"/>
  <c r="K21" i="14"/>
  <c r="E21" i="14"/>
  <c r="F21" i="14"/>
  <c r="G21" i="14"/>
  <c r="P26" i="12"/>
  <c r="O16" i="12"/>
  <c r="O17" i="12"/>
  <c r="P19" i="12"/>
  <c r="Q29" i="12"/>
  <c r="P18" i="12"/>
  <c r="Q28" i="12"/>
  <c r="B21" i="14"/>
  <c r="N15" i="12"/>
  <c r="P14" i="12"/>
  <c r="Q24" i="12"/>
  <c r="P25" i="12"/>
  <c r="B22" i="80"/>
  <c r="C22" i="80" s="1"/>
  <c r="D22" i="80" s="1"/>
  <c r="Q27" i="12"/>
  <c r="D35" i="112"/>
  <c r="D36" i="111"/>
  <c r="D35" i="111"/>
  <c r="B37" i="110"/>
  <c r="C36" i="110"/>
  <c r="C35" i="110"/>
  <c r="D45" i="110"/>
  <c r="D34" i="100"/>
  <c r="L28" i="95" s="1"/>
  <c r="C49" i="101"/>
  <c r="B50" i="101"/>
  <c r="C48" i="101"/>
  <c r="D49" i="101" s="1"/>
  <c r="B22" i="101"/>
  <c r="C22" i="101" s="1"/>
  <c r="D22" i="101" s="1"/>
  <c r="D47" i="101"/>
  <c r="C35" i="102"/>
  <c r="D35" i="102" s="1"/>
  <c r="B36" i="102"/>
  <c r="B49" i="102"/>
  <c r="C48" i="102"/>
  <c r="D48" i="102" s="1"/>
  <c r="D45" i="102"/>
  <c r="B22" i="102"/>
  <c r="C22" i="102" s="1"/>
  <c r="D22" i="102" s="1"/>
  <c r="D47" i="102"/>
  <c r="B36" i="103"/>
  <c r="C35" i="104"/>
  <c r="B36" i="104"/>
  <c r="B23" i="104"/>
  <c r="C23" i="104" s="1"/>
  <c r="B24" i="104" s="1"/>
  <c r="C24" i="104" s="1"/>
  <c r="B25" i="104" s="1"/>
  <c r="C25" i="104" s="1"/>
  <c r="B26" i="104" s="1"/>
  <c r="C26" i="104" s="1"/>
  <c r="B27" i="104" s="1"/>
  <c r="C27" i="104" s="1"/>
  <c r="B28" i="104" s="1"/>
  <c r="C28" i="104" s="1"/>
  <c r="B29" i="104" s="1"/>
  <c r="C29" i="104" s="1"/>
  <c r="B30" i="104" s="1"/>
  <c r="C30" i="104" s="1"/>
  <c r="D22" i="104"/>
  <c r="C34" i="104"/>
  <c r="B49" i="105"/>
  <c r="C48" i="105"/>
  <c r="D46" i="105"/>
  <c r="C35" i="105"/>
  <c r="B36" i="105"/>
  <c r="D28" i="105"/>
  <c r="D27" i="105"/>
  <c r="D26" i="105"/>
  <c r="C47" i="105"/>
  <c r="D47" i="105" s="1"/>
  <c r="D33" i="105"/>
  <c r="C34" i="105"/>
  <c r="D30" i="105"/>
  <c r="D29" i="105"/>
  <c r="D25" i="105"/>
  <c r="D24" i="105"/>
  <c r="D23" i="105"/>
  <c r="D22" i="105"/>
  <c r="D34" i="106"/>
  <c r="C36" i="109"/>
  <c r="B37" i="109"/>
  <c r="B24" i="107"/>
  <c r="C24" i="107" s="1"/>
  <c r="B25" i="107" s="1"/>
  <c r="C25" i="107" s="1"/>
  <c r="B26" i="107" s="1"/>
  <c r="C26" i="107" s="1"/>
  <c r="B27" i="107" s="1"/>
  <c r="C27" i="107" s="1"/>
  <c r="B28" i="107" s="1"/>
  <c r="C28" i="107" s="1"/>
  <c r="B29" i="107" s="1"/>
  <c r="C29" i="107" s="1"/>
  <c r="B30" i="107" s="1"/>
  <c r="C30" i="107" s="1"/>
  <c r="B48" i="107"/>
  <c r="C47" i="107"/>
  <c r="B35" i="107"/>
  <c r="C46" i="107"/>
  <c r="D34" i="107"/>
  <c r="D23" i="107"/>
  <c r="B23" i="99"/>
  <c r="C23" i="99" s="1"/>
  <c r="B24" i="99" s="1"/>
  <c r="C24" i="99" s="1"/>
  <c r="B25" i="99" s="1"/>
  <c r="C25" i="99" s="1"/>
  <c r="B26" i="99" s="1"/>
  <c r="C26" i="99" s="1"/>
  <c r="B27" i="99" s="1"/>
  <c r="C27" i="99" s="1"/>
  <c r="B28" i="99" s="1"/>
  <c r="C28" i="99" s="1"/>
  <c r="B29" i="99" s="1"/>
  <c r="C29" i="99" s="1"/>
  <c r="B30" i="99" s="1"/>
  <c r="C30" i="99" s="1"/>
  <c r="D22" i="99"/>
  <c r="D46" i="99"/>
  <c r="D35" i="99"/>
  <c r="D34" i="99"/>
  <c r="D36" i="99"/>
  <c r="D23" i="87"/>
  <c r="B24" i="87"/>
  <c r="C24" i="87" s="1"/>
  <c r="B25" i="87" s="1"/>
  <c r="C25" i="87" s="1"/>
  <c r="B26" i="87" s="1"/>
  <c r="C26" i="87" s="1"/>
  <c r="B27" i="87" s="1"/>
  <c r="C27" i="87" s="1"/>
  <c r="B28" i="87" s="1"/>
  <c r="C28" i="87" s="1"/>
  <c r="B29" i="87" s="1"/>
  <c r="C29" i="87" s="1"/>
  <c r="B30" i="87" s="1"/>
  <c r="C30" i="87" s="1"/>
  <c r="F47" i="33" l="1"/>
  <c r="M47" i="33"/>
  <c r="K49" i="33"/>
  <c r="D47" i="33"/>
  <c r="G47" i="33"/>
  <c r="N49" i="33"/>
  <c r="J47" i="33"/>
  <c r="L47" i="33"/>
  <c r="B49" i="91"/>
  <c r="D29" i="93"/>
  <c r="D27" i="93"/>
  <c r="D24" i="106"/>
  <c r="D25" i="112"/>
  <c r="D24" i="112"/>
  <c r="L32" i="33"/>
  <c r="J32" i="33"/>
  <c r="Q51" i="33"/>
  <c r="N36" i="33"/>
  <c r="C37" i="112"/>
  <c r="B38" i="112"/>
  <c r="B39" i="112" s="1"/>
  <c r="C48" i="104"/>
  <c r="D48" i="104" s="1"/>
  <c r="C36" i="112"/>
  <c r="D36" i="112" s="1"/>
  <c r="B24" i="100"/>
  <c r="C24" i="100" s="1"/>
  <c r="D24" i="100" s="1"/>
  <c r="C47" i="90"/>
  <c r="B48" i="90"/>
  <c r="C47" i="104"/>
  <c r="I46" i="33"/>
  <c r="D23" i="112"/>
  <c r="D46" i="80"/>
  <c r="D27" i="88"/>
  <c r="J46" i="33"/>
  <c r="E32" i="33"/>
  <c r="E43" i="33" s="1"/>
  <c r="E56" i="33" s="1"/>
  <c r="K32" i="33"/>
  <c r="N37" i="33"/>
  <c r="N32" i="33"/>
  <c r="F32" i="33"/>
  <c r="I32" i="33"/>
  <c r="L37" i="33"/>
  <c r="H46" i="33"/>
  <c r="F46" i="33"/>
  <c r="E46" i="33"/>
  <c r="D46" i="33"/>
  <c r="K46" i="33"/>
  <c r="L46" i="33"/>
  <c r="G46" i="33"/>
  <c r="O41" i="33"/>
  <c r="K37" i="33"/>
  <c r="M32" i="33"/>
  <c r="L49" i="33"/>
  <c r="H49" i="33"/>
  <c r="I49" i="33"/>
  <c r="F49" i="33"/>
  <c r="G49" i="33"/>
  <c r="O49" i="33"/>
  <c r="L51" i="33"/>
  <c r="I51" i="33"/>
  <c r="M38" i="33"/>
  <c r="J49" i="33"/>
  <c r="K51" i="33"/>
  <c r="J3" i="24"/>
  <c r="C35" i="89"/>
  <c r="D35" i="89" s="1"/>
  <c r="U41" i="33"/>
  <c r="B48" i="106"/>
  <c r="D29" i="99"/>
  <c r="K3" i="24"/>
  <c r="T41" i="33"/>
  <c r="C35" i="100"/>
  <c r="B36" i="100"/>
  <c r="F16" i="24"/>
  <c r="I3" i="24"/>
  <c r="D48" i="92"/>
  <c r="Q41" i="33"/>
  <c r="L38" i="33"/>
  <c r="H30" i="33"/>
  <c r="D30" i="33"/>
  <c r="D43" i="33" s="1"/>
  <c r="D56" i="33" s="1"/>
  <c r="B62" i="33" s="1"/>
  <c r="E62" i="33" s="1"/>
  <c r="N41" i="33"/>
  <c r="C30" i="33"/>
  <c r="C43" i="33" s="1"/>
  <c r="C56" i="33" s="1"/>
  <c r="B61" i="33" s="1"/>
  <c r="C61" i="33" s="1"/>
  <c r="C73" i="33" s="1"/>
  <c r="C85" i="33" s="1"/>
  <c r="B91" i="33" s="1"/>
  <c r="G91" i="33" s="1"/>
  <c r="D47" i="94"/>
  <c r="G3" i="24"/>
  <c r="F30" i="33"/>
  <c r="J30" i="33"/>
  <c r="B3" i="24"/>
  <c r="E3" i="24"/>
  <c r="G30" i="33"/>
  <c r="L30" i="33"/>
  <c r="K30" i="33"/>
  <c r="C48" i="94"/>
  <c r="D48" i="94" s="1"/>
  <c r="B49" i="94"/>
  <c r="C48" i="93"/>
  <c r="D48" i="93" s="1"/>
  <c r="B49" i="93"/>
  <c r="S41" i="33"/>
  <c r="I30" i="33"/>
  <c r="C35" i="106"/>
  <c r="B36" i="106"/>
  <c r="C35" i="91"/>
  <c r="B36" i="91"/>
  <c r="D3" i="24"/>
  <c r="C3" i="24"/>
  <c r="Q38" i="33"/>
  <c r="W41" i="33"/>
  <c r="Q36" i="33"/>
  <c r="B48" i="111"/>
  <c r="C47" i="111"/>
  <c r="B48" i="87"/>
  <c r="C47" i="87"/>
  <c r="D47" i="87" s="1"/>
  <c r="F3" i="24"/>
  <c r="D25" i="88"/>
  <c r="R41" i="33"/>
  <c r="B50" i="92"/>
  <c r="C49" i="92"/>
  <c r="D49" i="92" s="1"/>
  <c r="U42" i="33"/>
  <c r="P42" i="33"/>
  <c r="Q42" i="33"/>
  <c r="O51" i="33"/>
  <c r="R42" i="33"/>
  <c r="H51" i="33"/>
  <c r="W42" i="33"/>
  <c r="M51" i="33"/>
  <c r="N51" i="33"/>
  <c r="H16" i="24"/>
  <c r="T42" i="33"/>
  <c r="R38" i="33"/>
  <c r="P51" i="33"/>
  <c r="S37" i="33"/>
  <c r="V41" i="33"/>
  <c r="S42" i="33"/>
  <c r="O37" i="33"/>
  <c r="M37" i="33"/>
  <c r="Q37" i="33"/>
  <c r="P37" i="33"/>
  <c r="X42" i="33"/>
  <c r="X43" i="33" s="1"/>
  <c r="V42" i="33"/>
  <c r="M40" i="33"/>
  <c r="Q40" i="33"/>
  <c r="U40" i="33"/>
  <c r="O38" i="33"/>
  <c r="V40" i="33"/>
  <c r="T40" i="33"/>
  <c r="O40" i="33"/>
  <c r="N40" i="33"/>
  <c r="R40" i="33"/>
  <c r="P40" i="33"/>
  <c r="O36" i="33"/>
  <c r="J37" i="33"/>
  <c r="H32" i="33"/>
  <c r="J36" i="33"/>
  <c r="P36" i="33"/>
  <c r="T38" i="33"/>
  <c r="K36" i="33"/>
  <c r="R36" i="33"/>
  <c r="K38" i="33"/>
  <c r="G16" i="24"/>
  <c r="E16" i="24"/>
  <c r="K16" i="24"/>
  <c r="D16" i="24"/>
  <c r="J16" i="24"/>
  <c r="C16" i="24"/>
  <c r="I16" i="24"/>
  <c r="B16" i="24"/>
  <c r="M36" i="33"/>
  <c r="S38" i="33"/>
  <c r="N38" i="33"/>
  <c r="I36" i="33"/>
  <c r="C46" i="29"/>
  <c r="H43" i="26"/>
  <c r="T23" i="33"/>
  <c r="W56" i="33" s="1"/>
  <c r="V85" i="33" s="1"/>
  <c r="U113" i="33" s="1"/>
  <c r="E118" i="33" s="1"/>
  <c r="B23" i="91"/>
  <c r="C23" i="91" s="1"/>
  <c r="B24" i="91" s="1"/>
  <c r="C24" i="91" s="1"/>
  <c r="B25" i="91" s="1"/>
  <c r="C25" i="91" s="1"/>
  <c r="B26" i="91" s="1"/>
  <c r="C26" i="91" s="1"/>
  <c r="B27" i="91" s="1"/>
  <c r="C27" i="91" s="1"/>
  <c r="B28" i="91" s="1"/>
  <c r="C28" i="91" s="1"/>
  <c r="B29" i="91" s="1"/>
  <c r="C29" i="91" s="1"/>
  <c r="B30" i="91" s="1"/>
  <c r="C30" i="91" s="1"/>
  <c r="C49" i="91"/>
  <c r="D49" i="91" s="1"/>
  <c r="B50" i="91"/>
  <c r="D34" i="80"/>
  <c r="D30" i="99"/>
  <c r="D24" i="107"/>
  <c r="D28" i="104"/>
  <c r="D46" i="100"/>
  <c r="B23" i="80"/>
  <c r="C23" i="80" s="1"/>
  <c r="B24" i="80" s="1"/>
  <c r="C24" i="80" s="1"/>
  <c r="B25" i="80" s="1"/>
  <c r="C25" i="80" s="1"/>
  <c r="B26" i="80" s="1"/>
  <c r="C26" i="80" s="1"/>
  <c r="B27" i="80" s="1"/>
  <c r="C27" i="80" s="1"/>
  <c r="B28" i="80" s="1"/>
  <c r="C28" i="80" s="1"/>
  <c r="B29" i="80" s="1"/>
  <c r="C29" i="80" s="1"/>
  <c r="B30" i="80" s="1"/>
  <c r="C30" i="80" s="1"/>
  <c r="D28" i="80"/>
  <c r="Q31" i="12"/>
  <c r="N17" i="12"/>
  <c r="O27" i="12"/>
  <c r="D24" i="93"/>
  <c r="D50" i="80"/>
  <c r="D48" i="80"/>
  <c r="D49" i="80"/>
  <c r="D22" i="96"/>
  <c r="C36" i="96"/>
  <c r="B37" i="96"/>
  <c r="B36" i="80"/>
  <c r="C35" i="80"/>
  <c r="D35" i="80" s="1"/>
  <c r="C12" i="24"/>
  <c r="K12" i="24"/>
  <c r="F12" i="24"/>
  <c r="B12" i="24"/>
  <c r="J12" i="24"/>
  <c r="E12" i="24"/>
  <c r="H12" i="24"/>
  <c r="I12" i="24"/>
  <c r="D12" i="24"/>
  <c r="G12" i="24"/>
  <c r="E80" i="24"/>
  <c r="B33" i="33"/>
  <c r="O23" i="33"/>
  <c r="D26" i="106"/>
  <c r="D29" i="88"/>
  <c r="B36" i="90"/>
  <c r="C35" i="90"/>
  <c r="B50" i="88"/>
  <c r="C49" i="88"/>
  <c r="C13" i="24"/>
  <c r="E13" i="24"/>
  <c r="G13" i="24"/>
  <c r="I13" i="24"/>
  <c r="K13" i="24"/>
  <c r="B13" i="24"/>
  <c r="D13" i="24"/>
  <c r="F13" i="24"/>
  <c r="H13" i="24"/>
  <c r="J13" i="24"/>
  <c r="E81" i="24"/>
  <c r="C47" i="96"/>
  <c r="D47" i="96" s="1"/>
  <c r="B48" i="96"/>
  <c r="B48" i="112"/>
  <c r="C47" i="112"/>
  <c r="B36" i="92"/>
  <c r="C35" i="92"/>
  <c r="D35" i="87"/>
  <c r="D27" i="99"/>
  <c r="D27" i="107"/>
  <c r="D23" i="104"/>
  <c r="O14" i="12"/>
  <c r="P24" i="12"/>
  <c r="M44" i="12"/>
  <c r="P21" i="12"/>
  <c r="O18" i="12"/>
  <c r="P28" i="12"/>
  <c r="F54" i="14"/>
  <c r="D35" i="109"/>
  <c r="D34" i="109"/>
  <c r="B52" i="80"/>
  <c r="C51" i="80"/>
  <c r="D47" i="89"/>
  <c r="C11" i="24"/>
  <c r="E11" i="24"/>
  <c r="G11" i="24"/>
  <c r="I11" i="24"/>
  <c r="K11" i="24"/>
  <c r="B11" i="24"/>
  <c r="D11" i="24"/>
  <c r="F11" i="24"/>
  <c r="H11" i="24"/>
  <c r="J11" i="24"/>
  <c r="E79" i="24"/>
  <c r="C10" i="24"/>
  <c r="K10" i="24"/>
  <c r="F10" i="24"/>
  <c r="B10" i="24"/>
  <c r="J10" i="24"/>
  <c r="E10" i="24"/>
  <c r="D10" i="24"/>
  <c r="I10" i="24"/>
  <c r="G10" i="24"/>
  <c r="E78" i="24"/>
  <c r="H10" i="24"/>
  <c r="B36" i="101"/>
  <c r="C35" i="101"/>
  <c r="C36" i="108"/>
  <c r="B37" i="108"/>
  <c r="J35" i="33"/>
  <c r="N35" i="33"/>
  <c r="K35" i="33"/>
  <c r="H35" i="33"/>
  <c r="L35" i="33"/>
  <c r="I35" i="33"/>
  <c r="M35" i="33"/>
  <c r="Q35" i="33"/>
  <c r="P35" i="33"/>
  <c r="O35" i="33"/>
  <c r="B23" i="109"/>
  <c r="C23" i="109" s="1"/>
  <c r="D25" i="106"/>
  <c r="D30" i="88"/>
  <c r="D34" i="90"/>
  <c r="C7" i="24"/>
  <c r="E7" i="24"/>
  <c r="G7" i="24"/>
  <c r="I7" i="24"/>
  <c r="K7" i="24"/>
  <c r="B7" i="24"/>
  <c r="D7" i="24"/>
  <c r="F7" i="24"/>
  <c r="H7" i="24"/>
  <c r="J7" i="24"/>
  <c r="E75" i="24"/>
  <c r="D35" i="101"/>
  <c r="B48" i="103"/>
  <c r="C47" i="103"/>
  <c r="G54" i="14"/>
  <c r="B26" i="29"/>
  <c r="L27" i="26"/>
  <c r="D23" i="103"/>
  <c r="B24" i="103"/>
  <c r="C24" i="103" s="1"/>
  <c r="B25" i="103" s="1"/>
  <c r="C25" i="103" s="1"/>
  <c r="B26" i="103" s="1"/>
  <c r="C26" i="103" s="1"/>
  <c r="B27" i="103" s="1"/>
  <c r="C27" i="103" s="1"/>
  <c r="B28" i="103" s="1"/>
  <c r="C28" i="103" s="1"/>
  <c r="B29" i="103" s="1"/>
  <c r="C29" i="103" s="1"/>
  <c r="B30" i="103" s="1"/>
  <c r="C30" i="103" s="1"/>
  <c r="B48" i="108"/>
  <c r="C47" i="108"/>
  <c r="D47" i="108" s="1"/>
  <c r="D26" i="93"/>
  <c r="C6" i="24"/>
  <c r="K6" i="24"/>
  <c r="F6" i="24"/>
  <c r="B6" i="24"/>
  <c r="J6" i="24"/>
  <c r="E6" i="24"/>
  <c r="D6" i="24"/>
  <c r="I6" i="24"/>
  <c r="H6" i="24"/>
  <c r="G6" i="24"/>
  <c r="E74" i="24"/>
  <c r="C8" i="24"/>
  <c r="K8" i="24"/>
  <c r="F8" i="24"/>
  <c r="B8" i="24"/>
  <c r="J8" i="24"/>
  <c r="E8" i="24"/>
  <c r="H8" i="24"/>
  <c r="I8" i="24"/>
  <c r="D8" i="24"/>
  <c r="G8" i="24"/>
  <c r="E76" i="24"/>
  <c r="C36" i="88"/>
  <c r="B37" i="88"/>
  <c r="D46" i="103"/>
  <c r="B36" i="93"/>
  <c r="C35" i="93"/>
  <c r="Q39" i="33"/>
  <c r="T39" i="33"/>
  <c r="P39" i="33"/>
  <c r="M39" i="33"/>
  <c r="R39" i="33"/>
  <c r="U39" i="33"/>
  <c r="S39" i="33"/>
  <c r="L39" i="33"/>
  <c r="O39" i="33"/>
  <c r="N39" i="33"/>
  <c r="O34" i="33"/>
  <c r="L34" i="33"/>
  <c r="H34" i="33"/>
  <c r="N34" i="33"/>
  <c r="P34" i="33"/>
  <c r="I34" i="33"/>
  <c r="G34" i="33"/>
  <c r="K34" i="33"/>
  <c r="M34" i="33"/>
  <c r="J34" i="33"/>
  <c r="B23" i="94"/>
  <c r="C23" i="94" s="1"/>
  <c r="B23" i="96"/>
  <c r="C23" i="96" s="1"/>
  <c r="B24" i="96" s="1"/>
  <c r="C24" i="96" s="1"/>
  <c r="B25" i="96" s="1"/>
  <c r="C25" i="96" s="1"/>
  <c r="B26" i="96" s="1"/>
  <c r="C26" i="96" s="1"/>
  <c r="B27" i="96" s="1"/>
  <c r="C27" i="96" s="1"/>
  <c r="B28" i="96" s="1"/>
  <c r="C28" i="96" s="1"/>
  <c r="B29" i="96" s="1"/>
  <c r="C29" i="96" s="1"/>
  <c r="B30" i="96" s="1"/>
  <c r="C30" i="96" s="1"/>
  <c r="C5" i="24"/>
  <c r="E5" i="24"/>
  <c r="G5" i="24"/>
  <c r="I5" i="24"/>
  <c r="K5" i="24"/>
  <c r="B5" i="24"/>
  <c r="D5" i="24"/>
  <c r="F5" i="24"/>
  <c r="H5" i="24"/>
  <c r="J5" i="24"/>
  <c r="E73" i="24"/>
  <c r="B23" i="111"/>
  <c r="C23" i="111" s="1"/>
  <c r="B24" i="111" s="1"/>
  <c r="C24" i="111" s="1"/>
  <c r="B25" i="111" s="1"/>
  <c r="C25" i="111" s="1"/>
  <c r="B26" i="111" s="1"/>
  <c r="C26" i="111" s="1"/>
  <c r="B27" i="111" s="1"/>
  <c r="C27" i="111" s="1"/>
  <c r="B28" i="111" s="1"/>
  <c r="C28" i="111" s="1"/>
  <c r="B29" i="111" s="1"/>
  <c r="C29" i="111" s="1"/>
  <c r="B30" i="111" s="1"/>
  <c r="C30" i="111" s="1"/>
  <c r="D22" i="111"/>
  <c r="D35" i="108"/>
  <c r="D36" i="108"/>
  <c r="D34" i="93"/>
  <c r="P30" i="12"/>
  <c r="O20" i="12"/>
  <c r="D24" i="99"/>
  <c r="B54" i="14"/>
  <c r="K54" i="14"/>
  <c r="F4" i="24"/>
  <c r="K4" i="24"/>
  <c r="C4" i="24"/>
  <c r="I4" i="24"/>
  <c r="J4" i="24"/>
  <c r="G4" i="24"/>
  <c r="H4" i="24"/>
  <c r="B4" i="24"/>
  <c r="E4" i="24"/>
  <c r="D4" i="24"/>
  <c r="C87" i="24"/>
  <c r="E72" i="24"/>
  <c r="D47" i="92"/>
  <c r="D48" i="109"/>
  <c r="D47" i="109"/>
  <c r="C15" i="24"/>
  <c r="E15" i="24"/>
  <c r="G15" i="24"/>
  <c r="I15" i="24"/>
  <c r="K15" i="24"/>
  <c r="B15" i="24"/>
  <c r="D15" i="24"/>
  <c r="F15" i="24"/>
  <c r="H15" i="24"/>
  <c r="J15" i="24"/>
  <c r="E83" i="24"/>
  <c r="B23" i="92"/>
  <c r="C23" i="92" s="1"/>
  <c r="B24" i="108"/>
  <c r="C24" i="108" s="1"/>
  <c r="B25" i="108" s="1"/>
  <c r="C25" i="108" s="1"/>
  <c r="B26" i="108" s="1"/>
  <c r="C26" i="108" s="1"/>
  <c r="B27" i="108" s="1"/>
  <c r="C27" i="108" s="1"/>
  <c r="B28" i="108" s="1"/>
  <c r="C28" i="108" s="1"/>
  <c r="B29" i="108" s="1"/>
  <c r="C29" i="108" s="1"/>
  <c r="B30" i="108" s="1"/>
  <c r="C30" i="108" s="1"/>
  <c r="D23" i="108"/>
  <c r="D30" i="93"/>
  <c r="B50" i="109"/>
  <c r="C49" i="109"/>
  <c r="O50" i="33"/>
  <c r="K50" i="33"/>
  <c r="M50" i="33"/>
  <c r="H50" i="33"/>
  <c r="J50" i="33"/>
  <c r="P50" i="33"/>
  <c r="N50" i="33"/>
  <c r="G50" i="33"/>
  <c r="I50" i="33"/>
  <c r="L50" i="33"/>
  <c r="D23" i="94"/>
  <c r="D29" i="106"/>
  <c r="B27" i="112"/>
  <c r="C27" i="112" s="1"/>
  <c r="D26" i="112"/>
  <c r="D28" i="88"/>
  <c r="D22" i="88"/>
  <c r="E54" i="14"/>
  <c r="G118" i="33"/>
  <c r="H118" i="33" s="1"/>
  <c r="D23" i="99"/>
  <c r="D25" i="107"/>
  <c r="B48" i="110"/>
  <c r="B49" i="110" s="1"/>
  <c r="N16" i="12"/>
  <c r="O26" i="12"/>
  <c r="J54" i="14"/>
  <c r="I54" i="14"/>
  <c r="D22" i="91"/>
  <c r="B48" i="99"/>
  <c r="C47" i="99"/>
  <c r="D47" i="99" s="1"/>
  <c r="B24" i="110"/>
  <c r="C24" i="110" s="1"/>
  <c r="B25" i="110" s="1"/>
  <c r="C25" i="110" s="1"/>
  <c r="B26" i="110" s="1"/>
  <c r="C26" i="110" s="1"/>
  <c r="B27" i="110" s="1"/>
  <c r="C27" i="110" s="1"/>
  <c r="B28" i="110" s="1"/>
  <c r="C28" i="110" s="1"/>
  <c r="B29" i="110" s="1"/>
  <c r="C29" i="110" s="1"/>
  <c r="B30" i="110" s="1"/>
  <c r="C30" i="110" s="1"/>
  <c r="D23" i="110"/>
  <c r="B24" i="89"/>
  <c r="C24" i="89" s="1"/>
  <c r="C14" i="24"/>
  <c r="K14" i="24"/>
  <c r="F14" i="24"/>
  <c r="B14" i="24"/>
  <c r="J14" i="24"/>
  <c r="E14" i="24"/>
  <c r="D14" i="24"/>
  <c r="G14" i="24"/>
  <c r="H14" i="24"/>
  <c r="I14" i="24"/>
  <c r="E82" i="24"/>
  <c r="C35" i="94"/>
  <c r="B36" i="94"/>
  <c r="D28" i="93"/>
  <c r="C37" i="99"/>
  <c r="B38" i="99"/>
  <c r="R14" i="33"/>
  <c r="B48" i="33"/>
  <c r="B37" i="89"/>
  <c r="C36" i="89"/>
  <c r="D23" i="106"/>
  <c r="D28" i="106"/>
  <c r="D24" i="88"/>
  <c r="D23" i="88"/>
  <c r="M15" i="12"/>
  <c r="N25" i="12"/>
  <c r="B23" i="90"/>
  <c r="C23" i="90" s="1"/>
  <c r="B24" i="90" s="1"/>
  <c r="C24" i="90" s="1"/>
  <c r="B25" i="90" s="1"/>
  <c r="C25" i="90" s="1"/>
  <c r="B26" i="90" s="1"/>
  <c r="C26" i="90" s="1"/>
  <c r="B27" i="90" s="1"/>
  <c r="C27" i="90" s="1"/>
  <c r="B28" i="90" s="1"/>
  <c r="C28" i="90" s="1"/>
  <c r="B29" i="90" s="1"/>
  <c r="C29" i="90" s="1"/>
  <c r="B30" i="90" s="1"/>
  <c r="C30" i="90" s="1"/>
  <c r="D22" i="90"/>
  <c r="B49" i="89"/>
  <c r="C48" i="89"/>
  <c r="D46" i="108"/>
  <c r="D28" i="99"/>
  <c r="D26" i="104"/>
  <c r="O19" i="12"/>
  <c r="P29" i="12"/>
  <c r="D48" i="88"/>
  <c r="C9" i="24"/>
  <c r="E9" i="24"/>
  <c r="G9" i="24"/>
  <c r="I9" i="24"/>
  <c r="K9" i="24"/>
  <c r="B9" i="24"/>
  <c r="D9" i="24"/>
  <c r="F9" i="24"/>
  <c r="H9" i="24"/>
  <c r="J9" i="24"/>
  <c r="E77" i="24"/>
  <c r="D46" i="96"/>
  <c r="D47" i="112"/>
  <c r="D46" i="112"/>
  <c r="B38" i="111"/>
  <c r="C37" i="111"/>
  <c r="D35" i="94"/>
  <c r="D34" i="94"/>
  <c r="D25" i="93"/>
  <c r="B48" i="100"/>
  <c r="C47" i="100"/>
  <c r="Q52" i="33"/>
  <c r="Q53" i="33" s="1"/>
  <c r="K52" i="33"/>
  <c r="L52" i="33"/>
  <c r="M52" i="33"/>
  <c r="N52" i="33"/>
  <c r="I52" i="33"/>
  <c r="J52" i="33"/>
  <c r="O52" i="33"/>
  <c r="P52" i="33"/>
  <c r="R52" i="33"/>
  <c r="R53" i="33" s="1"/>
  <c r="D22" i="94"/>
  <c r="D27" i="106"/>
  <c r="D30" i="106"/>
  <c r="B25" i="100"/>
  <c r="C25" i="100" s="1"/>
  <c r="D26" i="88"/>
  <c r="B37" i="87"/>
  <c r="C36" i="87"/>
  <c r="J76" i="33"/>
  <c r="G76" i="33"/>
  <c r="C76" i="33"/>
  <c r="C82" i="33" s="1"/>
  <c r="K86" i="33" s="1"/>
  <c r="D76" i="33"/>
  <c r="E76" i="33"/>
  <c r="L76" i="33"/>
  <c r="I76" i="33"/>
  <c r="F76" i="33"/>
  <c r="H76" i="33"/>
  <c r="K76" i="33"/>
  <c r="B38" i="110"/>
  <c r="C37" i="110"/>
  <c r="D37" i="110" s="1"/>
  <c r="D35" i="110"/>
  <c r="D36" i="110"/>
  <c r="B51" i="101"/>
  <c r="C50" i="101"/>
  <c r="D48" i="101"/>
  <c r="B23" i="101"/>
  <c r="C23" i="101" s="1"/>
  <c r="C49" i="102"/>
  <c r="B50" i="102"/>
  <c r="B23" i="102"/>
  <c r="C23" i="102" s="1"/>
  <c r="C36" i="102"/>
  <c r="B37" i="102"/>
  <c r="C36" i="103"/>
  <c r="D36" i="103" s="1"/>
  <c r="B37" i="103"/>
  <c r="D35" i="103"/>
  <c r="C36" i="104"/>
  <c r="D36" i="104" s="1"/>
  <c r="B37" i="104"/>
  <c r="D25" i="104"/>
  <c r="D29" i="104"/>
  <c r="D30" i="104"/>
  <c r="D24" i="104"/>
  <c r="D27" i="104"/>
  <c r="D35" i="104"/>
  <c r="D34" i="104"/>
  <c r="D47" i="104"/>
  <c r="C49" i="104"/>
  <c r="B50" i="104"/>
  <c r="D35" i="105"/>
  <c r="B37" i="105"/>
  <c r="C36" i="105"/>
  <c r="D36" i="105" s="1"/>
  <c r="D48" i="105"/>
  <c r="D34" i="105"/>
  <c r="C49" i="105"/>
  <c r="D49" i="105" s="1"/>
  <c r="B50" i="105"/>
  <c r="D47" i="106"/>
  <c r="B49" i="106"/>
  <c r="C48" i="106"/>
  <c r="B38" i="109"/>
  <c r="C37" i="109"/>
  <c r="D37" i="109" s="1"/>
  <c r="D36" i="109"/>
  <c r="C35" i="107"/>
  <c r="B36" i="107"/>
  <c r="C48" i="107"/>
  <c r="D48" i="107" s="1"/>
  <c r="B49" i="107"/>
  <c r="D46" i="107"/>
  <c r="D28" i="107"/>
  <c r="D30" i="107"/>
  <c r="D26" i="107"/>
  <c r="D47" i="107"/>
  <c r="D29" i="107"/>
  <c r="D25" i="99"/>
  <c r="D26" i="99"/>
  <c r="D26" i="87"/>
  <c r="D25" i="87"/>
  <c r="D28" i="87"/>
  <c r="D27" i="87"/>
  <c r="D30" i="87"/>
  <c r="D29" i="87"/>
  <c r="D24" i="87"/>
  <c r="D53" i="33" l="1"/>
  <c r="L57" i="33" s="1"/>
  <c r="B77" i="33" s="1"/>
  <c r="H77" i="33" s="1"/>
  <c r="R15" i="33"/>
  <c r="D30" i="80"/>
  <c r="D24" i="91"/>
  <c r="D29" i="91"/>
  <c r="D27" i="96"/>
  <c r="D30" i="103"/>
  <c r="D25" i="103"/>
  <c r="D49" i="104"/>
  <c r="D25" i="108"/>
  <c r="D26" i="111"/>
  <c r="C38" i="112"/>
  <c r="V43" i="33"/>
  <c r="C48" i="90"/>
  <c r="B49" i="90"/>
  <c r="D29" i="111"/>
  <c r="D26" i="80"/>
  <c r="D48" i="90"/>
  <c r="D47" i="90"/>
  <c r="W43" i="33"/>
  <c r="D24" i="96"/>
  <c r="D29" i="103"/>
  <c r="D28" i="103"/>
  <c r="D37" i="112"/>
  <c r="F77" i="33"/>
  <c r="J61" i="33"/>
  <c r="J91" i="33"/>
  <c r="L91" i="33"/>
  <c r="L61" i="33"/>
  <c r="C91" i="33"/>
  <c r="C102" i="33" s="1"/>
  <c r="C113" i="33" s="1"/>
  <c r="K91" i="33"/>
  <c r="E91" i="33"/>
  <c r="G61" i="33"/>
  <c r="I61" i="33"/>
  <c r="H91" i="33"/>
  <c r="D91" i="33"/>
  <c r="F91" i="33"/>
  <c r="I91" i="33"/>
  <c r="L77" i="33"/>
  <c r="U43" i="33"/>
  <c r="D26" i="103"/>
  <c r="D27" i="80"/>
  <c r="D23" i="91"/>
  <c r="E61" i="33"/>
  <c r="B49" i="87"/>
  <c r="C48" i="87"/>
  <c r="E77" i="33"/>
  <c r="D61" i="33"/>
  <c r="C50" i="92"/>
  <c r="B51" i="92"/>
  <c r="D47" i="111"/>
  <c r="B37" i="91"/>
  <c r="C36" i="91"/>
  <c r="D36" i="91" s="1"/>
  <c r="C49" i="94"/>
  <c r="B50" i="94"/>
  <c r="D30" i="108"/>
  <c r="D29" i="96"/>
  <c r="D24" i="80"/>
  <c r="H61" i="33"/>
  <c r="B49" i="111"/>
  <c r="C48" i="111"/>
  <c r="D35" i="91"/>
  <c r="C36" i="100"/>
  <c r="B37" i="100"/>
  <c r="C49" i="93"/>
  <c r="B50" i="93"/>
  <c r="D27" i="108"/>
  <c r="D25" i="96"/>
  <c r="D26" i="96"/>
  <c r="D25" i="80"/>
  <c r="D30" i="91"/>
  <c r="K61" i="33"/>
  <c r="C36" i="106"/>
  <c r="D36" i="106" s="1"/>
  <c r="B37" i="106"/>
  <c r="D35" i="100"/>
  <c r="L29" i="95" s="1"/>
  <c r="D36" i="100"/>
  <c r="L30" i="95" s="1"/>
  <c r="D29" i="80"/>
  <c r="D27" i="91"/>
  <c r="F61" i="33"/>
  <c r="D35" i="106"/>
  <c r="S43" i="33"/>
  <c r="S56" i="33" s="1"/>
  <c r="T43" i="33"/>
  <c r="R43" i="33"/>
  <c r="R56" i="33" s="1"/>
  <c r="F62" i="33"/>
  <c r="D62" i="33"/>
  <c r="H62" i="33"/>
  <c r="M62" i="33"/>
  <c r="L62" i="33"/>
  <c r="I62" i="33"/>
  <c r="G62" i="33"/>
  <c r="J62" i="33"/>
  <c r="K62" i="33"/>
  <c r="O53" i="33"/>
  <c r="D28" i="110"/>
  <c r="D29" i="110"/>
  <c r="B105" i="33"/>
  <c r="D25" i="90"/>
  <c r="C38" i="99"/>
  <c r="D38" i="99" s="1"/>
  <c r="B39" i="99"/>
  <c r="B28" i="112"/>
  <c r="C28" i="112" s="1"/>
  <c r="B29" i="112" s="1"/>
  <c r="C29" i="112" s="1"/>
  <c r="B30" i="112" s="1"/>
  <c r="C30" i="112" s="1"/>
  <c r="D27" i="112"/>
  <c r="B51" i="109"/>
  <c r="C50" i="109"/>
  <c r="D28" i="108"/>
  <c r="D35" i="93"/>
  <c r="D25" i="111"/>
  <c r="N44" i="12"/>
  <c r="O44" i="12" s="1"/>
  <c r="N27" i="12"/>
  <c r="M17" i="12"/>
  <c r="D23" i="80"/>
  <c r="D26" i="91"/>
  <c r="D28" i="96"/>
  <c r="D36" i="87"/>
  <c r="C37" i="96"/>
  <c r="B38" i="96"/>
  <c r="B25" i="89"/>
  <c r="C25" i="89" s="1"/>
  <c r="B26" i="89" s="1"/>
  <c r="C26" i="89" s="1"/>
  <c r="B27" i="89" s="1"/>
  <c r="C27" i="89" s="1"/>
  <c r="B28" i="89" s="1"/>
  <c r="C28" i="89" s="1"/>
  <c r="B29" i="89" s="1"/>
  <c r="C29" i="89" s="1"/>
  <c r="B30" i="89" s="1"/>
  <c r="C30" i="89" s="1"/>
  <c r="B37" i="101"/>
  <c r="C36" i="101"/>
  <c r="B37" i="92"/>
  <c r="C36" i="92"/>
  <c r="D36" i="92" s="1"/>
  <c r="C37" i="87"/>
  <c r="B38" i="87"/>
  <c r="C48" i="99"/>
  <c r="D48" i="99" s="1"/>
  <c r="B49" i="99"/>
  <c r="D24" i="111"/>
  <c r="C50" i="88"/>
  <c r="B51" i="88"/>
  <c r="D23" i="109"/>
  <c r="C48" i="110"/>
  <c r="D47" i="100"/>
  <c r="D30" i="90"/>
  <c r="P43" i="33"/>
  <c r="P56" i="33" s="1"/>
  <c r="C36" i="93"/>
  <c r="B37" i="93"/>
  <c r="C48" i="103"/>
  <c r="B49" i="103"/>
  <c r="D35" i="90"/>
  <c r="C52" i="80"/>
  <c r="B53" i="80"/>
  <c r="P31" i="12"/>
  <c r="C48" i="96"/>
  <c r="B49" i="96"/>
  <c r="C36" i="90"/>
  <c r="B37" i="90"/>
  <c r="D49" i="88"/>
  <c r="D51" i="80"/>
  <c r="C50" i="91"/>
  <c r="B51" i="91"/>
  <c r="D24" i="90"/>
  <c r="I48" i="33"/>
  <c r="I53" i="33" s="1"/>
  <c r="Q57" i="33" s="1"/>
  <c r="K48" i="33"/>
  <c r="K53" i="33" s="1"/>
  <c r="S57" i="33" s="1"/>
  <c r="H48" i="33"/>
  <c r="H53" i="33" s="1"/>
  <c r="P57" i="33" s="1"/>
  <c r="B81" i="33" s="1"/>
  <c r="F48" i="33"/>
  <c r="F53" i="33" s="1"/>
  <c r="N57" i="33" s="1"/>
  <c r="B79" i="33" s="1"/>
  <c r="L48" i="33"/>
  <c r="L53" i="33" s="1"/>
  <c r="M48" i="33"/>
  <c r="M53" i="33" s="1"/>
  <c r="J48" i="33"/>
  <c r="J53" i="33" s="1"/>
  <c r="R57" i="33" s="1"/>
  <c r="N48" i="33"/>
  <c r="N53" i="33" s="1"/>
  <c r="G48" i="33"/>
  <c r="G53" i="33" s="1"/>
  <c r="O57" i="33" s="1"/>
  <c r="B80" i="33" s="1"/>
  <c r="E48" i="33"/>
  <c r="E53" i="33" s="1"/>
  <c r="M57" i="33" s="1"/>
  <c r="B38" i="88"/>
  <c r="C37" i="88"/>
  <c r="D37" i="88" s="1"/>
  <c r="O28" i="12"/>
  <c r="N18" i="12"/>
  <c r="D30" i="110"/>
  <c r="B26" i="100"/>
  <c r="C26" i="100" s="1"/>
  <c r="D25" i="100"/>
  <c r="C48" i="100"/>
  <c r="B49" i="100"/>
  <c r="D28" i="90"/>
  <c r="C37" i="89"/>
  <c r="B38" i="89"/>
  <c r="C36" i="94"/>
  <c r="B37" i="94"/>
  <c r="D29" i="108"/>
  <c r="M40" i="24"/>
  <c r="M41" i="24" s="1"/>
  <c r="D36" i="93"/>
  <c r="D30" i="111"/>
  <c r="B24" i="94"/>
  <c r="C24" i="94" s="1"/>
  <c r="D24" i="94" s="1"/>
  <c r="D47" i="103"/>
  <c r="D24" i="103"/>
  <c r="Q43" i="33"/>
  <c r="Q56" i="33" s="1"/>
  <c r="C37" i="108"/>
  <c r="B38" i="108"/>
  <c r="D23" i="96"/>
  <c r="O24" i="12"/>
  <c r="N14" i="12"/>
  <c r="O21" i="12"/>
  <c r="M43" i="12"/>
  <c r="H33" i="33"/>
  <c r="H43" i="33" s="1"/>
  <c r="H56" i="33" s="1"/>
  <c r="B66" i="33" s="1"/>
  <c r="L33" i="33"/>
  <c r="L43" i="33" s="1"/>
  <c r="K33" i="33"/>
  <c r="K43" i="33" s="1"/>
  <c r="M33" i="33"/>
  <c r="M43" i="33" s="1"/>
  <c r="M56" i="33" s="1"/>
  <c r="B71" i="33" s="1"/>
  <c r="O33" i="33"/>
  <c r="O43" i="33" s="1"/>
  <c r="O56" i="33" s="1"/>
  <c r="F33" i="33"/>
  <c r="F43" i="33" s="1"/>
  <c r="F56" i="33" s="1"/>
  <c r="B64" i="33" s="1"/>
  <c r="J33" i="33"/>
  <c r="J43" i="33" s="1"/>
  <c r="G33" i="33"/>
  <c r="G43" i="33" s="1"/>
  <c r="G56" i="33" s="1"/>
  <c r="B65" i="33" s="1"/>
  <c r="N33" i="33"/>
  <c r="N43" i="33" s="1"/>
  <c r="I33" i="33"/>
  <c r="I43" i="33" s="1"/>
  <c r="I56" i="33" s="1"/>
  <c r="B67" i="33" s="1"/>
  <c r="D28" i="91"/>
  <c r="D37" i="111"/>
  <c r="D36" i="96"/>
  <c r="D25" i="110"/>
  <c r="D29" i="90"/>
  <c r="B24" i="92"/>
  <c r="C24" i="92" s="1"/>
  <c r="D23" i="92"/>
  <c r="D24" i="92"/>
  <c r="C48" i="108"/>
  <c r="B49" i="108"/>
  <c r="D48" i="89"/>
  <c r="C48" i="112"/>
  <c r="B49" i="112"/>
  <c r="D27" i="110"/>
  <c r="D26" i="110"/>
  <c r="D27" i="90"/>
  <c r="D24" i="110"/>
  <c r="D36" i="89"/>
  <c r="D26" i="108"/>
  <c r="M17" i="24"/>
  <c r="D49" i="109"/>
  <c r="D28" i="111"/>
  <c r="D27" i="103"/>
  <c r="D23" i="90"/>
  <c r="D50" i="88"/>
  <c r="D25" i="91"/>
  <c r="D23" i="111"/>
  <c r="C38" i="111"/>
  <c r="D38" i="111" s="1"/>
  <c r="B39" i="111"/>
  <c r="B50" i="89"/>
  <c r="C49" i="89"/>
  <c r="D36" i="88"/>
  <c r="B24" i="109"/>
  <c r="C24" i="109" s="1"/>
  <c r="B63" i="33"/>
  <c r="D37" i="99"/>
  <c r="D24" i="89"/>
  <c r="P53" i="33"/>
  <c r="O29" i="12"/>
  <c r="N19" i="12"/>
  <c r="D26" i="90"/>
  <c r="M25" i="12"/>
  <c r="H25" i="12" s="1"/>
  <c r="K15" i="12"/>
  <c r="L15" i="12"/>
  <c r="K4" i="12"/>
  <c r="N26" i="12"/>
  <c r="M16" i="12"/>
  <c r="D24" i="108"/>
  <c r="N20" i="12"/>
  <c r="O30" i="12"/>
  <c r="D27" i="111"/>
  <c r="D30" i="96"/>
  <c r="D35" i="92"/>
  <c r="B37" i="80"/>
  <c r="C36" i="80"/>
  <c r="D36" i="80" s="1"/>
  <c r="D48" i="100"/>
  <c r="D38" i="112"/>
  <c r="B40" i="112"/>
  <c r="C39" i="112"/>
  <c r="B50" i="110"/>
  <c r="C49" i="110"/>
  <c r="C38" i="110"/>
  <c r="B39" i="110"/>
  <c r="B24" i="101"/>
  <c r="C24" i="101" s="1"/>
  <c r="D24" i="101" s="1"/>
  <c r="D50" i="101"/>
  <c r="D23" i="101"/>
  <c r="C51" i="101"/>
  <c r="D51" i="101" s="1"/>
  <c r="B52" i="101"/>
  <c r="C50" i="102"/>
  <c r="D50" i="102" s="1"/>
  <c r="B51" i="102"/>
  <c r="B38" i="102"/>
  <c r="C37" i="102"/>
  <c r="D37" i="102"/>
  <c r="B24" i="102"/>
  <c r="C24" i="102" s="1"/>
  <c r="B25" i="102" s="1"/>
  <c r="C25" i="102" s="1"/>
  <c r="B26" i="102" s="1"/>
  <c r="C26" i="102" s="1"/>
  <c r="B27" i="102" s="1"/>
  <c r="C27" i="102" s="1"/>
  <c r="B28" i="102" s="1"/>
  <c r="C28" i="102" s="1"/>
  <c r="B29" i="102" s="1"/>
  <c r="C29" i="102" s="1"/>
  <c r="B30" i="102" s="1"/>
  <c r="C30" i="102" s="1"/>
  <c r="D23" i="102"/>
  <c r="D36" i="102"/>
  <c r="D49" i="102"/>
  <c r="C37" i="103"/>
  <c r="B38" i="103"/>
  <c r="B51" i="104"/>
  <c r="C50" i="104"/>
  <c r="D50" i="104" s="1"/>
  <c r="C37" i="104"/>
  <c r="B38" i="104"/>
  <c r="C50" i="105"/>
  <c r="B51" i="105"/>
  <c r="B38" i="105"/>
  <c r="C37" i="105"/>
  <c r="D37" i="105" s="1"/>
  <c r="D48" i="106"/>
  <c r="B50" i="106"/>
  <c r="C49" i="106"/>
  <c r="D49" i="106" s="1"/>
  <c r="C38" i="109"/>
  <c r="B39" i="109"/>
  <c r="B37" i="107"/>
  <c r="C36" i="107"/>
  <c r="D36" i="107" s="1"/>
  <c r="D35" i="107"/>
  <c r="B50" i="107"/>
  <c r="C49" i="107"/>
  <c r="I77" i="33" l="1"/>
  <c r="K77" i="33"/>
  <c r="M77" i="33"/>
  <c r="D77" i="33"/>
  <c r="D82" i="33" s="1"/>
  <c r="L86" i="33" s="1"/>
  <c r="B106" i="33" s="1"/>
  <c r="G106" i="33" s="1"/>
  <c r="J77" i="33"/>
  <c r="G77" i="33"/>
  <c r="D29" i="89"/>
  <c r="D24" i="102"/>
  <c r="J56" i="33"/>
  <c r="B68" i="33" s="1"/>
  <c r="J68" i="33" s="1"/>
  <c r="D30" i="89"/>
  <c r="T56" i="33"/>
  <c r="F119" i="33" s="1"/>
  <c r="C49" i="90"/>
  <c r="D49" i="90" s="1"/>
  <c r="B50" i="90"/>
  <c r="D28" i="112"/>
  <c r="I106" i="33"/>
  <c r="E106" i="33"/>
  <c r="M106" i="33"/>
  <c r="J106" i="33"/>
  <c r="D106" i="33"/>
  <c r="H106" i="33"/>
  <c r="B51" i="94"/>
  <c r="C50" i="94"/>
  <c r="D50" i="94" s="1"/>
  <c r="D50" i="92"/>
  <c r="C37" i="106"/>
  <c r="B38" i="106"/>
  <c r="C49" i="111"/>
  <c r="D49" i="111" s="1"/>
  <c r="B50" i="111"/>
  <c r="D49" i="94"/>
  <c r="K56" i="33"/>
  <c r="B69" i="33" s="1"/>
  <c r="S69" i="33" s="1"/>
  <c r="C50" i="93"/>
  <c r="D50" i="93" s="1"/>
  <c r="B51" i="93"/>
  <c r="D49" i="110"/>
  <c r="D25" i="89"/>
  <c r="C37" i="100"/>
  <c r="B38" i="100"/>
  <c r="D48" i="111"/>
  <c r="D48" i="87"/>
  <c r="D49" i="93"/>
  <c r="B38" i="91"/>
  <c r="C37" i="91"/>
  <c r="D37" i="91" s="1"/>
  <c r="D26" i="89"/>
  <c r="D30" i="112"/>
  <c r="B50" i="87"/>
  <c r="C49" i="87"/>
  <c r="D49" i="87" s="1"/>
  <c r="D73" i="33"/>
  <c r="D85" i="33" s="1"/>
  <c r="B92" i="33" s="1"/>
  <c r="F92" i="33" s="1"/>
  <c r="B52" i="92"/>
  <c r="C51" i="92"/>
  <c r="D51" i="92" s="1"/>
  <c r="L56" i="33"/>
  <c r="B70" i="33" s="1"/>
  <c r="O70" i="33" s="1"/>
  <c r="B25" i="109"/>
  <c r="C25" i="109" s="1"/>
  <c r="D24" i="109"/>
  <c r="D50" i="91"/>
  <c r="M20" i="12"/>
  <c r="N30" i="12"/>
  <c r="C39" i="111"/>
  <c r="D39" i="111" s="1"/>
  <c r="B40" i="111"/>
  <c r="B25" i="92"/>
  <c r="C25" i="92" s="1"/>
  <c r="N43" i="12"/>
  <c r="O43" i="12" s="1"/>
  <c r="M18" i="12"/>
  <c r="N28" i="12"/>
  <c r="C49" i="96"/>
  <c r="D49" i="96" s="1"/>
  <c r="B50" i="96"/>
  <c r="D52" i="80"/>
  <c r="C49" i="99"/>
  <c r="D49" i="99" s="1"/>
  <c r="B50" i="99"/>
  <c r="L81" i="33"/>
  <c r="Q81" i="33"/>
  <c r="Q82" i="33" s="1"/>
  <c r="I81" i="33"/>
  <c r="K81" i="33"/>
  <c r="H81" i="33"/>
  <c r="M81" i="33"/>
  <c r="J81" i="33"/>
  <c r="P81" i="33"/>
  <c r="N81" i="33"/>
  <c r="O81" i="33"/>
  <c r="C49" i="103"/>
  <c r="B50" i="103"/>
  <c r="M19" i="12"/>
  <c r="N29" i="12"/>
  <c r="C50" i="89"/>
  <c r="D50" i="89" s="1"/>
  <c r="B51" i="89"/>
  <c r="D49" i="89"/>
  <c r="J15" i="12"/>
  <c r="B15" i="12"/>
  <c r="B25" i="12"/>
  <c r="D37" i="96"/>
  <c r="D48" i="96"/>
  <c r="D36" i="101"/>
  <c r="D50" i="109"/>
  <c r="C37" i="80"/>
  <c r="B38" i="80"/>
  <c r="D37" i="108"/>
  <c r="M64" i="33"/>
  <c r="J64" i="33"/>
  <c r="G64" i="33"/>
  <c r="F64" i="33"/>
  <c r="N64" i="33"/>
  <c r="L64" i="33"/>
  <c r="O64" i="33"/>
  <c r="K64" i="33"/>
  <c r="H64" i="33"/>
  <c r="I64" i="33"/>
  <c r="K80" i="33"/>
  <c r="N80" i="33"/>
  <c r="P80" i="33"/>
  <c r="H80" i="33"/>
  <c r="I80" i="33"/>
  <c r="J80" i="33"/>
  <c r="M80" i="33"/>
  <c r="O80" i="33"/>
  <c r="G80" i="33"/>
  <c r="L80" i="33"/>
  <c r="C37" i="92"/>
  <c r="B38" i="92"/>
  <c r="B40" i="99"/>
  <c r="C39" i="99"/>
  <c r="P71" i="33"/>
  <c r="T71" i="33"/>
  <c r="V71" i="33"/>
  <c r="S71" i="33"/>
  <c r="N71" i="33"/>
  <c r="Q71" i="33"/>
  <c r="U71" i="33"/>
  <c r="M71" i="33"/>
  <c r="R71" i="33"/>
  <c r="O71" i="33"/>
  <c r="C37" i="94"/>
  <c r="D37" i="94" s="1"/>
  <c r="B38" i="94"/>
  <c r="D49" i="103"/>
  <c r="B25" i="94"/>
  <c r="C25" i="94" s="1"/>
  <c r="D25" i="94" s="1"/>
  <c r="D36" i="94"/>
  <c r="B27" i="100"/>
  <c r="C27" i="100" s="1"/>
  <c r="D26" i="100"/>
  <c r="D48" i="103"/>
  <c r="D28" i="89"/>
  <c r="C37" i="101"/>
  <c r="D37" i="101" s="1"/>
  <c r="B38" i="101"/>
  <c r="M27" i="12"/>
  <c r="H27" i="12" s="1"/>
  <c r="K17" i="12"/>
  <c r="L17" i="12"/>
  <c r="K6" i="12"/>
  <c r="C51" i="109"/>
  <c r="B52" i="109"/>
  <c r="D36" i="90"/>
  <c r="B78" i="33"/>
  <c r="U57" i="33"/>
  <c r="D48" i="110"/>
  <c r="D37" i="87"/>
  <c r="I15" i="12"/>
  <c r="H63" i="33"/>
  <c r="K63" i="33"/>
  <c r="G63" i="33"/>
  <c r="M63" i="33"/>
  <c r="E63" i="33"/>
  <c r="E73" i="33" s="1"/>
  <c r="E85" i="33" s="1"/>
  <c r="B93" i="33" s="1"/>
  <c r="N63" i="33"/>
  <c r="J63" i="33"/>
  <c r="I63" i="33"/>
  <c r="L63" i="33"/>
  <c r="F63" i="33"/>
  <c r="C49" i="112"/>
  <c r="B50" i="112"/>
  <c r="B50" i="108"/>
  <c r="C49" i="108"/>
  <c r="P67" i="33"/>
  <c r="M67" i="33"/>
  <c r="K67" i="33"/>
  <c r="I67" i="33"/>
  <c r="J67" i="33"/>
  <c r="O67" i="33"/>
  <c r="Q67" i="33"/>
  <c r="L67" i="33"/>
  <c r="R67" i="33"/>
  <c r="N67" i="33"/>
  <c r="N24" i="12"/>
  <c r="N21" i="12"/>
  <c r="M42" i="12"/>
  <c r="M14" i="12"/>
  <c r="D25" i="109"/>
  <c r="C38" i="89"/>
  <c r="B39" i="89"/>
  <c r="C38" i="88"/>
  <c r="B39" i="88"/>
  <c r="C37" i="93"/>
  <c r="D37" i="93" s="1"/>
  <c r="B38" i="93"/>
  <c r="C51" i="88"/>
  <c r="B52" i="88"/>
  <c r="N65" i="33"/>
  <c r="O65" i="33"/>
  <c r="L65" i="33"/>
  <c r="J65" i="33"/>
  <c r="K65" i="33"/>
  <c r="G65" i="33"/>
  <c r="I65" i="33"/>
  <c r="H65" i="33"/>
  <c r="M65" i="33"/>
  <c r="P65" i="33"/>
  <c r="C38" i="108"/>
  <c r="B39" i="108"/>
  <c r="B52" i="91"/>
  <c r="C51" i="91"/>
  <c r="D51" i="91" s="1"/>
  <c r="B39" i="96"/>
  <c r="C38" i="96"/>
  <c r="C49" i="100"/>
  <c r="B50" i="100"/>
  <c r="B54" i="80"/>
  <c r="C54" i="80" s="1"/>
  <c r="C53" i="80"/>
  <c r="D53" i="80" s="1"/>
  <c r="L105" i="33"/>
  <c r="I105" i="33"/>
  <c r="K105" i="33"/>
  <c r="E105" i="33"/>
  <c r="G105" i="33"/>
  <c r="C105" i="33"/>
  <c r="C110" i="33" s="1"/>
  <c r="K114" i="33" s="1"/>
  <c r="D105" i="33"/>
  <c r="J105" i="33"/>
  <c r="F105" i="33"/>
  <c r="H105" i="33"/>
  <c r="M26" i="12"/>
  <c r="H26" i="12" s="1"/>
  <c r="L16" i="12"/>
  <c r="K16" i="12"/>
  <c r="K5" i="12"/>
  <c r="G25" i="12"/>
  <c r="D37" i="80"/>
  <c r="D48" i="112"/>
  <c r="D48" i="108"/>
  <c r="D27" i="89"/>
  <c r="N56" i="33"/>
  <c r="B72" i="33" s="1"/>
  <c r="O66" i="33"/>
  <c r="H66" i="33"/>
  <c r="P66" i="33"/>
  <c r="M66" i="33"/>
  <c r="N66" i="33"/>
  <c r="K66" i="33"/>
  <c r="J66" i="33"/>
  <c r="L66" i="33"/>
  <c r="I66" i="33"/>
  <c r="Q66" i="33"/>
  <c r="O31" i="12"/>
  <c r="D37" i="89"/>
  <c r="F79" i="33"/>
  <c r="O79" i="33"/>
  <c r="G79" i="33"/>
  <c r="N79" i="33"/>
  <c r="L79" i="33"/>
  <c r="H79" i="33"/>
  <c r="I79" i="33"/>
  <c r="J79" i="33"/>
  <c r="M79" i="33"/>
  <c r="K79" i="33"/>
  <c r="B38" i="90"/>
  <c r="C37" i="90"/>
  <c r="C38" i="87"/>
  <c r="B39" i="87"/>
  <c r="D29" i="112"/>
  <c r="D49" i="108"/>
  <c r="B41" i="112"/>
  <c r="C40" i="112"/>
  <c r="D39" i="112"/>
  <c r="C39" i="110"/>
  <c r="D39" i="110" s="1"/>
  <c r="B40" i="110"/>
  <c r="D38" i="110"/>
  <c r="B51" i="110"/>
  <c r="C50" i="110"/>
  <c r="B25" i="101"/>
  <c r="C25" i="101" s="1"/>
  <c r="C52" i="101"/>
  <c r="D52" i="101" s="1"/>
  <c r="B53" i="101"/>
  <c r="D26" i="102"/>
  <c r="B52" i="102"/>
  <c r="C51" i="102"/>
  <c r="D51" i="102" s="1"/>
  <c r="D30" i="102"/>
  <c r="D29" i="102"/>
  <c r="D28" i="102"/>
  <c r="D25" i="102"/>
  <c r="C38" i="102"/>
  <c r="B39" i="102"/>
  <c r="D27" i="102"/>
  <c r="B39" i="103"/>
  <c r="C38" i="103"/>
  <c r="D38" i="103" s="1"/>
  <c r="D37" i="103"/>
  <c r="C38" i="104"/>
  <c r="D38" i="104" s="1"/>
  <c r="B39" i="104"/>
  <c r="D37" i="104"/>
  <c r="B52" i="104"/>
  <c r="C51" i="104"/>
  <c r="D51" i="104" s="1"/>
  <c r="C38" i="105"/>
  <c r="D38" i="105" s="1"/>
  <c r="B39" i="105"/>
  <c r="B52" i="105"/>
  <c r="C51" i="105"/>
  <c r="D50" i="105"/>
  <c r="B51" i="106"/>
  <c r="C50" i="106"/>
  <c r="B40" i="109"/>
  <c r="C39" i="109"/>
  <c r="D39" i="109" s="1"/>
  <c r="D38" i="109"/>
  <c r="B51" i="107"/>
  <c r="C50" i="107"/>
  <c r="D50" i="107" s="1"/>
  <c r="C37" i="107"/>
  <c r="D37" i="107" s="1"/>
  <c r="B38" i="107"/>
  <c r="D49" i="107"/>
  <c r="K106" i="33" l="1"/>
  <c r="L106" i="33"/>
  <c r="F106" i="33"/>
  <c r="D110" i="33"/>
  <c r="L114" i="33" s="1"/>
  <c r="S68" i="33"/>
  <c r="K68" i="33"/>
  <c r="M68" i="33"/>
  <c r="L68" i="33"/>
  <c r="P68" i="33"/>
  <c r="O68" i="33"/>
  <c r="N68" i="33"/>
  <c r="Q68" i="33"/>
  <c r="R68" i="33"/>
  <c r="V56" i="33"/>
  <c r="E119" i="33" s="1"/>
  <c r="G119" i="33" s="1"/>
  <c r="H119" i="33" s="1"/>
  <c r="C50" i="90"/>
  <c r="D50" i="90" s="1"/>
  <c r="B51" i="90"/>
  <c r="D92" i="33"/>
  <c r="D102" i="33" s="1"/>
  <c r="D113" i="33" s="1"/>
  <c r="L69" i="33"/>
  <c r="I92" i="33"/>
  <c r="N69" i="33"/>
  <c r="J92" i="33"/>
  <c r="K69" i="33"/>
  <c r="R69" i="33"/>
  <c r="T69" i="33"/>
  <c r="M69" i="33"/>
  <c r="Q69" i="33"/>
  <c r="P69" i="33"/>
  <c r="O69" i="33"/>
  <c r="K92" i="33"/>
  <c r="G92" i="33"/>
  <c r="B51" i="111"/>
  <c r="C50" i="111"/>
  <c r="B53" i="92"/>
  <c r="C52" i="92"/>
  <c r="D52" i="92" s="1"/>
  <c r="C51" i="94"/>
  <c r="D51" i="94" s="1"/>
  <c r="B52" i="94"/>
  <c r="B52" i="93"/>
  <c r="C51" i="93"/>
  <c r="D51" i="93" s="1"/>
  <c r="C38" i="106"/>
  <c r="D38" i="106" s="1"/>
  <c r="B39" i="106"/>
  <c r="D50" i="111"/>
  <c r="B39" i="100"/>
  <c r="C38" i="100"/>
  <c r="D37" i="106"/>
  <c r="D38" i="100"/>
  <c r="L32" i="95" s="1"/>
  <c r="D37" i="100"/>
  <c r="L31" i="95" s="1"/>
  <c r="L92" i="33"/>
  <c r="M92" i="33"/>
  <c r="E92" i="33"/>
  <c r="C38" i="91"/>
  <c r="D38" i="91" s="1"/>
  <c r="B39" i="91"/>
  <c r="H92" i="33"/>
  <c r="B51" i="87"/>
  <c r="C50" i="87"/>
  <c r="D50" i="87" s="1"/>
  <c r="P82" i="33"/>
  <c r="I17" i="12"/>
  <c r="N70" i="33"/>
  <c r="L70" i="33"/>
  <c r="Q70" i="33"/>
  <c r="T70" i="33"/>
  <c r="P70" i="33"/>
  <c r="M70" i="33"/>
  <c r="U70" i="33"/>
  <c r="S70" i="33"/>
  <c r="R70" i="33"/>
  <c r="F73" i="33"/>
  <c r="F85" i="33" s="1"/>
  <c r="B94" i="33" s="1"/>
  <c r="J94" i="33" s="1"/>
  <c r="J16" i="12"/>
  <c r="B26" i="12"/>
  <c r="B16" i="12"/>
  <c r="C52" i="88"/>
  <c r="D52" i="88" s="1"/>
  <c r="B53" i="88"/>
  <c r="M93" i="33"/>
  <c r="N93" i="33"/>
  <c r="F93" i="33"/>
  <c r="J93" i="33"/>
  <c r="G93" i="33"/>
  <c r="H93" i="33"/>
  <c r="K93" i="33"/>
  <c r="I93" i="33"/>
  <c r="L93" i="33"/>
  <c r="E93" i="33"/>
  <c r="D51" i="109"/>
  <c r="B39" i="94"/>
  <c r="C38" i="94"/>
  <c r="D38" i="94" s="1"/>
  <c r="H15" i="12"/>
  <c r="J4" i="12"/>
  <c r="B51" i="96"/>
  <c r="C50" i="96"/>
  <c r="D50" i="96" s="1"/>
  <c r="C38" i="90"/>
  <c r="B39" i="90"/>
  <c r="G26" i="12"/>
  <c r="D51" i="88"/>
  <c r="D38" i="90"/>
  <c r="D52" i="91"/>
  <c r="D37" i="90"/>
  <c r="O82" i="33"/>
  <c r="B53" i="91"/>
  <c r="C52" i="91"/>
  <c r="B39" i="93"/>
  <c r="C38" i="93"/>
  <c r="D38" i="93" s="1"/>
  <c r="L14" i="12"/>
  <c r="M24" i="12"/>
  <c r="H24" i="12" s="1"/>
  <c r="K14" i="12"/>
  <c r="K3" i="12"/>
  <c r="M41" i="12"/>
  <c r="M21" i="12"/>
  <c r="G73" i="33"/>
  <c r="G85" i="33" s="1"/>
  <c r="J17" i="12"/>
  <c r="B17" i="12"/>
  <c r="B27" i="12"/>
  <c r="U56" i="33"/>
  <c r="U58" i="33" s="1"/>
  <c r="B51" i="99"/>
  <c r="C50" i="99"/>
  <c r="D50" i="99" s="1"/>
  <c r="D37" i="92"/>
  <c r="C39" i="87"/>
  <c r="D39" i="87" s="1"/>
  <c r="B40" i="87"/>
  <c r="U72" i="33"/>
  <c r="N72" i="33"/>
  <c r="R72" i="33"/>
  <c r="O72" i="33"/>
  <c r="S72" i="33"/>
  <c r="T72" i="33"/>
  <c r="Q72" i="33"/>
  <c r="V72" i="33"/>
  <c r="V73" i="33" s="1"/>
  <c r="P72" i="33"/>
  <c r="W72" i="33"/>
  <c r="W73" i="33" s="1"/>
  <c r="F15" i="12"/>
  <c r="F25" i="12"/>
  <c r="B40" i="96"/>
  <c r="C39" i="96"/>
  <c r="N42" i="12"/>
  <c r="O42" i="12" s="1"/>
  <c r="B26" i="94"/>
  <c r="C26" i="94" s="1"/>
  <c r="D26" i="94" s="1"/>
  <c r="D39" i="99"/>
  <c r="C38" i="80"/>
  <c r="B39" i="80"/>
  <c r="B52" i="89"/>
  <c r="C51" i="89"/>
  <c r="C50" i="103"/>
  <c r="D50" i="103" s="1"/>
  <c r="B51" i="103"/>
  <c r="D38" i="87"/>
  <c r="D49" i="112"/>
  <c r="B51" i="100"/>
  <c r="C50" i="100"/>
  <c r="D50" i="100" s="1"/>
  <c r="C39" i="108"/>
  <c r="B40" i="108"/>
  <c r="C39" i="88"/>
  <c r="B40" i="88"/>
  <c r="H73" i="33"/>
  <c r="H85" i="33" s="1"/>
  <c r="B96" i="33" s="1"/>
  <c r="C40" i="99"/>
  <c r="B41" i="99"/>
  <c r="D54" i="80"/>
  <c r="L18" i="12"/>
  <c r="M28" i="12"/>
  <c r="H28" i="12" s="1"/>
  <c r="K18" i="12"/>
  <c r="K7" i="12"/>
  <c r="L20" i="12"/>
  <c r="M30" i="12"/>
  <c r="H30" i="12" s="1"/>
  <c r="K9" i="12"/>
  <c r="K20" i="12"/>
  <c r="D38" i="88"/>
  <c r="I73" i="33"/>
  <c r="G27" i="12"/>
  <c r="C38" i="92"/>
  <c r="B39" i="92"/>
  <c r="D38" i="108"/>
  <c r="B40" i="89"/>
  <c r="C39" i="89"/>
  <c r="N31" i="12"/>
  <c r="C50" i="108"/>
  <c r="B51" i="108"/>
  <c r="J73" i="33"/>
  <c r="G15" i="12"/>
  <c r="I4" i="12"/>
  <c r="M78" i="33"/>
  <c r="M82" i="33" s="1"/>
  <c r="N78" i="33"/>
  <c r="N82" i="33" s="1"/>
  <c r="I78" i="33"/>
  <c r="I82" i="33" s="1"/>
  <c r="Q86" i="33" s="1"/>
  <c r="J78" i="33"/>
  <c r="J82" i="33" s="1"/>
  <c r="R86" i="33" s="1"/>
  <c r="K78" i="33"/>
  <c r="K82" i="33" s="1"/>
  <c r="E78" i="33"/>
  <c r="E82" i="33" s="1"/>
  <c r="M86" i="33" s="1"/>
  <c r="H78" i="33"/>
  <c r="H82" i="33" s="1"/>
  <c r="P86" i="33" s="1"/>
  <c r="L78" i="33"/>
  <c r="L82" i="33" s="1"/>
  <c r="F78" i="33"/>
  <c r="F82" i="33" s="1"/>
  <c r="N86" i="33" s="1"/>
  <c r="B108" i="33" s="1"/>
  <c r="G78" i="33"/>
  <c r="G82" i="33" s="1"/>
  <c r="O86" i="33" s="1"/>
  <c r="B109" i="33" s="1"/>
  <c r="B39" i="101"/>
  <c r="C38" i="101"/>
  <c r="D38" i="101" s="1"/>
  <c r="B28" i="100"/>
  <c r="C28" i="100" s="1"/>
  <c r="D28" i="100" s="1"/>
  <c r="D27" i="100"/>
  <c r="D39" i="108"/>
  <c r="B41" i="111"/>
  <c r="C40" i="111"/>
  <c r="B26" i="109"/>
  <c r="C26" i="109" s="1"/>
  <c r="D26" i="109" s="1"/>
  <c r="I16" i="12"/>
  <c r="D38" i="89"/>
  <c r="C50" i="112"/>
  <c r="D50" i="112" s="1"/>
  <c r="B51" i="112"/>
  <c r="C52" i="109"/>
  <c r="B53" i="109"/>
  <c r="D38" i="96"/>
  <c r="L19" i="12"/>
  <c r="M29" i="12"/>
  <c r="H29" i="12" s="1"/>
  <c r="K19" i="12"/>
  <c r="K8" i="12"/>
  <c r="D49" i="100"/>
  <c r="B26" i="92"/>
  <c r="C26" i="92" s="1"/>
  <c r="D26" i="92" s="1"/>
  <c r="D25" i="92"/>
  <c r="D39" i="96"/>
  <c r="B42" i="112"/>
  <c r="C42" i="112" s="1"/>
  <c r="C41" i="112"/>
  <c r="D40" i="112"/>
  <c r="B52" i="110"/>
  <c r="C51" i="110"/>
  <c r="D51" i="110" s="1"/>
  <c r="C40" i="110"/>
  <c r="B41" i="110"/>
  <c r="D50" i="110"/>
  <c r="B26" i="101"/>
  <c r="C26" i="101" s="1"/>
  <c r="B27" i="101" s="1"/>
  <c r="C27" i="101" s="1"/>
  <c r="B28" i="101" s="1"/>
  <c r="C28" i="101" s="1"/>
  <c r="B29" i="101" s="1"/>
  <c r="C29" i="101" s="1"/>
  <c r="B30" i="101" s="1"/>
  <c r="C30" i="101" s="1"/>
  <c r="D30" i="101" s="1"/>
  <c r="D25" i="101"/>
  <c r="B54" i="101"/>
  <c r="C54" i="101" s="1"/>
  <c r="C53" i="101"/>
  <c r="D53" i="101" s="1"/>
  <c r="D38" i="102"/>
  <c r="B53" i="102"/>
  <c r="C52" i="102"/>
  <c r="D52" i="102" s="1"/>
  <c r="C39" i="102"/>
  <c r="D39" i="102" s="1"/>
  <c r="B40" i="102"/>
  <c r="B40" i="103"/>
  <c r="C39" i="103"/>
  <c r="B53" i="104"/>
  <c r="C52" i="104"/>
  <c r="D52" i="104" s="1"/>
  <c r="C39" i="104"/>
  <c r="B40" i="104"/>
  <c r="C52" i="105"/>
  <c r="D52" i="105" s="1"/>
  <c r="B53" i="105"/>
  <c r="B40" i="105"/>
  <c r="C39" i="105"/>
  <c r="D51" i="105"/>
  <c r="D50" i="106"/>
  <c r="C51" i="106"/>
  <c r="D51" i="106" s="1"/>
  <c r="B52" i="106"/>
  <c r="C40" i="109"/>
  <c r="B41" i="109"/>
  <c r="B52" i="107"/>
  <c r="C51" i="107"/>
  <c r="D51" i="107" s="1"/>
  <c r="C38" i="107"/>
  <c r="D38" i="107" s="1"/>
  <c r="B39" i="107"/>
  <c r="H31" i="12" l="1"/>
  <c r="D26" i="101"/>
  <c r="K73" i="33"/>
  <c r="K85" i="33" s="1"/>
  <c r="B99" i="33" s="1"/>
  <c r="K99" i="33" s="1"/>
  <c r="W85" i="33"/>
  <c r="V113" i="33" s="1"/>
  <c r="B52" i="90"/>
  <c r="C51" i="90"/>
  <c r="D28" i="101"/>
  <c r="G17" i="12"/>
  <c r="G6" i="12" s="1"/>
  <c r="L73" i="33"/>
  <c r="L85" i="33" s="1"/>
  <c r="B100" i="33" s="1"/>
  <c r="M73" i="33"/>
  <c r="M85" i="33" s="1"/>
  <c r="B101" i="33" s="1"/>
  <c r="V101" i="33" s="1"/>
  <c r="V102" i="33" s="1"/>
  <c r="O73" i="33"/>
  <c r="O85" i="33" s="1"/>
  <c r="N73" i="33"/>
  <c r="N85" i="33" s="1"/>
  <c r="B40" i="100"/>
  <c r="C39" i="100"/>
  <c r="D39" i="100" s="1"/>
  <c r="L33" i="95" s="1"/>
  <c r="B40" i="91"/>
  <c r="C39" i="91"/>
  <c r="D39" i="91" s="1"/>
  <c r="C52" i="94"/>
  <c r="B53" i="94"/>
  <c r="D29" i="101"/>
  <c r="E102" i="33"/>
  <c r="E113" i="33" s="1"/>
  <c r="C39" i="106"/>
  <c r="D39" i="106" s="1"/>
  <c r="B40" i="106"/>
  <c r="I6" i="12"/>
  <c r="C51" i="87"/>
  <c r="D51" i="87" s="1"/>
  <c r="B52" i="87"/>
  <c r="S73" i="33"/>
  <c r="C52" i="93"/>
  <c r="B53" i="93"/>
  <c r="C53" i="92"/>
  <c r="B54" i="92"/>
  <c r="C54" i="92" s="1"/>
  <c r="B52" i="111"/>
  <c r="C51" i="111"/>
  <c r="P73" i="33"/>
  <c r="P85" i="33" s="1"/>
  <c r="I19" i="12"/>
  <c r="I8" i="12" s="1"/>
  <c r="I18" i="12"/>
  <c r="I7" i="12" s="1"/>
  <c r="Q73" i="33"/>
  <c r="Q85" i="33" s="1"/>
  <c r="T73" i="33"/>
  <c r="R73" i="33"/>
  <c r="R85" i="33" s="1"/>
  <c r="U73" i="33"/>
  <c r="I85" i="33"/>
  <c r="B97" i="33" s="1"/>
  <c r="O97" i="33" s="1"/>
  <c r="F94" i="33"/>
  <c r="F102" i="33" s="1"/>
  <c r="F113" i="33" s="1"/>
  <c r="O94" i="33"/>
  <c r="I94" i="33"/>
  <c r="G94" i="33"/>
  <c r="L94" i="33"/>
  <c r="M94" i="33"/>
  <c r="H94" i="33"/>
  <c r="K94" i="33"/>
  <c r="N94" i="33"/>
  <c r="C39" i="101"/>
  <c r="D39" i="101" s="1"/>
  <c r="B40" i="101"/>
  <c r="D50" i="108"/>
  <c r="B42" i="99"/>
  <c r="C42" i="99" s="1"/>
  <c r="D42" i="99" s="1"/>
  <c r="C41" i="99"/>
  <c r="D41" i="99" s="1"/>
  <c r="B52" i="99"/>
  <c r="C51" i="99"/>
  <c r="I14" i="12"/>
  <c r="M39" i="12"/>
  <c r="K21" i="12"/>
  <c r="C43" i="12"/>
  <c r="D54" i="101"/>
  <c r="J19" i="12"/>
  <c r="B19" i="12"/>
  <c r="B29" i="12"/>
  <c r="C51" i="112"/>
  <c r="D51" i="112" s="1"/>
  <c r="B52" i="112"/>
  <c r="L108" i="33"/>
  <c r="G108" i="33"/>
  <c r="O108" i="33"/>
  <c r="I108" i="33"/>
  <c r="M108" i="33"/>
  <c r="N108" i="33"/>
  <c r="H108" i="33"/>
  <c r="K108" i="33"/>
  <c r="J108" i="33"/>
  <c r="F108" i="33"/>
  <c r="B20" i="12"/>
  <c r="J20" i="12"/>
  <c r="B30" i="12"/>
  <c r="G28" i="12"/>
  <c r="C40" i="88"/>
  <c r="D40" i="88" s="1"/>
  <c r="B41" i="88"/>
  <c r="E15" i="12"/>
  <c r="E25" i="12"/>
  <c r="J14" i="12"/>
  <c r="B24" i="12"/>
  <c r="M40" i="12"/>
  <c r="L21" i="12"/>
  <c r="B14" i="12"/>
  <c r="H16" i="12"/>
  <c r="H5" i="12" s="1"/>
  <c r="J5" i="12"/>
  <c r="D43" i="12"/>
  <c r="M109" i="33"/>
  <c r="N109" i="33"/>
  <c r="I109" i="33"/>
  <c r="H109" i="33"/>
  <c r="G109" i="33"/>
  <c r="K109" i="33"/>
  <c r="P109" i="33"/>
  <c r="P110" i="33" s="1"/>
  <c r="J109" i="33"/>
  <c r="L109" i="33"/>
  <c r="O109" i="33"/>
  <c r="M31" i="12"/>
  <c r="G24" i="12"/>
  <c r="B40" i="90"/>
  <c r="C39" i="90"/>
  <c r="B52" i="96"/>
  <c r="C51" i="96"/>
  <c r="J18" i="12"/>
  <c r="B18" i="12"/>
  <c r="B28" i="12"/>
  <c r="D51" i="89"/>
  <c r="D40" i="99"/>
  <c r="F4" i="12"/>
  <c r="B27" i="92"/>
  <c r="C27" i="92" s="1"/>
  <c r="D41" i="111"/>
  <c r="D40" i="111"/>
  <c r="B41" i="89"/>
  <c r="C40" i="89"/>
  <c r="D40" i="89" s="1"/>
  <c r="D39" i="88"/>
  <c r="C40" i="108"/>
  <c r="D40" i="108" s="1"/>
  <c r="B41" i="108"/>
  <c r="B53" i="89"/>
  <c r="C52" i="89"/>
  <c r="D52" i="89" s="1"/>
  <c r="B40" i="93"/>
  <c r="C39" i="93"/>
  <c r="H4" i="12"/>
  <c r="B54" i="88"/>
  <c r="C54" i="88" s="1"/>
  <c r="C53" i="88"/>
  <c r="G29" i="12"/>
  <c r="B27" i="109"/>
  <c r="C27" i="109" s="1"/>
  <c r="B28" i="109" s="1"/>
  <c r="C28" i="109" s="1"/>
  <c r="B29" i="109" s="1"/>
  <c r="C29" i="109" s="1"/>
  <c r="B30" i="109" s="1"/>
  <c r="C30" i="109" s="1"/>
  <c r="D30" i="109" s="1"/>
  <c r="B95" i="33"/>
  <c r="B42" i="111"/>
  <c r="C42" i="111" s="1"/>
  <c r="C41" i="111"/>
  <c r="B107" i="33"/>
  <c r="T86" i="33"/>
  <c r="G4" i="12"/>
  <c r="C39" i="92"/>
  <c r="D39" i="92" s="1"/>
  <c r="B40" i="92"/>
  <c r="N41" i="12"/>
  <c r="O41" i="12" s="1"/>
  <c r="B29" i="100"/>
  <c r="C29" i="100" s="1"/>
  <c r="B30" i="100" s="1"/>
  <c r="C30" i="100" s="1"/>
  <c r="D30" i="100" s="1"/>
  <c r="J85" i="33"/>
  <c r="B98" i="33" s="1"/>
  <c r="D38" i="92"/>
  <c r="D52" i="109"/>
  <c r="C39" i="80"/>
  <c r="D39" i="80" s="1"/>
  <c r="B40" i="80"/>
  <c r="D39" i="93"/>
  <c r="K21" i="13"/>
  <c r="K17" i="13"/>
  <c r="K20" i="13"/>
  <c r="K2" i="13"/>
  <c r="K3" i="13" s="1"/>
  <c r="K4" i="13" s="1"/>
  <c r="K19" i="13"/>
  <c r="K18" i="13"/>
  <c r="K10" i="12"/>
  <c r="C53" i="91"/>
  <c r="B54" i="91"/>
  <c r="C54" i="91" s="1"/>
  <c r="F26" i="12"/>
  <c r="C39" i="94"/>
  <c r="D39" i="94" s="1"/>
  <c r="B40" i="94"/>
  <c r="G30" i="12"/>
  <c r="C51" i="103"/>
  <c r="D51" i="103" s="1"/>
  <c r="B52" i="103"/>
  <c r="B41" i="96"/>
  <c r="C40" i="96"/>
  <c r="B54" i="109"/>
  <c r="C54" i="109" s="1"/>
  <c r="C53" i="109"/>
  <c r="D53" i="109" s="1"/>
  <c r="G16" i="12"/>
  <c r="G5" i="12" s="1"/>
  <c r="I5" i="12"/>
  <c r="D28" i="109"/>
  <c r="C51" i="108"/>
  <c r="B52" i="108"/>
  <c r="F27" i="12"/>
  <c r="I20" i="12"/>
  <c r="Q96" i="33"/>
  <c r="K96" i="33"/>
  <c r="M96" i="33"/>
  <c r="L96" i="33"/>
  <c r="I96" i="33"/>
  <c r="N96" i="33"/>
  <c r="O96" i="33"/>
  <c r="H96" i="33"/>
  <c r="J96" i="33"/>
  <c r="P96" i="33"/>
  <c r="C51" i="100"/>
  <c r="B52" i="100"/>
  <c r="D38" i="80"/>
  <c r="B27" i="94"/>
  <c r="C27" i="94" s="1"/>
  <c r="B28" i="94" s="1"/>
  <c r="C28" i="94" s="1"/>
  <c r="B29" i="94" s="1"/>
  <c r="C29" i="94" s="1"/>
  <c r="B41" i="87"/>
  <c r="C40" i="87"/>
  <c r="D40" i="87" s="1"/>
  <c r="H17" i="12"/>
  <c r="H6" i="12" s="1"/>
  <c r="J6" i="12"/>
  <c r="D39" i="89"/>
  <c r="D42" i="112"/>
  <c r="D41" i="112"/>
  <c r="D40" i="110"/>
  <c r="B53" i="110"/>
  <c r="C52" i="110"/>
  <c r="C41" i="110"/>
  <c r="D41" i="110" s="1"/>
  <c r="B42" i="110"/>
  <c r="C42" i="110" s="1"/>
  <c r="D27" i="101"/>
  <c r="C53" i="102"/>
  <c r="D53" i="102" s="1"/>
  <c r="B54" i="102"/>
  <c r="C54" i="102" s="1"/>
  <c r="C40" i="102"/>
  <c r="D40" i="102" s="1"/>
  <c r="B41" i="102"/>
  <c r="D39" i="103"/>
  <c r="C40" i="103"/>
  <c r="D40" i="103" s="1"/>
  <c r="B41" i="103"/>
  <c r="B41" i="104"/>
  <c r="C40" i="104"/>
  <c r="D39" i="104"/>
  <c r="B54" i="104"/>
  <c r="C54" i="104" s="1"/>
  <c r="C53" i="104"/>
  <c r="C40" i="105"/>
  <c r="D40" i="105" s="1"/>
  <c r="B41" i="105"/>
  <c r="B54" i="105"/>
  <c r="C54" i="105" s="1"/>
  <c r="C53" i="105"/>
  <c r="D53" i="105" s="1"/>
  <c r="D39" i="105"/>
  <c r="C52" i="106"/>
  <c r="B53" i="106"/>
  <c r="C41" i="109"/>
  <c r="D41" i="109" s="1"/>
  <c r="B42" i="109"/>
  <c r="C42" i="109" s="1"/>
  <c r="D40" i="109"/>
  <c r="C39" i="107"/>
  <c r="B40" i="107"/>
  <c r="B53" i="107"/>
  <c r="C52" i="107"/>
  <c r="D52" i="107" s="1"/>
  <c r="D54" i="91" l="1"/>
  <c r="D29" i="100"/>
  <c r="D27" i="109"/>
  <c r="G19" i="12"/>
  <c r="G8" i="12" s="1"/>
  <c r="D41" i="12"/>
  <c r="D42" i="111"/>
  <c r="D54" i="92"/>
  <c r="D52" i="90"/>
  <c r="D51" i="90"/>
  <c r="B53" i="90"/>
  <c r="C52" i="90"/>
  <c r="D54" i="109"/>
  <c r="G18" i="12"/>
  <c r="G7" i="12" s="1"/>
  <c r="C53" i="94"/>
  <c r="D54" i="94" s="1"/>
  <c r="B54" i="94"/>
  <c r="C54" i="94" s="1"/>
  <c r="D52" i="94"/>
  <c r="D54" i="102"/>
  <c r="D53" i="91"/>
  <c r="D51" i="111"/>
  <c r="C53" i="93"/>
  <c r="B54" i="93"/>
  <c r="C54" i="93" s="1"/>
  <c r="C40" i="106"/>
  <c r="B41" i="106"/>
  <c r="C52" i="111"/>
  <c r="D52" i="111" s="1"/>
  <c r="B53" i="111"/>
  <c r="D52" i="93"/>
  <c r="B41" i="91"/>
  <c r="C40" i="91"/>
  <c r="D53" i="92"/>
  <c r="C40" i="100"/>
  <c r="D40" i="100" s="1"/>
  <c r="L34" i="95" s="1"/>
  <c r="B41" i="100"/>
  <c r="C52" i="87"/>
  <c r="D52" i="87" s="1"/>
  <c r="B53" i="87"/>
  <c r="F16" i="12"/>
  <c r="F5" i="12" s="1"/>
  <c r="S85" i="33"/>
  <c r="U85" i="33" s="1"/>
  <c r="Q97" i="33"/>
  <c r="J97" i="33"/>
  <c r="R97" i="33"/>
  <c r="N97" i="33"/>
  <c r="I97" i="33"/>
  <c r="M97" i="33"/>
  <c r="L97" i="33"/>
  <c r="P97" i="33"/>
  <c r="K97" i="33"/>
  <c r="L99" i="33"/>
  <c r="P99" i="33"/>
  <c r="M99" i="33"/>
  <c r="R99" i="33"/>
  <c r="S99" i="33"/>
  <c r="N99" i="33"/>
  <c r="Q99" i="33"/>
  <c r="O99" i="33"/>
  <c r="T99" i="33"/>
  <c r="P101" i="33"/>
  <c r="S101" i="33"/>
  <c r="T101" i="33"/>
  <c r="Q101" i="33"/>
  <c r="O101" i="33"/>
  <c r="M101" i="33"/>
  <c r="U101" i="33"/>
  <c r="R101" i="33"/>
  <c r="N101" i="33"/>
  <c r="B31" i="12"/>
  <c r="B30" i="94"/>
  <c r="C30" i="94" s="1"/>
  <c r="D30" i="94" s="1"/>
  <c r="D29" i="94"/>
  <c r="E16" i="12"/>
  <c r="E5" i="12" s="1"/>
  <c r="E26" i="12"/>
  <c r="K53" i="13"/>
  <c r="K43" i="13"/>
  <c r="N98" i="33"/>
  <c r="S98" i="33"/>
  <c r="L98" i="33"/>
  <c r="O98" i="33"/>
  <c r="R98" i="33"/>
  <c r="Q98" i="33"/>
  <c r="M98" i="33"/>
  <c r="J98" i="33"/>
  <c r="P98" i="33"/>
  <c r="K98" i="33"/>
  <c r="D29" i="109"/>
  <c r="B41" i="93"/>
  <c r="C40" i="93"/>
  <c r="D40" i="93" s="1"/>
  <c r="N40" i="12"/>
  <c r="O40" i="12" s="1"/>
  <c r="B42" i="88"/>
  <c r="C42" i="88" s="1"/>
  <c r="C41" i="88"/>
  <c r="D41" i="88" s="1"/>
  <c r="D51" i="99"/>
  <c r="G20" i="12"/>
  <c r="G9" i="12" s="1"/>
  <c r="I9" i="12"/>
  <c r="C52" i="112"/>
  <c r="B53" i="112"/>
  <c r="B53" i="99"/>
  <c r="C52" i="99"/>
  <c r="E17" i="12"/>
  <c r="E6" i="12" s="1"/>
  <c r="E27" i="12"/>
  <c r="K54" i="13"/>
  <c r="K44" i="13"/>
  <c r="K21" i="15"/>
  <c r="K21" i="17" s="1"/>
  <c r="K54" i="17" s="1"/>
  <c r="D40" i="96"/>
  <c r="E107" i="33"/>
  <c r="E110" i="33" s="1"/>
  <c r="M114" i="33" s="1"/>
  <c r="F107" i="33"/>
  <c r="F110" i="33" s="1"/>
  <c r="N114" i="33" s="1"/>
  <c r="H107" i="33"/>
  <c r="H110" i="33" s="1"/>
  <c r="P114" i="33" s="1"/>
  <c r="K107" i="33"/>
  <c r="K110" i="33" s="1"/>
  <c r="G107" i="33"/>
  <c r="G110" i="33" s="1"/>
  <c r="O114" i="33" s="1"/>
  <c r="L107" i="33"/>
  <c r="L110" i="33" s="1"/>
  <c r="I107" i="33"/>
  <c r="I110" i="33" s="1"/>
  <c r="Q114" i="33" s="1"/>
  <c r="J107" i="33"/>
  <c r="J110" i="33" s="1"/>
  <c r="M107" i="33"/>
  <c r="M110" i="33" s="1"/>
  <c r="N107" i="33"/>
  <c r="N110" i="33" s="1"/>
  <c r="D54" i="88"/>
  <c r="D53" i="88"/>
  <c r="D51" i="96"/>
  <c r="H14" i="12"/>
  <c r="J3" i="12"/>
  <c r="J21" i="12"/>
  <c r="M38" i="12"/>
  <c r="C42" i="12"/>
  <c r="F28" i="12"/>
  <c r="K40" i="13"/>
  <c r="K50" i="13"/>
  <c r="F17" i="12"/>
  <c r="F6" i="12" s="1"/>
  <c r="B53" i="96"/>
  <c r="C52" i="96"/>
  <c r="D51" i="108"/>
  <c r="C41" i="96"/>
  <c r="D41" i="96" s="1"/>
  <c r="B42" i="96"/>
  <c r="C42" i="96" s="1"/>
  <c r="C40" i="80"/>
  <c r="B41" i="80"/>
  <c r="F29" i="12"/>
  <c r="B54" i="89"/>
  <c r="C54" i="89" s="1"/>
  <c r="C53" i="89"/>
  <c r="D53" i="89" s="1"/>
  <c r="D15" i="12"/>
  <c r="D25" i="12"/>
  <c r="G43" i="12"/>
  <c r="E43" i="12"/>
  <c r="O100" i="33"/>
  <c r="L100" i="33"/>
  <c r="T100" i="33"/>
  <c r="M100" i="33"/>
  <c r="S100" i="33"/>
  <c r="N100" i="33"/>
  <c r="P100" i="33"/>
  <c r="U100" i="33"/>
  <c r="R100" i="33"/>
  <c r="Q100" i="33"/>
  <c r="C52" i="100"/>
  <c r="D52" i="100" s="1"/>
  <c r="B53" i="100"/>
  <c r="C52" i="108"/>
  <c r="B53" i="108"/>
  <c r="B53" i="103"/>
  <c r="C52" i="103"/>
  <c r="D52" i="103" s="1"/>
  <c r="K51" i="13"/>
  <c r="K41" i="13"/>
  <c r="B41" i="92"/>
  <c r="C40" i="92"/>
  <c r="B28" i="92"/>
  <c r="C28" i="92" s="1"/>
  <c r="D27" i="92"/>
  <c r="B41" i="90"/>
  <c r="C40" i="90"/>
  <c r="D40" i="90" s="1"/>
  <c r="E4" i="12"/>
  <c r="J9" i="12"/>
  <c r="H20" i="12"/>
  <c r="H9" i="12" s="1"/>
  <c r="H19" i="12"/>
  <c r="H8" i="12" s="1"/>
  <c r="J8" i="12"/>
  <c r="D28" i="94"/>
  <c r="C41" i="87"/>
  <c r="D41" i="87" s="1"/>
  <c r="B42" i="87"/>
  <c r="C42" i="87" s="1"/>
  <c r="D42" i="87" s="1"/>
  <c r="D51" i="100"/>
  <c r="C40" i="94"/>
  <c r="D40" i="94" s="1"/>
  <c r="B41" i="94"/>
  <c r="K42" i="13"/>
  <c r="K52" i="13"/>
  <c r="C41" i="89"/>
  <c r="B42" i="89"/>
  <c r="C42" i="89" s="1"/>
  <c r="D34" i="12"/>
  <c r="G31" i="12"/>
  <c r="F24" i="12"/>
  <c r="B21" i="12"/>
  <c r="C34" i="12"/>
  <c r="O110" i="33"/>
  <c r="N39" i="12"/>
  <c r="O39" i="12" s="1"/>
  <c r="D39" i="90"/>
  <c r="D27" i="94"/>
  <c r="F30" i="12"/>
  <c r="K5" i="13"/>
  <c r="L95" i="33"/>
  <c r="I95" i="33"/>
  <c r="H95" i="33"/>
  <c r="H102" i="33" s="1"/>
  <c r="N95" i="33"/>
  <c r="K95" i="33"/>
  <c r="G95" i="33"/>
  <c r="G102" i="33" s="1"/>
  <c r="G113" i="33" s="1"/>
  <c r="P95" i="33"/>
  <c r="M95" i="33"/>
  <c r="J95" i="33"/>
  <c r="O95" i="33"/>
  <c r="C41" i="108"/>
  <c r="D41" i="108" s="1"/>
  <c r="B42" i="108"/>
  <c r="C42" i="108" s="1"/>
  <c r="D42" i="108" s="1"/>
  <c r="H18" i="12"/>
  <c r="H7" i="12" s="1"/>
  <c r="J7" i="12"/>
  <c r="D42" i="12"/>
  <c r="I3" i="12"/>
  <c r="G14" i="12"/>
  <c r="M37" i="12"/>
  <c r="C41" i="12"/>
  <c r="I21" i="12"/>
  <c r="C40" i="101"/>
  <c r="D40" i="101" s="1"/>
  <c r="B41" i="101"/>
  <c r="D42" i="110"/>
  <c r="B54" i="110"/>
  <c r="C54" i="110" s="1"/>
  <c r="C53" i="110"/>
  <c r="D53" i="110" s="1"/>
  <c r="D52" i="110"/>
  <c r="B42" i="102"/>
  <c r="C42" i="102" s="1"/>
  <c r="C41" i="102"/>
  <c r="D41" i="102" s="1"/>
  <c r="C41" i="103"/>
  <c r="B42" i="103"/>
  <c r="C42" i="103" s="1"/>
  <c r="D40" i="104"/>
  <c r="C41" i="104"/>
  <c r="B42" i="104"/>
  <c r="C42" i="104" s="1"/>
  <c r="D54" i="104"/>
  <c r="D53" i="104"/>
  <c r="D54" i="105"/>
  <c r="B42" i="105"/>
  <c r="C42" i="105" s="1"/>
  <c r="C41" i="105"/>
  <c r="D41" i="105" s="1"/>
  <c r="C53" i="106"/>
  <c r="D53" i="106" s="1"/>
  <c r="B54" i="106"/>
  <c r="C54" i="106" s="1"/>
  <c r="D54" i="106" s="1"/>
  <c r="D52" i="106"/>
  <c r="D42" i="109"/>
  <c r="B41" i="107"/>
  <c r="C40" i="107"/>
  <c r="D40" i="107" s="1"/>
  <c r="B54" i="107"/>
  <c r="C54" i="107" s="1"/>
  <c r="C53" i="107"/>
  <c r="D53" i="107" s="1"/>
  <c r="D39" i="107"/>
  <c r="D42" i="96" l="1"/>
  <c r="D53" i="94"/>
  <c r="D54" i="89"/>
  <c r="D54" i="93"/>
  <c r="C53" i="90"/>
  <c r="B54" i="90"/>
  <c r="C54" i="90" s="1"/>
  <c r="D39" i="12"/>
  <c r="D54" i="110"/>
  <c r="B42" i="100"/>
  <c r="C42" i="100" s="1"/>
  <c r="C41" i="100"/>
  <c r="D53" i="93"/>
  <c r="B42" i="106"/>
  <c r="C42" i="106" s="1"/>
  <c r="C41" i="106"/>
  <c r="D41" i="106" s="1"/>
  <c r="C53" i="111"/>
  <c r="D53" i="111" s="1"/>
  <c r="B54" i="111"/>
  <c r="C54" i="111" s="1"/>
  <c r="D40" i="106"/>
  <c r="C53" i="87"/>
  <c r="D53" i="87" s="1"/>
  <c r="B54" i="87"/>
  <c r="C54" i="87" s="1"/>
  <c r="D40" i="91"/>
  <c r="D41" i="91"/>
  <c r="C41" i="91"/>
  <c r="B42" i="91"/>
  <c r="C42" i="91" s="1"/>
  <c r="D42" i="104"/>
  <c r="H113" i="33"/>
  <c r="T85" i="33"/>
  <c r="T87" i="33" s="1"/>
  <c r="W87" i="33" s="1"/>
  <c r="F120" i="33"/>
  <c r="I102" i="33"/>
  <c r="I113" i="33" s="1"/>
  <c r="U102" i="33"/>
  <c r="K21" i="20"/>
  <c r="K21" i="18"/>
  <c r="T102" i="33"/>
  <c r="S114" i="33"/>
  <c r="F19" i="12"/>
  <c r="F8" i="12" s="1"/>
  <c r="D40" i="12"/>
  <c r="J102" i="33"/>
  <c r="J113" i="33" s="1"/>
  <c r="P102" i="33"/>
  <c r="P113" i="33" s="1"/>
  <c r="O102" i="33"/>
  <c r="O113" i="33" s="1"/>
  <c r="R102" i="33"/>
  <c r="K102" i="33"/>
  <c r="K113" i="33" s="1"/>
  <c r="Q102" i="33"/>
  <c r="Q113" i="33" s="1"/>
  <c r="C41" i="94"/>
  <c r="B42" i="94"/>
  <c r="C42" i="94" s="1"/>
  <c r="B29" i="92"/>
  <c r="C29" i="92" s="1"/>
  <c r="B30" i="92" s="1"/>
  <c r="C30" i="92" s="1"/>
  <c r="D28" i="92"/>
  <c r="D52" i="96"/>
  <c r="H3" i="12"/>
  <c r="M36" i="12"/>
  <c r="C40" i="12"/>
  <c r="H21" i="12"/>
  <c r="D54" i="107"/>
  <c r="D42" i="105"/>
  <c r="E41" i="12"/>
  <c r="G41" i="12"/>
  <c r="K6" i="13"/>
  <c r="D42" i="89"/>
  <c r="B54" i="103"/>
  <c r="C54" i="103" s="1"/>
  <c r="C53" i="103"/>
  <c r="D53" i="103" s="1"/>
  <c r="C53" i="96"/>
  <c r="D53" i="96" s="1"/>
  <c r="B54" i="96"/>
  <c r="C54" i="96" s="1"/>
  <c r="D54" i="96" s="1"/>
  <c r="N37" i="12"/>
  <c r="O37" i="12" s="1"/>
  <c r="D40" i="92"/>
  <c r="B54" i="108"/>
  <c r="C54" i="108" s="1"/>
  <c r="C53" i="108"/>
  <c r="D53" i="108" s="1"/>
  <c r="E18" i="12"/>
  <c r="E28" i="12"/>
  <c r="B54" i="99"/>
  <c r="C54" i="99" s="1"/>
  <c r="C53" i="99"/>
  <c r="D53" i="99" s="1"/>
  <c r="B42" i="93"/>
  <c r="C42" i="93" s="1"/>
  <c r="C41" i="93"/>
  <c r="D41" i="93" s="1"/>
  <c r="D16" i="12"/>
  <c r="D5" i="12" s="1"/>
  <c r="D26" i="12"/>
  <c r="G3" i="12"/>
  <c r="C39" i="12"/>
  <c r="M35" i="12"/>
  <c r="G21" i="12"/>
  <c r="N102" i="33"/>
  <c r="N113" i="33" s="1"/>
  <c r="C41" i="92"/>
  <c r="D41" i="92" s="1"/>
  <c r="B42" i="92"/>
  <c r="C42" i="92" s="1"/>
  <c r="E19" i="12"/>
  <c r="E8" i="12" s="1"/>
  <c r="E29" i="12"/>
  <c r="F18" i="12"/>
  <c r="K54" i="15"/>
  <c r="K54" i="18"/>
  <c r="K54" i="20"/>
  <c r="B54" i="112"/>
  <c r="C54" i="112" s="1"/>
  <c r="C53" i="112"/>
  <c r="D53" i="112" s="1"/>
  <c r="G34" i="12"/>
  <c r="E34" i="12"/>
  <c r="I17" i="13"/>
  <c r="I20" i="13"/>
  <c r="I2" i="13"/>
  <c r="I3" i="13" s="1"/>
  <c r="I4" i="13" s="1"/>
  <c r="I18" i="13"/>
  <c r="I19" i="13"/>
  <c r="I21" i="13"/>
  <c r="I10" i="12"/>
  <c r="E20" i="12"/>
  <c r="E9" i="12" s="1"/>
  <c r="E30" i="12"/>
  <c r="F31" i="12"/>
  <c r="E14" i="12"/>
  <c r="E24" i="12"/>
  <c r="B54" i="100"/>
  <c r="C54" i="100" s="1"/>
  <c r="C53" i="100"/>
  <c r="E42" i="12"/>
  <c r="G42" i="12"/>
  <c r="D17" i="12"/>
  <c r="D6" i="12" s="1"/>
  <c r="D27" i="12"/>
  <c r="D52" i="112"/>
  <c r="D52" i="99"/>
  <c r="S102" i="33"/>
  <c r="F20" i="12"/>
  <c r="F9" i="12" s="1"/>
  <c r="F14" i="12"/>
  <c r="C41" i="90"/>
  <c r="D41" i="90" s="1"/>
  <c r="B42" i="90"/>
  <c r="C42" i="90" s="1"/>
  <c r="N38" i="12"/>
  <c r="O38" i="12" s="1"/>
  <c r="B42" i="101"/>
  <c r="C42" i="101" s="1"/>
  <c r="C41" i="101"/>
  <c r="L102" i="33"/>
  <c r="L113" i="33" s="1"/>
  <c r="D30" i="92"/>
  <c r="C15" i="12"/>
  <c r="C25" i="12"/>
  <c r="L4" i="12" s="1"/>
  <c r="B4" i="12" s="1"/>
  <c r="C41" i="80"/>
  <c r="D41" i="80" s="1"/>
  <c r="B42" i="80"/>
  <c r="C42" i="80" s="1"/>
  <c r="D42" i="88"/>
  <c r="D52" i="108"/>
  <c r="M102" i="33"/>
  <c r="M113" i="33" s="1"/>
  <c r="D4" i="12"/>
  <c r="D40" i="80"/>
  <c r="E120" i="33"/>
  <c r="W113" i="33"/>
  <c r="J20" i="13"/>
  <c r="J17" i="13"/>
  <c r="J21" i="13"/>
  <c r="J2" i="13"/>
  <c r="J3" i="13" s="1"/>
  <c r="J4" i="13" s="1"/>
  <c r="J19" i="13"/>
  <c r="J18" i="13"/>
  <c r="J10" i="12"/>
  <c r="X21" i="15"/>
  <c r="K20" i="14"/>
  <c r="D41" i="89"/>
  <c r="D42" i="102"/>
  <c r="D42" i="103"/>
  <c r="D41" i="103"/>
  <c r="D41" i="104"/>
  <c r="B42" i="107"/>
  <c r="C42" i="107" s="1"/>
  <c r="C41" i="107"/>
  <c r="D41" i="107" s="1"/>
  <c r="D42" i="90" l="1"/>
  <c r="X21" i="18"/>
  <c r="X21" i="20" s="1"/>
  <c r="D53" i="90"/>
  <c r="D54" i="90"/>
  <c r="D54" i="87"/>
  <c r="D42" i="100"/>
  <c r="L36" i="95" s="1"/>
  <c r="D54" i="108"/>
  <c r="D54" i="103"/>
  <c r="D42" i="106"/>
  <c r="D42" i="80"/>
  <c r="D54" i="112"/>
  <c r="D42" i="92"/>
  <c r="D42" i="91"/>
  <c r="D54" i="111"/>
  <c r="D41" i="100"/>
  <c r="L35" i="95" s="1"/>
  <c r="G120" i="33"/>
  <c r="H120" i="33" s="1"/>
  <c r="R113" i="33"/>
  <c r="T113" i="33" s="1"/>
  <c r="E122" i="33"/>
  <c r="D41" i="101"/>
  <c r="D42" i="101"/>
  <c r="I40" i="13"/>
  <c r="I50" i="13"/>
  <c r="J52" i="13"/>
  <c r="J42" i="13"/>
  <c r="D53" i="100"/>
  <c r="D54" i="100"/>
  <c r="F7" i="12"/>
  <c r="D38" i="12"/>
  <c r="H2" i="13"/>
  <c r="H3" i="13" s="1"/>
  <c r="H4" i="13" s="1"/>
  <c r="H17" i="13"/>
  <c r="H20" i="13"/>
  <c r="H21" i="13"/>
  <c r="H18" i="13"/>
  <c r="H19" i="13"/>
  <c r="H10" i="12"/>
  <c r="J5" i="13"/>
  <c r="F3" i="12"/>
  <c r="C38" i="12"/>
  <c r="M34" i="12"/>
  <c r="F21" i="12"/>
  <c r="C17" i="12"/>
  <c r="C6" i="12" s="1"/>
  <c r="C27" i="12"/>
  <c r="L6" i="12" s="1"/>
  <c r="B6" i="12" s="1"/>
  <c r="D19" i="12"/>
  <c r="D8" i="12" s="1"/>
  <c r="D29" i="12"/>
  <c r="D18" i="12"/>
  <c r="D7" i="12" s="1"/>
  <c r="D28" i="12"/>
  <c r="D41" i="94"/>
  <c r="D42" i="94"/>
  <c r="J41" i="13"/>
  <c r="J51" i="13"/>
  <c r="K20" i="15"/>
  <c r="K20" i="17" s="1"/>
  <c r="K53" i="17" s="1"/>
  <c r="K53" i="14"/>
  <c r="J54" i="13"/>
  <c r="J44" i="13"/>
  <c r="J21" i="15"/>
  <c r="J21" i="17" s="1"/>
  <c r="J54" i="17" s="1"/>
  <c r="C4" i="12"/>
  <c r="I54" i="13"/>
  <c r="I44" i="13"/>
  <c r="I21" i="15"/>
  <c r="I21" i="17" s="1"/>
  <c r="I54" i="17" s="1"/>
  <c r="N35" i="12"/>
  <c r="O35" i="12" s="1"/>
  <c r="C16" i="12"/>
  <c r="C5" i="12" s="1"/>
  <c r="C26" i="12"/>
  <c r="L5" i="12" s="1"/>
  <c r="B5" i="12" s="1"/>
  <c r="E7" i="12"/>
  <c r="D37" i="12"/>
  <c r="J40" i="13"/>
  <c r="J50" i="13"/>
  <c r="E31" i="12"/>
  <c r="D14" i="12"/>
  <c r="D24" i="12"/>
  <c r="I52" i="13"/>
  <c r="I42" i="13"/>
  <c r="G39" i="12"/>
  <c r="E39" i="12"/>
  <c r="K7" i="13"/>
  <c r="J43" i="13"/>
  <c r="J53" i="13"/>
  <c r="E3" i="12"/>
  <c r="C37" i="12"/>
  <c r="E21" i="12"/>
  <c r="I51" i="13"/>
  <c r="I41" i="13"/>
  <c r="G21" i="13"/>
  <c r="G17" i="13"/>
  <c r="G2" i="13"/>
  <c r="G3" i="13" s="1"/>
  <c r="G4" i="13" s="1"/>
  <c r="G20" i="13"/>
  <c r="G19" i="13"/>
  <c r="G18" i="13"/>
  <c r="G10" i="12"/>
  <c r="I5" i="13"/>
  <c r="X54" i="15"/>
  <c r="X54" i="18" s="1"/>
  <c r="X54" i="20" s="1"/>
  <c r="D42" i="93"/>
  <c r="G40" i="12"/>
  <c r="E40" i="12"/>
  <c r="D29" i="92"/>
  <c r="D20" i="12"/>
  <c r="D9" i="12" s="1"/>
  <c r="D30" i="12"/>
  <c r="I43" i="13"/>
  <c r="I53" i="13"/>
  <c r="D54" i="99"/>
  <c r="N36" i="12"/>
  <c r="O36" i="12" s="1"/>
  <c r="D42" i="107"/>
  <c r="I21" i="18" l="1"/>
  <c r="J21" i="20"/>
  <c r="J21" i="18"/>
  <c r="K20" i="20"/>
  <c r="K20" i="18"/>
  <c r="I21" i="20"/>
  <c r="F121" i="33"/>
  <c r="F122" i="33" s="1"/>
  <c r="S113" i="33"/>
  <c r="S115" i="33" s="1"/>
  <c r="X115" i="33" s="1"/>
  <c r="K53" i="15"/>
  <c r="K53" i="20"/>
  <c r="K53" i="18"/>
  <c r="G5" i="13"/>
  <c r="E37" i="12"/>
  <c r="G37" i="12"/>
  <c r="D3" i="12"/>
  <c r="D21" i="12"/>
  <c r="C36" i="12"/>
  <c r="J20" i="14"/>
  <c r="W21" i="15"/>
  <c r="K19" i="14"/>
  <c r="X20" i="15"/>
  <c r="C18" i="12"/>
  <c r="C7" i="12" s="1"/>
  <c r="C28" i="12"/>
  <c r="L7" i="12" s="1"/>
  <c r="B7" i="12" s="1"/>
  <c r="N34" i="12"/>
  <c r="N46" i="12" s="1"/>
  <c r="G40" i="13"/>
  <c r="G50" i="13"/>
  <c r="E21" i="13"/>
  <c r="E17" i="13"/>
  <c r="E19" i="13"/>
  <c r="E18" i="13"/>
  <c r="E2" i="13"/>
  <c r="E3" i="13" s="1"/>
  <c r="E4" i="13" s="1"/>
  <c r="E20" i="13"/>
  <c r="E10" i="12"/>
  <c r="E38" i="12"/>
  <c r="G38" i="12"/>
  <c r="H42" i="13"/>
  <c r="H52" i="13"/>
  <c r="D31" i="12"/>
  <c r="C14" i="12"/>
  <c r="C24" i="12"/>
  <c r="G54" i="13"/>
  <c r="G44" i="13"/>
  <c r="G21" i="15"/>
  <c r="G21" i="17" s="1"/>
  <c r="G54" i="17" s="1"/>
  <c r="I54" i="18"/>
  <c r="I54" i="15"/>
  <c r="I54" i="20"/>
  <c r="C19" i="12"/>
  <c r="C8" i="12" s="1"/>
  <c r="C29" i="12"/>
  <c r="L8" i="12" s="1"/>
  <c r="B8" i="12" s="1"/>
  <c r="F2" i="13"/>
  <c r="F3" i="13" s="1"/>
  <c r="F4" i="13" s="1"/>
  <c r="F18" i="13"/>
  <c r="F21" i="13"/>
  <c r="F17" i="13"/>
  <c r="F19" i="13"/>
  <c r="F20" i="13"/>
  <c r="F10" i="12"/>
  <c r="H41" i="13"/>
  <c r="H51" i="13"/>
  <c r="H54" i="13"/>
  <c r="H44" i="13"/>
  <c r="H21" i="15"/>
  <c r="H21" i="17" s="1"/>
  <c r="H54" i="17" s="1"/>
  <c r="G53" i="13"/>
  <c r="G43" i="13"/>
  <c r="I20" i="14"/>
  <c r="V21" i="15"/>
  <c r="J54" i="15"/>
  <c r="J54" i="18"/>
  <c r="J54" i="20"/>
  <c r="D36" i="12"/>
  <c r="H43" i="13"/>
  <c r="H53" i="13"/>
  <c r="C20" i="12"/>
  <c r="C9" i="12" s="1"/>
  <c r="C30" i="12"/>
  <c r="L9" i="12" s="1"/>
  <c r="B9" i="12" s="1"/>
  <c r="G51" i="13"/>
  <c r="G41" i="13"/>
  <c r="H50" i="13"/>
  <c r="H40" i="13"/>
  <c r="I6" i="13"/>
  <c r="G42" i="13"/>
  <c r="G52" i="13"/>
  <c r="K8" i="13"/>
  <c r="J6" i="13"/>
  <c r="H5" i="13"/>
  <c r="W21" i="18" l="1"/>
  <c r="W21" i="20" s="1"/>
  <c r="X20" i="18"/>
  <c r="X20" i="20" s="1"/>
  <c r="V21" i="18"/>
  <c r="V21" i="20" s="1"/>
  <c r="O34" i="12"/>
  <c r="G21" i="18"/>
  <c r="H21" i="20"/>
  <c r="H21" i="18"/>
  <c r="G21" i="20"/>
  <c r="M46" i="12"/>
  <c r="G121" i="33"/>
  <c r="G122" i="33" s="1"/>
  <c r="H122" i="33" s="1"/>
  <c r="F52" i="13"/>
  <c r="F42" i="13"/>
  <c r="K52" i="14"/>
  <c r="K19" i="15"/>
  <c r="K19" i="17" s="1"/>
  <c r="K52" i="17" s="1"/>
  <c r="I7" i="13"/>
  <c r="F50" i="13"/>
  <c r="F40" i="13"/>
  <c r="L3" i="12"/>
  <c r="C31" i="12"/>
  <c r="E50" i="13"/>
  <c r="E40" i="13"/>
  <c r="W54" i="15"/>
  <c r="W54" i="18" s="1"/>
  <c r="W54" i="20" s="1"/>
  <c r="V54" i="15"/>
  <c r="V54" i="18" s="1"/>
  <c r="V54" i="20" s="1"/>
  <c r="X53" i="15"/>
  <c r="X53" i="18" s="1"/>
  <c r="X53" i="20" s="1"/>
  <c r="H6" i="13"/>
  <c r="K9" i="13"/>
  <c r="I20" i="15"/>
  <c r="I20" i="17" s="1"/>
  <c r="I53" i="17" s="1"/>
  <c r="I53" i="14"/>
  <c r="H54" i="15"/>
  <c r="H54" i="18"/>
  <c r="H54" i="20"/>
  <c r="F44" i="13"/>
  <c r="F54" i="13"/>
  <c r="F21" i="15"/>
  <c r="F21" i="17" s="1"/>
  <c r="F54" i="17" s="1"/>
  <c r="C3" i="12"/>
  <c r="C21" i="12"/>
  <c r="C35" i="12"/>
  <c r="E44" i="13"/>
  <c r="E54" i="13"/>
  <c r="E21" i="15"/>
  <c r="E21" i="17" s="1"/>
  <c r="E54" i="17" s="1"/>
  <c r="J53" i="14"/>
  <c r="J20" i="15"/>
  <c r="J20" i="17" s="1"/>
  <c r="J53" i="17" s="1"/>
  <c r="G6" i="13"/>
  <c r="F41" i="13"/>
  <c r="F51" i="13"/>
  <c r="J7" i="13"/>
  <c r="H20" i="14"/>
  <c r="U21" i="15"/>
  <c r="D35" i="12"/>
  <c r="F5" i="13"/>
  <c r="G36" i="12"/>
  <c r="E36" i="12"/>
  <c r="E42" i="13"/>
  <c r="E52" i="13"/>
  <c r="G54" i="20"/>
  <c r="G54" i="15"/>
  <c r="G54" i="18"/>
  <c r="E43" i="13"/>
  <c r="E53" i="13"/>
  <c r="E5" i="13"/>
  <c r="D2" i="13"/>
  <c r="D3" i="13" s="1"/>
  <c r="D4" i="13" s="1"/>
  <c r="D18" i="13"/>
  <c r="D21" i="13"/>
  <c r="D20" i="13"/>
  <c r="D19" i="13"/>
  <c r="D17" i="13"/>
  <c r="D10" i="12"/>
  <c r="F43" i="13"/>
  <c r="F53" i="13"/>
  <c r="T21" i="15"/>
  <c r="G20" i="14"/>
  <c r="E51" i="13"/>
  <c r="E41" i="13"/>
  <c r="T21" i="18" l="1"/>
  <c r="T21" i="20" s="1"/>
  <c r="U21" i="18"/>
  <c r="U21" i="20" s="1"/>
  <c r="J20" i="18"/>
  <c r="K19" i="18"/>
  <c r="F21" i="20"/>
  <c r="E21" i="18"/>
  <c r="I20" i="20"/>
  <c r="F21" i="18"/>
  <c r="I20" i="18"/>
  <c r="K19" i="20"/>
  <c r="K17" i="25" s="1"/>
  <c r="J20" i="20"/>
  <c r="E21" i="20"/>
  <c r="D44" i="12"/>
  <c r="H121" i="33"/>
  <c r="D42" i="13"/>
  <c r="D52" i="13"/>
  <c r="R21" i="15"/>
  <c r="E20" i="14"/>
  <c r="C21" i="13"/>
  <c r="C20" i="13"/>
  <c r="C17" i="13"/>
  <c r="C19" i="13"/>
  <c r="C2" i="13"/>
  <c r="C3" i="13" s="1"/>
  <c r="C4" i="13" s="1"/>
  <c r="C18" i="13"/>
  <c r="C10" i="12"/>
  <c r="I53" i="15"/>
  <c r="I53" i="20"/>
  <c r="I53" i="18"/>
  <c r="K52" i="15"/>
  <c r="K52" i="20"/>
  <c r="K52" i="18"/>
  <c r="H53" i="14"/>
  <c r="H20" i="15"/>
  <c r="H20" i="17" s="1"/>
  <c r="H53" i="17" s="1"/>
  <c r="G20" i="15"/>
  <c r="G20" i="17" s="1"/>
  <c r="G53" i="17" s="1"/>
  <c r="G53" i="14"/>
  <c r="D53" i="13"/>
  <c r="D43" i="13"/>
  <c r="T54" i="15"/>
  <c r="T54" i="18" s="1"/>
  <c r="T54" i="20" s="1"/>
  <c r="V20" i="15"/>
  <c r="I19" i="14"/>
  <c r="D50" i="13"/>
  <c r="D40" i="13"/>
  <c r="D44" i="13"/>
  <c r="D54" i="13"/>
  <c r="D21" i="15"/>
  <c r="D21" i="17" s="1"/>
  <c r="D54" i="17" s="1"/>
  <c r="G7" i="13"/>
  <c r="I8" i="13"/>
  <c r="D41" i="13"/>
  <c r="D51" i="13"/>
  <c r="J8" i="13"/>
  <c r="E54" i="15"/>
  <c r="E54" i="18"/>
  <c r="E54" i="20"/>
  <c r="S21" i="15"/>
  <c r="F20" i="14"/>
  <c r="U54" i="15"/>
  <c r="U54" i="18" s="1"/>
  <c r="U54" i="20" s="1"/>
  <c r="K10" i="13"/>
  <c r="B3" i="12"/>
  <c r="L10" i="12"/>
  <c r="D5" i="13"/>
  <c r="F6" i="13"/>
  <c r="W20" i="15"/>
  <c r="J19" i="14"/>
  <c r="E6" i="13"/>
  <c r="J53" i="15"/>
  <c r="J53" i="20"/>
  <c r="J53" i="18"/>
  <c r="E35" i="12"/>
  <c r="G35" i="12"/>
  <c r="C44" i="12"/>
  <c r="F54" i="20"/>
  <c r="F54" i="15"/>
  <c r="F54" i="18"/>
  <c r="H7" i="13"/>
  <c r="K18" i="14"/>
  <c r="X19" i="15"/>
  <c r="W20" i="18" l="1"/>
  <c r="W20" i="20" s="1"/>
  <c r="X19" i="18"/>
  <c r="X19" i="20" s="1"/>
  <c r="S21" i="18"/>
  <c r="S21" i="20" s="1"/>
  <c r="V20" i="18"/>
  <c r="V20" i="20" s="1"/>
  <c r="R21" i="18"/>
  <c r="R21" i="20" s="1"/>
  <c r="D21" i="20"/>
  <c r="G20" i="18"/>
  <c r="H20" i="18"/>
  <c r="D21" i="18"/>
  <c r="G20" i="20"/>
  <c r="H20" i="20"/>
  <c r="K18" i="15"/>
  <c r="K18" i="17" s="1"/>
  <c r="K51" i="17" s="1"/>
  <c r="K51" i="14"/>
  <c r="W53" i="15"/>
  <c r="W53" i="18" s="1"/>
  <c r="W53" i="20" s="1"/>
  <c r="C40" i="13"/>
  <c r="C50" i="13"/>
  <c r="R54" i="15"/>
  <c r="R54" i="18" s="1"/>
  <c r="R54" i="20" s="1"/>
  <c r="AH22" i="97"/>
  <c r="K17" i="26"/>
  <c r="K16" i="29" s="1"/>
  <c r="D6" i="13"/>
  <c r="I19" i="15"/>
  <c r="I19" i="17" s="1"/>
  <c r="I52" i="17" s="1"/>
  <c r="I52" i="14"/>
  <c r="C53" i="13"/>
  <c r="C43" i="13"/>
  <c r="G19" i="14"/>
  <c r="T20" i="15"/>
  <c r="J19" i="15"/>
  <c r="J19" i="17" s="1"/>
  <c r="J52" i="17" s="1"/>
  <c r="J52" i="14"/>
  <c r="F53" i="14"/>
  <c r="F20" i="15"/>
  <c r="F20" i="17" s="1"/>
  <c r="F53" i="17" s="1"/>
  <c r="D54" i="18"/>
  <c r="D54" i="15"/>
  <c r="D54" i="20"/>
  <c r="C54" i="13"/>
  <c r="C44" i="13"/>
  <c r="C21" i="15"/>
  <c r="C21" i="17" s="1"/>
  <c r="C54" i="17" s="1"/>
  <c r="H8" i="13"/>
  <c r="E7" i="13"/>
  <c r="B19" i="13"/>
  <c r="B18" i="13"/>
  <c r="B21" i="13"/>
  <c r="B20" i="13"/>
  <c r="B17" i="13"/>
  <c r="B2" i="13"/>
  <c r="B3" i="13" s="1"/>
  <c r="B4" i="13" s="1"/>
  <c r="B10" i="12"/>
  <c r="G8" i="13"/>
  <c r="U20" i="15"/>
  <c r="H19" i="14"/>
  <c r="V53" i="15"/>
  <c r="V53" i="18" s="1"/>
  <c r="V53" i="20" s="1"/>
  <c r="E20" i="15"/>
  <c r="E20" i="17" s="1"/>
  <c r="E53" i="17" s="1"/>
  <c r="E53" i="14"/>
  <c r="S54" i="15"/>
  <c r="S54" i="18" s="1"/>
  <c r="S54" i="20" s="1"/>
  <c r="C42" i="13"/>
  <c r="C52" i="13"/>
  <c r="J9" i="13"/>
  <c r="H53" i="15"/>
  <c r="H53" i="18"/>
  <c r="H53" i="20"/>
  <c r="I9" i="13"/>
  <c r="C51" i="13"/>
  <c r="C41" i="13"/>
  <c r="X52" i="15"/>
  <c r="X52" i="18" s="1"/>
  <c r="X52" i="20" s="1"/>
  <c r="F7" i="13"/>
  <c r="K11" i="13"/>
  <c r="Q21" i="15"/>
  <c r="D20" i="14"/>
  <c r="G53" i="15"/>
  <c r="G53" i="20"/>
  <c r="G53" i="18"/>
  <c r="C5" i="13"/>
  <c r="Q21" i="18" l="1"/>
  <c r="Q21" i="20" s="1"/>
  <c r="T20" i="18"/>
  <c r="T20" i="20" s="1"/>
  <c r="U20" i="18"/>
  <c r="U20" i="20" s="1"/>
  <c r="E20" i="20"/>
  <c r="K18" i="20"/>
  <c r="K16" i="25" s="1"/>
  <c r="E20" i="18"/>
  <c r="C21" i="20"/>
  <c r="F20" i="18"/>
  <c r="I19" i="18"/>
  <c r="J19" i="18"/>
  <c r="C21" i="18"/>
  <c r="F20" i="20"/>
  <c r="J19" i="20"/>
  <c r="J17" i="25" s="1"/>
  <c r="I19" i="20"/>
  <c r="I17" i="25" s="1"/>
  <c r="K18" i="18"/>
  <c r="C6" i="13"/>
  <c r="B53" i="13"/>
  <c r="B43" i="13"/>
  <c r="H9" i="13"/>
  <c r="B44" i="13"/>
  <c r="B54" i="13"/>
  <c r="B21" i="15"/>
  <c r="B21" i="17" s="1"/>
  <c r="B54" i="17" s="1"/>
  <c r="W19" i="15"/>
  <c r="J18" i="14"/>
  <c r="B51" i="13"/>
  <c r="B41" i="13"/>
  <c r="C54" i="20"/>
  <c r="C54" i="15"/>
  <c r="C54" i="18"/>
  <c r="K17" i="14"/>
  <c r="X18" i="15"/>
  <c r="U53" i="15"/>
  <c r="U53" i="18" s="1"/>
  <c r="U53" i="20" s="1"/>
  <c r="E53" i="15"/>
  <c r="E53" i="20"/>
  <c r="E53" i="18"/>
  <c r="G9" i="13"/>
  <c r="B42" i="13"/>
  <c r="B52" i="13"/>
  <c r="G52" i="14"/>
  <c r="G19" i="15"/>
  <c r="G19" i="17" s="1"/>
  <c r="G52" i="17" s="1"/>
  <c r="K51" i="15"/>
  <c r="K51" i="20"/>
  <c r="K51" i="18"/>
  <c r="T53" i="15"/>
  <c r="T53" i="18" s="1"/>
  <c r="T53" i="20" s="1"/>
  <c r="K12" i="13"/>
  <c r="K34" i="13"/>
  <c r="E19" i="14"/>
  <c r="R20" i="15"/>
  <c r="C20" i="14"/>
  <c r="P21" i="15"/>
  <c r="F19" i="14"/>
  <c r="S20" i="15"/>
  <c r="D53" i="14"/>
  <c r="D20" i="15"/>
  <c r="D20" i="17" s="1"/>
  <c r="D53" i="17" s="1"/>
  <c r="F53" i="15"/>
  <c r="F53" i="20"/>
  <c r="F53" i="18"/>
  <c r="I10" i="13"/>
  <c r="B5" i="13"/>
  <c r="E8" i="13"/>
  <c r="Q54" i="15"/>
  <c r="Q54" i="18" s="1"/>
  <c r="Q54" i="20" s="1"/>
  <c r="I52" i="15"/>
  <c r="I52" i="18"/>
  <c r="I52" i="20"/>
  <c r="D7" i="13"/>
  <c r="F8" i="13"/>
  <c r="J10" i="13"/>
  <c r="H19" i="15"/>
  <c r="H19" i="17" s="1"/>
  <c r="H52" i="17" s="1"/>
  <c r="H52" i="14"/>
  <c r="B40" i="13"/>
  <c r="B50" i="13"/>
  <c r="J52" i="15"/>
  <c r="J52" i="20"/>
  <c r="J52" i="18"/>
  <c r="V19" i="15"/>
  <c r="I18" i="14"/>
  <c r="X18" i="18" l="1"/>
  <c r="X18" i="20" s="1"/>
  <c r="S20" i="18"/>
  <c r="S20" i="20" s="1"/>
  <c r="V19" i="18"/>
  <c r="V19" i="20" s="1"/>
  <c r="W19" i="18"/>
  <c r="W19" i="20" s="1"/>
  <c r="R20" i="18"/>
  <c r="R20" i="20" s="1"/>
  <c r="H19" i="20"/>
  <c r="H17" i="25" s="1"/>
  <c r="P21" i="18"/>
  <c r="P21" i="20" s="1"/>
  <c r="D20" i="20"/>
  <c r="D20" i="18"/>
  <c r="H19" i="18"/>
  <c r="G19" i="18"/>
  <c r="B21" i="18"/>
  <c r="B21" i="20"/>
  <c r="G19" i="20"/>
  <c r="G17" i="25" s="1"/>
  <c r="D53" i="15"/>
  <c r="D53" i="18"/>
  <c r="D53" i="20"/>
  <c r="C20" i="15"/>
  <c r="C20" i="17" s="1"/>
  <c r="C53" i="17" s="1"/>
  <c r="C53" i="14"/>
  <c r="K50" i="14"/>
  <c r="K17" i="15"/>
  <c r="K17" i="17" s="1"/>
  <c r="K50" i="17" s="1"/>
  <c r="S53" i="15"/>
  <c r="S53" i="18" s="1"/>
  <c r="S53" i="20" s="1"/>
  <c r="X51" i="15"/>
  <c r="X51" i="18" s="1"/>
  <c r="X51" i="20" s="1"/>
  <c r="R53" i="15"/>
  <c r="R53" i="18" s="1"/>
  <c r="R53" i="20" s="1"/>
  <c r="B20" i="14"/>
  <c r="O21" i="15"/>
  <c r="AF22" i="97"/>
  <c r="I17" i="26"/>
  <c r="I16" i="29" s="1"/>
  <c r="K13" i="13"/>
  <c r="K45" i="13"/>
  <c r="K35" i="13"/>
  <c r="H10" i="13"/>
  <c r="C7" i="13"/>
  <c r="J11" i="13"/>
  <c r="W52" i="15"/>
  <c r="W52" i="18" s="1"/>
  <c r="W52" i="20" s="1"/>
  <c r="H52" i="15"/>
  <c r="H52" i="18"/>
  <c r="H52" i="20"/>
  <c r="F9" i="13"/>
  <c r="V52" i="15"/>
  <c r="V52" i="18" s="1"/>
  <c r="V52" i="20" s="1"/>
  <c r="E9" i="13"/>
  <c r="I11" i="13"/>
  <c r="E52" i="14"/>
  <c r="E19" i="15"/>
  <c r="E19" i="17" s="1"/>
  <c r="E52" i="17" s="1"/>
  <c r="T19" i="15"/>
  <c r="G18" i="14"/>
  <c r="P54" i="15"/>
  <c r="P54" i="18" s="1"/>
  <c r="P54" i="20" s="1"/>
  <c r="B54" i="15"/>
  <c r="B54" i="18"/>
  <c r="B54" i="20"/>
  <c r="AH21" i="97"/>
  <c r="K16" i="26"/>
  <c r="K15" i="29" s="1"/>
  <c r="U19" i="15"/>
  <c r="H18" i="14"/>
  <c r="F19" i="15"/>
  <c r="F19" i="17" s="1"/>
  <c r="F52" i="17" s="1"/>
  <c r="F52" i="14"/>
  <c r="G52" i="15"/>
  <c r="G52" i="18"/>
  <c r="G52" i="20"/>
  <c r="G10" i="13"/>
  <c r="J51" i="14"/>
  <c r="J18" i="15"/>
  <c r="J18" i="17" s="1"/>
  <c r="J51" i="17" s="1"/>
  <c r="I18" i="15"/>
  <c r="I18" i="17" s="1"/>
  <c r="I51" i="17" s="1"/>
  <c r="I51" i="14"/>
  <c r="D8" i="13"/>
  <c r="AG22" i="97"/>
  <c r="J17" i="26"/>
  <c r="J16" i="29" s="1"/>
  <c r="B6" i="13"/>
  <c r="D19" i="14"/>
  <c r="Q20" i="15"/>
  <c r="T19" i="18" l="1"/>
  <c r="T19" i="20" s="1"/>
  <c r="U19" i="18"/>
  <c r="U19" i="20" s="1"/>
  <c r="F19" i="20"/>
  <c r="F17" i="25" s="1"/>
  <c r="F19" i="18"/>
  <c r="Q20" i="18"/>
  <c r="Q20" i="20" s="1"/>
  <c r="O21" i="18"/>
  <c r="O21" i="20" s="1"/>
  <c r="E19" i="18"/>
  <c r="J18" i="20"/>
  <c r="J16" i="25" s="1"/>
  <c r="K17" i="20"/>
  <c r="K15" i="25" s="1"/>
  <c r="C20" i="20"/>
  <c r="I18" i="18"/>
  <c r="K17" i="18"/>
  <c r="C20" i="18"/>
  <c r="I18" i="20"/>
  <c r="I16" i="25" s="1"/>
  <c r="J18" i="18"/>
  <c r="E19" i="20"/>
  <c r="E17" i="25" s="1"/>
  <c r="D19" i="15"/>
  <c r="D19" i="17" s="1"/>
  <c r="D52" i="17" s="1"/>
  <c r="D52" i="14"/>
  <c r="I17" i="14"/>
  <c r="V18" i="15"/>
  <c r="I12" i="13"/>
  <c r="I34" i="13"/>
  <c r="F10" i="13"/>
  <c r="J12" i="13"/>
  <c r="J34" i="13"/>
  <c r="C53" i="15"/>
  <c r="C53" i="20"/>
  <c r="C53" i="18"/>
  <c r="O54" i="15"/>
  <c r="O54" i="18" s="1"/>
  <c r="O54" i="20" s="1"/>
  <c r="K36" i="13"/>
  <c r="K14" i="13"/>
  <c r="K46" i="13"/>
  <c r="AD22" i="97"/>
  <c r="G17" i="26"/>
  <c r="G16" i="29" s="1"/>
  <c r="C19" i="14"/>
  <c r="P20" i="15"/>
  <c r="X17" i="15"/>
  <c r="K16" i="14"/>
  <c r="G11" i="13"/>
  <c r="E18" i="14"/>
  <c r="R19" i="15"/>
  <c r="E10" i="13"/>
  <c r="C8" i="13"/>
  <c r="K50" i="15"/>
  <c r="K50" i="20"/>
  <c r="K50" i="18"/>
  <c r="F18" i="14"/>
  <c r="S19" i="15"/>
  <c r="B7" i="13"/>
  <c r="W18" i="15"/>
  <c r="J17" i="14"/>
  <c r="E52" i="15"/>
  <c r="E52" i="20"/>
  <c r="E52" i="18"/>
  <c r="U52" i="15"/>
  <c r="U52" i="18" s="1"/>
  <c r="U52" i="20" s="1"/>
  <c r="B20" i="15"/>
  <c r="B20" i="17" s="1"/>
  <c r="B53" i="17" s="1"/>
  <c r="B53" i="14"/>
  <c r="Q53" i="15"/>
  <c r="Q53" i="18" s="1"/>
  <c r="Q53" i="20" s="1"/>
  <c r="AE22" i="97"/>
  <c r="H17" i="26"/>
  <c r="H16" i="29" s="1"/>
  <c r="J51" i="15"/>
  <c r="J51" i="18"/>
  <c r="J51" i="20"/>
  <c r="T52" i="15"/>
  <c r="T52" i="18" s="1"/>
  <c r="T52" i="20" s="1"/>
  <c r="H18" i="15"/>
  <c r="H18" i="17" s="1"/>
  <c r="H51" i="17" s="1"/>
  <c r="H51" i="14"/>
  <c r="G18" i="15"/>
  <c r="G18" i="17" s="1"/>
  <c r="G51" i="17" s="1"/>
  <c r="G51" i="14"/>
  <c r="F52" i="15"/>
  <c r="F52" i="20"/>
  <c r="F52" i="18"/>
  <c r="D9" i="13"/>
  <c r="I51" i="15"/>
  <c r="I51" i="20"/>
  <c r="I51" i="18"/>
  <c r="H11" i="13"/>
  <c r="S19" i="18" l="1"/>
  <c r="S19" i="20" s="1"/>
  <c r="R19" i="18"/>
  <c r="W18" i="18"/>
  <c r="W18" i="20" s="1"/>
  <c r="P20" i="18"/>
  <c r="P20" i="20" s="1"/>
  <c r="V18" i="18"/>
  <c r="V18" i="20" s="1"/>
  <c r="G18" i="20"/>
  <c r="G16" i="25" s="1"/>
  <c r="H18" i="20"/>
  <c r="H16" i="25" s="1"/>
  <c r="G18" i="18"/>
  <c r="H18" i="18"/>
  <c r="R19" i="20"/>
  <c r="X17" i="18"/>
  <c r="X17" i="20" s="1"/>
  <c r="L12" i="27" s="1"/>
  <c r="V13" i="32" s="1"/>
  <c r="K17" i="97" s="1"/>
  <c r="B20" i="18"/>
  <c r="D19" i="20"/>
  <c r="D17" i="25" s="1"/>
  <c r="B20" i="20"/>
  <c r="D19" i="18"/>
  <c r="H17" i="14"/>
  <c r="U18" i="15"/>
  <c r="I17" i="15"/>
  <c r="I17" i="17" s="1"/>
  <c r="I50" i="17" s="1"/>
  <c r="I50" i="14"/>
  <c r="X50" i="15"/>
  <c r="X50" i="18" s="1"/>
  <c r="X50" i="20" s="1"/>
  <c r="G12" i="13"/>
  <c r="G34" i="13"/>
  <c r="J13" i="13"/>
  <c r="J45" i="13"/>
  <c r="J35" i="13"/>
  <c r="B53" i="15"/>
  <c r="B53" i="18"/>
  <c r="B53" i="20"/>
  <c r="R52" i="15"/>
  <c r="R52" i="18" s="1"/>
  <c r="R52" i="20" s="1"/>
  <c r="K15" i="13"/>
  <c r="K47" i="13"/>
  <c r="K37" i="13"/>
  <c r="P53" i="15"/>
  <c r="P53" i="18" s="1"/>
  <c r="P53" i="20" s="1"/>
  <c r="B8" i="13"/>
  <c r="E11" i="13"/>
  <c r="D10" i="13"/>
  <c r="G51" i="15"/>
  <c r="G51" i="20"/>
  <c r="G51" i="18"/>
  <c r="AC22" i="97"/>
  <c r="F17" i="26"/>
  <c r="F16" i="29" s="1"/>
  <c r="G17" i="14"/>
  <c r="T18" i="15"/>
  <c r="B19" i="14"/>
  <c r="O20" i="15"/>
  <c r="F51" i="14"/>
  <c r="F18" i="15"/>
  <c r="F18" i="17" s="1"/>
  <c r="F51" i="17" s="1"/>
  <c r="E51" i="14"/>
  <c r="E18" i="15"/>
  <c r="E18" i="17" s="1"/>
  <c r="E51" i="17" s="1"/>
  <c r="C52" i="14"/>
  <c r="C19" i="15"/>
  <c r="C19" i="17" s="1"/>
  <c r="C52" i="17" s="1"/>
  <c r="I13" i="13"/>
  <c r="I45" i="13"/>
  <c r="I35" i="13"/>
  <c r="D52" i="15"/>
  <c r="D52" i="18"/>
  <c r="D52" i="20"/>
  <c r="W51" i="15"/>
  <c r="W51" i="18" s="1"/>
  <c r="W51" i="20" s="1"/>
  <c r="AG21" i="97"/>
  <c r="J16" i="26"/>
  <c r="J15" i="29" s="1"/>
  <c r="J17" i="15"/>
  <c r="J17" i="17" s="1"/>
  <c r="J50" i="17" s="1"/>
  <c r="J50" i="14"/>
  <c r="C9" i="13"/>
  <c r="K49" i="14"/>
  <c r="AH20" i="97"/>
  <c r="K15" i="26"/>
  <c r="K14" i="29" s="1"/>
  <c r="F11" i="13"/>
  <c r="Q19" i="15"/>
  <c r="D18" i="14"/>
  <c r="H12" i="13"/>
  <c r="H34" i="13"/>
  <c r="AB22" i="97"/>
  <c r="E17" i="26"/>
  <c r="E16" i="29" s="1"/>
  <c r="S52" i="15"/>
  <c r="S52" i="18" s="1"/>
  <c r="S52" i="20" s="1"/>
  <c r="V51" i="15"/>
  <c r="V51" i="18" s="1"/>
  <c r="V51" i="20" s="1"/>
  <c r="H51" i="15"/>
  <c r="H51" i="18"/>
  <c r="H51" i="20"/>
  <c r="AF21" i="97"/>
  <c r="I16" i="26"/>
  <c r="I15" i="29" s="1"/>
  <c r="U18" i="18" l="1"/>
  <c r="U18" i="20" s="1"/>
  <c r="T18" i="18"/>
  <c r="T18" i="20" s="1"/>
  <c r="O20" i="18"/>
  <c r="O20" i="20" s="1"/>
  <c r="Q19" i="18"/>
  <c r="Q19" i="20" s="1"/>
  <c r="J17" i="20"/>
  <c r="J15" i="25" s="1"/>
  <c r="I17" i="20"/>
  <c r="I15" i="25" s="1"/>
  <c r="C19" i="20"/>
  <c r="C17" i="25" s="1"/>
  <c r="E18" i="18"/>
  <c r="F18" i="20"/>
  <c r="F16" i="25" s="1"/>
  <c r="I17" i="18"/>
  <c r="J17" i="18"/>
  <c r="C19" i="18"/>
  <c r="E18" i="20"/>
  <c r="E16" i="25" s="1"/>
  <c r="F18" i="18"/>
  <c r="U51" i="15"/>
  <c r="U51" i="18" s="1"/>
  <c r="U51" i="20" s="1"/>
  <c r="E12" i="13"/>
  <c r="E34" i="13"/>
  <c r="H13" i="13"/>
  <c r="H45" i="13"/>
  <c r="H35" i="13"/>
  <c r="C10" i="13"/>
  <c r="G17" i="15"/>
  <c r="G17" i="17" s="1"/>
  <c r="G50" i="17" s="1"/>
  <c r="G50" i="14"/>
  <c r="D51" i="14"/>
  <c r="D18" i="15"/>
  <c r="D18" i="17" s="1"/>
  <c r="D51" i="17" s="1"/>
  <c r="P19" i="15"/>
  <c r="C18" i="14"/>
  <c r="S18" i="15"/>
  <c r="F17" i="14"/>
  <c r="D11" i="13"/>
  <c r="O53" i="15"/>
  <c r="O53" i="18" s="1"/>
  <c r="O53" i="20" s="1"/>
  <c r="Q52" i="15"/>
  <c r="Q52" i="18" s="1"/>
  <c r="Q52" i="20" s="1"/>
  <c r="C52" i="15"/>
  <c r="C52" i="18"/>
  <c r="C52" i="20"/>
  <c r="F51" i="15"/>
  <c r="F51" i="18"/>
  <c r="F51" i="20"/>
  <c r="B9" i="13"/>
  <c r="AE21" i="97"/>
  <c r="H16" i="26"/>
  <c r="H15" i="29" s="1"/>
  <c r="G13" i="13"/>
  <c r="G45" i="13"/>
  <c r="G35" i="13"/>
  <c r="I50" i="15"/>
  <c r="I50" i="20"/>
  <c r="I50" i="18"/>
  <c r="H17" i="15"/>
  <c r="H17" i="17" s="1"/>
  <c r="H50" i="17" s="1"/>
  <c r="H50" i="14"/>
  <c r="F12" i="13"/>
  <c r="F34" i="13"/>
  <c r="J50" i="15"/>
  <c r="J50" i="20"/>
  <c r="J50" i="18"/>
  <c r="B52" i="14"/>
  <c r="B19" i="15"/>
  <c r="B19" i="17" s="1"/>
  <c r="B52" i="17" s="1"/>
  <c r="K38" i="13"/>
  <c r="K16" i="13"/>
  <c r="K48" i="13"/>
  <c r="J46" i="13"/>
  <c r="J14" i="13"/>
  <c r="J36" i="13"/>
  <c r="I16" i="14"/>
  <c r="V17" i="15"/>
  <c r="I46" i="13"/>
  <c r="I36" i="13"/>
  <c r="I14" i="13"/>
  <c r="W17" i="15"/>
  <c r="J16" i="14"/>
  <c r="R18" i="15"/>
  <c r="E17" i="14"/>
  <c r="AA22" i="97"/>
  <c r="D17" i="26"/>
  <c r="D16" i="29" s="1"/>
  <c r="T51" i="15"/>
  <c r="T51" i="18" s="1"/>
  <c r="T51" i="20" s="1"/>
  <c r="E51" i="15"/>
  <c r="E51" i="20"/>
  <c r="E51" i="18"/>
  <c r="AD21" i="97"/>
  <c r="G16" i="26"/>
  <c r="G15" i="29" s="1"/>
  <c r="W17" i="18" l="1"/>
  <c r="W17" i="20" s="1"/>
  <c r="K12" i="27" s="1"/>
  <c r="U13" i="32" s="1"/>
  <c r="J17" i="97" s="1"/>
  <c r="V17" i="18"/>
  <c r="V17" i="20" s="1"/>
  <c r="J12" i="27" s="1"/>
  <c r="T13" i="32" s="1"/>
  <c r="I17" i="97" s="1"/>
  <c r="R18" i="18"/>
  <c r="R18" i="20" s="1"/>
  <c r="P19" i="18"/>
  <c r="P19" i="20" s="1"/>
  <c r="S18" i="18"/>
  <c r="S18" i="20" s="1"/>
  <c r="B19" i="18"/>
  <c r="B19" i="20"/>
  <c r="B17" i="25" s="1"/>
  <c r="D18" i="20"/>
  <c r="D16" i="25" s="1"/>
  <c r="G17" i="18"/>
  <c r="H17" i="20"/>
  <c r="H15" i="25" s="1"/>
  <c r="H17" i="18"/>
  <c r="D18" i="18"/>
  <c r="G17" i="20"/>
  <c r="G15" i="25" s="1"/>
  <c r="O19" i="15"/>
  <c r="O19" i="18" s="1"/>
  <c r="B18" i="14"/>
  <c r="S51" i="15"/>
  <c r="S51" i="18" s="1"/>
  <c r="S51" i="20" s="1"/>
  <c r="Z22" i="97"/>
  <c r="C17" i="26"/>
  <c r="C16" i="29" s="1"/>
  <c r="E50" i="14"/>
  <c r="E17" i="15"/>
  <c r="E17" i="17" s="1"/>
  <c r="E50" i="17" s="1"/>
  <c r="I47" i="13"/>
  <c r="I37" i="13"/>
  <c r="I15" i="13"/>
  <c r="G50" i="15"/>
  <c r="G50" i="20"/>
  <c r="G50" i="18"/>
  <c r="J37" i="13"/>
  <c r="J47" i="13"/>
  <c r="J15" i="13"/>
  <c r="AB21" i="97"/>
  <c r="E16" i="26"/>
  <c r="E15" i="29" s="1"/>
  <c r="H50" i="15"/>
  <c r="H50" i="20"/>
  <c r="H50" i="18"/>
  <c r="P52" i="15"/>
  <c r="P52" i="18" s="1"/>
  <c r="P52" i="20" s="1"/>
  <c r="D12" i="13"/>
  <c r="D34" i="13"/>
  <c r="G16" i="14"/>
  <c r="T17" i="15"/>
  <c r="H36" i="13"/>
  <c r="H14" i="13"/>
  <c r="H46" i="13"/>
  <c r="B52" i="15"/>
  <c r="B52" i="20"/>
  <c r="B52" i="18"/>
  <c r="E45" i="13"/>
  <c r="E13" i="13"/>
  <c r="E35" i="13"/>
  <c r="R51" i="15"/>
  <c r="R51" i="18" s="1"/>
  <c r="R51" i="20" s="1"/>
  <c r="U17" i="15"/>
  <c r="H16" i="14"/>
  <c r="B10" i="13"/>
  <c r="AF20" i="97"/>
  <c r="I15" i="26"/>
  <c r="I14" i="29" s="1"/>
  <c r="F50" i="14"/>
  <c r="F17" i="15"/>
  <c r="F17" i="17" s="1"/>
  <c r="F50" i="17" s="1"/>
  <c r="AC21" i="97"/>
  <c r="F16" i="26"/>
  <c r="F15" i="29" s="1"/>
  <c r="K49" i="13"/>
  <c r="K43" i="17" s="1"/>
  <c r="K39" i="13"/>
  <c r="K42" i="22" s="1"/>
  <c r="K10" i="17"/>
  <c r="K16" i="15"/>
  <c r="K16" i="17" s="1"/>
  <c r="K49" i="17" s="1"/>
  <c r="K11" i="17"/>
  <c r="J49" i="14"/>
  <c r="I49" i="14"/>
  <c r="W50" i="15"/>
  <c r="W50" i="18" s="1"/>
  <c r="W50" i="20" s="1"/>
  <c r="D17" i="14"/>
  <c r="Q18" i="15"/>
  <c r="C11" i="13"/>
  <c r="K9" i="17"/>
  <c r="F45" i="13"/>
  <c r="F13" i="13"/>
  <c r="F35" i="13"/>
  <c r="V50" i="15"/>
  <c r="V50" i="18" s="1"/>
  <c r="V50" i="20" s="1"/>
  <c r="G14" i="13"/>
  <c r="G36" i="13"/>
  <c r="G46" i="13"/>
  <c r="AG20" i="97"/>
  <c r="J15" i="26"/>
  <c r="J14" i="29" s="1"/>
  <c r="C18" i="15"/>
  <c r="C18" i="17" s="1"/>
  <c r="C51" i="17" s="1"/>
  <c r="C51" i="14"/>
  <c r="D51" i="15"/>
  <c r="D51" i="20"/>
  <c r="D51" i="18"/>
  <c r="K29" i="22" l="1"/>
  <c r="K16" i="22" s="1"/>
  <c r="T17" i="18"/>
  <c r="T17" i="20" s="1"/>
  <c r="H12" i="27" s="1"/>
  <c r="R13" i="32" s="1"/>
  <c r="G17" i="97" s="1"/>
  <c r="Q18" i="18"/>
  <c r="Q18" i="20" s="1"/>
  <c r="U17" i="18"/>
  <c r="U17" i="20" s="1"/>
  <c r="I12" i="27" s="1"/>
  <c r="S13" i="32" s="1"/>
  <c r="H17" i="97" s="1"/>
  <c r="O19" i="20"/>
  <c r="C18" i="20"/>
  <c r="C16" i="25" s="1"/>
  <c r="C18" i="18"/>
  <c r="F17" i="18"/>
  <c r="F17" i="20"/>
  <c r="F15" i="25" s="1"/>
  <c r="K16" i="20"/>
  <c r="K14" i="25" s="1"/>
  <c r="E17" i="20"/>
  <c r="E15" i="25" s="1"/>
  <c r="K16" i="18"/>
  <c r="E17" i="18"/>
  <c r="K44" i="17"/>
  <c r="X16" i="15"/>
  <c r="K15" i="14"/>
  <c r="AA21" i="97"/>
  <c r="D16" i="26"/>
  <c r="D15" i="29" s="1"/>
  <c r="E36" i="13"/>
  <c r="E14" i="13"/>
  <c r="E46" i="13"/>
  <c r="D50" i="14"/>
  <c r="D17" i="15"/>
  <c r="D17" i="17" s="1"/>
  <c r="D50" i="17" s="1"/>
  <c r="D45" i="13"/>
  <c r="D13" i="13"/>
  <c r="D35" i="13"/>
  <c r="T50" i="15"/>
  <c r="T50" i="18" s="1"/>
  <c r="T50" i="20" s="1"/>
  <c r="E50" i="15"/>
  <c r="E50" i="20"/>
  <c r="E50" i="18"/>
  <c r="AD20" i="97"/>
  <c r="G15" i="26"/>
  <c r="G14" i="29" s="1"/>
  <c r="Y22" i="97"/>
  <c r="B17" i="26"/>
  <c r="B11" i="13"/>
  <c r="G15" i="13"/>
  <c r="G47" i="13"/>
  <c r="G37" i="13"/>
  <c r="AE20" i="97"/>
  <c r="H15" i="26"/>
  <c r="H14" i="29" s="1"/>
  <c r="F16" i="14"/>
  <c r="S17" i="15"/>
  <c r="G49" i="14"/>
  <c r="J16" i="13"/>
  <c r="J48" i="13"/>
  <c r="J38" i="13"/>
  <c r="I16" i="13"/>
  <c r="I10" i="17" s="1"/>
  <c r="I48" i="13"/>
  <c r="I38" i="13"/>
  <c r="H47" i="13"/>
  <c r="H15" i="13"/>
  <c r="H37" i="13"/>
  <c r="Q51" i="15"/>
  <c r="Q51" i="18" s="1"/>
  <c r="Q51" i="20" s="1"/>
  <c r="C12" i="13"/>
  <c r="C34" i="13"/>
  <c r="K49" i="18"/>
  <c r="K49" i="20"/>
  <c r="K42" i="17"/>
  <c r="K49" i="15"/>
  <c r="F50" i="15"/>
  <c r="F50" i="20"/>
  <c r="F50" i="18"/>
  <c r="B51" i="14"/>
  <c r="B18" i="15"/>
  <c r="B18" i="17" s="1"/>
  <c r="B51" i="17" s="1"/>
  <c r="C51" i="15"/>
  <c r="C51" i="20"/>
  <c r="C51" i="18"/>
  <c r="P18" i="15"/>
  <c r="C17" i="14"/>
  <c r="F36" i="13"/>
  <c r="F14" i="13"/>
  <c r="F46" i="13"/>
  <c r="H49" i="14"/>
  <c r="O52" i="15"/>
  <c r="O52" i="18" s="1"/>
  <c r="O52" i="20" s="1"/>
  <c r="U50" i="15"/>
  <c r="U50" i="18" s="1"/>
  <c r="U50" i="20" s="1"/>
  <c r="E16" i="14"/>
  <c r="R17" i="15"/>
  <c r="K3" i="22" l="1"/>
  <c r="K55" i="22"/>
  <c r="X16" i="18"/>
  <c r="X16" i="20" s="1"/>
  <c r="L11" i="27" s="1"/>
  <c r="V12" i="32" s="1"/>
  <c r="K16" i="97" s="1"/>
  <c r="S17" i="18"/>
  <c r="S17" i="20" s="1"/>
  <c r="G12" i="27" s="1"/>
  <c r="Q13" i="32" s="1"/>
  <c r="F17" i="97" s="1"/>
  <c r="P18" i="18"/>
  <c r="P18" i="20" s="1"/>
  <c r="R17" i="18"/>
  <c r="R17" i="20" s="1"/>
  <c r="F12" i="27" s="1"/>
  <c r="P13" i="32" s="1"/>
  <c r="E17" i="97" s="1"/>
  <c r="D17" i="18"/>
  <c r="D17" i="20"/>
  <c r="D15" i="25" s="1"/>
  <c r="B18" i="18"/>
  <c r="B18" i="20"/>
  <c r="B16" i="25" s="1"/>
  <c r="C50" i="14"/>
  <c r="C17" i="15"/>
  <c r="C17" i="17" s="1"/>
  <c r="C50" i="17" s="1"/>
  <c r="C13" i="13"/>
  <c r="C45" i="13"/>
  <c r="C35" i="13"/>
  <c r="B12" i="13"/>
  <c r="B34" i="13"/>
  <c r="E15" i="13"/>
  <c r="E47" i="13"/>
  <c r="E37" i="13"/>
  <c r="F49" i="14"/>
  <c r="D14" i="13"/>
  <c r="D46" i="13"/>
  <c r="D36" i="13"/>
  <c r="S50" i="15"/>
  <c r="S50" i="18" s="1"/>
  <c r="S50" i="20" s="1"/>
  <c r="G38" i="13"/>
  <c r="G48" i="13"/>
  <c r="G16" i="13"/>
  <c r="E49" i="14"/>
  <c r="Z21" i="97"/>
  <c r="C16" i="26"/>
  <c r="C15" i="29" s="1"/>
  <c r="B17" i="14"/>
  <c r="O18" i="15"/>
  <c r="O18" i="18" s="1"/>
  <c r="X49" i="15"/>
  <c r="X49" i="18" s="1"/>
  <c r="X49" i="20" s="1"/>
  <c r="K48" i="14"/>
  <c r="K15" i="15"/>
  <c r="K15" i="17" s="1"/>
  <c r="K48" i="17" s="1"/>
  <c r="P51" i="15"/>
  <c r="P51" i="18" s="1"/>
  <c r="P51" i="20" s="1"/>
  <c r="D16" i="14"/>
  <c r="Q17" i="15"/>
  <c r="AB20" i="97"/>
  <c r="E15" i="26"/>
  <c r="E14" i="29" s="1"/>
  <c r="F15" i="13"/>
  <c r="F47" i="13"/>
  <c r="F37" i="13"/>
  <c r="H38" i="13"/>
  <c r="H48" i="13"/>
  <c r="H16" i="13"/>
  <c r="R50" i="15"/>
  <c r="R50" i="18" s="1"/>
  <c r="R50" i="20" s="1"/>
  <c r="D50" i="15"/>
  <c r="D50" i="20"/>
  <c r="D50" i="18"/>
  <c r="AH19" i="97"/>
  <c r="K14" i="26"/>
  <c r="K13" i="29" s="1"/>
  <c r="B51" i="15"/>
  <c r="B51" i="18"/>
  <c r="B51" i="20"/>
  <c r="I39" i="13"/>
  <c r="I49" i="13"/>
  <c r="I9" i="17"/>
  <c r="I16" i="15"/>
  <c r="I16" i="17" s="1"/>
  <c r="I49" i="17" s="1"/>
  <c r="I11" i="17"/>
  <c r="J49" i="13"/>
  <c r="J39" i="13"/>
  <c r="J42" i="22" s="1"/>
  <c r="J9" i="17"/>
  <c r="J11" i="17"/>
  <c r="J10" i="17"/>
  <c r="J16" i="15"/>
  <c r="J16" i="17" s="1"/>
  <c r="J49" i="17" s="1"/>
  <c r="G10" i="17"/>
  <c r="B16" i="29"/>
  <c r="L17" i="26"/>
  <c r="AC20" i="97"/>
  <c r="F15" i="26"/>
  <c r="F14" i="29" s="1"/>
  <c r="I42" i="22" l="1"/>
  <c r="I29" i="22" s="1"/>
  <c r="I16" i="22" s="1"/>
  <c r="J29" i="22"/>
  <c r="J16" i="22" s="1"/>
  <c r="Q17" i="18"/>
  <c r="Q17" i="20" s="1"/>
  <c r="E12" i="27" s="1"/>
  <c r="O13" i="32" s="1"/>
  <c r="D17" i="97" s="1"/>
  <c r="O18" i="20"/>
  <c r="I16" i="20"/>
  <c r="I14" i="25" s="1"/>
  <c r="I16" i="18"/>
  <c r="K15" i="20"/>
  <c r="K13" i="25" s="1"/>
  <c r="C17" i="20"/>
  <c r="C15" i="25" s="1"/>
  <c r="C17" i="18"/>
  <c r="J16" i="20"/>
  <c r="J14" i="25" s="1"/>
  <c r="J16" i="18"/>
  <c r="K15" i="18"/>
  <c r="G9" i="17"/>
  <c r="K14" i="14"/>
  <c r="X15" i="15"/>
  <c r="B45" i="13"/>
  <c r="B13" i="13"/>
  <c r="B35" i="13"/>
  <c r="H49" i="13"/>
  <c r="H39" i="13"/>
  <c r="H9" i="17"/>
  <c r="H16" i="15"/>
  <c r="H16" i="17" s="1"/>
  <c r="H49" i="17" s="1"/>
  <c r="H11" i="17"/>
  <c r="H10" i="17"/>
  <c r="F48" i="13"/>
  <c r="F38" i="13"/>
  <c r="F16" i="13"/>
  <c r="F11" i="17" s="1"/>
  <c r="K48" i="15"/>
  <c r="K48" i="20"/>
  <c r="K48" i="18"/>
  <c r="E38" i="13"/>
  <c r="E48" i="13"/>
  <c r="E16" i="13"/>
  <c r="J43" i="17"/>
  <c r="J49" i="15"/>
  <c r="J42" i="17"/>
  <c r="J49" i="18"/>
  <c r="J49" i="20"/>
  <c r="D49" i="14"/>
  <c r="AA20" i="97"/>
  <c r="D15" i="26"/>
  <c r="D14" i="29" s="1"/>
  <c r="C16" i="14"/>
  <c r="P17" i="15"/>
  <c r="I44" i="17"/>
  <c r="I49" i="15"/>
  <c r="I49" i="18"/>
  <c r="I49" i="20"/>
  <c r="B50" i="14"/>
  <c r="B17" i="15"/>
  <c r="B17" i="17" s="1"/>
  <c r="B50" i="17" s="1"/>
  <c r="D37" i="13"/>
  <c r="D47" i="13"/>
  <c r="D15" i="13"/>
  <c r="C50" i="15"/>
  <c r="C50" i="20"/>
  <c r="C50" i="18"/>
  <c r="O51" i="15"/>
  <c r="O51" i="18" s="1"/>
  <c r="O51" i="20" s="1"/>
  <c r="J44" i="17"/>
  <c r="Y21" i="97"/>
  <c r="B16" i="26"/>
  <c r="I42" i="17"/>
  <c r="Q50" i="15"/>
  <c r="Q50" i="18" s="1"/>
  <c r="Q50" i="20" s="1"/>
  <c r="W16" i="15"/>
  <c r="J15" i="14"/>
  <c r="I15" i="14"/>
  <c r="V16" i="15"/>
  <c r="I43" i="17"/>
  <c r="G49" i="13"/>
  <c r="G42" i="17" s="1"/>
  <c r="G39" i="13"/>
  <c r="G42" i="22" s="1"/>
  <c r="G16" i="15"/>
  <c r="G16" i="17" s="1"/>
  <c r="G49" i="17" s="1"/>
  <c r="C14" i="13"/>
  <c r="C46" i="13"/>
  <c r="C36" i="13"/>
  <c r="G11" i="17"/>
  <c r="J3" i="22" l="1"/>
  <c r="J55" i="22"/>
  <c r="H42" i="22"/>
  <c r="H29" i="22" s="1"/>
  <c r="H16" i="22" s="1"/>
  <c r="I3" i="22"/>
  <c r="I55" i="22"/>
  <c r="G29" i="22"/>
  <c r="G16" i="22" s="1"/>
  <c r="V16" i="18"/>
  <c r="V16" i="20" s="1"/>
  <c r="J11" i="27" s="1"/>
  <c r="T12" i="32" s="1"/>
  <c r="I16" i="97" s="1"/>
  <c r="X15" i="18"/>
  <c r="X15" i="20" s="1"/>
  <c r="L10" i="27" s="1"/>
  <c r="V11" i="32" s="1"/>
  <c r="K15" i="97" s="1"/>
  <c r="W16" i="18"/>
  <c r="W16" i="20" s="1"/>
  <c r="K11" i="27" s="1"/>
  <c r="U12" i="32" s="1"/>
  <c r="J16" i="97" s="1"/>
  <c r="P17" i="18"/>
  <c r="P17" i="20" s="1"/>
  <c r="D12" i="27" s="1"/>
  <c r="N13" i="32" s="1"/>
  <c r="C17" i="97" s="1"/>
  <c r="H16" i="18"/>
  <c r="B17" i="20"/>
  <c r="B15" i="25" s="1"/>
  <c r="G16" i="20"/>
  <c r="G14" i="25" s="1"/>
  <c r="B17" i="18"/>
  <c r="G16" i="18"/>
  <c r="H16" i="20"/>
  <c r="H14" i="25" s="1"/>
  <c r="E11" i="17"/>
  <c r="E10" i="17"/>
  <c r="V49" i="15"/>
  <c r="V49" i="18" s="1"/>
  <c r="V49" i="20" s="1"/>
  <c r="W49" i="15"/>
  <c r="W49" i="18" s="1"/>
  <c r="W49" i="20" s="1"/>
  <c r="AG19" i="97"/>
  <c r="J14" i="26"/>
  <c r="J13" i="29" s="1"/>
  <c r="J15" i="15"/>
  <c r="J15" i="17" s="1"/>
  <c r="J48" i="17" s="1"/>
  <c r="J48" i="14"/>
  <c r="O17" i="15"/>
  <c r="B16" i="14"/>
  <c r="C37" i="13"/>
  <c r="C15" i="13"/>
  <c r="C47" i="13"/>
  <c r="G49" i="15"/>
  <c r="G49" i="20"/>
  <c r="G49" i="18"/>
  <c r="B15" i="29"/>
  <c r="L16" i="26"/>
  <c r="B50" i="15"/>
  <c r="B50" i="20"/>
  <c r="B50" i="18"/>
  <c r="AF19" i="97"/>
  <c r="I14" i="26"/>
  <c r="I13" i="29" s="1"/>
  <c r="H49" i="15"/>
  <c r="H43" i="17"/>
  <c r="H44" i="17"/>
  <c r="H49" i="18"/>
  <c r="H49" i="20"/>
  <c r="H42" i="17"/>
  <c r="D48" i="13"/>
  <c r="D16" i="13"/>
  <c r="D38" i="13"/>
  <c r="F39" i="13"/>
  <c r="F42" i="22" s="1"/>
  <c r="F49" i="13"/>
  <c r="F9" i="17"/>
  <c r="F10" i="17"/>
  <c r="F16" i="15"/>
  <c r="F16" i="17" s="1"/>
  <c r="F49" i="17" s="1"/>
  <c r="U16" i="15"/>
  <c r="H15" i="14"/>
  <c r="K14" i="15"/>
  <c r="K14" i="17" s="1"/>
  <c r="K47" i="17" s="1"/>
  <c r="K47" i="14"/>
  <c r="I15" i="15"/>
  <c r="I15" i="17" s="1"/>
  <c r="I48" i="17" s="1"/>
  <c r="I48" i="14"/>
  <c r="AH18" i="97"/>
  <c r="K13" i="26"/>
  <c r="K12" i="29" s="1"/>
  <c r="G44" i="17"/>
  <c r="P50" i="15"/>
  <c r="P50" i="18" s="1"/>
  <c r="P50" i="20" s="1"/>
  <c r="C49" i="14"/>
  <c r="E49" i="13"/>
  <c r="E43" i="17" s="1"/>
  <c r="E39" i="13"/>
  <c r="E42" i="22" s="1"/>
  <c r="E9" i="17"/>
  <c r="E16" i="15"/>
  <c r="E16" i="17" s="1"/>
  <c r="E49" i="17" s="1"/>
  <c r="X48" i="15"/>
  <c r="X48" i="18" s="1"/>
  <c r="X48" i="20" s="1"/>
  <c r="T16" i="15"/>
  <c r="G15" i="14"/>
  <c r="Z20" i="97"/>
  <c r="C15" i="26"/>
  <c r="C14" i="29" s="1"/>
  <c r="B36" i="13"/>
  <c r="B14" i="13"/>
  <c r="B46" i="13"/>
  <c r="G43" i="17"/>
  <c r="G3" i="22" l="1"/>
  <c r="G55" i="22"/>
  <c r="H3" i="22"/>
  <c r="H55" i="22"/>
  <c r="F29" i="22"/>
  <c r="F16" i="22" s="1"/>
  <c r="E29" i="22"/>
  <c r="E16" i="22" s="1"/>
  <c r="T16" i="18"/>
  <c r="T16" i="20" s="1"/>
  <c r="H11" i="27" s="1"/>
  <c r="R12" i="32" s="1"/>
  <c r="G16" i="97" s="1"/>
  <c r="U16" i="18"/>
  <c r="U16" i="20" s="1"/>
  <c r="I11" i="27" s="1"/>
  <c r="S12" i="32" s="1"/>
  <c r="H16" i="97" s="1"/>
  <c r="F16" i="20"/>
  <c r="F14" i="25" s="1"/>
  <c r="O17" i="18"/>
  <c r="O17" i="20" s="1"/>
  <c r="C12" i="27" s="1"/>
  <c r="M13" i="32" s="1"/>
  <c r="B17" i="97" s="1"/>
  <c r="K14" i="20"/>
  <c r="K12" i="25" s="1"/>
  <c r="J15" i="18"/>
  <c r="E16" i="20"/>
  <c r="E14" i="25" s="1"/>
  <c r="I15" i="18"/>
  <c r="K14" i="18"/>
  <c r="F16" i="18"/>
  <c r="E16" i="18"/>
  <c r="I15" i="20"/>
  <c r="I13" i="25" s="1"/>
  <c r="J15" i="20"/>
  <c r="J13" i="25" s="1"/>
  <c r="E49" i="15"/>
  <c r="E44" i="17"/>
  <c r="E49" i="20"/>
  <c r="E49" i="18"/>
  <c r="U49" i="15"/>
  <c r="U49" i="18" s="1"/>
  <c r="U49" i="20" s="1"/>
  <c r="O50" i="15"/>
  <c r="O50" i="18" s="1"/>
  <c r="O50" i="20" s="1"/>
  <c r="X14" i="15"/>
  <c r="K13" i="14"/>
  <c r="S16" i="15"/>
  <c r="F15" i="14"/>
  <c r="B49" i="14"/>
  <c r="B47" i="13"/>
  <c r="B15" i="13"/>
  <c r="B37" i="13"/>
  <c r="R16" i="15"/>
  <c r="E15" i="14"/>
  <c r="E42" i="17"/>
  <c r="D10" i="17"/>
  <c r="AD19" i="97"/>
  <c r="G14" i="26"/>
  <c r="G13" i="29" s="1"/>
  <c r="C38" i="13"/>
  <c r="C48" i="13"/>
  <c r="C16" i="13"/>
  <c r="AE19" i="97"/>
  <c r="H14" i="26"/>
  <c r="H13" i="29" s="1"/>
  <c r="I48" i="15"/>
  <c r="I48" i="20"/>
  <c r="I48" i="18"/>
  <c r="H48" i="14"/>
  <c r="H15" i="15"/>
  <c r="H15" i="17" s="1"/>
  <c r="H48" i="17" s="1"/>
  <c r="V15" i="15"/>
  <c r="I14" i="14"/>
  <c r="D39" i="13"/>
  <c r="D49" i="13"/>
  <c r="D9" i="17"/>
  <c r="D16" i="15"/>
  <c r="D16" i="17" s="1"/>
  <c r="D49" i="17" s="1"/>
  <c r="D11" i="17"/>
  <c r="G15" i="15"/>
  <c r="G15" i="17" s="1"/>
  <c r="G48" i="17" s="1"/>
  <c r="G48" i="14"/>
  <c r="K47" i="15"/>
  <c r="K47" i="18"/>
  <c r="K47" i="20"/>
  <c r="F44" i="17"/>
  <c r="F49" i="20"/>
  <c r="F42" i="17"/>
  <c r="F49" i="15"/>
  <c r="F49" i="18"/>
  <c r="F43" i="17"/>
  <c r="T49" i="15"/>
  <c r="T49" i="18" s="1"/>
  <c r="T49" i="20" s="1"/>
  <c r="J48" i="15"/>
  <c r="J48" i="20"/>
  <c r="J48" i="18"/>
  <c r="J14" i="14"/>
  <c r="W15" i="15"/>
  <c r="Y20" i="97"/>
  <c r="B15" i="26"/>
  <c r="E3" i="22" l="1"/>
  <c r="E55" i="22"/>
  <c r="F3" i="22"/>
  <c r="F55" i="22"/>
  <c r="D42" i="22"/>
  <c r="D29" i="22" s="1"/>
  <c r="D16" i="22" s="1"/>
  <c r="W15" i="18"/>
  <c r="W15" i="20" s="1"/>
  <c r="K10" i="27" s="1"/>
  <c r="U11" i="32" s="1"/>
  <c r="J15" i="97" s="1"/>
  <c r="V15" i="18"/>
  <c r="V15" i="20" s="1"/>
  <c r="J10" i="27" s="1"/>
  <c r="T11" i="32" s="1"/>
  <c r="I15" i="97" s="1"/>
  <c r="X14" i="18"/>
  <c r="X14" i="20" s="1"/>
  <c r="L9" i="27" s="1"/>
  <c r="V10" i="32" s="1"/>
  <c r="K14" i="97" s="1"/>
  <c r="R16" i="18"/>
  <c r="R16" i="20" s="1"/>
  <c r="F11" i="27" s="1"/>
  <c r="P12" i="32" s="1"/>
  <c r="E16" i="97" s="1"/>
  <c r="S16" i="18"/>
  <c r="S16" i="20" s="1"/>
  <c r="G11" i="27" s="1"/>
  <c r="Q12" i="32" s="1"/>
  <c r="F16" i="97" s="1"/>
  <c r="H15" i="18"/>
  <c r="H15" i="20"/>
  <c r="H13" i="25" s="1"/>
  <c r="G15" i="18"/>
  <c r="D16" i="20"/>
  <c r="D14" i="25" s="1"/>
  <c r="G15" i="20"/>
  <c r="G13" i="25" s="1"/>
  <c r="D16" i="18"/>
  <c r="C9" i="17"/>
  <c r="C11" i="17"/>
  <c r="D49" i="15"/>
  <c r="D43" i="17"/>
  <c r="D49" i="20"/>
  <c r="D49" i="18"/>
  <c r="D42" i="17"/>
  <c r="D44" i="17"/>
  <c r="R49" i="15"/>
  <c r="R49" i="18" s="1"/>
  <c r="R49" i="20" s="1"/>
  <c r="X47" i="15"/>
  <c r="X47" i="18" s="1"/>
  <c r="X47" i="20" s="1"/>
  <c r="J47" i="14"/>
  <c r="J14" i="15"/>
  <c r="J14" i="17" s="1"/>
  <c r="J47" i="17" s="1"/>
  <c r="G48" i="15"/>
  <c r="G48" i="20"/>
  <c r="G48" i="18"/>
  <c r="D15" i="14"/>
  <c r="Q16" i="15"/>
  <c r="AB19" i="97"/>
  <c r="E14" i="26"/>
  <c r="E13" i="29" s="1"/>
  <c r="G14" i="14"/>
  <c r="T15" i="15"/>
  <c r="I14" i="15"/>
  <c r="I14" i="17" s="1"/>
  <c r="I47" i="17" s="1"/>
  <c r="I47" i="14"/>
  <c r="AG18" i="97"/>
  <c r="J13" i="26"/>
  <c r="J12" i="29" s="1"/>
  <c r="C49" i="13"/>
  <c r="C39" i="13"/>
  <c r="C16" i="15"/>
  <c r="C16" i="17" s="1"/>
  <c r="C49" i="17" s="1"/>
  <c r="C10" i="17"/>
  <c r="AF18" i="97"/>
  <c r="I13" i="26"/>
  <c r="I12" i="29" s="1"/>
  <c r="B48" i="13"/>
  <c r="B38" i="13"/>
  <c r="B16" i="13"/>
  <c r="F15" i="15"/>
  <c r="F15" i="17" s="1"/>
  <c r="F48" i="17" s="1"/>
  <c r="F48" i="14"/>
  <c r="AC19" i="97"/>
  <c r="F14" i="26"/>
  <c r="F13" i="29" s="1"/>
  <c r="AH17" i="97"/>
  <c r="K12" i="26"/>
  <c r="K11" i="29" s="1"/>
  <c r="H14" i="14"/>
  <c r="U15" i="15"/>
  <c r="E15" i="15"/>
  <c r="E15" i="17" s="1"/>
  <c r="E48" i="17" s="1"/>
  <c r="E48" i="14"/>
  <c r="B14" i="29"/>
  <c r="L15" i="26"/>
  <c r="H48" i="15"/>
  <c r="H48" i="18"/>
  <c r="H48" i="20"/>
  <c r="V48" i="15"/>
  <c r="V48" i="18" s="1"/>
  <c r="V48" i="20" s="1"/>
  <c r="W48" i="15"/>
  <c r="W48" i="18" s="1"/>
  <c r="W48" i="20" s="1"/>
  <c r="S49" i="15"/>
  <c r="S49" i="18" s="1"/>
  <c r="S49" i="20" s="1"/>
  <c r="K13" i="15"/>
  <c r="K13" i="17" s="1"/>
  <c r="K46" i="17" s="1"/>
  <c r="K46" i="14"/>
  <c r="D3" i="22" l="1"/>
  <c r="D55" i="22"/>
  <c r="C42" i="22"/>
  <c r="C29" i="22" s="1"/>
  <c r="C16" i="22" s="1"/>
  <c r="U15" i="18"/>
  <c r="U15" i="20" s="1"/>
  <c r="I10" i="27" s="1"/>
  <c r="S11" i="32" s="1"/>
  <c r="H15" i="97" s="1"/>
  <c r="Q16" i="18"/>
  <c r="Q16" i="20" s="1"/>
  <c r="E11" i="27" s="1"/>
  <c r="O12" i="32" s="1"/>
  <c r="D16" i="97" s="1"/>
  <c r="T15" i="18"/>
  <c r="T15" i="20" s="1"/>
  <c r="H10" i="27" s="1"/>
  <c r="R11" i="32" s="1"/>
  <c r="G15" i="97" s="1"/>
  <c r="E15" i="20"/>
  <c r="E13" i="25" s="1"/>
  <c r="F15" i="20"/>
  <c r="F13" i="25" s="1"/>
  <c r="F15" i="18"/>
  <c r="C16" i="20"/>
  <c r="C14" i="25" s="1"/>
  <c r="J14" i="20"/>
  <c r="J12" i="25" s="1"/>
  <c r="J14" i="18"/>
  <c r="E15" i="18"/>
  <c r="C16" i="18"/>
  <c r="I14" i="20"/>
  <c r="I12" i="25" s="1"/>
  <c r="K13" i="18"/>
  <c r="K13" i="20"/>
  <c r="K11" i="25" s="1"/>
  <c r="I14" i="18"/>
  <c r="C44" i="17"/>
  <c r="C43" i="17"/>
  <c r="AA19" i="97"/>
  <c r="D14" i="26"/>
  <c r="D13" i="29" s="1"/>
  <c r="H14" i="15"/>
  <c r="H14" i="17" s="1"/>
  <c r="H47" i="17" s="1"/>
  <c r="H47" i="14"/>
  <c r="B49" i="13"/>
  <c r="B43" i="17" s="1"/>
  <c r="B39" i="13"/>
  <c r="B10" i="17"/>
  <c r="B11" i="17"/>
  <c r="B16" i="15"/>
  <c r="B16" i="17" s="1"/>
  <c r="B49" i="17" s="1"/>
  <c r="T48" i="15"/>
  <c r="T48" i="18" s="1"/>
  <c r="T48" i="20" s="1"/>
  <c r="E48" i="15"/>
  <c r="E48" i="18"/>
  <c r="E48" i="20"/>
  <c r="AE18" i="97"/>
  <c r="H13" i="26"/>
  <c r="H12" i="29" s="1"/>
  <c r="G14" i="15"/>
  <c r="G14" i="17" s="1"/>
  <c r="G47" i="17" s="1"/>
  <c r="G47" i="14"/>
  <c r="B9" i="17"/>
  <c r="Q49" i="15"/>
  <c r="Q49" i="18" s="1"/>
  <c r="Q49" i="20" s="1"/>
  <c r="R15" i="15"/>
  <c r="E14" i="14"/>
  <c r="AD18" i="97"/>
  <c r="G13" i="26"/>
  <c r="G12" i="29" s="1"/>
  <c r="C15" i="14"/>
  <c r="P16" i="15"/>
  <c r="F48" i="15"/>
  <c r="F48" i="18"/>
  <c r="F48" i="20"/>
  <c r="D15" i="15"/>
  <c r="D15" i="17" s="1"/>
  <c r="D48" i="17" s="1"/>
  <c r="D48" i="14"/>
  <c r="K46" i="15"/>
  <c r="K46" i="18"/>
  <c r="K46" i="20"/>
  <c r="F14" i="14"/>
  <c r="S15" i="15"/>
  <c r="J13" i="14"/>
  <c r="W14" i="15"/>
  <c r="X13" i="15"/>
  <c r="K12" i="14"/>
  <c r="U48" i="15"/>
  <c r="U48" i="18" s="1"/>
  <c r="U48" i="20" s="1"/>
  <c r="C42" i="17"/>
  <c r="C49" i="18"/>
  <c r="C49" i="20"/>
  <c r="C49" i="15"/>
  <c r="I47" i="15"/>
  <c r="I47" i="20"/>
  <c r="I47" i="18"/>
  <c r="J47" i="15"/>
  <c r="J47" i="20"/>
  <c r="J47" i="18"/>
  <c r="I13" i="14"/>
  <c r="V14" i="15"/>
  <c r="C3" i="22" l="1"/>
  <c r="C55" i="22"/>
  <c r="B42" i="22"/>
  <c r="B29" i="22" s="1"/>
  <c r="B16" i="22" s="1"/>
  <c r="S15" i="18"/>
  <c r="S15" i="20" s="1"/>
  <c r="G10" i="27" s="1"/>
  <c r="Q11" i="32" s="1"/>
  <c r="F15" i="97" s="1"/>
  <c r="B44" i="17"/>
  <c r="R15" i="18"/>
  <c r="R15" i="20" s="1"/>
  <c r="F10" i="27" s="1"/>
  <c r="P11" i="32" s="1"/>
  <c r="E15" i="97" s="1"/>
  <c r="P16" i="18"/>
  <c r="P16" i="20" s="1"/>
  <c r="D11" i="27" s="1"/>
  <c r="N12" i="32" s="1"/>
  <c r="C16" i="97" s="1"/>
  <c r="X13" i="18"/>
  <c r="X13" i="20" s="1"/>
  <c r="L8" i="27" s="1"/>
  <c r="V9" i="32" s="1"/>
  <c r="K13" i="97" s="1"/>
  <c r="W14" i="18"/>
  <c r="W14" i="20" s="1"/>
  <c r="K9" i="27" s="1"/>
  <c r="U10" i="32" s="1"/>
  <c r="J14" i="97" s="1"/>
  <c r="V14" i="18"/>
  <c r="V14" i="20" s="1"/>
  <c r="J9" i="27" s="1"/>
  <c r="T10" i="32" s="1"/>
  <c r="I14" i="97" s="1"/>
  <c r="H14" i="18"/>
  <c r="H14" i="20"/>
  <c r="H12" i="25" s="1"/>
  <c r="D15" i="18"/>
  <c r="G14" i="18"/>
  <c r="B16" i="18"/>
  <c r="D15" i="20"/>
  <c r="D13" i="25" s="1"/>
  <c r="G14" i="20"/>
  <c r="G12" i="25" s="1"/>
  <c r="B16" i="20"/>
  <c r="B14" i="25" s="1"/>
  <c r="I46" i="14"/>
  <c r="I13" i="15"/>
  <c r="I13" i="17" s="1"/>
  <c r="I46" i="17" s="1"/>
  <c r="D48" i="15"/>
  <c r="D48" i="20"/>
  <c r="D48" i="18"/>
  <c r="F47" i="14"/>
  <c r="F14" i="15"/>
  <c r="F14" i="17" s="1"/>
  <c r="F47" i="17" s="1"/>
  <c r="Q15" i="15"/>
  <c r="D14" i="14"/>
  <c r="AG17" i="97"/>
  <c r="J12" i="26"/>
  <c r="J11" i="29" s="1"/>
  <c r="B15" i="14"/>
  <c r="O16" i="15"/>
  <c r="O16" i="18" s="1"/>
  <c r="Z19" i="97"/>
  <c r="C14" i="26"/>
  <c r="C13" i="29" s="1"/>
  <c r="J13" i="15"/>
  <c r="J13" i="17" s="1"/>
  <c r="J46" i="17" s="1"/>
  <c r="J46" i="14"/>
  <c r="V47" i="15"/>
  <c r="V47" i="18" s="1"/>
  <c r="V47" i="20" s="1"/>
  <c r="AB18" i="97"/>
  <c r="E13" i="26"/>
  <c r="E12" i="29" s="1"/>
  <c r="G47" i="15"/>
  <c r="G47" i="18"/>
  <c r="G47" i="20"/>
  <c r="B49" i="20"/>
  <c r="B49" i="18"/>
  <c r="B42" i="17"/>
  <c r="B49" i="15"/>
  <c r="AF17" i="97"/>
  <c r="I12" i="26"/>
  <c r="I11" i="29" s="1"/>
  <c r="C15" i="15"/>
  <c r="C15" i="17" s="1"/>
  <c r="C48" i="17" s="1"/>
  <c r="C48" i="14"/>
  <c r="G13" i="14"/>
  <c r="T14" i="15"/>
  <c r="K12" i="15"/>
  <c r="K45" i="14"/>
  <c r="X46" i="15"/>
  <c r="X46" i="18" s="1"/>
  <c r="X46" i="20" s="1"/>
  <c r="AH16" i="97"/>
  <c r="K11" i="26"/>
  <c r="K10" i="29" s="1"/>
  <c r="P49" i="15"/>
  <c r="P49" i="18" s="1"/>
  <c r="P49" i="20" s="1"/>
  <c r="AC18" i="97"/>
  <c r="F13" i="26"/>
  <c r="F12" i="29" s="1"/>
  <c r="R48" i="15"/>
  <c r="R48" i="18" s="1"/>
  <c r="R48" i="20" s="1"/>
  <c r="H47" i="15"/>
  <c r="H47" i="20"/>
  <c r="H47" i="18"/>
  <c r="W47" i="15"/>
  <c r="W47" i="18" s="1"/>
  <c r="W47" i="20" s="1"/>
  <c r="S48" i="15"/>
  <c r="S48" i="18" s="1"/>
  <c r="S48" i="20" s="1"/>
  <c r="E47" i="14"/>
  <c r="E14" i="15"/>
  <c r="E14" i="17" s="1"/>
  <c r="E47" i="17" s="1"/>
  <c r="U14" i="15"/>
  <c r="H13" i="14"/>
  <c r="B3" i="22" l="1"/>
  <c r="B55" i="22"/>
  <c r="K12" i="17"/>
  <c r="K45" i="17" s="1"/>
  <c r="K45" i="20" s="1"/>
  <c r="U14" i="18"/>
  <c r="U14" i="20" s="1"/>
  <c r="I9" i="27" s="1"/>
  <c r="S10" i="32" s="1"/>
  <c r="H14" i="97" s="1"/>
  <c r="Q15" i="18"/>
  <c r="Q15" i="20" s="1"/>
  <c r="E10" i="27" s="1"/>
  <c r="O11" i="32" s="1"/>
  <c r="D15" i="97" s="1"/>
  <c r="O16" i="20"/>
  <c r="C11" i="27" s="1"/>
  <c r="M12" i="32" s="1"/>
  <c r="B16" i="97" s="1"/>
  <c r="I13" i="20"/>
  <c r="I11" i="25" s="1"/>
  <c r="T14" i="18"/>
  <c r="T14" i="20" s="1"/>
  <c r="H9" i="27" s="1"/>
  <c r="R10" i="32" s="1"/>
  <c r="G14" i="97" s="1"/>
  <c r="F14" i="20"/>
  <c r="F12" i="25" s="1"/>
  <c r="I13" i="18"/>
  <c r="E14" i="20"/>
  <c r="E12" i="25" s="1"/>
  <c r="K12" i="20"/>
  <c r="K10" i="25" s="1"/>
  <c r="E14" i="18"/>
  <c r="C15" i="18"/>
  <c r="J13" i="20"/>
  <c r="J11" i="25" s="1"/>
  <c r="C15" i="20"/>
  <c r="C13" i="25" s="1"/>
  <c r="J13" i="18"/>
  <c r="F14" i="18"/>
  <c r="J12" i="14"/>
  <c r="W13" i="15"/>
  <c r="B15" i="15"/>
  <c r="B15" i="17" s="1"/>
  <c r="B48" i="17" s="1"/>
  <c r="B48" i="14"/>
  <c r="AD17" i="97"/>
  <c r="G12" i="26"/>
  <c r="G11" i="29" s="1"/>
  <c r="AA18" i="97"/>
  <c r="D13" i="26"/>
  <c r="D12" i="29" s="1"/>
  <c r="AE17" i="97"/>
  <c r="H12" i="26"/>
  <c r="H11" i="29" s="1"/>
  <c r="K45" i="15"/>
  <c r="G46" i="14"/>
  <c r="G13" i="15"/>
  <c r="G13" i="17" s="1"/>
  <c r="G46" i="17" s="1"/>
  <c r="Q48" i="15"/>
  <c r="Q48" i="18" s="1"/>
  <c r="Q48" i="20" s="1"/>
  <c r="C14" i="14"/>
  <c r="P15" i="15"/>
  <c r="F13" i="14"/>
  <c r="S14" i="15"/>
  <c r="F47" i="15"/>
  <c r="F47" i="18"/>
  <c r="F47" i="20"/>
  <c r="E13" i="14"/>
  <c r="R14" i="15"/>
  <c r="X12" i="15"/>
  <c r="K11" i="14"/>
  <c r="O49" i="15"/>
  <c r="O49" i="18" s="1"/>
  <c r="O49" i="20" s="1"/>
  <c r="I12" i="14"/>
  <c r="V13" i="15"/>
  <c r="Y19" i="97"/>
  <c r="B14" i="26"/>
  <c r="H46" i="14"/>
  <c r="H13" i="15"/>
  <c r="H13" i="17" s="1"/>
  <c r="H46" i="17" s="1"/>
  <c r="E47" i="15"/>
  <c r="E47" i="20"/>
  <c r="E47" i="18"/>
  <c r="U47" i="15"/>
  <c r="U47" i="18" s="1"/>
  <c r="U47" i="20" s="1"/>
  <c r="C48" i="15"/>
  <c r="C48" i="20"/>
  <c r="C48" i="18"/>
  <c r="T47" i="15"/>
  <c r="T47" i="18" s="1"/>
  <c r="T47" i="20" s="1"/>
  <c r="J46" i="15"/>
  <c r="J46" i="18"/>
  <c r="J46" i="20"/>
  <c r="D47" i="14"/>
  <c r="D14" i="15"/>
  <c r="D14" i="17" s="1"/>
  <c r="D47" i="17" s="1"/>
  <c r="I46" i="15"/>
  <c r="I46" i="20"/>
  <c r="I46" i="18"/>
  <c r="K45" i="18" l="1"/>
  <c r="K12" i="18"/>
  <c r="X12" i="18" s="1"/>
  <c r="X12" i="20" s="1"/>
  <c r="L7" i="27" s="1"/>
  <c r="V8" i="32" s="1"/>
  <c r="K12" i="97" s="1"/>
  <c r="R14" i="18"/>
  <c r="R14" i="20" s="1"/>
  <c r="F9" i="27" s="1"/>
  <c r="P10" i="32" s="1"/>
  <c r="E14" i="97" s="1"/>
  <c r="V13" i="18"/>
  <c r="V13" i="20" s="1"/>
  <c r="J8" i="27" s="1"/>
  <c r="T9" i="32" s="1"/>
  <c r="I13" i="97" s="1"/>
  <c r="S14" i="18"/>
  <c r="S14" i="20" s="1"/>
  <c r="G9" i="27" s="1"/>
  <c r="Q10" i="32" s="1"/>
  <c r="F14" i="97" s="1"/>
  <c r="W13" i="18"/>
  <c r="W13" i="20" s="1"/>
  <c r="K8" i="27" s="1"/>
  <c r="U9" i="32" s="1"/>
  <c r="J13" i="97" s="1"/>
  <c r="P15" i="18"/>
  <c r="P15" i="20" s="1"/>
  <c r="D10" i="27" s="1"/>
  <c r="N11" i="32" s="1"/>
  <c r="C15" i="97" s="1"/>
  <c r="D14" i="20"/>
  <c r="D12" i="25" s="1"/>
  <c r="B15" i="20"/>
  <c r="B13" i="25" s="1"/>
  <c r="B15" i="18"/>
  <c r="H13" i="20"/>
  <c r="H11" i="25" s="1"/>
  <c r="G13" i="20"/>
  <c r="G11" i="25" s="1"/>
  <c r="D14" i="18"/>
  <c r="H13" i="18"/>
  <c r="G13" i="18"/>
  <c r="T13" i="15"/>
  <c r="G12" i="14"/>
  <c r="V46" i="15"/>
  <c r="V46" i="18" s="1"/>
  <c r="V46" i="20" s="1"/>
  <c r="AB17" i="97"/>
  <c r="E12" i="26"/>
  <c r="E11" i="29" s="1"/>
  <c r="K11" i="18"/>
  <c r="K11" i="15"/>
  <c r="K11" i="20"/>
  <c r="C14" i="15"/>
  <c r="C14" i="17" s="1"/>
  <c r="C47" i="17" s="1"/>
  <c r="C47" i="14"/>
  <c r="G46" i="15"/>
  <c r="G46" i="20"/>
  <c r="G46" i="18"/>
  <c r="B48" i="15"/>
  <c r="B48" i="20"/>
  <c r="B48" i="18"/>
  <c r="Z18" i="97"/>
  <c r="C13" i="26"/>
  <c r="C12" i="29" s="1"/>
  <c r="H12" i="14"/>
  <c r="U13" i="15"/>
  <c r="H46" i="15"/>
  <c r="H46" i="20"/>
  <c r="H46" i="18"/>
  <c r="E13" i="15"/>
  <c r="E13" i="17" s="1"/>
  <c r="E46" i="17" s="1"/>
  <c r="E46" i="14"/>
  <c r="S47" i="15"/>
  <c r="S47" i="18" s="1"/>
  <c r="S47" i="20" s="1"/>
  <c r="AF16" i="97"/>
  <c r="I11" i="26"/>
  <c r="I10" i="29" s="1"/>
  <c r="B14" i="14"/>
  <c r="O15" i="15"/>
  <c r="Q14" i="15"/>
  <c r="D13" i="14"/>
  <c r="D47" i="15"/>
  <c r="D47" i="20"/>
  <c r="D47" i="18"/>
  <c r="P48" i="15"/>
  <c r="P48" i="18" s="1"/>
  <c r="P48" i="20" s="1"/>
  <c r="X45" i="15"/>
  <c r="X45" i="18" s="1"/>
  <c r="X45" i="20" s="1"/>
  <c r="K44" i="14"/>
  <c r="AG16" i="97"/>
  <c r="J11" i="26"/>
  <c r="J10" i="29" s="1"/>
  <c r="F13" i="15"/>
  <c r="F13" i="17" s="1"/>
  <c r="F46" i="17" s="1"/>
  <c r="F46" i="14"/>
  <c r="R47" i="15"/>
  <c r="R47" i="18" s="1"/>
  <c r="R47" i="20" s="1"/>
  <c r="AH15" i="97"/>
  <c r="K10" i="26"/>
  <c r="K9" i="29" s="1"/>
  <c r="AC17" i="97"/>
  <c r="F12" i="26"/>
  <c r="F11" i="29" s="1"/>
  <c r="B13" i="29"/>
  <c r="L14" i="26"/>
  <c r="W46" i="15"/>
  <c r="W46" i="18" s="1"/>
  <c r="W46" i="20" s="1"/>
  <c r="I45" i="14"/>
  <c r="I12" i="15"/>
  <c r="J45" i="14"/>
  <c r="J12" i="15"/>
  <c r="I12" i="17" l="1"/>
  <c r="I45" i="17" s="1"/>
  <c r="I45" i="20" s="1"/>
  <c r="X11" i="15"/>
  <c r="J12" i="17"/>
  <c r="J45" i="17" s="1"/>
  <c r="J45" i="18" s="1"/>
  <c r="E13" i="18"/>
  <c r="Q14" i="18"/>
  <c r="Q14" i="20" s="1"/>
  <c r="E9" i="27" s="1"/>
  <c r="O10" i="32" s="1"/>
  <c r="D14" i="97" s="1"/>
  <c r="O15" i="18"/>
  <c r="O15" i="20" s="1"/>
  <c r="C10" i="27" s="1"/>
  <c r="M11" i="32" s="1"/>
  <c r="B15" i="97" s="1"/>
  <c r="F13" i="20"/>
  <c r="F11" i="25" s="1"/>
  <c r="T13" i="18"/>
  <c r="T13" i="20" s="1"/>
  <c r="H8" i="27" s="1"/>
  <c r="R9" i="32" s="1"/>
  <c r="G13" i="97" s="1"/>
  <c r="U13" i="18"/>
  <c r="U13" i="20" s="1"/>
  <c r="I8" i="27" s="1"/>
  <c r="S9" i="32" s="1"/>
  <c r="H13" i="97" s="1"/>
  <c r="F13" i="18"/>
  <c r="C14" i="20"/>
  <c r="C12" i="25" s="1"/>
  <c r="C14" i="18"/>
  <c r="E13" i="20"/>
  <c r="E11" i="25" s="1"/>
  <c r="W12" i="15"/>
  <c r="J11" i="14"/>
  <c r="AD16" i="97"/>
  <c r="G11" i="26"/>
  <c r="G10" i="29" s="1"/>
  <c r="K9" i="25"/>
  <c r="H45" i="14"/>
  <c r="H12" i="15"/>
  <c r="J45" i="15"/>
  <c r="F46" i="15"/>
  <c r="F46" i="18"/>
  <c r="F46" i="20"/>
  <c r="T46" i="15"/>
  <c r="T46" i="18" s="1"/>
  <c r="T46" i="20" s="1"/>
  <c r="X11" i="18"/>
  <c r="X11" i="20" s="1"/>
  <c r="L6" i="27" s="1"/>
  <c r="V7" i="32" s="1"/>
  <c r="K11" i="97" s="1"/>
  <c r="V12" i="15"/>
  <c r="I11" i="14"/>
  <c r="F12" i="14"/>
  <c r="S13" i="15"/>
  <c r="U46" i="15"/>
  <c r="U46" i="18" s="1"/>
  <c r="U46" i="20" s="1"/>
  <c r="G45" i="14"/>
  <c r="G12" i="15"/>
  <c r="I45" i="15"/>
  <c r="C47" i="15"/>
  <c r="C47" i="20"/>
  <c r="C47" i="18"/>
  <c r="D13" i="15"/>
  <c r="D13" i="17" s="1"/>
  <c r="D46" i="17" s="1"/>
  <c r="D46" i="14"/>
  <c r="R13" i="15"/>
  <c r="E12" i="14"/>
  <c r="Y18" i="97"/>
  <c r="B13" i="26"/>
  <c r="B47" i="14"/>
  <c r="B14" i="15"/>
  <c r="B14" i="17" s="1"/>
  <c r="B47" i="17" s="1"/>
  <c r="AA17" i="97"/>
  <c r="D12" i="26"/>
  <c r="D11" i="29" s="1"/>
  <c r="P14" i="15"/>
  <c r="C13" i="14"/>
  <c r="AE16" i="97"/>
  <c r="H11" i="26"/>
  <c r="H10" i="29" s="1"/>
  <c r="K44" i="18"/>
  <c r="K44" i="15"/>
  <c r="K44" i="20"/>
  <c r="Q47" i="15"/>
  <c r="Q47" i="18" s="1"/>
  <c r="Q47" i="20" s="1"/>
  <c r="E46" i="15"/>
  <c r="E46" i="18"/>
  <c r="E46" i="20"/>
  <c r="O48" i="15"/>
  <c r="O48" i="18" s="1"/>
  <c r="O48" i="20" s="1"/>
  <c r="I45" i="18" l="1"/>
  <c r="J45" i="20"/>
  <c r="J12" i="18"/>
  <c r="W12" i="18" s="1"/>
  <c r="J12" i="20"/>
  <c r="J10" i="25" s="1"/>
  <c r="AG15" i="97" s="1"/>
  <c r="I12" i="20"/>
  <c r="I10" i="25" s="1"/>
  <c r="AF15" i="97" s="1"/>
  <c r="I12" i="18"/>
  <c r="V12" i="18" s="1"/>
  <c r="K51" i="22"/>
  <c r="K38" i="22" s="1"/>
  <c r="K25" i="22" s="1"/>
  <c r="G12" i="17"/>
  <c r="G45" i="17" s="1"/>
  <c r="G45" i="18" s="1"/>
  <c r="H12" i="17"/>
  <c r="H45" i="17" s="1"/>
  <c r="H45" i="20" s="1"/>
  <c r="S13" i="18"/>
  <c r="S13" i="20" s="1"/>
  <c r="G8" i="27" s="1"/>
  <c r="Q9" i="32" s="1"/>
  <c r="F13" i="97" s="1"/>
  <c r="P14" i="18"/>
  <c r="P14" i="20" s="1"/>
  <c r="D9" i="27" s="1"/>
  <c r="N10" i="32" s="1"/>
  <c r="C14" i="97" s="1"/>
  <c r="R13" i="18"/>
  <c r="R13" i="20" s="1"/>
  <c r="F8" i="27" s="1"/>
  <c r="P9" i="32" s="1"/>
  <c r="E13" i="97" s="1"/>
  <c r="D13" i="20"/>
  <c r="D11" i="25" s="1"/>
  <c r="D13" i="18"/>
  <c r="B14" i="18"/>
  <c r="H12" i="20"/>
  <c r="H10" i="25" s="1"/>
  <c r="B14" i="20"/>
  <c r="B12" i="25" s="1"/>
  <c r="B12" i="29"/>
  <c r="L13" i="26"/>
  <c r="D12" i="14"/>
  <c r="Q13" i="15"/>
  <c r="H45" i="15"/>
  <c r="D46" i="15"/>
  <c r="D46" i="20"/>
  <c r="D46" i="18"/>
  <c r="I11" i="15"/>
  <c r="I11" i="18"/>
  <c r="I11" i="20"/>
  <c r="W45" i="15"/>
  <c r="W45" i="18" s="1"/>
  <c r="J44" i="14"/>
  <c r="AH14" i="97"/>
  <c r="K9" i="26"/>
  <c r="K8" i="29" s="1"/>
  <c r="T12" i="15"/>
  <c r="G11" i="14"/>
  <c r="V45" i="15"/>
  <c r="V45" i="18" s="1"/>
  <c r="V45" i="20" s="1"/>
  <c r="I44" i="14"/>
  <c r="X44" i="15"/>
  <c r="X44" i="18" s="1"/>
  <c r="X44" i="20" s="1"/>
  <c r="K10" i="14"/>
  <c r="K43" i="14"/>
  <c r="O14" i="15"/>
  <c r="B13" i="14"/>
  <c r="E12" i="15"/>
  <c r="E45" i="14"/>
  <c r="B47" i="15"/>
  <c r="B47" i="20"/>
  <c r="B47" i="18"/>
  <c r="P47" i="15"/>
  <c r="P47" i="18" s="1"/>
  <c r="P47" i="20" s="1"/>
  <c r="G45" i="15"/>
  <c r="AC16" i="97"/>
  <c r="F11" i="26"/>
  <c r="F10" i="29" s="1"/>
  <c r="Z17" i="97"/>
  <c r="C12" i="26"/>
  <c r="C11" i="29" s="1"/>
  <c r="S46" i="15"/>
  <c r="S46" i="18" s="1"/>
  <c r="S46" i="20" s="1"/>
  <c r="J11" i="18"/>
  <c r="J11" i="20"/>
  <c r="J11" i="15"/>
  <c r="U12" i="15"/>
  <c r="H11" i="14"/>
  <c r="R46" i="15"/>
  <c r="R46" i="18" s="1"/>
  <c r="R46" i="20" s="1"/>
  <c r="C46" i="14"/>
  <c r="C13" i="15"/>
  <c r="C13" i="17" s="1"/>
  <c r="C46" i="17" s="1"/>
  <c r="AB16" i="97"/>
  <c r="E11" i="26"/>
  <c r="E10" i="29" s="1"/>
  <c r="F45" i="14"/>
  <c r="F12" i="15"/>
  <c r="W45" i="20" l="1"/>
  <c r="G45" i="20"/>
  <c r="J10" i="26"/>
  <c r="J9" i="29" s="1"/>
  <c r="I10" i="26"/>
  <c r="I9" i="29" s="1"/>
  <c r="W12" i="20"/>
  <c r="K7" i="27" s="1"/>
  <c r="U8" i="32" s="1"/>
  <c r="J12" i="97" s="1"/>
  <c r="V12" i="20"/>
  <c r="J7" i="27" s="1"/>
  <c r="T8" i="32" s="1"/>
  <c r="I12" i="97" s="1"/>
  <c r="H45" i="18"/>
  <c r="H12" i="18"/>
  <c r="U12" i="18" s="1"/>
  <c r="U12" i="20" s="1"/>
  <c r="I7" i="27" s="1"/>
  <c r="S8" i="32" s="1"/>
  <c r="H12" i="97" s="1"/>
  <c r="G12" i="18"/>
  <c r="T12" i="18" s="1"/>
  <c r="G12" i="20"/>
  <c r="G10" i="25" s="1"/>
  <c r="G10" i="26" s="1"/>
  <c r="G9" i="29" s="1"/>
  <c r="K12" i="22"/>
  <c r="K64" i="22"/>
  <c r="K77" i="22" s="1"/>
  <c r="X11" i="22" s="1"/>
  <c r="W11" i="15"/>
  <c r="V11" i="15"/>
  <c r="V11" i="18" s="1"/>
  <c r="V11" i="20" s="1"/>
  <c r="J6" i="27" s="1"/>
  <c r="T7" i="32" s="1"/>
  <c r="I11" i="97" s="1"/>
  <c r="E12" i="17"/>
  <c r="E45" i="17" s="1"/>
  <c r="E45" i="20" s="1"/>
  <c r="F12" i="17"/>
  <c r="F45" i="17" s="1"/>
  <c r="F45" i="20" s="1"/>
  <c r="O14" i="18"/>
  <c r="O14" i="20" s="1"/>
  <c r="C9" i="27" s="1"/>
  <c r="M10" i="32" s="1"/>
  <c r="B14" i="97" s="1"/>
  <c r="Q13" i="18"/>
  <c r="Q13" i="20" s="1"/>
  <c r="E8" i="27" s="1"/>
  <c r="O9" i="32" s="1"/>
  <c r="D13" i="97" s="1"/>
  <c r="C13" i="18"/>
  <c r="C13" i="20"/>
  <c r="C11" i="25" s="1"/>
  <c r="Q46" i="15"/>
  <c r="Q46" i="18" s="1"/>
  <c r="Q46" i="20" s="1"/>
  <c r="S12" i="15"/>
  <c r="F11" i="14"/>
  <c r="K43" i="15"/>
  <c r="K43" i="18"/>
  <c r="K43" i="20"/>
  <c r="D12" i="15"/>
  <c r="D45" i="14"/>
  <c r="H11" i="18"/>
  <c r="H11" i="15"/>
  <c r="H11" i="20"/>
  <c r="C12" i="14"/>
  <c r="P13" i="15"/>
  <c r="K10" i="15"/>
  <c r="K10" i="20"/>
  <c r="K10" i="18"/>
  <c r="G11" i="18"/>
  <c r="G11" i="15"/>
  <c r="G11" i="20"/>
  <c r="J44" i="15"/>
  <c r="J44" i="18"/>
  <c r="J44" i="20"/>
  <c r="F45" i="15"/>
  <c r="C46" i="15"/>
  <c r="C46" i="20"/>
  <c r="C46" i="18"/>
  <c r="J9" i="25"/>
  <c r="E45" i="15"/>
  <c r="I9" i="25"/>
  <c r="U45" i="15"/>
  <c r="U45" i="18" s="1"/>
  <c r="U45" i="20" s="1"/>
  <c r="H44" i="14"/>
  <c r="W11" i="18"/>
  <c r="W11" i="20" s="1"/>
  <c r="K6" i="27" s="1"/>
  <c r="U7" i="32" s="1"/>
  <c r="J11" i="97" s="1"/>
  <c r="O47" i="15"/>
  <c r="O47" i="18" s="1"/>
  <c r="O47" i="20" s="1"/>
  <c r="R12" i="15"/>
  <c r="E11" i="14"/>
  <c r="T45" i="15"/>
  <c r="T45" i="18" s="1"/>
  <c r="T45" i="20" s="1"/>
  <c r="G44" i="14"/>
  <c r="Y17" i="97"/>
  <c r="B12" i="26"/>
  <c r="AE15" i="97"/>
  <c r="H10" i="26"/>
  <c r="H9" i="29" s="1"/>
  <c r="AA16" i="97"/>
  <c r="D11" i="26"/>
  <c r="D10" i="29" s="1"/>
  <c r="B13" i="15"/>
  <c r="B13" i="17" s="1"/>
  <c r="B46" i="17" s="1"/>
  <c r="B46" i="14"/>
  <c r="I44" i="15"/>
  <c r="I44" i="18"/>
  <c r="I44" i="20"/>
  <c r="AD15" i="97"/>
  <c r="T12" i="20" l="1"/>
  <c r="H7" i="27" s="1"/>
  <c r="R8" i="32" s="1"/>
  <c r="G12" i="97" s="1"/>
  <c r="K89" i="22"/>
  <c r="I51" i="22"/>
  <c r="I38" i="22" s="1"/>
  <c r="I25" i="22" s="1"/>
  <c r="K50" i="22"/>
  <c r="K37" i="22" s="1"/>
  <c r="K24" i="22" s="1"/>
  <c r="J51" i="22"/>
  <c r="J38" i="22" s="1"/>
  <c r="J25" i="22" s="1"/>
  <c r="E45" i="18"/>
  <c r="F12" i="18"/>
  <c r="S12" i="18" s="1"/>
  <c r="F12" i="20"/>
  <c r="F10" i="25" s="1"/>
  <c r="AC15" i="97" s="1"/>
  <c r="F45" i="18"/>
  <c r="D12" i="17"/>
  <c r="D45" i="17" s="1"/>
  <c r="D45" i="18" s="1"/>
  <c r="E12" i="18"/>
  <c r="R12" i="18" s="1"/>
  <c r="T11" i="15"/>
  <c r="X10" i="15"/>
  <c r="X10" i="18" s="1"/>
  <c r="X10" i="20" s="1"/>
  <c r="L5" i="27" s="1"/>
  <c r="V6" i="32" s="1"/>
  <c r="K10" i="97" s="1"/>
  <c r="U11" i="15"/>
  <c r="U11" i="18" s="1"/>
  <c r="U11" i="20" s="1"/>
  <c r="I6" i="27" s="1"/>
  <c r="S7" i="32" s="1"/>
  <c r="H11" i="97" s="1"/>
  <c r="E12" i="20"/>
  <c r="E10" i="25" s="1"/>
  <c r="AB15" i="97" s="1"/>
  <c r="P13" i="18"/>
  <c r="P13" i="20" s="1"/>
  <c r="D8" i="27" s="1"/>
  <c r="N9" i="32" s="1"/>
  <c r="C13" i="97" s="1"/>
  <c r="B13" i="20"/>
  <c r="B11" i="25" s="1"/>
  <c r="B13" i="18"/>
  <c r="W44" i="15"/>
  <c r="W44" i="18" s="1"/>
  <c r="W44" i="20" s="1"/>
  <c r="J10" i="14"/>
  <c r="J43" i="14"/>
  <c r="F11" i="18"/>
  <c r="F11" i="15"/>
  <c r="F11" i="20"/>
  <c r="K38" i="25"/>
  <c r="L31" i="27"/>
  <c r="V32" i="32" s="1"/>
  <c r="K36" i="97" s="1"/>
  <c r="AG14" i="97"/>
  <c r="J9" i="26"/>
  <c r="J8" i="29" s="1"/>
  <c r="G9" i="25"/>
  <c r="D45" i="15"/>
  <c r="G44" i="15"/>
  <c r="G44" i="18"/>
  <c r="G44" i="20"/>
  <c r="Q12" i="15"/>
  <c r="D11" i="14"/>
  <c r="AF14" i="97"/>
  <c r="I9" i="26"/>
  <c r="I8" i="29" s="1"/>
  <c r="T11" i="18"/>
  <c r="T11" i="20" s="1"/>
  <c r="H6" i="27" s="1"/>
  <c r="R7" i="32" s="1"/>
  <c r="G11" i="97" s="1"/>
  <c r="B12" i="14"/>
  <c r="O13" i="15"/>
  <c r="V44" i="15"/>
  <c r="V44" i="18" s="1"/>
  <c r="V44" i="20" s="1"/>
  <c r="I10" i="14"/>
  <c r="I43" i="14"/>
  <c r="P46" i="15"/>
  <c r="P46" i="18" s="1"/>
  <c r="P46" i="20" s="1"/>
  <c r="C12" i="15"/>
  <c r="C45" i="14"/>
  <c r="E11" i="15"/>
  <c r="E11" i="18"/>
  <c r="E11" i="20"/>
  <c r="H9" i="25"/>
  <c r="R45" i="15"/>
  <c r="E44" i="14"/>
  <c r="Z16" i="97"/>
  <c r="C11" i="26"/>
  <c r="C10" i="29" s="1"/>
  <c r="K8" i="25"/>
  <c r="K26" i="25"/>
  <c r="B11" i="29"/>
  <c r="L12" i="26"/>
  <c r="B46" i="15"/>
  <c r="B46" i="18"/>
  <c r="B46" i="20"/>
  <c r="H44" i="15"/>
  <c r="H44" i="18"/>
  <c r="H44" i="20"/>
  <c r="S45" i="15"/>
  <c r="S45" i="18" s="1"/>
  <c r="S45" i="20" s="1"/>
  <c r="F44" i="14"/>
  <c r="X43" i="15"/>
  <c r="X43" i="18" s="1"/>
  <c r="X43" i="20" s="1"/>
  <c r="K9" i="14"/>
  <c r="K42" i="14"/>
  <c r="R45" i="18" l="1"/>
  <c r="R45" i="20" s="1"/>
  <c r="D12" i="18"/>
  <c r="D45" i="20"/>
  <c r="F10" i="26"/>
  <c r="F9" i="29" s="1"/>
  <c r="H51" i="22"/>
  <c r="H38" i="22" s="1"/>
  <c r="H25" i="22" s="1"/>
  <c r="S12" i="20"/>
  <c r="G7" i="27" s="1"/>
  <c r="Q8" i="32" s="1"/>
  <c r="F12" i="97" s="1"/>
  <c r="I12" i="22"/>
  <c r="I64" i="22"/>
  <c r="I77" i="22" s="1"/>
  <c r="V11" i="22" s="1"/>
  <c r="G51" i="22"/>
  <c r="G38" i="22" s="1"/>
  <c r="G25" i="22" s="1"/>
  <c r="K11" i="22"/>
  <c r="K63" i="22"/>
  <c r="K76" i="22" s="1"/>
  <c r="X10" i="22" s="1"/>
  <c r="J12" i="22"/>
  <c r="J64" i="22"/>
  <c r="J77" i="22" s="1"/>
  <c r="W11" i="22" s="1"/>
  <c r="D12" i="20"/>
  <c r="D10" i="25" s="1"/>
  <c r="D10" i="26" s="1"/>
  <c r="D9" i="29" s="1"/>
  <c r="E10" i="26"/>
  <c r="E9" i="29" s="1"/>
  <c r="R12" i="20"/>
  <c r="F7" i="27" s="1"/>
  <c r="P8" i="32" s="1"/>
  <c r="E12" i="97" s="1"/>
  <c r="C12" i="17"/>
  <c r="C45" i="17" s="1"/>
  <c r="C45" i="20" s="1"/>
  <c r="S11" i="15"/>
  <c r="S11" i="18" s="1"/>
  <c r="S11" i="20" s="1"/>
  <c r="G6" i="27" s="1"/>
  <c r="Q7" i="32" s="1"/>
  <c r="F11" i="97" s="1"/>
  <c r="R11" i="15"/>
  <c r="O13" i="18"/>
  <c r="O13" i="20" s="1"/>
  <c r="C8" i="27" s="1"/>
  <c r="M9" i="32" s="1"/>
  <c r="B13" i="97" s="1"/>
  <c r="Q12" i="18"/>
  <c r="K42" i="18"/>
  <c r="K42" i="15"/>
  <c r="K42" i="20"/>
  <c r="E44" i="15"/>
  <c r="E44" i="18"/>
  <c r="E44" i="20"/>
  <c r="AE14" i="97"/>
  <c r="H9" i="26"/>
  <c r="H8" i="29" s="1"/>
  <c r="P12" i="15"/>
  <c r="C11" i="14"/>
  <c r="AD14" i="97"/>
  <c r="G9" i="26"/>
  <c r="G8" i="29" s="1"/>
  <c r="C45" i="15"/>
  <c r="K9" i="18"/>
  <c r="K9" i="15"/>
  <c r="K9" i="20"/>
  <c r="K26" i="26"/>
  <c r="K25" i="29" s="1"/>
  <c r="AH31" i="97"/>
  <c r="B12" i="15"/>
  <c r="B45" i="14"/>
  <c r="U44" i="15"/>
  <c r="U44" i="18" s="1"/>
  <c r="U44" i="20" s="1"/>
  <c r="H10" i="14"/>
  <c r="H43" i="14"/>
  <c r="E9" i="25"/>
  <c r="R11" i="18"/>
  <c r="R11" i="20" s="1"/>
  <c r="F6" i="27" s="1"/>
  <c r="P7" i="32" s="1"/>
  <c r="E11" i="97" s="1"/>
  <c r="AH13" i="97"/>
  <c r="K8" i="26"/>
  <c r="K7" i="29" s="1"/>
  <c r="I43" i="15"/>
  <c r="I43" i="18"/>
  <c r="I43" i="20"/>
  <c r="T44" i="15"/>
  <c r="T44" i="18" s="1"/>
  <c r="T44" i="20" s="1"/>
  <c r="G10" i="14"/>
  <c r="G43" i="14"/>
  <c r="I10" i="15"/>
  <c r="I10" i="18"/>
  <c r="I10" i="20"/>
  <c r="D11" i="15"/>
  <c r="D11" i="18"/>
  <c r="D11" i="20"/>
  <c r="AH43" i="97"/>
  <c r="K38" i="26"/>
  <c r="K37" i="29" s="1"/>
  <c r="J43" i="15"/>
  <c r="J43" i="18"/>
  <c r="J43" i="20"/>
  <c r="O46" i="15"/>
  <c r="O46" i="18" s="1"/>
  <c r="O46" i="20" s="1"/>
  <c r="F9" i="25"/>
  <c r="J10" i="15"/>
  <c r="J10" i="18"/>
  <c r="J10" i="20"/>
  <c r="F44" i="15"/>
  <c r="F44" i="18"/>
  <c r="F44" i="20"/>
  <c r="Y16" i="97"/>
  <c r="B11" i="26"/>
  <c r="Q45" i="15"/>
  <c r="Q45" i="18" s="1"/>
  <c r="D44" i="14"/>
  <c r="Q45" i="20" l="1"/>
  <c r="AA15" i="97"/>
  <c r="J89" i="22"/>
  <c r="K88" i="22"/>
  <c r="I89" i="22"/>
  <c r="C45" i="18"/>
  <c r="K49" i="22"/>
  <c r="K36" i="22" s="1"/>
  <c r="K23" i="22" s="1"/>
  <c r="G12" i="22"/>
  <c r="G64" i="22"/>
  <c r="G77" i="22" s="1"/>
  <c r="T11" i="22" s="1"/>
  <c r="J50" i="22"/>
  <c r="J37" i="22" s="1"/>
  <c r="J24" i="22" s="1"/>
  <c r="I50" i="22"/>
  <c r="I37" i="22" s="1"/>
  <c r="I24" i="22" s="1"/>
  <c r="H12" i="22"/>
  <c r="H64" i="22"/>
  <c r="H77" i="22" s="1"/>
  <c r="F51" i="22"/>
  <c r="F38" i="22" s="1"/>
  <c r="F25" i="22" s="1"/>
  <c r="E51" i="22"/>
  <c r="E38" i="22" s="1"/>
  <c r="E25" i="22" s="1"/>
  <c r="Q12" i="20"/>
  <c r="E7" i="27" s="1"/>
  <c r="O8" i="32" s="1"/>
  <c r="D12" i="97" s="1"/>
  <c r="C12" i="20"/>
  <c r="C10" i="25" s="1"/>
  <c r="C10" i="26" s="1"/>
  <c r="C9" i="29" s="1"/>
  <c r="Q11" i="15"/>
  <c r="B12" i="17"/>
  <c r="B45" i="17" s="1"/>
  <c r="B45" i="18" s="1"/>
  <c r="X9" i="15"/>
  <c r="X9" i="18" s="1"/>
  <c r="X9" i="20" s="1"/>
  <c r="L4" i="27" s="1"/>
  <c r="V5" i="32" s="1"/>
  <c r="K9" i="97" s="1"/>
  <c r="W10" i="15"/>
  <c r="W10" i="18" s="1"/>
  <c r="W10" i="20" s="1"/>
  <c r="K5" i="27" s="1"/>
  <c r="U6" i="32" s="1"/>
  <c r="J10" i="97" s="1"/>
  <c r="C12" i="18"/>
  <c r="P12" i="18" s="1"/>
  <c r="V10" i="15"/>
  <c r="V10" i="18" s="1"/>
  <c r="V10" i="20" s="1"/>
  <c r="J5" i="27" s="1"/>
  <c r="T6" i="32" s="1"/>
  <c r="I10" i="97" s="1"/>
  <c r="L30" i="27"/>
  <c r="V31" i="32" s="1"/>
  <c r="K35" i="97" s="1"/>
  <c r="K37" i="25"/>
  <c r="K37" i="26" s="1"/>
  <c r="K36" i="29" s="1"/>
  <c r="AC14" i="97"/>
  <c r="F9" i="26"/>
  <c r="F8" i="29" s="1"/>
  <c r="S44" i="15"/>
  <c r="S44" i="18" s="1"/>
  <c r="S44" i="20" s="1"/>
  <c r="F10" i="14"/>
  <c r="F43" i="14"/>
  <c r="W43" i="15"/>
  <c r="W43" i="18" s="1"/>
  <c r="W43" i="20" s="1"/>
  <c r="J9" i="14"/>
  <c r="J42" i="14"/>
  <c r="V43" i="15"/>
  <c r="V43" i="18" s="1"/>
  <c r="V43" i="20" s="1"/>
  <c r="I9" i="14"/>
  <c r="I42" i="14"/>
  <c r="C11" i="15"/>
  <c r="C11" i="18"/>
  <c r="C11" i="20"/>
  <c r="H43" i="15"/>
  <c r="H43" i="18"/>
  <c r="H43" i="20"/>
  <c r="B45" i="15"/>
  <c r="K25" i="25"/>
  <c r="Z15" i="97"/>
  <c r="G43" i="15"/>
  <c r="G43" i="18"/>
  <c r="G43" i="20"/>
  <c r="H10" i="15"/>
  <c r="H10" i="18"/>
  <c r="H10" i="20"/>
  <c r="X42" i="15"/>
  <c r="X42" i="18" s="1"/>
  <c r="X42" i="20" s="1"/>
  <c r="L20" i="27" s="1"/>
  <c r="V21" i="32" s="1"/>
  <c r="K25" i="97" s="1"/>
  <c r="K8" i="14"/>
  <c r="K41" i="14"/>
  <c r="G10" i="15"/>
  <c r="G10" i="18"/>
  <c r="G10" i="20"/>
  <c r="O12" i="15"/>
  <c r="B11" i="14"/>
  <c r="K7" i="25"/>
  <c r="J8" i="25"/>
  <c r="D44" i="15"/>
  <c r="D44" i="18"/>
  <c r="D44" i="20"/>
  <c r="B10" i="29"/>
  <c r="L11" i="26"/>
  <c r="D9" i="25"/>
  <c r="Q11" i="18"/>
  <c r="Q11" i="20" s="1"/>
  <c r="E6" i="27" s="1"/>
  <c r="O7" i="32" s="1"/>
  <c r="D11" i="97" s="1"/>
  <c r="P45" i="15"/>
  <c r="C44" i="14"/>
  <c r="I38" i="25"/>
  <c r="J31" i="27"/>
  <c r="T32" i="32" s="1"/>
  <c r="I36" i="97" s="1"/>
  <c r="J26" i="25"/>
  <c r="I26" i="25"/>
  <c r="I8" i="25"/>
  <c r="AB14" i="97"/>
  <c r="E9" i="26"/>
  <c r="E8" i="29" s="1"/>
  <c r="R44" i="15"/>
  <c r="R44" i="18" s="1"/>
  <c r="R44" i="20" s="1"/>
  <c r="E10" i="14"/>
  <c r="E43" i="14"/>
  <c r="J38" i="25"/>
  <c r="K31" i="27"/>
  <c r="U32" i="32" s="1"/>
  <c r="J36" i="97" s="1"/>
  <c r="P45" i="18" l="1"/>
  <c r="P45" i="20" s="1"/>
  <c r="H89" i="22"/>
  <c r="U11" i="22"/>
  <c r="G89" i="22"/>
  <c r="H31" i="27" s="1"/>
  <c r="R32" i="32" s="1"/>
  <c r="G36" i="97" s="1"/>
  <c r="B45" i="20"/>
  <c r="J11" i="22"/>
  <c r="J63" i="22"/>
  <c r="J76" i="22" s="1"/>
  <c r="K10" i="22"/>
  <c r="K62" i="22"/>
  <c r="K75" i="22" s="1"/>
  <c r="G50" i="22"/>
  <c r="G37" i="22" s="1"/>
  <c r="G24" i="22" s="1"/>
  <c r="E12" i="22"/>
  <c r="E64" i="22"/>
  <c r="E77" i="22" s="1"/>
  <c r="R11" i="22" s="1"/>
  <c r="I11" i="22"/>
  <c r="I63" i="22"/>
  <c r="I76" i="22" s="1"/>
  <c r="D51" i="22"/>
  <c r="D38" i="22" s="1"/>
  <c r="D25" i="22" s="1"/>
  <c r="H50" i="22"/>
  <c r="H37" i="22" s="1"/>
  <c r="H24" i="22" s="1"/>
  <c r="F12" i="22"/>
  <c r="F64" i="22"/>
  <c r="F77" i="22" s="1"/>
  <c r="S11" i="22" s="1"/>
  <c r="P12" i="20"/>
  <c r="D7" i="27" s="1"/>
  <c r="N8" i="32" s="1"/>
  <c r="C12" i="97" s="1"/>
  <c r="AH42" i="97"/>
  <c r="U10" i="15"/>
  <c r="B12" i="20"/>
  <c r="B10" i="25" s="1"/>
  <c r="B10" i="26" s="1"/>
  <c r="T10" i="15"/>
  <c r="P11" i="15"/>
  <c r="P11" i="18" s="1"/>
  <c r="P11" i="20" s="1"/>
  <c r="D6" i="27" s="1"/>
  <c r="N7" i="32" s="1"/>
  <c r="C11" i="97" s="1"/>
  <c r="B12" i="18"/>
  <c r="O12" i="18" s="1"/>
  <c r="I31" i="27"/>
  <c r="S32" i="32" s="1"/>
  <c r="H36" i="97" s="1"/>
  <c r="H38" i="25"/>
  <c r="AE43" i="97" s="1"/>
  <c r="G26" i="25"/>
  <c r="K25" i="26"/>
  <c r="K24" i="29" s="1"/>
  <c r="AH30" i="97"/>
  <c r="F43" i="15"/>
  <c r="F43" i="18"/>
  <c r="F43" i="20"/>
  <c r="AF43" i="97"/>
  <c r="I38" i="26"/>
  <c r="I37" i="29" s="1"/>
  <c r="F10" i="15"/>
  <c r="F10" i="18"/>
  <c r="F10" i="20"/>
  <c r="AA14" i="97"/>
  <c r="D9" i="26"/>
  <c r="D8" i="29" s="1"/>
  <c r="G8" i="25"/>
  <c r="T43" i="15"/>
  <c r="T43" i="18" s="1"/>
  <c r="T43" i="20" s="1"/>
  <c r="G9" i="14"/>
  <c r="G42" i="14"/>
  <c r="AF13" i="97"/>
  <c r="I8" i="26"/>
  <c r="I7" i="29" s="1"/>
  <c r="C44" i="15"/>
  <c r="C44" i="18"/>
  <c r="C44" i="20"/>
  <c r="T10" i="18"/>
  <c r="T10" i="20" s="1"/>
  <c r="H5" i="27" s="1"/>
  <c r="R6" i="32" s="1"/>
  <c r="G10" i="97" s="1"/>
  <c r="O45" i="15"/>
  <c r="O45" i="18" s="1"/>
  <c r="B44" i="14"/>
  <c r="AG43" i="97"/>
  <c r="J38" i="26"/>
  <c r="J37" i="29" s="1"/>
  <c r="H26" i="25"/>
  <c r="I26" i="26"/>
  <c r="I25" i="29" s="1"/>
  <c r="AF31" i="97"/>
  <c r="Q44" i="15"/>
  <c r="Q44" i="18" s="1"/>
  <c r="Q44" i="20" s="1"/>
  <c r="D10" i="14"/>
  <c r="D43" i="14"/>
  <c r="E43" i="15"/>
  <c r="E43" i="18"/>
  <c r="E43" i="20"/>
  <c r="K41" i="15"/>
  <c r="H8" i="25"/>
  <c r="I42" i="15"/>
  <c r="I42" i="18"/>
  <c r="I42" i="20"/>
  <c r="J42" i="15"/>
  <c r="J42" i="18"/>
  <c r="J42" i="20"/>
  <c r="E10" i="15"/>
  <c r="E10" i="18"/>
  <c r="E10" i="20"/>
  <c r="J26" i="26"/>
  <c r="J25" i="29" s="1"/>
  <c r="AG31" i="97"/>
  <c r="AG13" i="97"/>
  <c r="J8" i="26"/>
  <c r="J7" i="29" s="1"/>
  <c r="AH12" i="97"/>
  <c r="K7" i="26"/>
  <c r="K6" i="29" s="1"/>
  <c r="K8" i="15"/>
  <c r="U10" i="18"/>
  <c r="U10" i="20" s="1"/>
  <c r="I5" i="27" s="1"/>
  <c r="S6" i="32" s="1"/>
  <c r="H10" i="97" s="1"/>
  <c r="U43" i="15"/>
  <c r="U43" i="18" s="1"/>
  <c r="U43" i="20" s="1"/>
  <c r="H9" i="14"/>
  <c r="H42" i="14"/>
  <c r="I9" i="15"/>
  <c r="I9" i="18"/>
  <c r="I9" i="20"/>
  <c r="J9" i="15"/>
  <c r="J9" i="18"/>
  <c r="J9" i="20"/>
  <c r="B11" i="15"/>
  <c r="B11" i="18"/>
  <c r="B11" i="20"/>
  <c r="C9" i="25"/>
  <c r="G38" i="25"/>
  <c r="K87" i="22" l="1"/>
  <c r="X9" i="22"/>
  <c r="L29" i="27" s="1"/>
  <c r="V30" i="32" s="1"/>
  <c r="K34" i="97" s="1"/>
  <c r="J88" i="22"/>
  <c r="W10" i="22"/>
  <c r="K30" i="27" s="1"/>
  <c r="U31" i="32" s="1"/>
  <c r="J35" i="97" s="1"/>
  <c r="I88" i="22"/>
  <c r="V10" i="22"/>
  <c r="F89" i="22"/>
  <c r="E89" i="22"/>
  <c r="O45" i="20"/>
  <c r="H11" i="22"/>
  <c r="H63" i="22"/>
  <c r="H76" i="22" s="1"/>
  <c r="U10" i="22" s="1"/>
  <c r="F50" i="22"/>
  <c r="F37" i="22" s="1"/>
  <c r="F24" i="22" s="1"/>
  <c r="G11" i="22"/>
  <c r="G63" i="22"/>
  <c r="G76" i="22" s="1"/>
  <c r="T10" i="22" s="1"/>
  <c r="I49" i="22"/>
  <c r="I36" i="22" s="1"/>
  <c r="I23" i="22" s="1"/>
  <c r="D12" i="22"/>
  <c r="D64" i="22"/>
  <c r="D77" i="22" s="1"/>
  <c r="Q11" i="22" s="1"/>
  <c r="C51" i="22"/>
  <c r="C38" i="22" s="1"/>
  <c r="C25" i="22" s="1"/>
  <c r="J49" i="22"/>
  <c r="J36" i="22" s="1"/>
  <c r="J23" i="22" s="1"/>
  <c r="E50" i="22"/>
  <c r="E37" i="22" s="1"/>
  <c r="E24" i="22" s="1"/>
  <c r="Y15" i="97"/>
  <c r="W9" i="15"/>
  <c r="O11" i="15"/>
  <c r="R10" i="15"/>
  <c r="K41" i="17"/>
  <c r="K41" i="18" s="1"/>
  <c r="V9" i="15"/>
  <c r="S10" i="15"/>
  <c r="O12" i="20"/>
  <c r="C7" i="27" s="1"/>
  <c r="M8" i="32" s="1"/>
  <c r="B12" i="97" s="1"/>
  <c r="H38" i="26"/>
  <c r="H37" i="29" s="1"/>
  <c r="X8" i="15"/>
  <c r="K8" i="17"/>
  <c r="E8" i="25"/>
  <c r="AE13" i="97"/>
  <c r="H8" i="26"/>
  <c r="H7" i="29" s="1"/>
  <c r="D10" i="15"/>
  <c r="D10" i="18"/>
  <c r="D10" i="20"/>
  <c r="B44" i="15"/>
  <c r="B44" i="18"/>
  <c r="B44" i="20"/>
  <c r="R10" i="18"/>
  <c r="R10" i="20" s="1"/>
  <c r="F5" i="27" s="1"/>
  <c r="P6" i="32" s="1"/>
  <c r="E10" i="97" s="1"/>
  <c r="V42" i="15"/>
  <c r="V42" i="18" s="1"/>
  <c r="V42" i="20" s="1"/>
  <c r="J20" i="27" s="1"/>
  <c r="T21" i="32" s="1"/>
  <c r="I25" i="97" s="1"/>
  <c r="I8" i="14"/>
  <c r="I41" i="14"/>
  <c r="I37" i="25"/>
  <c r="J30" i="27"/>
  <c r="T31" i="32" s="1"/>
  <c r="I35" i="97" s="1"/>
  <c r="J7" i="25"/>
  <c r="B9" i="29"/>
  <c r="L10" i="26"/>
  <c r="F26" i="25"/>
  <c r="AD43" i="97"/>
  <c r="G38" i="26"/>
  <c r="G37" i="29" s="1"/>
  <c r="X41" i="15"/>
  <c r="K7" i="14"/>
  <c r="K40" i="14"/>
  <c r="G42" i="15"/>
  <c r="G42" i="18"/>
  <c r="G42" i="20"/>
  <c r="F38" i="25"/>
  <c r="G31" i="27"/>
  <c r="Q32" i="32" s="1"/>
  <c r="F36" i="97" s="1"/>
  <c r="H9" i="18"/>
  <c r="H9" i="15"/>
  <c r="H9" i="20"/>
  <c r="W9" i="18"/>
  <c r="W9" i="20" s="1"/>
  <c r="K4" i="27" s="1"/>
  <c r="U5" i="32" s="1"/>
  <c r="J9" i="97" s="1"/>
  <c r="J25" i="25"/>
  <c r="E26" i="25"/>
  <c r="G9" i="15"/>
  <c r="G9" i="18"/>
  <c r="G9" i="20"/>
  <c r="S43" i="15"/>
  <c r="S43" i="18" s="1"/>
  <c r="S43" i="20" s="1"/>
  <c r="F9" i="14"/>
  <c r="F42" i="14"/>
  <c r="H26" i="26"/>
  <c r="H25" i="29" s="1"/>
  <c r="AE31" i="97"/>
  <c r="F8" i="25"/>
  <c r="G26" i="26"/>
  <c r="G25" i="29" s="1"/>
  <c r="AD31" i="97"/>
  <c r="K36" i="25"/>
  <c r="I7" i="25"/>
  <c r="Z14" i="97"/>
  <c r="C9" i="26"/>
  <c r="C8" i="29" s="1"/>
  <c r="B9" i="25"/>
  <c r="S10" i="18"/>
  <c r="S10" i="20" s="1"/>
  <c r="G5" i="27" s="1"/>
  <c r="Q6" i="32" s="1"/>
  <c r="F10" i="97" s="1"/>
  <c r="V9" i="18"/>
  <c r="V9" i="20" s="1"/>
  <c r="J4" i="27" s="1"/>
  <c r="T5" i="32" s="1"/>
  <c r="I9" i="97" s="1"/>
  <c r="W42" i="15"/>
  <c r="W42" i="18" s="1"/>
  <c r="W42" i="20" s="1"/>
  <c r="K20" i="27" s="1"/>
  <c r="U21" i="32" s="1"/>
  <c r="J25" i="97" s="1"/>
  <c r="J8" i="14"/>
  <c r="J41" i="14"/>
  <c r="R43" i="15"/>
  <c r="R43" i="18" s="1"/>
  <c r="R43" i="20" s="1"/>
  <c r="E9" i="14"/>
  <c r="E42" i="14"/>
  <c r="O11" i="18"/>
  <c r="O11" i="20" s="1"/>
  <c r="C6" i="27" s="1"/>
  <c r="M7" i="32" s="1"/>
  <c r="B11" i="97" s="1"/>
  <c r="H42" i="15"/>
  <c r="H42" i="18"/>
  <c r="H42" i="20"/>
  <c r="I25" i="25"/>
  <c r="D43" i="15"/>
  <c r="D43" i="18"/>
  <c r="D43" i="20"/>
  <c r="P44" i="15"/>
  <c r="P44" i="18" s="1"/>
  <c r="P44" i="20" s="1"/>
  <c r="C10" i="14"/>
  <c r="C43" i="14"/>
  <c r="AD13" i="97"/>
  <c r="G8" i="26"/>
  <c r="G7" i="29" s="1"/>
  <c r="E38" i="25"/>
  <c r="F31" i="27"/>
  <c r="P32" i="32" s="1"/>
  <c r="E36" i="97" s="1"/>
  <c r="J37" i="25"/>
  <c r="D89" i="22" l="1"/>
  <c r="G88" i="22"/>
  <c r="H88" i="22"/>
  <c r="K48" i="22"/>
  <c r="K35" i="22" s="1"/>
  <c r="K22" i="22" s="1"/>
  <c r="K9" i="22" s="1"/>
  <c r="I10" i="22"/>
  <c r="I62" i="22"/>
  <c r="I75" i="22" s="1"/>
  <c r="B51" i="22"/>
  <c r="B38" i="22" s="1"/>
  <c r="B25" i="22" s="1"/>
  <c r="D50" i="22"/>
  <c r="D37" i="22" s="1"/>
  <c r="D24" i="22" s="1"/>
  <c r="H49" i="22"/>
  <c r="H36" i="22" s="1"/>
  <c r="H23" i="22" s="1"/>
  <c r="X41" i="18"/>
  <c r="F11" i="22"/>
  <c r="F63" i="22"/>
  <c r="F76" i="22" s="1"/>
  <c r="G49" i="22"/>
  <c r="C12" i="22"/>
  <c r="C64" i="22"/>
  <c r="C77" i="22" s="1"/>
  <c r="P11" i="22" s="1"/>
  <c r="J10" i="22"/>
  <c r="J62" i="22"/>
  <c r="J75" i="22" s="1"/>
  <c r="E11" i="22"/>
  <c r="E63" i="22"/>
  <c r="E76" i="22" s="1"/>
  <c r="R10" i="22" s="1"/>
  <c r="G36" i="22"/>
  <c r="G23" i="22" s="1"/>
  <c r="T9" i="15"/>
  <c r="Q10" i="15"/>
  <c r="U9" i="15"/>
  <c r="U9" i="18" s="1"/>
  <c r="U9" i="20" s="1"/>
  <c r="I4" i="27" s="1"/>
  <c r="S5" i="32" s="1"/>
  <c r="H9" i="97" s="1"/>
  <c r="K41" i="20"/>
  <c r="K24" i="25" s="1"/>
  <c r="K24" i="26" s="1"/>
  <c r="K23" i="29" s="1"/>
  <c r="K8" i="18"/>
  <c r="X8" i="18" s="1"/>
  <c r="K8" i="20"/>
  <c r="AG42" i="97"/>
  <c r="J37" i="26"/>
  <c r="J36" i="29" s="1"/>
  <c r="F26" i="26"/>
  <c r="F25" i="29" s="1"/>
  <c r="AC31" i="97"/>
  <c r="D26" i="25"/>
  <c r="E9" i="18"/>
  <c r="E9" i="20"/>
  <c r="E9" i="15"/>
  <c r="AH41" i="97"/>
  <c r="K36" i="26"/>
  <c r="K35" i="29" s="1"/>
  <c r="G7" i="25"/>
  <c r="AC43" i="97"/>
  <c r="F38" i="26"/>
  <c r="F37" i="29" s="1"/>
  <c r="T42" i="15"/>
  <c r="T42" i="18" s="1"/>
  <c r="T42" i="20" s="1"/>
  <c r="H20" i="27" s="1"/>
  <c r="R21" i="32" s="1"/>
  <c r="G25" i="97" s="1"/>
  <c r="G8" i="14"/>
  <c r="G41" i="14"/>
  <c r="AG12" i="97"/>
  <c r="J7" i="26"/>
  <c r="J6" i="29" s="1"/>
  <c r="AB13" i="97"/>
  <c r="E8" i="26"/>
  <c r="E7" i="29" s="1"/>
  <c r="AB43" i="97"/>
  <c r="E38" i="26"/>
  <c r="E37" i="29" s="1"/>
  <c r="U42" i="15"/>
  <c r="U42" i="18" s="1"/>
  <c r="U42" i="20" s="1"/>
  <c r="I20" i="27" s="1"/>
  <c r="S21" i="32" s="1"/>
  <c r="H25" i="97" s="1"/>
  <c r="H8" i="14"/>
  <c r="H41" i="14"/>
  <c r="T9" i="18"/>
  <c r="T9" i="20" s="1"/>
  <c r="H4" i="27" s="1"/>
  <c r="R5" i="32" s="1"/>
  <c r="G9" i="97" s="1"/>
  <c r="K40" i="15"/>
  <c r="H25" i="25"/>
  <c r="J41" i="15"/>
  <c r="K7" i="15"/>
  <c r="AF42" i="97"/>
  <c r="I37" i="26"/>
  <c r="I36" i="29" s="1"/>
  <c r="D38" i="25"/>
  <c r="E31" i="27"/>
  <c r="O32" i="32" s="1"/>
  <c r="D36" i="97" s="1"/>
  <c r="E42" i="15"/>
  <c r="E42" i="18"/>
  <c r="E42" i="20"/>
  <c r="Q43" i="15"/>
  <c r="Q43" i="18" s="1"/>
  <c r="Q43" i="20" s="1"/>
  <c r="D9" i="14"/>
  <c r="D42" i="14"/>
  <c r="J8" i="15"/>
  <c r="Y14" i="97"/>
  <c r="B9" i="26"/>
  <c r="C43" i="15"/>
  <c r="C43" i="18"/>
  <c r="C43" i="20"/>
  <c r="I25" i="26"/>
  <c r="I24" i="29" s="1"/>
  <c r="AF30" i="97"/>
  <c r="AC13" i="97"/>
  <c r="F8" i="26"/>
  <c r="F7" i="29" s="1"/>
  <c r="E26" i="26"/>
  <c r="E25" i="29" s="1"/>
  <c r="AB31" i="97"/>
  <c r="H7" i="25"/>
  <c r="O44" i="15"/>
  <c r="O44" i="18" s="1"/>
  <c r="O44" i="20" s="1"/>
  <c r="B10" i="14"/>
  <c r="B43" i="14"/>
  <c r="H37" i="25"/>
  <c r="I30" i="27"/>
  <c r="S31" i="32" s="1"/>
  <c r="H35" i="97" s="1"/>
  <c r="C10" i="15"/>
  <c r="C10" i="18"/>
  <c r="C10" i="20"/>
  <c r="F42" i="15"/>
  <c r="F42" i="18"/>
  <c r="F42" i="20"/>
  <c r="I41" i="15"/>
  <c r="D8" i="25"/>
  <c r="AF12" i="97"/>
  <c r="I7" i="26"/>
  <c r="I6" i="29" s="1"/>
  <c r="F9" i="15"/>
  <c r="F9" i="18"/>
  <c r="F9" i="20"/>
  <c r="J25" i="26"/>
  <c r="J24" i="29" s="1"/>
  <c r="AG30" i="97"/>
  <c r="G25" i="25"/>
  <c r="I8" i="15"/>
  <c r="Q10" i="18"/>
  <c r="Q10" i="20" s="1"/>
  <c r="E5" i="27" s="1"/>
  <c r="O6" i="32" s="1"/>
  <c r="D10" i="97" s="1"/>
  <c r="G37" i="25"/>
  <c r="H30" i="27"/>
  <c r="R31" i="32" s="1"/>
  <c r="G35" i="97" s="1"/>
  <c r="F88" i="22" l="1"/>
  <c r="S10" i="22"/>
  <c r="I87" i="22"/>
  <c r="V9" i="22"/>
  <c r="J29" i="27" s="1"/>
  <c r="T30" i="32" s="1"/>
  <c r="I34" i="97" s="1"/>
  <c r="J87" i="22"/>
  <c r="W9" i="22"/>
  <c r="E88" i="22"/>
  <c r="K61" i="22"/>
  <c r="K74" i="22" s="1"/>
  <c r="X8" i="22" s="1"/>
  <c r="L28" i="27" s="1"/>
  <c r="V29" i="32" s="1"/>
  <c r="K33" i="97" s="1"/>
  <c r="AH29" i="97"/>
  <c r="C89" i="22"/>
  <c r="D31" i="27" s="1"/>
  <c r="N32" i="32" s="1"/>
  <c r="C36" i="97" s="1"/>
  <c r="H10" i="22"/>
  <c r="H62" i="22"/>
  <c r="H75" i="22" s="1"/>
  <c r="D11" i="22"/>
  <c r="D63" i="22"/>
  <c r="D76" i="22" s="1"/>
  <c r="C50" i="22"/>
  <c r="C37" i="22" s="1"/>
  <c r="C24" i="22" s="1"/>
  <c r="B12" i="22"/>
  <c r="B64" i="22"/>
  <c r="B77" i="22" s="1"/>
  <c r="O11" i="22" s="1"/>
  <c r="F49" i="22"/>
  <c r="F36" i="22" s="1"/>
  <c r="F23" i="22" s="1"/>
  <c r="E49" i="22"/>
  <c r="E36" i="22" s="1"/>
  <c r="E23" i="22" s="1"/>
  <c r="G10" i="22"/>
  <c r="G62" i="22"/>
  <c r="G75" i="22" s="1"/>
  <c r="P10" i="15"/>
  <c r="J41" i="17"/>
  <c r="J41" i="18" s="1"/>
  <c r="S9" i="15"/>
  <c r="I41" i="17"/>
  <c r="I41" i="18" s="1"/>
  <c r="K40" i="17"/>
  <c r="K40" i="20" s="1"/>
  <c r="K23" i="25" s="1"/>
  <c r="R9" i="15"/>
  <c r="R9" i="18" s="1"/>
  <c r="R9" i="20" s="1"/>
  <c r="F4" i="27" s="1"/>
  <c r="P5" i="32" s="1"/>
  <c r="E9" i="97" s="1"/>
  <c r="X41" i="20"/>
  <c r="L19" i="27" s="1"/>
  <c r="V20" i="32" s="1"/>
  <c r="K24" i="97" s="1"/>
  <c r="J36" i="25"/>
  <c r="J36" i="26" s="1"/>
  <c r="J35" i="29" s="1"/>
  <c r="K29" i="27"/>
  <c r="U30" i="32" s="1"/>
  <c r="J34" i="97" s="1"/>
  <c r="W8" i="15"/>
  <c r="J8" i="17"/>
  <c r="V8" i="15"/>
  <c r="I8" i="17"/>
  <c r="X7" i="15"/>
  <c r="K7" i="17"/>
  <c r="K6" i="25"/>
  <c r="X8" i="20"/>
  <c r="L3" i="27" s="1"/>
  <c r="V4" i="32" s="1"/>
  <c r="K8" i="97" s="1"/>
  <c r="G25" i="26"/>
  <c r="G24" i="29" s="1"/>
  <c r="AD30" i="97"/>
  <c r="S9" i="18"/>
  <c r="S9" i="20" s="1"/>
  <c r="G4" i="27" s="1"/>
  <c r="Q5" i="32" s="1"/>
  <c r="F9" i="97" s="1"/>
  <c r="V41" i="15"/>
  <c r="I7" i="14"/>
  <c r="I40" i="14"/>
  <c r="AE42" i="97"/>
  <c r="H37" i="26"/>
  <c r="H36" i="29" s="1"/>
  <c r="AE12" i="97"/>
  <c r="H7" i="26"/>
  <c r="H6" i="29" s="1"/>
  <c r="H8" i="15"/>
  <c r="G8" i="15"/>
  <c r="R42" i="15"/>
  <c r="R42" i="18" s="1"/>
  <c r="R42" i="20" s="1"/>
  <c r="F20" i="27" s="1"/>
  <c r="P21" i="32" s="1"/>
  <c r="E25" i="97" s="1"/>
  <c r="E8" i="14"/>
  <c r="E41" i="14"/>
  <c r="X40" i="15"/>
  <c r="K6" i="14"/>
  <c r="K39" i="14"/>
  <c r="B10" i="15"/>
  <c r="B10" i="18"/>
  <c r="B10" i="20"/>
  <c r="B8" i="29"/>
  <c r="L9" i="26"/>
  <c r="E7" i="25"/>
  <c r="D26" i="26"/>
  <c r="D25" i="29" s="1"/>
  <c r="AA31" i="97"/>
  <c r="C38" i="25"/>
  <c r="S42" i="15"/>
  <c r="S42" i="18" s="1"/>
  <c r="S42" i="20" s="1"/>
  <c r="G20" i="27" s="1"/>
  <c r="Q21" i="32" s="1"/>
  <c r="F25" i="97" s="1"/>
  <c r="F8" i="14"/>
  <c r="F41" i="14"/>
  <c r="AA43" i="97"/>
  <c r="D38" i="26"/>
  <c r="D37" i="29" s="1"/>
  <c r="W41" i="15"/>
  <c r="J7" i="14"/>
  <c r="J40" i="14"/>
  <c r="E37" i="25"/>
  <c r="F30" i="27"/>
  <c r="P31" i="32" s="1"/>
  <c r="E35" i="97" s="1"/>
  <c r="C8" i="25"/>
  <c r="D42" i="15"/>
  <c r="D42" i="18"/>
  <c r="D42" i="20"/>
  <c r="AD42" i="97"/>
  <c r="G37" i="26"/>
  <c r="G36" i="29" s="1"/>
  <c r="AA13" i="97"/>
  <c r="D8" i="26"/>
  <c r="D7" i="29" s="1"/>
  <c r="D9" i="18"/>
  <c r="D9" i="15"/>
  <c r="D9" i="20"/>
  <c r="AD12" i="97"/>
  <c r="G7" i="26"/>
  <c r="G6" i="29" s="1"/>
  <c r="F37" i="25"/>
  <c r="G30" i="27"/>
  <c r="Q31" i="32" s="1"/>
  <c r="F35" i="97" s="1"/>
  <c r="B43" i="15"/>
  <c r="B43" i="18"/>
  <c r="B43" i="20"/>
  <c r="P43" i="15"/>
  <c r="P43" i="18" s="1"/>
  <c r="P43" i="20" s="1"/>
  <c r="C9" i="14"/>
  <c r="C42" i="14"/>
  <c r="P10" i="18"/>
  <c r="P10" i="20" s="1"/>
  <c r="D5" i="27" s="1"/>
  <c r="N6" i="32" s="1"/>
  <c r="C10" i="97" s="1"/>
  <c r="H25" i="26"/>
  <c r="H24" i="29" s="1"/>
  <c r="AE30" i="97"/>
  <c r="F25" i="25"/>
  <c r="F7" i="25"/>
  <c r="C26" i="25"/>
  <c r="E25" i="25"/>
  <c r="H41" i="15"/>
  <c r="G41" i="15"/>
  <c r="I36" i="25"/>
  <c r="K35" i="25" l="1"/>
  <c r="H87" i="22"/>
  <c r="U9" i="22"/>
  <c r="D88" i="22"/>
  <c r="Q10" i="22"/>
  <c r="G87" i="22"/>
  <c r="T9" i="22"/>
  <c r="H29" i="27" s="1"/>
  <c r="R30" i="32" s="1"/>
  <c r="G34" i="97" s="1"/>
  <c r="J48" i="22"/>
  <c r="J35" i="22" s="1"/>
  <c r="J22" i="22" s="1"/>
  <c r="J9" i="22" s="1"/>
  <c r="K86" i="22"/>
  <c r="I48" i="22"/>
  <c r="I35" i="22" s="1"/>
  <c r="I22" i="22" s="1"/>
  <c r="I61" i="22" s="1"/>
  <c r="I74" i="22" s="1"/>
  <c r="V8" i="22" s="1"/>
  <c r="K40" i="18"/>
  <c r="F10" i="22"/>
  <c r="F62" i="22"/>
  <c r="F75" i="22" s="1"/>
  <c r="B50" i="22"/>
  <c r="B37" i="22" s="1"/>
  <c r="B24" i="22" s="1"/>
  <c r="E10" i="22"/>
  <c r="E62" i="22"/>
  <c r="E75" i="22" s="1"/>
  <c r="D49" i="22"/>
  <c r="D36" i="22" s="1"/>
  <c r="D23" i="22" s="1"/>
  <c r="B89" i="22"/>
  <c r="C11" i="22"/>
  <c r="C63" i="22"/>
  <c r="C76" i="22" s="1"/>
  <c r="P10" i="22" s="1"/>
  <c r="J41" i="20"/>
  <c r="J24" i="25" s="1"/>
  <c r="J24" i="26" s="1"/>
  <c r="J23" i="29" s="1"/>
  <c r="I9" i="22"/>
  <c r="W41" i="18"/>
  <c r="AG41" i="97"/>
  <c r="G41" i="17"/>
  <c r="G41" i="18" s="1"/>
  <c r="G48" i="22" s="1"/>
  <c r="G35" i="22" s="1"/>
  <c r="G22" i="22" s="1"/>
  <c r="O10" i="15"/>
  <c r="H41" i="17"/>
  <c r="H41" i="18" s="1"/>
  <c r="Q9" i="15"/>
  <c r="Q9" i="18" s="1"/>
  <c r="Q9" i="20" s="1"/>
  <c r="E4" i="27" s="1"/>
  <c r="O5" i="32" s="1"/>
  <c r="D9" i="97" s="1"/>
  <c r="V41" i="18"/>
  <c r="I41" i="20"/>
  <c r="I24" i="25" s="1"/>
  <c r="I24" i="26" s="1"/>
  <c r="I23" i="29" s="1"/>
  <c r="X40" i="18"/>
  <c r="X40" i="20" s="1"/>
  <c r="L18" i="27" s="1"/>
  <c r="V19" i="32" s="1"/>
  <c r="K23" i="97" s="1"/>
  <c r="T8" i="15"/>
  <c r="G8" i="17"/>
  <c r="K7" i="18"/>
  <c r="X7" i="18" s="1"/>
  <c r="K7" i="20"/>
  <c r="U8" i="15"/>
  <c r="H8" i="17"/>
  <c r="J8" i="20"/>
  <c r="J6" i="25" s="1"/>
  <c r="AG11" i="97" s="1"/>
  <c r="J8" i="18"/>
  <c r="W8" i="18" s="1"/>
  <c r="AH11" i="97"/>
  <c r="K6" i="26"/>
  <c r="K5" i="29" s="1"/>
  <c r="I8" i="18"/>
  <c r="V8" i="18" s="1"/>
  <c r="I8" i="20"/>
  <c r="I6" i="25" s="1"/>
  <c r="AF11" i="97" s="1"/>
  <c r="T41" i="15"/>
  <c r="G7" i="14"/>
  <c r="G40" i="14"/>
  <c r="O43" i="15"/>
  <c r="O43" i="18" s="1"/>
  <c r="O43" i="20" s="1"/>
  <c r="B9" i="14"/>
  <c r="B42" i="14"/>
  <c r="F8" i="15"/>
  <c r="E25" i="26"/>
  <c r="E24" i="29" s="1"/>
  <c r="AB30" i="97"/>
  <c r="D25" i="25"/>
  <c r="H36" i="25"/>
  <c r="I29" i="27"/>
  <c r="S30" i="32" s="1"/>
  <c r="H34" i="97" s="1"/>
  <c r="AC12" i="97"/>
  <c r="F7" i="26"/>
  <c r="F6" i="29" s="1"/>
  <c r="AC42" i="97"/>
  <c r="F37" i="26"/>
  <c r="F36" i="29" s="1"/>
  <c r="B8" i="25"/>
  <c r="K39" i="15"/>
  <c r="C42" i="15"/>
  <c r="C42" i="18"/>
  <c r="C42" i="20"/>
  <c r="Q42" i="15"/>
  <c r="Q42" i="18" s="1"/>
  <c r="Q42" i="20" s="1"/>
  <c r="E20" i="27" s="1"/>
  <c r="O21" i="32" s="1"/>
  <c r="D25" i="97" s="1"/>
  <c r="D8" i="14"/>
  <c r="D41" i="14"/>
  <c r="AB12" i="97"/>
  <c r="E7" i="26"/>
  <c r="E6" i="29" s="1"/>
  <c r="O10" i="18"/>
  <c r="O10" i="20" s="1"/>
  <c r="C5" i="27" s="1"/>
  <c r="M6" i="32" s="1"/>
  <c r="B10" i="97" s="1"/>
  <c r="K6" i="15"/>
  <c r="G36" i="25"/>
  <c r="F25" i="26"/>
  <c r="F24" i="29" s="1"/>
  <c r="AC30" i="97"/>
  <c r="U41" i="15"/>
  <c r="H7" i="14"/>
  <c r="H40" i="14"/>
  <c r="C9" i="18"/>
  <c r="C9" i="15"/>
  <c r="C9" i="20"/>
  <c r="AH40" i="97"/>
  <c r="K35" i="26"/>
  <c r="K34" i="29" s="1"/>
  <c r="K23" i="26"/>
  <c r="K22" i="29" s="1"/>
  <c r="AH28" i="97"/>
  <c r="D7" i="25"/>
  <c r="Z13" i="97"/>
  <c r="C8" i="26"/>
  <c r="C7" i="29" s="1"/>
  <c r="J40" i="15"/>
  <c r="Z43" i="97"/>
  <c r="C38" i="26"/>
  <c r="C37" i="29" s="1"/>
  <c r="E41" i="15"/>
  <c r="D37" i="25"/>
  <c r="E30" i="27"/>
  <c r="O31" i="32" s="1"/>
  <c r="D35" i="97" s="1"/>
  <c r="AF41" i="97"/>
  <c r="I36" i="26"/>
  <c r="I35" i="29" s="1"/>
  <c r="C26" i="26"/>
  <c r="C25" i="29" s="1"/>
  <c r="Z31" i="97"/>
  <c r="B26" i="25"/>
  <c r="J7" i="15"/>
  <c r="E8" i="15"/>
  <c r="I40" i="15"/>
  <c r="AB42" i="97"/>
  <c r="E37" i="26"/>
  <c r="E36" i="29" s="1"/>
  <c r="F41" i="15"/>
  <c r="I7" i="15"/>
  <c r="B38" i="25"/>
  <c r="C31" i="27"/>
  <c r="M32" i="32" s="1"/>
  <c r="B36" i="97" s="1"/>
  <c r="F87" i="22" l="1"/>
  <c r="S9" i="22"/>
  <c r="E87" i="22"/>
  <c r="R9" i="22"/>
  <c r="F29" i="27" s="1"/>
  <c r="P30" i="32" s="1"/>
  <c r="E34" i="97" s="1"/>
  <c r="AG29" i="97"/>
  <c r="J61" i="22"/>
  <c r="J74" i="22" s="1"/>
  <c r="W8" i="22" s="1"/>
  <c r="U41" i="18"/>
  <c r="T41" i="18"/>
  <c r="H48" i="22"/>
  <c r="H35" i="22" s="1"/>
  <c r="H22" i="22" s="1"/>
  <c r="H9" i="22" s="1"/>
  <c r="AF29" i="97"/>
  <c r="G41" i="20"/>
  <c r="G24" i="25" s="1"/>
  <c r="G24" i="26" s="1"/>
  <c r="G23" i="29" s="1"/>
  <c r="K47" i="22"/>
  <c r="K34" i="22" s="1"/>
  <c r="K21" i="22" s="1"/>
  <c r="W41" i="20"/>
  <c r="K19" i="27" s="1"/>
  <c r="U20" i="32" s="1"/>
  <c r="J24" i="97" s="1"/>
  <c r="C88" i="22"/>
  <c r="D30" i="27" s="1"/>
  <c r="N31" i="32" s="1"/>
  <c r="C35" i="97" s="1"/>
  <c r="I86" i="22"/>
  <c r="J28" i="27" s="1"/>
  <c r="T29" i="32" s="1"/>
  <c r="I33" i="97" s="1"/>
  <c r="G9" i="22"/>
  <c r="G61" i="22"/>
  <c r="G74" i="22" s="1"/>
  <c r="B11" i="22"/>
  <c r="B63" i="22"/>
  <c r="B76" i="22" s="1"/>
  <c r="O10" i="22" s="1"/>
  <c r="C49" i="22"/>
  <c r="D10" i="22"/>
  <c r="D62" i="22"/>
  <c r="D75" i="22" s="1"/>
  <c r="H41" i="20"/>
  <c r="H24" i="25" s="1"/>
  <c r="AE29" i="97" s="1"/>
  <c r="C36" i="22"/>
  <c r="C23" i="22" s="1"/>
  <c r="J40" i="17"/>
  <c r="J40" i="18" s="1"/>
  <c r="J47" i="22" s="1"/>
  <c r="J34" i="22" s="1"/>
  <c r="J21" i="22" s="1"/>
  <c r="K39" i="17"/>
  <c r="K39" i="20" s="1"/>
  <c r="E41" i="17"/>
  <c r="E41" i="20" s="1"/>
  <c r="E24" i="25" s="1"/>
  <c r="P9" i="15"/>
  <c r="P9" i="18" s="1"/>
  <c r="P9" i="20" s="1"/>
  <c r="D4" i="27" s="1"/>
  <c r="N5" i="32" s="1"/>
  <c r="C9" i="97" s="1"/>
  <c r="V41" i="20"/>
  <c r="J19" i="27" s="1"/>
  <c r="T20" i="32" s="1"/>
  <c r="I24" i="97" s="1"/>
  <c r="I40" i="17"/>
  <c r="I40" i="18" s="1"/>
  <c r="I47" i="22" s="1"/>
  <c r="I34" i="22" s="1"/>
  <c r="I21" i="22" s="1"/>
  <c r="F41" i="17"/>
  <c r="F41" i="20" s="1"/>
  <c r="F24" i="25" s="1"/>
  <c r="C37" i="25"/>
  <c r="Z42" i="97" s="1"/>
  <c r="I6" i="26"/>
  <c r="I5" i="29" s="1"/>
  <c r="J6" i="26"/>
  <c r="J5" i="29" s="1"/>
  <c r="W8" i="20"/>
  <c r="K3" i="27" s="1"/>
  <c r="U4" i="32" s="1"/>
  <c r="J8" i="97" s="1"/>
  <c r="V7" i="15"/>
  <c r="I7" i="17"/>
  <c r="X7" i="20"/>
  <c r="K5" i="25"/>
  <c r="S8" i="15"/>
  <c r="F8" i="17"/>
  <c r="V8" i="20"/>
  <c r="J3" i="27" s="1"/>
  <c r="T4" i="32" s="1"/>
  <c r="I8" i="97" s="1"/>
  <c r="R8" i="15"/>
  <c r="E8" i="17"/>
  <c r="H8" i="18"/>
  <c r="U8" i="18" s="1"/>
  <c r="H8" i="20"/>
  <c r="H6" i="25" s="1"/>
  <c r="H6" i="26" s="1"/>
  <c r="H5" i="29" s="1"/>
  <c r="G8" i="18"/>
  <c r="T8" i="18" s="1"/>
  <c r="G8" i="20"/>
  <c r="G6" i="25" s="1"/>
  <c r="AD11" i="97" s="1"/>
  <c r="W7" i="15"/>
  <c r="J7" i="17"/>
  <c r="X6" i="15"/>
  <c r="K6" i="17"/>
  <c r="B9" i="15"/>
  <c r="B9" i="18"/>
  <c r="B9" i="20"/>
  <c r="V40" i="15"/>
  <c r="I6" i="14"/>
  <c r="I39" i="14"/>
  <c r="B26" i="26"/>
  <c r="Y31" i="97"/>
  <c r="AA42" i="97"/>
  <c r="D37" i="26"/>
  <c r="D36" i="29" s="1"/>
  <c r="R41" i="15"/>
  <c r="E7" i="14"/>
  <c r="E40" i="14"/>
  <c r="P42" i="15"/>
  <c r="P42" i="18" s="1"/>
  <c r="P42" i="20" s="1"/>
  <c r="D20" i="27" s="1"/>
  <c r="N21" i="32" s="1"/>
  <c r="C25" i="97" s="1"/>
  <c r="C8" i="14"/>
  <c r="C41" i="14"/>
  <c r="X39" i="15"/>
  <c r="K5" i="14"/>
  <c r="K38" i="14"/>
  <c r="E36" i="25"/>
  <c r="AA12" i="97"/>
  <c r="D7" i="26"/>
  <c r="D6" i="29" s="1"/>
  <c r="H40" i="15"/>
  <c r="Y43" i="97"/>
  <c r="B38" i="26"/>
  <c r="H7" i="15"/>
  <c r="Y13" i="97"/>
  <c r="B8" i="26"/>
  <c r="F36" i="25"/>
  <c r="G29" i="27"/>
  <c r="Q30" i="32" s="1"/>
  <c r="F34" i="97" s="1"/>
  <c r="D41" i="15"/>
  <c r="G40" i="15"/>
  <c r="W40" i="15"/>
  <c r="W40" i="18" s="1"/>
  <c r="J6" i="14"/>
  <c r="J39" i="14"/>
  <c r="AD41" i="97"/>
  <c r="G36" i="26"/>
  <c r="G35" i="29" s="1"/>
  <c r="D8" i="15"/>
  <c r="D25" i="26"/>
  <c r="D24" i="29" s="1"/>
  <c r="AA30" i="97"/>
  <c r="G7" i="15"/>
  <c r="J35" i="25"/>
  <c r="S41" i="15"/>
  <c r="F7" i="14"/>
  <c r="F40" i="14"/>
  <c r="AE41" i="97"/>
  <c r="H36" i="26"/>
  <c r="H35" i="29" s="1"/>
  <c r="C7" i="25"/>
  <c r="C25" i="25"/>
  <c r="K22" i="25"/>
  <c r="B42" i="15"/>
  <c r="B42" i="18"/>
  <c r="B42" i="20"/>
  <c r="I35" i="25"/>
  <c r="J86" i="22" l="1"/>
  <c r="K28" i="27" s="1"/>
  <c r="U29" i="32" s="1"/>
  <c r="J33" i="97" s="1"/>
  <c r="H24" i="26"/>
  <c r="H23" i="29" s="1"/>
  <c r="D87" i="22"/>
  <c r="Q9" i="22"/>
  <c r="E29" i="27" s="1"/>
  <c r="O30" i="32" s="1"/>
  <c r="D34" i="97" s="1"/>
  <c r="G86" i="22"/>
  <c r="T8" i="22"/>
  <c r="T41" i="20"/>
  <c r="H19" i="27" s="1"/>
  <c r="R20" i="32" s="1"/>
  <c r="G24" i="97" s="1"/>
  <c r="AD29" i="97"/>
  <c r="K39" i="18"/>
  <c r="X39" i="18" s="1"/>
  <c r="X39" i="20" s="1"/>
  <c r="L17" i="27" s="1"/>
  <c r="V18" i="32" s="1"/>
  <c r="K22" i="97" s="1"/>
  <c r="J40" i="20"/>
  <c r="J23" i="25" s="1"/>
  <c r="AG28" i="97" s="1"/>
  <c r="V40" i="18"/>
  <c r="H61" i="22"/>
  <c r="H74" i="22" s="1"/>
  <c r="K60" i="22"/>
  <c r="K73" i="22" s="1"/>
  <c r="X7" i="22" s="1"/>
  <c r="K8" i="22"/>
  <c r="U41" i="20"/>
  <c r="I19" i="27" s="1"/>
  <c r="S20" i="32" s="1"/>
  <c r="H24" i="97" s="1"/>
  <c r="I8" i="22"/>
  <c r="I60" i="22"/>
  <c r="I73" i="22" s="1"/>
  <c r="V7" i="22" s="1"/>
  <c r="B49" i="22"/>
  <c r="B36" i="22" s="1"/>
  <c r="B23" i="22" s="1"/>
  <c r="B88" i="22"/>
  <c r="C30" i="27" s="1"/>
  <c r="M31" i="32" s="1"/>
  <c r="B35" i="97" s="1"/>
  <c r="J8" i="22"/>
  <c r="J60" i="22"/>
  <c r="J73" i="22" s="1"/>
  <c r="W7" i="22" s="1"/>
  <c r="C10" i="22"/>
  <c r="C62" i="22"/>
  <c r="C75" i="22" s="1"/>
  <c r="E41" i="18"/>
  <c r="I40" i="20"/>
  <c r="I23" i="25" s="1"/>
  <c r="I23" i="26" s="1"/>
  <c r="I22" i="29" s="1"/>
  <c r="G40" i="17"/>
  <c r="G40" i="18" s="1"/>
  <c r="O9" i="15"/>
  <c r="O9" i="18" s="1"/>
  <c r="O9" i="20" s="1"/>
  <c r="C4" i="27" s="1"/>
  <c r="M5" i="32" s="1"/>
  <c r="B9" i="97" s="1"/>
  <c r="D41" i="17"/>
  <c r="D41" i="18" s="1"/>
  <c r="H40" i="17"/>
  <c r="H40" i="20" s="1"/>
  <c r="H23" i="25" s="1"/>
  <c r="F41" i="18"/>
  <c r="C37" i="26"/>
  <c r="C36" i="29" s="1"/>
  <c r="G6" i="26"/>
  <c r="G5" i="29" s="1"/>
  <c r="AE11" i="97"/>
  <c r="Q8" i="15"/>
  <c r="D8" i="17"/>
  <c r="U8" i="20"/>
  <c r="I3" i="27" s="1"/>
  <c r="S4" i="32" s="1"/>
  <c r="H8" i="97" s="1"/>
  <c r="F8" i="18"/>
  <c r="S8" i="18" s="1"/>
  <c r="F8" i="20"/>
  <c r="F6" i="25" s="1"/>
  <c r="AC11" i="97" s="1"/>
  <c r="U7" i="15"/>
  <c r="H7" i="17"/>
  <c r="K6" i="18"/>
  <c r="X6" i="18" s="1"/>
  <c r="K6" i="20"/>
  <c r="K4" i="25" s="1"/>
  <c r="AH9" i="97" s="1"/>
  <c r="E8" i="18"/>
  <c r="R8" i="18" s="1"/>
  <c r="E8" i="20"/>
  <c r="T8" i="20"/>
  <c r="H3" i="27" s="1"/>
  <c r="R4" i="32" s="1"/>
  <c r="G8" i="97" s="1"/>
  <c r="AH10" i="97"/>
  <c r="K5" i="26"/>
  <c r="K4" i="29" s="1"/>
  <c r="I7" i="18"/>
  <c r="V7" i="18" s="1"/>
  <c r="I7" i="20"/>
  <c r="I5" i="25" s="1"/>
  <c r="AF10" i="97" s="1"/>
  <c r="T7" i="15"/>
  <c r="G7" i="17"/>
  <c r="J7" i="18"/>
  <c r="W7" i="18" s="1"/>
  <c r="J7" i="20"/>
  <c r="J5" i="25" s="1"/>
  <c r="J5" i="26" s="1"/>
  <c r="J4" i="29" s="1"/>
  <c r="K38" i="15"/>
  <c r="AC29" i="97"/>
  <c r="F24" i="26"/>
  <c r="F23" i="29" s="1"/>
  <c r="B25" i="25"/>
  <c r="C25" i="26"/>
  <c r="C24" i="29" s="1"/>
  <c r="Z30" i="97"/>
  <c r="F7" i="15"/>
  <c r="AF40" i="97"/>
  <c r="I35" i="26"/>
  <c r="I34" i="29" s="1"/>
  <c r="J23" i="26"/>
  <c r="J22" i="29" s="1"/>
  <c r="K5" i="15"/>
  <c r="B7" i="25"/>
  <c r="T40" i="15"/>
  <c r="G6" i="14"/>
  <c r="G39" i="14"/>
  <c r="AG40" i="97"/>
  <c r="J35" i="26"/>
  <c r="J34" i="29" s="1"/>
  <c r="AC41" i="97"/>
  <c r="F36" i="26"/>
  <c r="F35" i="29" s="1"/>
  <c r="C41" i="15"/>
  <c r="B25" i="29"/>
  <c r="L26" i="26"/>
  <c r="G35" i="25"/>
  <c r="H28" i="27"/>
  <c r="R29" i="32" s="1"/>
  <c r="G33" i="97" s="1"/>
  <c r="O42" i="15"/>
  <c r="O42" i="18" s="1"/>
  <c r="O42" i="20" s="1"/>
  <c r="C20" i="27" s="1"/>
  <c r="M21" i="32" s="1"/>
  <c r="B25" i="97" s="1"/>
  <c r="B8" i="14"/>
  <c r="B41" i="14"/>
  <c r="C8" i="15"/>
  <c r="I39" i="15"/>
  <c r="AB41" i="97"/>
  <c r="E36" i="26"/>
  <c r="E35" i="29" s="1"/>
  <c r="E40" i="15"/>
  <c r="I6" i="15"/>
  <c r="B37" i="25"/>
  <c r="Z12" i="97"/>
  <c r="C7" i="26"/>
  <c r="C6" i="29" s="1"/>
  <c r="K22" i="26"/>
  <c r="K21" i="29" s="1"/>
  <c r="AH27" i="97"/>
  <c r="AB29" i="97"/>
  <c r="E24" i="26"/>
  <c r="E23" i="29" s="1"/>
  <c r="J39" i="15"/>
  <c r="B7" i="29"/>
  <c r="L8" i="26"/>
  <c r="E7" i="15"/>
  <c r="F40" i="15"/>
  <c r="J6" i="15"/>
  <c r="Q41" i="15"/>
  <c r="D7" i="14"/>
  <c r="D40" i="14"/>
  <c r="B37" i="29"/>
  <c r="L38" i="26"/>
  <c r="U40" i="15"/>
  <c r="H6" i="14"/>
  <c r="H39" i="14"/>
  <c r="D36" i="25"/>
  <c r="K46" i="22" l="1"/>
  <c r="K33" i="22" s="1"/>
  <c r="K20" i="22" s="1"/>
  <c r="W40" i="20"/>
  <c r="K18" i="27" s="1"/>
  <c r="U19" i="32" s="1"/>
  <c r="J23" i="97" s="1"/>
  <c r="C87" i="22"/>
  <c r="P9" i="22"/>
  <c r="D29" i="27" s="1"/>
  <c r="N30" i="32" s="1"/>
  <c r="C34" i="97" s="1"/>
  <c r="H86" i="22"/>
  <c r="U8" i="22"/>
  <c r="H35" i="25"/>
  <c r="AE40" i="97" s="1"/>
  <c r="I85" i="22"/>
  <c r="K7" i="22"/>
  <c r="K59" i="22"/>
  <c r="K72" i="22" s="1"/>
  <c r="X6" i="22" s="1"/>
  <c r="L26" i="27" s="1"/>
  <c r="V27" i="32" s="1"/>
  <c r="K31" i="97" s="1"/>
  <c r="S41" i="18"/>
  <c r="S41" i="20" s="1"/>
  <c r="G19" i="27" s="1"/>
  <c r="Q20" i="32" s="1"/>
  <c r="F24" i="97" s="1"/>
  <c r="F48" i="22"/>
  <c r="F35" i="22" s="1"/>
  <c r="F22" i="22" s="1"/>
  <c r="F61" i="22" s="1"/>
  <c r="F74" i="22" s="1"/>
  <c r="S8" i="22" s="1"/>
  <c r="D48" i="22"/>
  <c r="D35" i="22" s="1"/>
  <c r="D22" i="22" s="1"/>
  <c r="G47" i="22"/>
  <c r="G34" i="22" s="1"/>
  <c r="G21" i="22" s="1"/>
  <c r="G8" i="22" s="1"/>
  <c r="R41" i="18"/>
  <c r="R41" i="20" s="1"/>
  <c r="F19" i="27" s="1"/>
  <c r="P20" i="32" s="1"/>
  <c r="E24" i="97" s="1"/>
  <c r="E48" i="22"/>
  <c r="E35" i="22" s="1"/>
  <c r="E22" i="22" s="1"/>
  <c r="L27" i="27"/>
  <c r="V28" i="32" s="1"/>
  <c r="K32" i="97" s="1"/>
  <c r="K85" i="22"/>
  <c r="K34" i="25"/>
  <c r="AF28" i="97"/>
  <c r="J85" i="22"/>
  <c r="B10" i="22"/>
  <c r="B62" i="22"/>
  <c r="B75" i="22" s="1"/>
  <c r="O9" i="22" s="1"/>
  <c r="D41" i="20"/>
  <c r="D24" i="25" s="1"/>
  <c r="D24" i="26" s="1"/>
  <c r="D23" i="29" s="1"/>
  <c r="Q41" i="18"/>
  <c r="G60" i="22"/>
  <c r="G73" i="22" s="1"/>
  <c r="V40" i="20"/>
  <c r="J18" i="27" s="1"/>
  <c r="T19" i="32" s="1"/>
  <c r="I23" i="97" s="1"/>
  <c r="I39" i="17"/>
  <c r="I39" i="18" s="1"/>
  <c r="F40" i="17"/>
  <c r="F40" i="18" s="1"/>
  <c r="F47" i="22" s="1"/>
  <c r="F34" i="22" s="1"/>
  <c r="F21" i="22" s="1"/>
  <c r="C41" i="17"/>
  <c r="C41" i="18" s="1"/>
  <c r="C48" i="22" s="1"/>
  <c r="C35" i="22" s="1"/>
  <c r="C22" i="22" s="1"/>
  <c r="K38" i="17"/>
  <c r="K38" i="18" s="1"/>
  <c r="K45" i="22" s="1"/>
  <c r="G40" i="20"/>
  <c r="G23" i="25" s="1"/>
  <c r="G23" i="26" s="1"/>
  <c r="G22" i="29" s="1"/>
  <c r="T40" i="18"/>
  <c r="J39" i="17"/>
  <c r="J39" i="20" s="1"/>
  <c r="J22" i="25" s="1"/>
  <c r="E40" i="17"/>
  <c r="E40" i="18" s="1"/>
  <c r="E47" i="22" s="1"/>
  <c r="E34" i="22" s="1"/>
  <c r="E21" i="22" s="1"/>
  <c r="H40" i="18"/>
  <c r="C36" i="25"/>
  <c r="Z41" i="97" s="1"/>
  <c r="I5" i="26"/>
  <c r="I4" i="29" s="1"/>
  <c r="AG10" i="97"/>
  <c r="W7" i="20"/>
  <c r="V7" i="20"/>
  <c r="K4" i="26"/>
  <c r="K3" i="29" s="1"/>
  <c r="F6" i="26"/>
  <c r="F5" i="29" s="1"/>
  <c r="E6" i="25"/>
  <c r="R8" i="20"/>
  <c r="F3" i="27" s="1"/>
  <c r="P4" i="32" s="1"/>
  <c r="E8" i="97" s="1"/>
  <c r="H7" i="20"/>
  <c r="H5" i="25" s="1"/>
  <c r="H5" i="26" s="1"/>
  <c r="H4" i="29" s="1"/>
  <c r="H7" i="18"/>
  <c r="U7" i="18" s="1"/>
  <c r="W6" i="15"/>
  <c r="J6" i="17"/>
  <c r="R7" i="15"/>
  <c r="E7" i="17"/>
  <c r="S7" i="15"/>
  <c r="F7" i="17"/>
  <c r="G7" i="18"/>
  <c r="T7" i="18" s="1"/>
  <c r="G7" i="20"/>
  <c r="G5" i="25" s="1"/>
  <c r="AD10" i="97" s="1"/>
  <c r="P8" i="15"/>
  <c r="C8" i="17"/>
  <c r="X5" i="15"/>
  <c r="K5" i="17"/>
  <c r="D8" i="20"/>
  <c r="D6" i="25" s="1"/>
  <c r="D6" i="26" s="1"/>
  <c r="D5" i="29" s="1"/>
  <c r="D8" i="18"/>
  <c r="Q8" i="18" s="1"/>
  <c r="V6" i="15"/>
  <c r="I6" i="17"/>
  <c r="X6" i="20"/>
  <c r="S8" i="20"/>
  <c r="G3" i="27" s="1"/>
  <c r="Q4" i="32" s="1"/>
  <c r="F8" i="97" s="1"/>
  <c r="H6" i="15"/>
  <c r="H23" i="26"/>
  <c r="H22" i="29" s="1"/>
  <c r="AE28" i="97"/>
  <c r="G6" i="15"/>
  <c r="J34" i="25"/>
  <c r="K27" i="27"/>
  <c r="U28" i="32" s="1"/>
  <c r="J32" i="97" s="1"/>
  <c r="W39" i="15"/>
  <c r="J5" i="14"/>
  <c r="J38" i="14"/>
  <c r="I34" i="25"/>
  <c r="J27" i="27"/>
  <c r="T28" i="32" s="1"/>
  <c r="I32" i="97" s="1"/>
  <c r="V39" i="15"/>
  <c r="I5" i="14"/>
  <c r="I38" i="14"/>
  <c r="D40" i="15"/>
  <c r="S40" i="15"/>
  <c r="F6" i="14"/>
  <c r="F39" i="14"/>
  <c r="B8" i="15"/>
  <c r="P41" i="15"/>
  <c r="P41" i="18" s="1"/>
  <c r="C7" i="14"/>
  <c r="C40" i="14"/>
  <c r="B25" i="26"/>
  <c r="Y30" i="97"/>
  <c r="AA41" i="97"/>
  <c r="D36" i="26"/>
  <c r="D35" i="29" s="1"/>
  <c r="B41" i="15"/>
  <c r="H35" i="26"/>
  <c r="H34" i="29" s="1"/>
  <c r="X38" i="15"/>
  <c r="X38" i="18" s="1"/>
  <c r="K4" i="14"/>
  <c r="K37" i="14"/>
  <c r="R40" i="15"/>
  <c r="E6" i="14"/>
  <c r="E39" i="14"/>
  <c r="D7" i="15"/>
  <c r="Y12" i="97"/>
  <c r="B7" i="26"/>
  <c r="Y42" i="97"/>
  <c r="B37" i="26"/>
  <c r="H39" i="15"/>
  <c r="AD40" i="97"/>
  <c r="G35" i="26"/>
  <c r="G34" i="29" s="1"/>
  <c r="G39" i="15"/>
  <c r="K33" i="25"/>
  <c r="G85" i="22" l="1"/>
  <c r="T7" i="22"/>
  <c r="H27" i="27" s="1"/>
  <c r="R28" i="32" s="1"/>
  <c r="G32" i="97" s="1"/>
  <c r="I28" i="27"/>
  <c r="S29" i="32" s="1"/>
  <c r="H33" i="97" s="1"/>
  <c r="R40" i="18"/>
  <c r="K38" i="20"/>
  <c r="K21" i="25" s="1"/>
  <c r="AA29" i="97"/>
  <c r="K84" i="22"/>
  <c r="D61" i="22"/>
  <c r="D74" i="22" s="1"/>
  <c r="D9" i="22"/>
  <c r="E61" i="22"/>
  <c r="E74" i="22" s="1"/>
  <c r="R8" i="22" s="1"/>
  <c r="E9" i="22"/>
  <c r="U40" i="18"/>
  <c r="U40" i="20" s="1"/>
  <c r="I18" i="27" s="1"/>
  <c r="S19" i="32" s="1"/>
  <c r="H23" i="97" s="1"/>
  <c r="H47" i="22"/>
  <c r="H34" i="22" s="1"/>
  <c r="H21" i="22" s="1"/>
  <c r="F9" i="22"/>
  <c r="F86" i="22" s="1"/>
  <c r="G28" i="27" s="1"/>
  <c r="Q29" i="32" s="1"/>
  <c r="F33" i="97" s="1"/>
  <c r="K32" i="22"/>
  <c r="K19" i="22" s="1"/>
  <c r="K6" i="22" s="1"/>
  <c r="I46" i="22"/>
  <c r="I33" i="22" s="1"/>
  <c r="I20" i="22" s="1"/>
  <c r="AH39" i="97"/>
  <c r="K34" i="26"/>
  <c r="K33" i="29" s="1"/>
  <c r="S40" i="18"/>
  <c r="F35" i="25"/>
  <c r="AC40" i="97" s="1"/>
  <c r="Q41" i="20"/>
  <c r="E19" i="27" s="1"/>
  <c r="O20" i="32" s="1"/>
  <c r="D24" i="97" s="1"/>
  <c r="B87" i="22"/>
  <c r="C29" i="27" s="1"/>
  <c r="M30" i="32" s="1"/>
  <c r="B34" i="97" s="1"/>
  <c r="I39" i="20"/>
  <c r="I22" i="25" s="1"/>
  <c r="I22" i="26" s="1"/>
  <c r="I21" i="29" s="1"/>
  <c r="AD28" i="97"/>
  <c r="C9" i="22"/>
  <c r="C61" i="22"/>
  <c r="C74" i="22" s="1"/>
  <c r="E8" i="22"/>
  <c r="E60" i="22"/>
  <c r="E73" i="22" s="1"/>
  <c r="R7" i="22" s="1"/>
  <c r="F8" i="22"/>
  <c r="F60" i="22"/>
  <c r="F73" i="22" s="1"/>
  <c r="S7" i="22" s="1"/>
  <c r="K58" i="22"/>
  <c r="K71" i="22" s="1"/>
  <c r="X5" i="22" s="1"/>
  <c r="F40" i="20"/>
  <c r="F23" i="25" s="1"/>
  <c r="AC28" i="97" s="1"/>
  <c r="V39" i="18"/>
  <c r="E40" i="20"/>
  <c r="E23" i="25" s="1"/>
  <c r="E23" i="26" s="1"/>
  <c r="E22" i="29" s="1"/>
  <c r="T40" i="20"/>
  <c r="H18" i="27" s="1"/>
  <c r="R19" i="32" s="1"/>
  <c r="G23" i="97" s="1"/>
  <c r="H39" i="17"/>
  <c r="H39" i="18" s="1"/>
  <c r="B41" i="17"/>
  <c r="B41" i="18" s="1"/>
  <c r="B48" i="22" s="1"/>
  <c r="D40" i="17"/>
  <c r="D40" i="20" s="1"/>
  <c r="D23" i="25" s="1"/>
  <c r="G39" i="17"/>
  <c r="G39" i="18" s="1"/>
  <c r="G46" i="22" s="1"/>
  <c r="G33" i="22" s="1"/>
  <c r="G20" i="22" s="1"/>
  <c r="C41" i="20"/>
  <c r="C24" i="25" s="1"/>
  <c r="C24" i="26" s="1"/>
  <c r="C23" i="29" s="1"/>
  <c r="J39" i="18"/>
  <c r="W39" i="18" s="1"/>
  <c r="W39" i="20" s="1"/>
  <c r="K17" i="27" s="1"/>
  <c r="U18" i="32" s="1"/>
  <c r="J22" i="97" s="1"/>
  <c r="C36" i="26"/>
  <c r="C35" i="29" s="1"/>
  <c r="AE10" i="97"/>
  <c r="AA11" i="97"/>
  <c r="X38" i="20"/>
  <c r="L16" i="27" s="1"/>
  <c r="V17" i="32" s="1"/>
  <c r="K21" i="97" s="1"/>
  <c r="G5" i="26"/>
  <c r="G4" i="29" s="1"/>
  <c r="U7" i="20"/>
  <c r="C8" i="18"/>
  <c r="P8" i="18" s="1"/>
  <c r="C8" i="20"/>
  <c r="C6" i="25" s="1"/>
  <c r="Z11" i="97" s="1"/>
  <c r="F7" i="20"/>
  <c r="F5" i="25" s="1"/>
  <c r="AC10" i="97" s="1"/>
  <c r="F7" i="18"/>
  <c r="S7" i="18" s="1"/>
  <c r="E7" i="18"/>
  <c r="R7" i="18" s="1"/>
  <c r="E7" i="20"/>
  <c r="U6" i="15"/>
  <c r="H6" i="17"/>
  <c r="I6" i="18"/>
  <c r="V6" i="18" s="1"/>
  <c r="I6" i="20"/>
  <c r="T6" i="15"/>
  <c r="G6" i="17"/>
  <c r="K5" i="18"/>
  <c r="X5" i="18" s="1"/>
  <c r="K5" i="20"/>
  <c r="K3" i="25" s="1"/>
  <c r="AH8" i="97" s="1"/>
  <c r="J6" i="18"/>
  <c r="W6" i="18" s="1"/>
  <c r="J6" i="20"/>
  <c r="J4" i="25" s="1"/>
  <c r="AG9" i="97" s="1"/>
  <c r="Q7" i="15"/>
  <c r="D7" i="17"/>
  <c r="O8" i="15"/>
  <c r="B8" i="17"/>
  <c r="Q8" i="20"/>
  <c r="E3" i="27" s="1"/>
  <c r="O4" i="32" s="1"/>
  <c r="D8" i="97" s="1"/>
  <c r="T7" i="20"/>
  <c r="AB11" i="97"/>
  <c r="E6" i="26"/>
  <c r="E5" i="29" s="1"/>
  <c r="T39" i="15"/>
  <c r="G5" i="14"/>
  <c r="G38" i="14"/>
  <c r="C40" i="15"/>
  <c r="F39" i="15"/>
  <c r="B6" i="29"/>
  <c r="L7" i="26"/>
  <c r="B36" i="29"/>
  <c r="L37" i="26"/>
  <c r="E39" i="15"/>
  <c r="C7" i="15"/>
  <c r="F6" i="15"/>
  <c r="AF39" i="97"/>
  <c r="I34" i="26"/>
  <c r="I33" i="29" s="1"/>
  <c r="AG39" i="97"/>
  <c r="J34" i="26"/>
  <c r="J33" i="29" s="1"/>
  <c r="AF27" i="97"/>
  <c r="J22" i="26"/>
  <c r="J21" i="29" s="1"/>
  <c r="AG27" i="97"/>
  <c r="B24" i="29"/>
  <c r="L25" i="26"/>
  <c r="U39" i="15"/>
  <c r="H5" i="14"/>
  <c r="H38" i="14"/>
  <c r="E6" i="15"/>
  <c r="O41" i="15"/>
  <c r="B7" i="14"/>
  <c r="B40" i="14"/>
  <c r="I38" i="15"/>
  <c r="J38" i="15"/>
  <c r="AH26" i="97"/>
  <c r="K21" i="26"/>
  <c r="K20" i="29" s="1"/>
  <c r="B36" i="25"/>
  <c r="K37" i="15"/>
  <c r="I5" i="15"/>
  <c r="J5" i="15"/>
  <c r="AH38" i="97"/>
  <c r="K33" i="26"/>
  <c r="K32" i="29" s="1"/>
  <c r="K4" i="15"/>
  <c r="Q40" i="15"/>
  <c r="D6" i="14"/>
  <c r="D39" i="14"/>
  <c r="G34" i="25"/>
  <c r="F35" i="26" l="1"/>
  <c r="F34" i="29" s="1"/>
  <c r="F23" i="26"/>
  <c r="F22" i="29" s="1"/>
  <c r="D35" i="25"/>
  <c r="D35" i="26" s="1"/>
  <c r="D34" i="29" s="1"/>
  <c r="Q8" i="22"/>
  <c r="C86" i="22"/>
  <c r="P8" i="22"/>
  <c r="D86" i="22"/>
  <c r="E85" i="22"/>
  <c r="F27" i="27" s="1"/>
  <c r="P28" i="32" s="1"/>
  <c r="E32" i="97" s="1"/>
  <c r="V39" i="20"/>
  <c r="J17" i="27" s="1"/>
  <c r="T18" i="32" s="1"/>
  <c r="I22" i="97" s="1"/>
  <c r="H46" i="22"/>
  <c r="H33" i="22" s="1"/>
  <c r="H20" i="22" s="1"/>
  <c r="H59" i="22" s="1"/>
  <c r="H72" i="22" s="1"/>
  <c r="U6" i="22" s="1"/>
  <c r="I7" i="22"/>
  <c r="I59" i="22"/>
  <c r="I72" i="22" s="1"/>
  <c r="H60" i="22"/>
  <c r="H73" i="22" s="1"/>
  <c r="U7" i="22" s="1"/>
  <c r="H8" i="22"/>
  <c r="E86" i="22"/>
  <c r="F28" i="27" s="1"/>
  <c r="P29" i="32" s="1"/>
  <c r="E33" i="97" s="1"/>
  <c r="E35" i="25"/>
  <c r="B41" i="20"/>
  <c r="B24" i="25" s="1"/>
  <c r="B24" i="26" s="1"/>
  <c r="B35" i="22"/>
  <c r="B22" i="22" s="1"/>
  <c r="B61" i="22" s="1"/>
  <c r="B74" i="22" s="1"/>
  <c r="O8" i="22" s="1"/>
  <c r="J46" i="22"/>
  <c r="J33" i="22" s="1"/>
  <c r="J20" i="22" s="1"/>
  <c r="J59" i="22" s="1"/>
  <c r="J72" i="22" s="1"/>
  <c r="W6" i="22" s="1"/>
  <c r="K26" i="27" s="1"/>
  <c r="U27" i="32" s="1"/>
  <c r="J31" i="97" s="1"/>
  <c r="O41" i="18"/>
  <c r="AB28" i="97"/>
  <c r="K83" i="22"/>
  <c r="L25" i="27" s="1"/>
  <c r="V26" i="32" s="1"/>
  <c r="K30" i="97" s="1"/>
  <c r="F85" i="22"/>
  <c r="G27" i="27" s="1"/>
  <c r="Q28" i="32" s="1"/>
  <c r="F32" i="97" s="1"/>
  <c r="R40" i="20"/>
  <c r="F18" i="27" s="1"/>
  <c r="P19" i="32" s="1"/>
  <c r="E23" i="97" s="1"/>
  <c r="Z29" i="97"/>
  <c r="U39" i="18"/>
  <c r="S40" i="20"/>
  <c r="G18" i="27" s="1"/>
  <c r="Q19" i="32" s="1"/>
  <c r="F23" i="97" s="1"/>
  <c r="G7" i="22"/>
  <c r="G59" i="22"/>
  <c r="G72" i="22" s="1"/>
  <c r="T6" i="22" s="1"/>
  <c r="H7" i="22"/>
  <c r="H39" i="20"/>
  <c r="H22" i="25" s="1"/>
  <c r="AE27" i="97" s="1"/>
  <c r="D40" i="18"/>
  <c r="P41" i="20"/>
  <c r="D19" i="27" s="1"/>
  <c r="N20" i="32" s="1"/>
  <c r="C24" i="97" s="1"/>
  <c r="C40" i="17"/>
  <c r="C40" i="20" s="1"/>
  <c r="C23" i="25" s="1"/>
  <c r="J38" i="17"/>
  <c r="J38" i="20" s="1"/>
  <c r="J21" i="25" s="1"/>
  <c r="E39" i="17"/>
  <c r="E39" i="18" s="1"/>
  <c r="G39" i="20"/>
  <c r="G22" i="25" s="1"/>
  <c r="G22" i="26" s="1"/>
  <c r="G21" i="29" s="1"/>
  <c r="K37" i="17"/>
  <c r="K37" i="20" s="1"/>
  <c r="K20" i="25" s="1"/>
  <c r="I38" i="17"/>
  <c r="I38" i="18" s="1"/>
  <c r="I45" i="22" s="1"/>
  <c r="I32" i="22" s="1"/>
  <c r="I19" i="22" s="1"/>
  <c r="F39" i="17"/>
  <c r="F39" i="20" s="1"/>
  <c r="F22" i="25" s="1"/>
  <c r="T39" i="18"/>
  <c r="C6" i="26"/>
  <c r="C5" i="29" s="1"/>
  <c r="J4" i="26"/>
  <c r="J3" i="29" s="1"/>
  <c r="F5" i="26"/>
  <c r="F4" i="29" s="1"/>
  <c r="K3" i="26"/>
  <c r="K2" i="29" s="1"/>
  <c r="X5" i="20"/>
  <c r="P8" i="20"/>
  <c r="D3" i="27" s="1"/>
  <c r="N4" i="32" s="1"/>
  <c r="C8" i="97" s="1"/>
  <c r="S7" i="20"/>
  <c r="V5" i="15"/>
  <c r="I5" i="17"/>
  <c r="X4" i="15"/>
  <c r="K4" i="17"/>
  <c r="V6" i="20"/>
  <c r="I4" i="25"/>
  <c r="E5" i="25"/>
  <c r="R7" i="20"/>
  <c r="R6" i="15"/>
  <c r="E6" i="17"/>
  <c r="B8" i="20"/>
  <c r="B6" i="25" s="1"/>
  <c r="Y11" i="97" s="1"/>
  <c r="B8" i="18"/>
  <c r="O8" i="18" s="1"/>
  <c r="W5" i="15"/>
  <c r="J5" i="17"/>
  <c r="P7" i="15"/>
  <c r="C7" i="17"/>
  <c r="G6" i="18"/>
  <c r="T6" i="18" s="1"/>
  <c r="G6" i="20"/>
  <c r="G4" i="25" s="1"/>
  <c r="AD9" i="97" s="1"/>
  <c r="H6" i="18"/>
  <c r="U6" i="18" s="1"/>
  <c r="H6" i="20"/>
  <c r="H4" i="25" s="1"/>
  <c r="AE9" i="97" s="1"/>
  <c r="S6" i="15"/>
  <c r="F6" i="17"/>
  <c r="D7" i="18"/>
  <c r="Q7" i="18" s="1"/>
  <c r="D7" i="20"/>
  <c r="D5" i="25" s="1"/>
  <c r="AA10" i="97" s="1"/>
  <c r="W6" i="20"/>
  <c r="G5" i="15"/>
  <c r="P40" i="15"/>
  <c r="C6" i="14"/>
  <c r="C39" i="14"/>
  <c r="D23" i="26"/>
  <c r="D22" i="29" s="1"/>
  <c r="AA28" i="97"/>
  <c r="E34" i="25"/>
  <c r="W38" i="15"/>
  <c r="J4" i="14"/>
  <c r="J37" i="14"/>
  <c r="C35" i="25"/>
  <c r="D28" i="27"/>
  <c r="N29" i="32" s="1"/>
  <c r="C33" i="97" s="1"/>
  <c r="D6" i="15"/>
  <c r="X37" i="15"/>
  <c r="K3" i="14"/>
  <c r="K36" i="14"/>
  <c r="B40" i="15"/>
  <c r="H38" i="15"/>
  <c r="S39" i="15"/>
  <c r="F5" i="14"/>
  <c r="F38" i="14"/>
  <c r="V38" i="15"/>
  <c r="I4" i="14"/>
  <c r="I37" i="14"/>
  <c r="AD39" i="97"/>
  <c r="G34" i="26"/>
  <c r="G33" i="29" s="1"/>
  <c r="D39" i="15"/>
  <c r="Y41" i="97"/>
  <c r="B36" i="26"/>
  <c r="B7" i="15"/>
  <c r="H5" i="15"/>
  <c r="R39" i="15"/>
  <c r="E5" i="14"/>
  <c r="E38" i="14"/>
  <c r="G38" i="15"/>
  <c r="F34" i="25"/>
  <c r="K32" i="25"/>
  <c r="O41" i="20" l="1"/>
  <c r="C19" i="27" s="1"/>
  <c r="M20" i="32" s="1"/>
  <c r="B24" i="97" s="1"/>
  <c r="R39" i="18"/>
  <c r="AA40" i="97"/>
  <c r="J33" i="25"/>
  <c r="AG38" i="97" s="1"/>
  <c r="E28" i="27"/>
  <c r="O29" i="32" s="1"/>
  <c r="D33" i="97" s="1"/>
  <c r="I33" i="25"/>
  <c r="AF38" i="97" s="1"/>
  <c r="V6" i="22"/>
  <c r="AD27" i="97"/>
  <c r="B9" i="22"/>
  <c r="Y29" i="97"/>
  <c r="H22" i="26"/>
  <c r="H21" i="29" s="1"/>
  <c r="J7" i="22"/>
  <c r="J84" i="22" s="1"/>
  <c r="I84" i="22"/>
  <c r="U39" i="20"/>
  <c r="I17" i="27" s="1"/>
  <c r="S18" i="32" s="1"/>
  <c r="H22" i="97" s="1"/>
  <c r="E46" i="22"/>
  <c r="E33" i="22" s="1"/>
  <c r="E20" i="22" s="1"/>
  <c r="Q40" i="18"/>
  <c r="Q40" i="20" s="1"/>
  <c r="E18" i="27" s="1"/>
  <c r="O19" i="32" s="1"/>
  <c r="D23" i="97" s="1"/>
  <c r="D47" i="22"/>
  <c r="D34" i="22" s="1"/>
  <c r="D21" i="22" s="1"/>
  <c r="D60" i="22" s="1"/>
  <c r="D73" i="22" s="1"/>
  <c r="I27" i="27"/>
  <c r="S28" i="32" s="1"/>
  <c r="H32" i="97" s="1"/>
  <c r="H85" i="22"/>
  <c r="H34" i="25"/>
  <c r="E35" i="26"/>
  <c r="E34" i="29" s="1"/>
  <c r="AB40" i="97"/>
  <c r="G84" i="22"/>
  <c r="H26" i="27" s="1"/>
  <c r="R27" i="32" s="1"/>
  <c r="G31" i="97" s="1"/>
  <c r="H84" i="22"/>
  <c r="B86" i="22"/>
  <c r="C28" i="27" s="1"/>
  <c r="M29" i="32" s="1"/>
  <c r="B33" i="97" s="1"/>
  <c r="V38" i="18"/>
  <c r="I38" i="20"/>
  <c r="I21" i="25" s="1"/>
  <c r="I21" i="26" s="1"/>
  <c r="I20" i="29" s="1"/>
  <c r="I6" i="22"/>
  <c r="I58" i="22"/>
  <c r="I71" i="22" s="1"/>
  <c r="V5" i="22" s="1"/>
  <c r="E39" i="20"/>
  <c r="E22" i="25" s="1"/>
  <c r="E22" i="26" s="1"/>
  <c r="E21" i="29" s="1"/>
  <c r="T39" i="20"/>
  <c r="H17" i="27" s="1"/>
  <c r="R18" i="32" s="1"/>
  <c r="G22" i="97" s="1"/>
  <c r="F39" i="18"/>
  <c r="G38" i="17"/>
  <c r="G38" i="18" s="1"/>
  <c r="G45" i="22" s="1"/>
  <c r="G32" i="22" s="1"/>
  <c r="G19" i="22" s="1"/>
  <c r="H38" i="17"/>
  <c r="H38" i="20" s="1"/>
  <c r="H21" i="25" s="1"/>
  <c r="C40" i="18"/>
  <c r="J38" i="18"/>
  <c r="D39" i="17"/>
  <c r="D39" i="18" s="1"/>
  <c r="D46" i="22" s="1"/>
  <c r="B40" i="17"/>
  <c r="B40" i="18" s="1"/>
  <c r="B47" i="22" s="1"/>
  <c r="B34" i="22" s="1"/>
  <c r="B21" i="22" s="1"/>
  <c r="K37" i="18"/>
  <c r="G4" i="26"/>
  <c r="G3" i="29" s="1"/>
  <c r="D5" i="26"/>
  <c r="D4" i="29" s="1"/>
  <c r="H4" i="26"/>
  <c r="H3" i="29" s="1"/>
  <c r="B6" i="26"/>
  <c r="B5" i="29" s="1"/>
  <c r="T5" i="15"/>
  <c r="G5" i="17"/>
  <c r="F6" i="20"/>
  <c r="F4" i="25" s="1"/>
  <c r="F4" i="26" s="1"/>
  <c r="F3" i="29" s="1"/>
  <c r="F6" i="18"/>
  <c r="S6" i="18" s="1"/>
  <c r="AB10" i="97"/>
  <c r="E5" i="26"/>
  <c r="E4" i="29" s="1"/>
  <c r="K4" i="18"/>
  <c r="X4" i="18" s="1"/>
  <c r="K4" i="20"/>
  <c r="U5" i="15"/>
  <c r="H5" i="17"/>
  <c r="T6" i="20"/>
  <c r="J5" i="18"/>
  <c r="W5" i="18" s="1"/>
  <c r="J5" i="20"/>
  <c r="J3" i="25" s="1"/>
  <c r="J3" i="26" s="1"/>
  <c r="E6" i="18"/>
  <c r="R6" i="18" s="1"/>
  <c r="E6" i="20"/>
  <c r="E4" i="25" s="1"/>
  <c r="E4" i="26" s="1"/>
  <c r="E3" i="29" s="1"/>
  <c r="AF9" i="97"/>
  <c r="I4" i="26"/>
  <c r="I3" i="29" s="1"/>
  <c r="C7" i="18"/>
  <c r="P7" i="18" s="1"/>
  <c r="C7" i="20"/>
  <c r="C5" i="25" s="1"/>
  <c r="Z10" i="97" s="1"/>
  <c r="I5" i="20"/>
  <c r="I3" i="25" s="1"/>
  <c r="AF8" i="97" s="1"/>
  <c r="I5" i="18"/>
  <c r="V5" i="18" s="1"/>
  <c r="O7" i="15"/>
  <c r="B7" i="17"/>
  <c r="Q6" i="15"/>
  <c r="D6" i="17"/>
  <c r="Q7" i="20"/>
  <c r="U6" i="20"/>
  <c r="O8" i="20"/>
  <c r="C3" i="27" s="1"/>
  <c r="M4" i="32" s="1"/>
  <c r="B8" i="97" s="1"/>
  <c r="J37" i="15"/>
  <c r="F38" i="15"/>
  <c r="J4" i="15"/>
  <c r="Q39" i="15"/>
  <c r="D5" i="14"/>
  <c r="D38" i="14"/>
  <c r="AH37" i="97"/>
  <c r="K32" i="26"/>
  <c r="K31" i="29" s="1"/>
  <c r="F5" i="15"/>
  <c r="F22" i="26"/>
  <c r="F21" i="29" s="1"/>
  <c r="AC27" i="97"/>
  <c r="B35" i="25"/>
  <c r="Z28" i="97"/>
  <c r="C23" i="26"/>
  <c r="C22" i="29" s="1"/>
  <c r="U38" i="15"/>
  <c r="H4" i="14"/>
  <c r="H37" i="14"/>
  <c r="Z40" i="97"/>
  <c r="C35" i="26"/>
  <c r="C34" i="29" s="1"/>
  <c r="B23" i="29"/>
  <c r="L24" i="26"/>
  <c r="C39" i="15"/>
  <c r="C6" i="15"/>
  <c r="G33" i="25"/>
  <c r="AC39" i="97"/>
  <c r="F34" i="26"/>
  <c r="F33" i="29" s="1"/>
  <c r="AB39" i="97"/>
  <c r="E34" i="26"/>
  <c r="E33" i="29" s="1"/>
  <c r="I37" i="15"/>
  <c r="K3" i="15"/>
  <c r="B35" i="29"/>
  <c r="L36" i="26"/>
  <c r="K36" i="15"/>
  <c r="E5" i="15"/>
  <c r="I4" i="15"/>
  <c r="O40" i="15"/>
  <c r="B6" i="14"/>
  <c r="B39" i="14"/>
  <c r="J21" i="26"/>
  <c r="J20" i="29" s="1"/>
  <c r="AG26" i="97"/>
  <c r="E38" i="15"/>
  <c r="T38" i="15"/>
  <c r="G4" i="14"/>
  <c r="G37" i="14"/>
  <c r="K20" i="26"/>
  <c r="K19" i="29" s="1"/>
  <c r="AH25" i="97"/>
  <c r="H33" i="25"/>
  <c r="I26" i="27"/>
  <c r="S27" i="32" s="1"/>
  <c r="H31" i="97" s="1"/>
  <c r="J33" i="26" l="1"/>
  <c r="J32" i="29" s="1"/>
  <c r="AF26" i="97"/>
  <c r="I33" i="26"/>
  <c r="I32" i="29" s="1"/>
  <c r="J26" i="27"/>
  <c r="T27" i="32" s="1"/>
  <c r="I31" i="97" s="1"/>
  <c r="D34" i="25"/>
  <c r="D34" i="26" s="1"/>
  <c r="D33" i="29" s="1"/>
  <c r="Q7" i="22"/>
  <c r="B40" i="20"/>
  <c r="B23" i="25" s="1"/>
  <c r="Y28" i="97" s="1"/>
  <c r="O40" i="18"/>
  <c r="AB27" i="97"/>
  <c r="E7" i="22"/>
  <c r="E59" i="22"/>
  <c r="E72" i="22" s="1"/>
  <c r="R6" i="22" s="1"/>
  <c r="F26" i="27" s="1"/>
  <c r="P27" i="32" s="1"/>
  <c r="E31" i="97" s="1"/>
  <c r="D8" i="22"/>
  <c r="D85" i="22" s="1"/>
  <c r="V38" i="20"/>
  <c r="J16" i="27" s="1"/>
  <c r="T17" i="32" s="1"/>
  <c r="I21" i="97" s="1"/>
  <c r="P40" i="18"/>
  <c r="P40" i="20" s="1"/>
  <c r="D18" i="27" s="1"/>
  <c r="N19" i="32" s="1"/>
  <c r="C23" i="97" s="1"/>
  <c r="C47" i="22"/>
  <c r="C34" i="22" s="1"/>
  <c r="C21" i="22" s="1"/>
  <c r="C60" i="22" s="1"/>
  <c r="C73" i="22" s="1"/>
  <c r="X37" i="18"/>
  <c r="X37" i="20" s="1"/>
  <c r="L15" i="27" s="1"/>
  <c r="V16" i="32" s="1"/>
  <c r="K20" i="97" s="1"/>
  <c r="K44" i="22"/>
  <c r="K31" i="22" s="1"/>
  <c r="K18" i="22" s="1"/>
  <c r="K57" i="22" s="1"/>
  <c r="K70" i="22" s="1"/>
  <c r="D33" i="22"/>
  <c r="D20" i="22" s="1"/>
  <c r="D59" i="22" s="1"/>
  <c r="D72" i="22" s="1"/>
  <c r="Q6" i="22" s="1"/>
  <c r="W38" i="18"/>
  <c r="W38" i="20" s="1"/>
  <c r="K16" i="27" s="1"/>
  <c r="U17" i="32" s="1"/>
  <c r="J21" i="97" s="1"/>
  <c r="J45" i="22"/>
  <c r="J32" i="22" s="1"/>
  <c r="J19" i="22" s="1"/>
  <c r="J58" i="22" s="1"/>
  <c r="J71" i="22" s="1"/>
  <c r="W5" i="22" s="1"/>
  <c r="S39" i="18"/>
  <c r="S39" i="20" s="1"/>
  <c r="G17" i="27" s="1"/>
  <c r="Q18" i="32" s="1"/>
  <c r="F22" i="97" s="1"/>
  <c r="F46" i="22"/>
  <c r="F33" i="22" s="1"/>
  <c r="F20" i="22" s="1"/>
  <c r="AE39" i="97"/>
  <c r="H34" i="26"/>
  <c r="H33" i="29" s="1"/>
  <c r="I83" i="22"/>
  <c r="J25" i="27" s="1"/>
  <c r="T26" i="32" s="1"/>
  <c r="I30" i="97" s="1"/>
  <c r="B8" i="22"/>
  <c r="B60" i="22"/>
  <c r="B73" i="22" s="1"/>
  <c r="O7" i="22" s="1"/>
  <c r="G6" i="22"/>
  <c r="G58" i="22"/>
  <c r="G71" i="22" s="1"/>
  <c r="T5" i="22" s="1"/>
  <c r="D39" i="20"/>
  <c r="D22" i="25" s="1"/>
  <c r="D22" i="26" s="1"/>
  <c r="D21" i="29" s="1"/>
  <c r="R39" i="20"/>
  <c r="F17" i="27" s="1"/>
  <c r="P18" i="32" s="1"/>
  <c r="E22" i="97" s="1"/>
  <c r="T38" i="18"/>
  <c r="H38" i="18"/>
  <c r="G38" i="20"/>
  <c r="G21" i="25" s="1"/>
  <c r="AD26" i="97" s="1"/>
  <c r="Q39" i="18"/>
  <c r="J37" i="17"/>
  <c r="J37" i="18" s="1"/>
  <c r="J44" i="22" s="1"/>
  <c r="I37" i="17"/>
  <c r="I37" i="18" s="1"/>
  <c r="I44" i="22" s="1"/>
  <c r="C39" i="17"/>
  <c r="C39" i="20" s="1"/>
  <c r="C22" i="25" s="1"/>
  <c r="E38" i="17"/>
  <c r="E38" i="18" s="1"/>
  <c r="K36" i="17"/>
  <c r="K36" i="18" s="1"/>
  <c r="F38" i="17"/>
  <c r="F38" i="18" s="1"/>
  <c r="AC9" i="97"/>
  <c r="AB9" i="97"/>
  <c r="AG8" i="97"/>
  <c r="I3" i="26"/>
  <c r="I2" i="29" s="1"/>
  <c r="L6" i="26"/>
  <c r="S6" i="20"/>
  <c r="C5" i="26"/>
  <c r="C4" i="29" s="1"/>
  <c r="P7" i="20"/>
  <c r="W5" i="20"/>
  <c r="V5" i="20"/>
  <c r="R5" i="15"/>
  <c r="E5" i="17"/>
  <c r="P6" i="15"/>
  <c r="C6" i="17"/>
  <c r="D6" i="18"/>
  <c r="Q6" i="18" s="1"/>
  <c r="D6" i="20"/>
  <c r="X4" i="20"/>
  <c r="V4" i="15"/>
  <c r="I4" i="17"/>
  <c r="X3" i="15"/>
  <c r="K3" i="17"/>
  <c r="S5" i="15"/>
  <c r="F5" i="17"/>
  <c r="R6" i="20"/>
  <c r="H5" i="20"/>
  <c r="H3" i="25" s="1"/>
  <c r="AE8" i="97" s="1"/>
  <c r="H5" i="18"/>
  <c r="U5" i="18" s="1"/>
  <c r="G5" i="20"/>
  <c r="G3" i="25" s="1"/>
  <c r="AD8" i="97" s="1"/>
  <c r="G5" i="18"/>
  <c r="T5" i="18" s="1"/>
  <c r="W4" i="15"/>
  <c r="J4" i="17"/>
  <c r="B7" i="20"/>
  <c r="B5" i="25" s="1"/>
  <c r="Y10" i="97" s="1"/>
  <c r="B7" i="18"/>
  <c r="O7" i="18" s="1"/>
  <c r="B6" i="15"/>
  <c r="V37" i="15"/>
  <c r="I3" i="14"/>
  <c r="I36" i="14"/>
  <c r="D38" i="15"/>
  <c r="B39" i="15"/>
  <c r="R38" i="15"/>
  <c r="E4" i="14"/>
  <c r="E37" i="14"/>
  <c r="X36" i="15"/>
  <c r="K2" i="14"/>
  <c r="K35" i="14"/>
  <c r="D5" i="15"/>
  <c r="H21" i="26"/>
  <c r="H20" i="29" s="1"/>
  <c r="AE26" i="97"/>
  <c r="H37" i="15"/>
  <c r="Y40" i="97"/>
  <c r="B35" i="26"/>
  <c r="AE38" i="97"/>
  <c r="H33" i="26"/>
  <c r="H32" i="29" s="1"/>
  <c r="G37" i="15"/>
  <c r="AD38" i="97"/>
  <c r="G33" i="26"/>
  <c r="G32" i="29" s="1"/>
  <c r="H4" i="15"/>
  <c r="J2" i="29"/>
  <c r="W37" i="15"/>
  <c r="J3" i="14"/>
  <c r="J36" i="14"/>
  <c r="I32" i="25"/>
  <c r="G4" i="15"/>
  <c r="S38" i="15"/>
  <c r="F4" i="14"/>
  <c r="F37" i="14"/>
  <c r="P39" i="15"/>
  <c r="C5" i="14"/>
  <c r="C38" i="14"/>
  <c r="AA39" i="97" l="1"/>
  <c r="E33" i="25"/>
  <c r="AB38" i="97" s="1"/>
  <c r="E27" i="27"/>
  <c r="O28" i="32" s="1"/>
  <c r="D32" i="97" s="1"/>
  <c r="C34" i="25"/>
  <c r="C34" i="26" s="1"/>
  <c r="C33" i="29" s="1"/>
  <c r="P7" i="22"/>
  <c r="K31" i="25"/>
  <c r="K31" i="26" s="1"/>
  <c r="K30" i="29" s="1"/>
  <c r="X4" i="22"/>
  <c r="B23" i="26"/>
  <c r="L23" i="26" s="1"/>
  <c r="E84" i="22"/>
  <c r="C8" i="22"/>
  <c r="C85" i="22" s="1"/>
  <c r="O40" i="20"/>
  <c r="C18" i="27" s="1"/>
  <c r="M19" i="32" s="1"/>
  <c r="B23" i="97" s="1"/>
  <c r="G83" i="22"/>
  <c r="F45" i="22"/>
  <c r="F32" i="22" s="1"/>
  <c r="F19" i="22" s="1"/>
  <c r="F6" i="22" s="1"/>
  <c r="E45" i="22"/>
  <c r="E32" i="22" s="1"/>
  <c r="E19" i="22" s="1"/>
  <c r="E6" i="22" s="1"/>
  <c r="AA27" i="97"/>
  <c r="F59" i="22"/>
  <c r="F72" i="22" s="1"/>
  <c r="S6" i="22" s="1"/>
  <c r="F7" i="22"/>
  <c r="J32" i="25"/>
  <c r="AG37" i="97" s="1"/>
  <c r="X36" i="18"/>
  <c r="K36" i="20"/>
  <c r="K19" i="25" s="1"/>
  <c r="AH24" i="97" s="1"/>
  <c r="I31" i="22"/>
  <c r="I18" i="22" s="1"/>
  <c r="I5" i="22" s="1"/>
  <c r="K43" i="22"/>
  <c r="K30" i="22" s="1"/>
  <c r="K17" i="22" s="1"/>
  <c r="D7" i="22"/>
  <c r="D84" i="22" s="1"/>
  <c r="K5" i="22"/>
  <c r="K82" i="22" s="1"/>
  <c r="L24" i="27" s="1"/>
  <c r="V25" i="32" s="1"/>
  <c r="K29" i="97" s="1"/>
  <c r="W37" i="18"/>
  <c r="J31" i="22"/>
  <c r="J18" i="22" s="1"/>
  <c r="J5" i="22" s="1"/>
  <c r="H45" i="22"/>
  <c r="H32" i="22" s="1"/>
  <c r="H19" i="22" s="1"/>
  <c r="H58" i="22" s="1"/>
  <c r="H71" i="22" s="1"/>
  <c r="U38" i="18"/>
  <c r="U38" i="20" s="1"/>
  <c r="I16" i="27" s="1"/>
  <c r="S17" i="32" s="1"/>
  <c r="H21" i="97" s="1"/>
  <c r="J6" i="22"/>
  <c r="J83" i="22" s="1"/>
  <c r="K25" i="27" s="1"/>
  <c r="U26" i="32" s="1"/>
  <c r="J30" i="97" s="1"/>
  <c r="H25" i="27"/>
  <c r="R26" i="32" s="1"/>
  <c r="G30" i="97" s="1"/>
  <c r="B85" i="22"/>
  <c r="J37" i="20"/>
  <c r="J20" i="25" s="1"/>
  <c r="J20" i="26" s="1"/>
  <c r="J19" i="29" s="1"/>
  <c r="E38" i="20"/>
  <c r="E21" i="25" s="1"/>
  <c r="E21" i="26" s="1"/>
  <c r="E20" i="29" s="1"/>
  <c r="R38" i="18"/>
  <c r="I57" i="22"/>
  <c r="I70" i="22" s="1"/>
  <c r="V4" i="22" s="1"/>
  <c r="Q39" i="20"/>
  <c r="E17" i="27" s="1"/>
  <c r="O18" i="32" s="1"/>
  <c r="D22" i="97" s="1"/>
  <c r="C39" i="18"/>
  <c r="P39" i="18" s="1"/>
  <c r="P39" i="20" s="1"/>
  <c r="D17" i="27" s="1"/>
  <c r="N18" i="32" s="1"/>
  <c r="C22" i="97" s="1"/>
  <c r="F38" i="20"/>
  <c r="F21" i="25" s="1"/>
  <c r="AC26" i="97" s="1"/>
  <c r="I37" i="20"/>
  <c r="I20" i="25" s="1"/>
  <c r="AF25" i="97" s="1"/>
  <c r="G21" i="26"/>
  <c r="G20" i="29" s="1"/>
  <c r="T38" i="20"/>
  <c r="H16" i="27" s="1"/>
  <c r="R17" i="32" s="1"/>
  <c r="G21" i="97" s="1"/>
  <c r="H37" i="17"/>
  <c r="H37" i="20" s="1"/>
  <c r="H20" i="25" s="1"/>
  <c r="B39" i="17"/>
  <c r="B39" i="20" s="1"/>
  <c r="B22" i="25" s="1"/>
  <c r="V37" i="18"/>
  <c r="S38" i="18"/>
  <c r="G37" i="17"/>
  <c r="G37" i="18" s="1"/>
  <c r="D38" i="17"/>
  <c r="D38" i="18" s="1"/>
  <c r="D33" i="25"/>
  <c r="AA38" i="97" s="1"/>
  <c r="E26" i="27"/>
  <c r="O27" i="32" s="1"/>
  <c r="D31" i="97" s="1"/>
  <c r="G3" i="26"/>
  <c r="G2" i="29" s="1"/>
  <c r="B5" i="26"/>
  <c r="B4" i="29" s="1"/>
  <c r="X36" i="20"/>
  <c r="L14" i="27" s="1"/>
  <c r="V15" i="32" s="1"/>
  <c r="K19" i="97" s="1"/>
  <c r="H3" i="26"/>
  <c r="H2" i="29" s="1"/>
  <c r="U5" i="20"/>
  <c r="O7" i="20"/>
  <c r="T5" i="20"/>
  <c r="K3" i="20"/>
  <c r="K3" i="18"/>
  <c r="X3" i="18" s="1"/>
  <c r="O6" i="15"/>
  <c r="B6" i="17"/>
  <c r="Q6" i="20"/>
  <c r="D4" i="25"/>
  <c r="U4" i="15"/>
  <c r="H4" i="17"/>
  <c r="J4" i="20"/>
  <c r="J4" i="18"/>
  <c r="W4" i="18" s="1"/>
  <c r="E5" i="18"/>
  <c r="R5" i="18" s="1"/>
  <c r="E5" i="20"/>
  <c r="Q5" i="15"/>
  <c r="D5" i="17"/>
  <c r="F5" i="18"/>
  <c r="S5" i="18" s="1"/>
  <c r="F5" i="20"/>
  <c r="F3" i="25" s="1"/>
  <c r="AC8" i="97" s="1"/>
  <c r="I4" i="20"/>
  <c r="I4" i="18"/>
  <c r="V4" i="18" s="1"/>
  <c r="T4" i="15"/>
  <c r="G4" i="17"/>
  <c r="C6" i="20"/>
  <c r="C6" i="18"/>
  <c r="P6" i="18" s="1"/>
  <c r="J3" i="15"/>
  <c r="T37" i="15"/>
  <c r="G3" i="14"/>
  <c r="G36" i="14"/>
  <c r="B34" i="29"/>
  <c r="L35" i="26"/>
  <c r="F37" i="15"/>
  <c r="K35" i="15"/>
  <c r="K35" i="17" s="1"/>
  <c r="K35" i="18" s="1"/>
  <c r="I36" i="15"/>
  <c r="U37" i="15"/>
  <c r="H3" i="14"/>
  <c r="H36" i="14"/>
  <c r="K2" i="15"/>
  <c r="I3" i="15"/>
  <c r="F4" i="15"/>
  <c r="AF37" i="97"/>
  <c r="I32" i="26"/>
  <c r="I31" i="29" s="1"/>
  <c r="O39" i="15"/>
  <c r="B5" i="14"/>
  <c r="B38" i="14"/>
  <c r="C38" i="15"/>
  <c r="C5" i="15"/>
  <c r="J36" i="15"/>
  <c r="C22" i="26"/>
  <c r="C21" i="29" s="1"/>
  <c r="Z27" i="97"/>
  <c r="E37" i="15"/>
  <c r="B22" i="29"/>
  <c r="B34" i="25"/>
  <c r="C27" i="27"/>
  <c r="M28" i="32" s="1"/>
  <c r="B32" i="97" s="1"/>
  <c r="E4" i="15"/>
  <c r="Q38" i="15"/>
  <c r="D4" i="14"/>
  <c r="D37" i="14"/>
  <c r="G32" i="25"/>
  <c r="E33" i="26" l="1"/>
  <c r="E32" i="29" s="1"/>
  <c r="K19" i="26"/>
  <c r="Z39" i="97"/>
  <c r="I20" i="26"/>
  <c r="I19" i="29" s="1"/>
  <c r="F58" i="22"/>
  <c r="F71" i="22" s="1"/>
  <c r="S5" i="22" s="1"/>
  <c r="AB26" i="97"/>
  <c r="D27" i="27"/>
  <c r="N28" i="32" s="1"/>
  <c r="C32" i="97" s="1"/>
  <c r="Q38" i="18"/>
  <c r="AH36" i="97"/>
  <c r="J57" i="22"/>
  <c r="J70" i="22" s="1"/>
  <c r="W4" i="22" s="1"/>
  <c r="E58" i="22"/>
  <c r="E71" i="22" s="1"/>
  <c r="E83" i="22" s="1"/>
  <c r="H32" i="25"/>
  <c r="AE37" i="97" s="1"/>
  <c r="U5" i="22"/>
  <c r="F21" i="26"/>
  <c r="F20" i="29" s="1"/>
  <c r="R38" i="20"/>
  <c r="F16" i="27" s="1"/>
  <c r="P17" i="32" s="1"/>
  <c r="E21" i="97" s="1"/>
  <c r="J32" i="26"/>
  <c r="J31" i="29" s="1"/>
  <c r="H6" i="22"/>
  <c r="H83" i="22" s="1"/>
  <c r="I25" i="27" s="1"/>
  <c r="S26" i="32" s="1"/>
  <c r="H30" i="97" s="1"/>
  <c r="K56" i="22"/>
  <c r="K69" i="22" s="1"/>
  <c r="K4" i="22"/>
  <c r="S38" i="20"/>
  <c r="G16" i="27" s="1"/>
  <c r="Q17" i="32" s="1"/>
  <c r="F21" i="97" s="1"/>
  <c r="C46" i="22"/>
  <c r="C33" i="22" s="1"/>
  <c r="C20" i="22" s="1"/>
  <c r="D45" i="22"/>
  <c r="D32" i="22" s="1"/>
  <c r="D19" i="22" s="1"/>
  <c r="G44" i="22"/>
  <c r="G31" i="22" s="1"/>
  <c r="G18" i="22" s="1"/>
  <c r="G26" i="27"/>
  <c r="Q27" i="32" s="1"/>
  <c r="F31" i="97" s="1"/>
  <c r="F84" i="22"/>
  <c r="F33" i="25"/>
  <c r="W37" i="20"/>
  <c r="K15" i="27" s="1"/>
  <c r="U16" i="32" s="1"/>
  <c r="J20" i="97" s="1"/>
  <c r="AG25" i="97"/>
  <c r="V37" i="20"/>
  <c r="J15" i="27" s="1"/>
  <c r="T16" i="32" s="1"/>
  <c r="I20" i="97" s="1"/>
  <c r="J82" i="22"/>
  <c r="K24" i="27" s="1"/>
  <c r="U25" i="32" s="1"/>
  <c r="J29" i="97" s="1"/>
  <c r="F83" i="22"/>
  <c r="G25" i="27" s="1"/>
  <c r="Q26" i="32" s="1"/>
  <c r="F30" i="97" s="1"/>
  <c r="I82" i="22"/>
  <c r="J24" i="27" s="1"/>
  <c r="T25" i="32" s="1"/>
  <c r="I29" i="97" s="1"/>
  <c r="B39" i="18"/>
  <c r="O39" i="18" s="1"/>
  <c r="O39" i="20" s="1"/>
  <c r="C17" i="27" s="1"/>
  <c r="M18" i="32" s="1"/>
  <c r="B22" i="97" s="1"/>
  <c r="D38" i="20"/>
  <c r="D21" i="25" s="1"/>
  <c r="D21" i="26" s="1"/>
  <c r="D20" i="29" s="1"/>
  <c r="T37" i="18"/>
  <c r="E37" i="17"/>
  <c r="E37" i="20" s="1"/>
  <c r="E20" i="25" s="1"/>
  <c r="C38" i="17"/>
  <c r="C38" i="20" s="1"/>
  <c r="C21" i="25" s="1"/>
  <c r="I36" i="17"/>
  <c r="I36" i="20" s="1"/>
  <c r="I19" i="25" s="1"/>
  <c r="J36" i="17"/>
  <c r="J36" i="20" s="1"/>
  <c r="J19" i="25" s="1"/>
  <c r="G37" i="20"/>
  <c r="G20" i="25" s="1"/>
  <c r="G20" i="26" s="1"/>
  <c r="G19" i="29" s="1"/>
  <c r="F37" i="17"/>
  <c r="F37" i="18" s="1"/>
  <c r="F44" i="22" s="1"/>
  <c r="F31" i="22" s="1"/>
  <c r="F18" i="22" s="1"/>
  <c r="H37" i="18"/>
  <c r="D33" i="26"/>
  <c r="D32" i="29" s="1"/>
  <c r="F32" i="25"/>
  <c r="AC37" i="97" s="1"/>
  <c r="L5" i="26"/>
  <c r="S5" i="20"/>
  <c r="F3" i="26"/>
  <c r="F2" i="29" s="1"/>
  <c r="K35" i="20"/>
  <c r="E3" i="25"/>
  <c r="R5" i="20"/>
  <c r="H4" i="20"/>
  <c r="H4" i="18"/>
  <c r="U4" i="18" s="1"/>
  <c r="B6" i="18"/>
  <c r="O6" i="18" s="1"/>
  <c r="B6" i="20"/>
  <c r="B4" i="25" s="1"/>
  <c r="Y9" i="97" s="1"/>
  <c r="S4" i="15"/>
  <c r="F4" i="17"/>
  <c r="V4" i="20"/>
  <c r="V3" i="15"/>
  <c r="I3" i="17"/>
  <c r="X2" i="15"/>
  <c r="K2" i="17"/>
  <c r="W3" i="15"/>
  <c r="J3" i="17"/>
  <c r="P6" i="20"/>
  <c r="C4" i="25"/>
  <c r="D5" i="18"/>
  <c r="Q5" i="18" s="1"/>
  <c r="D5" i="20"/>
  <c r="D3" i="25" s="1"/>
  <c r="AA8" i="97" s="1"/>
  <c r="AA9" i="97"/>
  <c r="D4" i="26"/>
  <c r="D3" i="29" s="1"/>
  <c r="P5" i="15"/>
  <c r="C5" i="17"/>
  <c r="R4" i="15"/>
  <c r="E4" i="17"/>
  <c r="G4" i="20"/>
  <c r="G4" i="18"/>
  <c r="T4" i="18" s="1"/>
  <c r="W4" i="20"/>
  <c r="X3" i="20"/>
  <c r="V36" i="15"/>
  <c r="I2" i="14"/>
  <c r="I35" i="14"/>
  <c r="D4" i="15"/>
  <c r="H36" i="15"/>
  <c r="P38" i="15"/>
  <c r="C4" i="14"/>
  <c r="C37" i="14"/>
  <c r="H3" i="15"/>
  <c r="S37" i="15"/>
  <c r="F3" i="14"/>
  <c r="F36" i="14"/>
  <c r="G36" i="15"/>
  <c r="B38" i="15"/>
  <c r="B22" i="26"/>
  <c r="Y27" i="97"/>
  <c r="G3" i="15"/>
  <c r="AD37" i="97"/>
  <c r="G32" i="26"/>
  <c r="G31" i="29" s="1"/>
  <c r="B5" i="15"/>
  <c r="X35" i="15"/>
  <c r="X35" i="18" s="1"/>
  <c r="K34" i="14"/>
  <c r="K18" i="29"/>
  <c r="R37" i="15"/>
  <c r="E3" i="14"/>
  <c r="E36" i="14"/>
  <c r="H20" i="26"/>
  <c r="H19" i="29" s="1"/>
  <c r="AE25" i="97"/>
  <c r="D37" i="15"/>
  <c r="Y39" i="97"/>
  <c r="B34" i="26"/>
  <c r="W36" i="15"/>
  <c r="J2" i="14"/>
  <c r="J35" i="14"/>
  <c r="I31" i="25"/>
  <c r="E32" i="25" l="1"/>
  <c r="H32" i="26"/>
  <c r="H31" i="29" s="1"/>
  <c r="J31" i="25"/>
  <c r="AG36" i="97" s="1"/>
  <c r="R5" i="22"/>
  <c r="F25" i="27" s="1"/>
  <c r="P26" i="32" s="1"/>
  <c r="E30" i="97" s="1"/>
  <c r="X3" i="22"/>
  <c r="L23" i="27" s="1"/>
  <c r="V24" i="32" s="1"/>
  <c r="K28" i="97" s="1"/>
  <c r="K30" i="25"/>
  <c r="AH35" i="97" s="1"/>
  <c r="I36" i="18"/>
  <c r="I43" i="22" s="1"/>
  <c r="I30" i="22" s="1"/>
  <c r="I17" i="22" s="1"/>
  <c r="I4" i="22" s="1"/>
  <c r="K81" i="22"/>
  <c r="D58" i="22"/>
  <c r="D71" i="22" s="1"/>
  <c r="Q5" i="22" s="1"/>
  <c r="D6" i="22"/>
  <c r="C59" i="22"/>
  <c r="C72" i="22" s="1"/>
  <c r="P6" i="22" s="1"/>
  <c r="C7" i="22"/>
  <c r="G57" i="22"/>
  <c r="G70" i="22" s="1"/>
  <c r="G5" i="22"/>
  <c r="U37" i="18"/>
  <c r="U37" i="20" s="1"/>
  <c r="I15" i="27" s="1"/>
  <c r="S16" i="32" s="1"/>
  <c r="H20" i="97" s="1"/>
  <c r="H44" i="22"/>
  <c r="H31" i="22" s="1"/>
  <c r="H18" i="22" s="1"/>
  <c r="AC38" i="97"/>
  <c r="F33" i="26"/>
  <c r="F32" i="29" s="1"/>
  <c r="B46" i="22"/>
  <c r="B33" i="22" s="1"/>
  <c r="B20" i="22" s="1"/>
  <c r="AA26" i="97"/>
  <c r="Q38" i="20"/>
  <c r="E16" i="27" s="1"/>
  <c r="O17" i="32" s="1"/>
  <c r="D21" i="97" s="1"/>
  <c r="K68" i="22"/>
  <c r="X2" i="22" s="1"/>
  <c r="F5" i="22"/>
  <c r="F57" i="22"/>
  <c r="F70" i="22" s="1"/>
  <c r="S37" i="18"/>
  <c r="C38" i="18"/>
  <c r="P38" i="18" s="1"/>
  <c r="P38" i="20" s="1"/>
  <c r="D16" i="27" s="1"/>
  <c r="N17" i="32" s="1"/>
  <c r="C21" i="97" s="1"/>
  <c r="F37" i="20"/>
  <c r="F20" i="25" s="1"/>
  <c r="AC25" i="97" s="1"/>
  <c r="E37" i="18"/>
  <c r="AD25" i="97"/>
  <c r="T37" i="20"/>
  <c r="H15" i="27" s="1"/>
  <c r="R16" i="32" s="1"/>
  <c r="G20" i="97" s="1"/>
  <c r="D37" i="17"/>
  <c r="D37" i="18" s="1"/>
  <c r="G36" i="17"/>
  <c r="G36" i="20" s="1"/>
  <c r="G19" i="25" s="1"/>
  <c r="H36" i="17"/>
  <c r="H36" i="20" s="1"/>
  <c r="H19" i="25" s="1"/>
  <c r="B38" i="17"/>
  <c r="B38" i="18" s="1"/>
  <c r="J36" i="18"/>
  <c r="F32" i="26"/>
  <c r="F31" i="29" s="1"/>
  <c r="X35" i="20"/>
  <c r="B4" i="26"/>
  <c r="B3" i="29" s="1"/>
  <c r="D3" i="26"/>
  <c r="D2" i="29" s="1"/>
  <c r="Q5" i="20"/>
  <c r="O5" i="15"/>
  <c r="B5" i="17"/>
  <c r="F4" i="18"/>
  <c r="S4" i="18" s="1"/>
  <c r="F4" i="20"/>
  <c r="U4" i="20"/>
  <c r="U3" i="15"/>
  <c r="H3" i="17"/>
  <c r="T3" i="15"/>
  <c r="G3" i="17"/>
  <c r="Q4" i="15"/>
  <c r="D4" i="17"/>
  <c r="T4" i="20"/>
  <c r="C5" i="18"/>
  <c r="P5" i="18" s="1"/>
  <c r="C5" i="20"/>
  <c r="C3" i="25" s="1"/>
  <c r="Z8" i="97" s="1"/>
  <c r="J3" i="20"/>
  <c r="J3" i="18"/>
  <c r="W3" i="18" s="1"/>
  <c r="I3" i="18"/>
  <c r="V3" i="18" s="1"/>
  <c r="I3" i="20"/>
  <c r="E4" i="20"/>
  <c r="E4" i="18"/>
  <c r="R4" i="18" s="1"/>
  <c r="Z9" i="97"/>
  <c r="C4" i="26"/>
  <c r="C3" i="29" s="1"/>
  <c r="K2" i="20"/>
  <c r="K2" i="18"/>
  <c r="X2" i="18" s="1"/>
  <c r="O6" i="20"/>
  <c r="E3" i="26"/>
  <c r="E2" i="29" s="1"/>
  <c r="AB8" i="97"/>
  <c r="E36" i="15"/>
  <c r="B33" i="29"/>
  <c r="L34" i="26"/>
  <c r="I35" i="15"/>
  <c r="I35" i="17" s="1"/>
  <c r="I35" i="18" s="1"/>
  <c r="K34" i="15"/>
  <c r="U36" i="15"/>
  <c r="H2" i="14"/>
  <c r="H35" i="14"/>
  <c r="I2" i="15"/>
  <c r="T36" i="15"/>
  <c r="G2" i="14"/>
  <c r="G35" i="14"/>
  <c r="I19" i="26"/>
  <c r="AF24" i="97"/>
  <c r="J19" i="26"/>
  <c r="AG24" i="97"/>
  <c r="O38" i="15"/>
  <c r="B4" i="14"/>
  <c r="B37" i="14"/>
  <c r="F36" i="15"/>
  <c r="Q37" i="15"/>
  <c r="D3" i="14"/>
  <c r="D36" i="14"/>
  <c r="AB25" i="97"/>
  <c r="E20" i="26"/>
  <c r="E19" i="29" s="1"/>
  <c r="F3" i="15"/>
  <c r="C37" i="15"/>
  <c r="E3" i="15"/>
  <c r="AF36" i="97"/>
  <c r="I31" i="26"/>
  <c r="I30" i="29" s="1"/>
  <c r="J35" i="15"/>
  <c r="J35" i="17" s="1"/>
  <c r="J35" i="18" s="1"/>
  <c r="C4" i="15"/>
  <c r="J2" i="15"/>
  <c r="AB37" i="97"/>
  <c r="E32" i="26"/>
  <c r="E31" i="29" s="1"/>
  <c r="B21" i="29"/>
  <c r="L22" i="26"/>
  <c r="Z26" i="97"/>
  <c r="C21" i="26"/>
  <c r="C20" i="29" s="1"/>
  <c r="D32" i="25" l="1"/>
  <c r="K30" i="26"/>
  <c r="K29" i="29" s="1"/>
  <c r="J31" i="26"/>
  <c r="J30" i="29" s="1"/>
  <c r="V36" i="18"/>
  <c r="V36" i="20" s="1"/>
  <c r="J14" i="27" s="1"/>
  <c r="T15" i="32" s="1"/>
  <c r="I19" i="97" s="1"/>
  <c r="I56" i="22"/>
  <c r="I69" i="22" s="1"/>
  <c r="V3" i="22" s="1"/>
  <c r="F82" i="22"/>
  <c r="S4" i="22"/>
  <c r="G82" i="22"/>
  <c r="T4" i="22"/>
  <c r="H24" i="27" s="1"/>
  <c r="R25" i="32" s="1"/>
  <c r="G29" i="97" s="1"/>
  <c r="G31" i="25"/>
  <c r="AD36" i="97" s="1"/>
  <c r="D83" i="22"/>
  <c r="E25" i="27" s="1"/>
  <c r="O26" i="32" s="1"/>
  <c r="D30" i="97" s="1"/>
  <c r="D44" i="22"/>
  <c r="D31" i="22" s="1"/>
  <c r="D18" i="22" s="1"/>
  <c r="D5" i="22" s="1"/>
  <c r="B45" i="22"/>
  <c r="B32" i="22" s="1"/>
  <c r="B19" i="22" s="1"/>
  <c r="B59" i="22"/>
  <c r="B72" i="22" s="1"/>
  <c r="O6" i="22" s="1"/>
  <c r="B7" i="22"/>
  <c r="H57" i="22"/>
  <c r="H70" i="22" s="1"/>
  <c r="U4" i="22" s="1"/>
  <c r="H5" i="22"/>
  <c r="W36" i="18"/>
  <c r="W36" i="20" s="1"/>
  <c r="K14" i="27" s="1"/>
  <c r="U15" i="32" s="1"/>
  <c r="J19" i="97" s="1"/>
  <c r="J43" i="22"/>
  <c r="J30" i="22" s="1"/>
  <c r="J17" i="22" s="1"/>
  <c r="J56" i="22" s="1"/>
  <c r="J69" i="22" s="1"/>
  <c r="W3" i="22" s="1"/>
  <c r="D26" i="27"/>
  <c r="N27" i="32" s="1"/>
  <c r="C31" i="97" s="1"/>
  <c r="C84" i="22"/>
  <c r="C33" i="25"/>
  <c r="R37" i="18"/>
  <c r="R37" i="20" s="1"/>
  <c r="F15" i="27" s="1"/>
  <c r="P16" i="32" s="1"/>
  <c r="E20" i="97" s="1"/>
  <c r="E44" i="22"/>
  <c r="E31" i="22" s="1"/>
  <c r="E18" i="22" s="1"/>
  <c r="C45" i="22"/>
  <c r="C32" i="22" s="1"/>
  <c r="C19" i="22" s="1"/>
  <c r="F20" i="26"/>
  <c r="F19" i="29" s="1"/>
  <c r="K80" i="22"/>
  <c r="D37" i="20"/>
  <c r="D20" i="25" s="1"/>
  <c r="D20" i="26" s="1"/>
  <c r="D19" i="29" s="1"/>
  <c r="Q37" i="18"/>
  <c r="O38" i="18"/>
  <c r="B38" i="20"/>
  <c r="B21" i="25" s="1"/>
  <c r="Y26" i="97" s="1"/>
  <c r="K29" i="25"/>
  <c r="AH34" i="97" s="1"/>
  <c r="S37" i="20"/>
  <c r="G15" i="27" s="1"/>
  <c r="Q16" i="32" s="1"/>
  <c r="F20" i="97" s="1"/>
  <c r="G36" i="18"/>
  <c r="H36" i="18"/>
  <c r="F36" i="17"/>
  <c r="F36" i="18" s="1"/>
  <c r="F43" i="22" s="1"/>
  <c r="F30" i="22" s="1"/>
  <c r="F17" i="22" s="1"/>
  <c r="E36" i="17"/>
  <c r="E36" i="20" s="1"/>
  <c r="E19" i="25" s="1"/>
  <c r="C37" i="17"/>
  <c r="C37" i="18" s="1"/>
  <c r="F31" i="25"/>
  <c r="F31" i="26" s="1"/>
  <c r="F30" i="29" s="1"/>
  <c r="C3" i="26"/>
  <c r="C2" i="29" s="1"/>
  <c r="L4" i="26"/>
  <c r="X2" i="20"/>
  <c r="J35" i="20"/>
  <c r="V3" i="20"/>
  <c r="P5" i="20"/>
  <c r="T36" i="18"/>
  <c r="T36" i="20" s="1"/>
  <c r="H14" i="27" s="1"/>
  <c r="R15" i="32" s="1"/>
  <c r="G19" i="97" s="1"/>
  <c r="S3" i="15"/>
  <c r="F3" i="17"/>
  <c r="I35" i="20"/>
  <c r="R4" i="20"/>
  <c r="W3" i="20"/>
  <c r="B5" i="18"/>
  <c r="O5" i="18" s="1"/>
  <c r="B5" i="20"/>
  <c r="B3" i="25" s="1"/>
  <c r="G3" i="20"/>
  <c r="G3" i="18"/>
  <c r="T3" i="18" s="1"/>
  <c r="W2" i="15"/>
  <c r="J2" i="17"/>
  <c r="D4" i="18"/>
  <c r="Q4" i="18" s="1"/>
  <c r="D4" i="20"/>
  <c r="H3" i="18"/>
  <c r="U3" i="18" s="1"/>
  <c r="H3" i="20"/>
  <c r="S4" i="20"/>
  <c r="X34" i="15"/>
  <c r="K34" i="17"/>
  <c r="P4" i="15"/>
  <c r="C4" i="17"/>
  <c r="R3" i="15"/>
  <c r="E3" i="17"/>
  <c r="V2" i="15"/>
  <c r="I2" i="17"/>
  <c r="G24" i="27"/>
  <c r="Q25" i="32" s="1"/>
  <c r="F29" i="97" s="1"/>
  <c r="B4" i="15"/>
  <c r="H35" i="15"/>
  <c r="H35" i="17" s="1"/>
  <c r="H35" i="18" s="1"/>
  <c r="H19" i="26"/>
  <c r="AE24" i="97"/>
  <c r="AA25" i="97"/>
  <c r="B37" i="15"/>
  <c r="I18" i="29"/>
  <c r="H2" i="15"/>
  <c r="V35" i="15"/>
  <c r="V35" i="18" s="1"/>
  <c r="I34" i="14"/>
  <c r="AA37" i="97"/>
  <c r="D32" i="26"/>
  <c r="D31" i="29" s="1"/>
  <c r="AD24" i="97"/>
  <c r="G19" i="26"/>
  <c r="W35" i="15"/>
  <c r="W35" i="18" s="1"/>
  <c r="J34" i="14"/>
  <c r="D36" i="15"/>
  <c r="J18" i="29"/>
  <c r="G35" i="15"/>
  <c r="G35" i="17" s="1"/>
  <c r="G35" i="20" s="1"/>
  <c r="G68" i="22" s="1"/>
  <c r="T2" i="22" s="1"/>
  <c r="D3" i="15"/>
  <c r="S36" i="15"/>
  <c r="F2" i="14"/>
  <c r="F35" i="14"/>
  <c r="G2" i="15"/>
  <c r="R36" i="15"/>
  <c r="E2" i="14"/>
  <c r="E35" i="14"/>
  <c r="P37" i="15"/>
  <c r="C3" i="14"/>
  <c r="C36" i="14"/>
  <c r="I30" i="25" l="1"/>
  <c r="G31" i="26"/>
  <c r="G30" i="29" s="1"/>
  <c r="I81" i="22"/>
  <c r="J23" i="27" s="1"/>
  <c r="T24" i="32" s="1"/>
  <c r="I28" i="97" s="1"/>
  <c r="S36" i="18"/>
  <c r="K29" i="26"/>
  <c r="K39" i="26" s="1"/>
  <c r="Q37" i="20"/>
  <c r="E15" i="27" s="1"/>
  <c r="O16" i="32" s="1"/>
  <c r="D20" i="97" s="1"/>
  <c r="D57" i="22"/>
  <c r="D70" i="22" s="1"/>
  <c r="K23" i="27"/>
  <c r="U24" i="32" s="1"/>
  <c r="J28" i="97" s="1"/>
  <c r="J30" i="25"/>
  <c r="J30" i="26" s="1"/>
  <c r="J29" i="29" s="1"/>
  <c r="B21" i="26"/>
  <c r="B20" i="29" s="1"/>
  <c r="F36" i="20"/>
  <c r="F19" i="25" s="1"/>
  <c r="F19" i="26" s="1"/>
  <c r="B6" i="22"/>
  <c r="B58" i="22"/>
  <c r="B71" i="22" s="1"/>
  <c r="J4" i="22"/>
  <c r="J81" i="22" s="1"/>
  <c r="P37" i="18"/>
  <c r="G43" i="22"/>
  <c r="G30" i="22" s="1"/>
  <c r="G17" i="22" s="1"/>
  <c r="C58" i="22"/>
  <c r="C71" i="22" s="1"/>
  <c r="P5" i="22" s="1"/>
  <c r="C6" i="22"/>
  <c r="H82" i="22"/>
  <c r="I24" i="27" s="1"/>
  <c r="S25" i="32" s="1"/>
  <c r="H29" i="97" s="1"/>
  <c r="H31" i="25"/>
  <c r="C44" i="22"/>
  <c r="C31" i="22" s="1"/>
  <c r="C18" i="22" s="1"/>
  <c r="C5" i="22" s="1"/>
  <c r="Z38" i="97"/>
  <c r="C33" i="26"/>
  <c r="C32" i="29" s="1"/>
  <c r="U36" i="18"/>
  <c r="U36" i="20" s="1"/>
  <c r="I14" i="27" s="1"/>
  <c r="S15" i="32" s="1"/>
  <c r="H19" i="97" s="1"/>
  <c r="H43" i="22"/>
  <c r="H30" i="22" s="1"/>
  <c r="H17" i="22" s="1"/>
  <c r="E57" i="22"/>
  <c r="E70" i="22" s="1"/>
  <c r="R4" i="22" s="1"/>
  <c r="E5" i="22"/>
  <c r="C26" i="27"/>
  <c r="M27" i="32" s="1"/>
  <c r="B31" i="97" s="1"/>
  <c r="B33" i="25"/>
  <c r="B84" i="22"/>
  <c r="C37" i="20"/>
  <c r="C20" i="25" s="1"/>
  <c r="Z25" i="97" s="1"/>
  <c r="O38" i="20"/>
  <c r="C16" i="27" s="1"/>
  <c r="M17" i="32" s="1"/>
  <c r="B21" i="97" s="1"/>
  <c r="F4" i="22"/>
  <c r="F56" i="22"/>
  <c r="F69" i="22" s="1"/>
  <c r="I68" i="22"/>
  <c r="V2" i="22" s="1"/>
  <c r="J68" i="22"/>
  <c r="C57" i="22"/>
  <c r="C70" i="22" s="1"/>
  <c r="P4" i="22" s="1"/>
  <c r="D36" i="17"/>
  <c r="D36" i="18" s="1"/>
  <c r="E36" i="18"/>
  <c r="B37" i="17"/>
  <c r="B37" i="18" s="1"/>
  <c r="AC36" i="97"/>
  <c r="N9" i="25"/>
  <c r="B3" i="26"/>
  <c r="D43" i="26" s="1"/>
  <c r="W35" i="20"/>
  <c r="Y8" i="97"/>
  <c r="O5" i="20"/>
  <c r="O9" i="25"/>
  <c r="G35" i="18"/>
  <c r="H35" i="20"/>
  <c r="U3" i="20"/>
  <c r="U2" i="15"/>
  <c r="H2" i="17"/>
  <c r="O4" i="15"/>
  <c r="B4" i="17"/>
  <c r="I2" i="20"/>
  <c r="I2" i="18"/>
  <c r="V2" i="18" s="1"/>
  <c r="C4" i="20"/>
  <c r="C4" i="18"/>
  <c r="P4" i="18" s="1"/>
  <c r="Q4" i="20"/>
  <c r="T3" i="20"/>
  <c r="Q3" i="15"/>
  <c r="D3" i="17"/>
  <c r="F3" i="18"/>
  <c r="S3" i="18" s="1"/>
  <c r="F3" i="20"/>
  <c r="T2" i="15"/>
  <c r="G2" i="17"/>
  <c r="V35" i="20"/>
  <c r="E3" i="20"/>
  <c r="E3" i="18"/>
  <c r="R3" i="18" s="1"/>
  <c r="K34" i="20"/>
  <c r="K34" i="18"/>
  <c r="X34" i="18" s="1"/>
  <c r="J2" i="20"/>
  <c r="J2" i="18"/>
  <c r="W2" i="18" s="1"/>
  <c r="C36" i="15"/>
  <c r="L21" i="26"/>
  <c r="Q36" i="15"/>
  <c r="D2" i="14"/>
  <c r="D35" i="14"/>
  <c r="G18" i="29"/>
  <c r="C3" i="15"/>
  <c r="AG35" i="97"/>
  <c r="F35" i="15"/>
  <c r="F35" i="17" s="1"/>
  <c r="F35" i="18" s="1"/>
  <c r="U35" i="15"/>
  <c r="U35" i="18" s="1"/>
  <c r="H34" i="14"/>
  <c r="E35" i="15"/>
  <c r="E35" i="17" s="1"/>
  <c r="E35" i="20" s="1"/>
  <c r="E68" i="22" s="1"/>
  <c r="R2" i="22" s="1"/>
  <c r="F2" i="15"/>
  <c r="I30" i="26"/>
  <c r="I29" i="29" s="1"/>
  <c r="AF35" i="97"/>
  <c r="O37" i="15"/>
  <c r="B3" i="14"/>
  <c r="B36" i="14"/>
  <c r="E19" i="26"/>
  <c r="AB24" i="97"/>
  <c r="C20" i="26"/>
  <c r="C19" i="29" s="1"/>
  <c r="AC24" i="97"/>
  <c r="E2" i="15"/>
  <c r="J34" i="15"/>
  <c r="I34" i="15"/>
  <c r="T35" i="15"/>
  <c r="G34" i="14"/>
  <c r="H18" i="29"/>
  <c r="D36" i="20" l="1"/>
  <c r="D19" i="25" s="1"/>
  <c r="S36" i="20"/>
  <c r="G14" i="27" s="1"/>
  <c r="Q15" i="32" s="1"/>
  <c r="F19" i="97" s="1"/>
  <c r="Q36" i="18"/>
  <c r="B32" i="25"/>
  <c r="B32" i="26" s="1"/>
  <c r="O5" i="22"/>
  <c r="C25" i="27" s="1"/>
  <c r="M26" i="32" s="1"/>
  <c r="B30" i="97" s="1"/>
  <c r="K28" i="29"/>
  <c r="K39" i="29" s="1"/>
  <c r="K40" i="29" s="1"/>
  <c r="D82" i="22"/>
  <c r="Q4" i="22"/>
  <c r="F81" i="22"/>
  <c r="S3" i="22"/>
  <c r="G23" i="27" s="1"/>
  <c r="Q24" i="32" s="1"/>
  <c r="F28" i="97" s="1"/>
  <c r="J80" i="22"/>
  <c r="W2" i="22"/>
  <c r="D31" i="25"/>
  <c r="AA36" i="97" s="1"/>
  <c r="I80" i="22"/>
  <c r="J29" i="25"/>
  <c r="J29" i="26" s="1"/>
  <c r="B83" i="22"/>
  <c r="H56" i="22"/>
  <c r="H69" i="22" s="1"/>
  <c r="U3" i="22" s="1"/>
  <c r="H4" i="22"/>
  <c r="D43" i="22"/>
  <c r="D30" i="22" s="1"/>
  <c r="D17" i="22" s="1"/>
  <c r="D4" i="22" s="1"/>
  <c r="Y38" i="97"/>
  <c r="B33" i="26"/>
  <c r="AE36" i="97"/>
  <c r="H31" i="26"/>
  <c r="H30" i="29" s="1"/>
  <c r="G4" i="22"/>
  <c r="G56" i="22"/>
  <c r="G69" i="22" s="1"/>
  <c r="E82" i="22"/>
  <c r="F24" i="27" s="1"/>
  <c r="P25" i="32" s="1"/>
  <c r="E29" i="97" s="1"/>
  <c r="E31" i="25"/>
  <c r="C83" i="22"/>
  <c r="D25" i="27" s="1"/>
  <c r="N26" i="32" s="1"/>
  <c r="C30" i="97" s="1"/>
  <c r="C32" i="25"/>
  <c r="R36" i="18"/>
  <c r="R36" i="20" s="1"/>
  <c r="F14" i="27" s="1"/>
  <c r="P15" i="32" s="1"/>
  <c r="E19" i="97" s="1"/>
  <c r="E43" i="22"/>
  <c r="E30" i="22" s="1"/>
  <c r="E17" i="22" s="1"/>
  <c r="B44" i="22"/>
  <c r="B31" i="22" s="1"/>
  <c r="B18" i="22" s="1"/>
  <c r="B57" i="22" s="1"/>
  <c r="B70" i="22" s="1"/>
  <c r="O4" i="22" s="1"/>
  <c r="I29" i="25"/>
  <c r="AF34" i="97" s="1"/>
  <c r="P37" i="20"/>
  <c r="D15" i="27" s="1"/>
  <c r="N16" i="32" s="1"/>
  <c r="C20" i="97" s="1"/>
  <c r="C82" i="22"/>
  <c r="D24" i="27" s="1"/>
  <c r="N25" i="32" s="1"/>
  <c r="C29" i="97" s="1"/>
  <c r="B37" i="20"/>
  <c r="B20" i="25" s="1"/>
  <c r="B20" i="26" s="1"/>
  <c r="O37" i="18"/>
  <c r="H68" i="22"/>
  <c r="U2" i="22" s="1"/>
  <c r="D56" i="22"/>
  <c r="D69" i="22" s="1"/>
  <c r="Q3" i="22" s="1"/>
  <c r="C36" i="17"/>
  <c r="C36" i="18" s="1"/>
  <c r="C43" i="22" s="1"/>
  <c r="C30" i="22" s="1"/>
  <c r="C17" i="22" s="1"/>
  <c r="C31" i="25"/>
  <c r="C31" i="26" s="1"/>
  <c r="C30" i="29" s="1"/>
  <c r="P9" i="25"/>
  <c r="L3" i="26"/>
  <c r="B2" i="29"/>
  <c r="T35" i="18"/>
  <c r="T35" i="20" s="1"/>
  <c r="G80" i="22" s="1"/>
  <c r="U35" i="20"/>
  <c r="P4" i="20"/>
  <c r="F35" i="20"/>
  <c r="E35" i="18"/>
  <c r="R3" i="20"/>
  <c r="V34" i="15"/>
  <c r="I34" i="17"/>
  <c r="G2" i="18"/>
  <c r="T2" i="18" s="1"/>
  <c r="G2" i="20"/>
  <c r="D3" i="20"/>
  <c r="D3" i="18"/>
  <c r="Q3" i="18" s="1"/>
  <c r="B4" i="20"/>
  <c r="B4" i="18"/>
  <c r="O4" i="18" s="1"/>
  <c r="R2" i="15"/>
  <c r="E2" i="17"/>
  <c r="S2" i="15"/>
  <c r="F2" i="17"/>
  <c r="W2" i="20"/>
  <c r="H2" i="20"/>
  <c r="H2" i="18"/>
  <c r="U2" i="18" s="1"/>
  <c r="W34" i="15"/>
  <c r="J34" i="17"/>
  <c r="P3" i="15"/>
  <c r="C3" i="17"/>
  <c r="X34" i="20"/>
  <c r="L22" i="27" s="1"/>
  <c r="V23" i="32" s="1"/>
  <c r="K27" i="97" s="1"/>
  <c r="S3" i="20"/>
  <c r="V2" i="20"/>
  <c r="K41" i="29"/>
  <c r="E18" i="29"/>
  <c r="G34" i="15"/>
  <c r="Y37" i="97"/>
  <c r="R35" i="15"/>
  <c r="E34" i="14"/>
  <c r="P36" i="15"/>
  <c r="C2" i="14"/>
  <c r="C35" i="14"/>
  <c r="F18" i="29"/>
  <c r="B36" i="15"/>
  <c r="H34" i="15"/>
  <c r="S35" i="15"/>
  <c r="S35" i="18" s="1"/>
  <c r="F34" i="14"/>
  <c r="D2" i="15"/>
  <c r="G29" i="25"/>
  <c r="H22" i="27"/>
  <c r="R23" i="32" s="1"/>
  <c r="G27" i="97" s="1"/>
  <c r="F30" i="25"/>
  <c r="B3" i="15"/>
  <c r="D35" i="15"/>
  <c r="D35" i="17" s="1"/>
  <c r="D35" i="20" s="1"/>
  <c r="D68" i="22" s="1"/>
  <c r="Q2" i="22" s="1"/>
  <c r="D19" i="26"/>
  <c r="AA24" i="97"/>
  <c r="Q36" i="20" l="1"/>
  <c r="E14" i="27" s="1"/>
  <c r="O15" i="32" s="1"/>
  <c r="D19" i="97" s="1"/>
  <c r="H29" i="25"/>
  <c r="AG34" i="97"/>
  <c r="E24" i="27"/>
  <c r="O25" i="32" s="1"/>
  <c r="D29" i="97" s="1"/>
  <c r="D31" i="26"/>
  <c r="D30" i="29" s="1"/>
  <c r="G81" i="22"/>
  <c r="T3" i="22"/>
  <c r="H80" i="22"/>
  <c r="B5" i="22"/>
  <c r="B82" i="22" s="1"/>
  <c r="H81" i="22"/>
  <c r="I23" i="27" s="1"/>
  <c r="S24" i="32" s="1"/>
  <c r="H28" i="97" s="1"/>
  <c r="H30" i="25"/>
  <c r="E56" i="22"/>
  <c r="E69" i="22" s="1"/>
  <c r="R3" i="22" s="1"/>
  <c r="E4" i="22"/>
  <c r="I29" i="26"/>
  <c r="I39" i="26" s="1"/>
  <c r="G30" i="25"/>
  <c r="G30" i="26" s="1"/>
  <c r="G29" i="29" s="1"/>
  <c r="E31" i="26"/>
  <c r="E30" i="29" s="1"/>
  <c r="AB36" i="97"/>
  <c r="L33" i="26"/>
  <c r="B32" i="29"/>
  <c r="Z37" i="97"/>
  <c r="C32" i="26"/>
  <c r="C31" i="29" s="1"/>
  <c r="P36" i="18"/>
  <c r="Y25" i="97"/>
  <c r="O37" i="20"/>
  <c r="C15" i="27" s="1"/>
  <c r="M16" i="32" s="1"/>
  <c r="B20" i="97" s="1"/>
  <c r="D81" i="22"/>
  <c r="E23" i="27" s="1"/>
  <c r="O24" i="32" s="1"/>
  <c r="D28" i="97" s="1"/>
  <c r="F68" i="22"/>
  <c r="S2" i="22" s="1"/>
  <c r="C4" i="22"/>
  <c r="C56" i="22"/>
  <c r="C69" i="22" s="1"/>
  <c r="P3" i="22" s="1"/>
  <c r="C36" i="20"/>
  <c r="C19" i="25" s="1"/>
  <c r="C19" i="26" s="1"/>
  <c r="B36" i="17"/>
  <c r="B36" i="18" s="1"/>
  <c r="B43" i="22" s="1"/>
  <c r="Z36" i="97"/>
  <c r="R35" i="18"/>
  <c r="R35" i="20" s="1"/>
  <c r="E80" i="22" s="1"/>
  <c r="S35" i="20"/>
  <c r="D35" i="18"/>
  <c r="U2" i="20"/>
  <c r="T2" i="20"/>
  <c r="T34" i="15"/>
  <c r="G34" i="17"/>
  <c r="C3" i="18"/>
  <c r="P3" i="18" s="1"/>
  <c r="C3" i="20"/>
  <c r="Q2" i="15"/>
  <c r="D2" i="17"/>
  <c r="E2" i="20"/>
  <c r="E2" i="18"/>
  <c r="R2" i="18" s="1"/>
  <c r="Q3" i="20"/>
  <c r="U34" i="15"/>
  <c r="H34" i="17"/>
  <c r="J34" i="18"/>
  <c r="W34" i="18" s="1"/>
  <c r="J34" i="20"/>
  <c r="I34" i="20"/>
  <c r="I34" i="18"/>
  <c r="V34" i="18" s="1"/>
  <c r="O3" i="15"/>
  <c r="B3" i="17"/>
  <c r="F2" i="18"/>
  <c r="S2" i="18" s="1"/>
  <c r="F2" i="20"/>
  <c r="O4" i="20"/>
  <c r="J28" i="29"/>
  <c r="J39" i="26"/>
  <c r="AE34" i="97"/>
  <c r="H29" i="26"/>
  <c r="E34" i="15"/>
  <c r="K42" i="29"/>
  <c r="K44" i="29"/>
  <c r="K43" i="29"/>
  <c r="D18" i="29"/>
  <c r="F30" i="26"/>
  <c r="F29" i="29" s="1"/>
  <c r="AC35" i="97"/>
  <c r="C35" i="15"/>
  <c r="C35" i="17" s="1"/>
  <c r="C35" i="20" s="1"/>
  <c r="C68" i="22" s="1"/>
  <c r="P2" i="22" s="1"/>
  <c r="O36" i="15"/>
  <c r="B2" i="14"/>
  <c r="B35" i="14"/>
  <c r="C2" i="15"/>
  <c r="B31" i="29"/>
  <c r="B19" i="29"/>
  <c r="L20" i="26"/>
  <c r="F34" i="15"/>
  <c r="Q35" i="15"/>
  <c r="D34" i="14"/>
  <c r="AD34" i="97"/>
  <c r="G29" i="26"/>
  <c r="D30" i="25"/>
  <c r="E29" i="25"/>
  <c r="B31" i="25"/>
  <c r="C24" i="27"/>
  <c r="M25" i="32" s="1"/>
  <c r="B29" i="97" s="1"/>
  <c r="I28" i="29" l="1"/>
  <c r="I39" i="29" s="1"/>
  <c r="I40" i="29" s="1"/>
  <c r="H23" i="27"/>
  <c r="R24" i="32" s="1"/>
  <c r="G28" i="97" s="1"/>
  <c r="L32" i="26"/>
  <c r="B36" i="20"/>
  <c r="B19" i="25" s="1"/>
  <c r="N10" i="25" s="1"/>
  <c r="F80" i="22"/>
  <c r="H30" i="26"/>
  <c r="H29" i="29" s="1"/>
  <c r="AE35" i="97"/>
  <c r="AD35" i="97"/>
  <c r="B30" i="22"/>
  <c r="B17" i="22" s="1"/>
  <c r="B4" i="22" s="1"/>
  <c r="E81" i="22"/>
  <c r="F23" i="27" s="1"/>
  <c r="P24" i="32" s="1"/>
  <c r="E28" i="97" s="1"/>
  <c r="E30" i="25"/>
  <c r="Z24" i="97"/>
  <c r="C81" i="22"/>
  <c r="D23" i="27" s="1"/>
  <c r="N24" i="32" s="1"/>
  <c r="C28" i="97" s="1"/>
  <c r="O36" i="18"/>
  <c r="F29" i="25"/>
  <c r="AC34" i="97" s="1"/>
  <c r="P36" i="20"/>
  <c r="D14" i="27" s="1"/>
  <c r="N15" i="32" s="1"/>
  <c r="C19" i="97" s="1"/>
  <c r="Q35" i="18"/>
  <c r="Q35" i="20" s="1"/>
  <c r="D80" i="22" s="1"/>
  <c r="V34" i="20"/>
  <c r="J22" i="27" s="1"/>
  <c r="T23" i="32" s="1"/>
  <c r="I27" i="97" s="1"/>
  <c r="W34" i="20"/>
  <c r="K22" i="27" s="1"/>
  <c r="U23" i="32" s="1"/>
  <c r="J27" i="97" s="1"/>
  <c r="P3" i="20"/>
  <c r="C35" i="18"/>
  <c r="P2" i="15"/>
  <c r="C2" i="17"/>
  <c r="R34" i="15"/>
  <c r="E34" i="17"/>
  <c r="S2" i="20"/>
  <c r="D2" i="20"/>
  <c r="D2" i="18"/>
  <c r="Q2" i="18" s="1"/>
  <c r="G34" i="20"/>
  <c r="G34" i="18"/>
  <c r="T34" i="18" s="1"/>
  <c r="B3" i="20"/>
  <c r="B3" i="18"/>
  <c r="O3" i="18" s="1"/>
  <c r="H34" i="18"/>
  <c r="U34" i="18" s="1"/>
  <c r="H34" i="20"/>
  <c r="S34" i="15"/>
  <c r="F34" i="17"/>
  <c r="R2" i="20"/>
  <c r="AA35" i="97"/>
  <c r="D30" i="26"/>
  <c r="D29" i="29" s="1"/>
  <c r="C30" i="25"/>
  <c r="B31" i="26"/>
  <c r="Y36" i="97"/>
  <c r="G28" i="29"/>
  <c r="G39" i="26"/>
  <c r="C18" i="29"/>
  <c r="P35" i="15"/>
  <c r="C34" i="14"/>
  <c r="B35" i="15"/>
  <c r="B35" i="17" s="1"/>
  <c r="B35" i="18" s="1"/>
  <c r="E29" i="26"/>
  <c r="AB34" i="97"/>
  <c r="D34" i="15"/>
  <c r="B2" i="15"/>
  <c r="J39" i="29"/>
  <c r="J40" i="29" s="1"/>
  <c r="J41" i="29"/>
  <c r="D29" i="25"/>
  <c r="H28" i="29"/>
  <c r="I41" i="29" l="1"/>
  <c r="I43" i="29" s="1"/>
  <c r="O10" i="25"/>
  <c r="P10" i="25" s="1"/>
  <c r="B19" i="26"/>
  <c r="Y24" i="97"/>
  <c r="H39" i="26"/>
  <c r="O36" i="20"/>
  <c r="C14" i="27" s="1"/>
  <c r="M15" i="32" s="1"/>
  <c r="B19" i="97" s="1"/>
  <c r="B56" i="22"/>
  <c r="B69" i="22" s="1"/>
  <c r="E30" i="26"/>
  <c r="E29" i="29" s="1"/>
  <c r="AB35" i="97"/>
  <c r="F29" i="26"/>
  <c r="F39" i="26" s="1"/>
  <c r="P35" i="18"/>
  <c r="P35" i="20" s="1"/>
  <c r="C80" i="22" s="1"/>
  <c r="U34" i="20"/>
  <c r="I22" i="27" s="1"/>
  <c r="S23" i="32" s="1"/>
  <c r="H27" i="97" s="1"/>
  <c r="B35" i="20"/>
  <c r="B68" i="22" s="1"/>
  <c r="O2" i="22" s="1"/>
  <c r="F34" i="18"/>
  <c r="S34" i="18" s="1"/>
  <c r="F34" i="20"/>
  <c r="O3" i="20"/>
  <c r="Q2" i="20"/>
  <c r="O2" i="15"/>
  <c r="B2" i="17"/>
  <c r="E34" i="20"/>
  <c r="E34" i="18"/>
  <c r="R34" i="18" s="1"/>
  <c r="C2" i="18"/>
  <c r="P2" i="18" s="1"/>
  <c r="C2" i="20"/>
  <c r="Q34" i="15"/>
  <c r="D34" i="17"/>
  <c r="T34" i="20"/>
  <c r="O35" i="15"/>
  <c r="O35" i="18" s="1"/>
  <c r="B34" i="14"/>
  <c r="Z35" i="97"/>
  <c r="C30" i="26"/>
  <c r="C29" i="29" s="1"/>
  <c r="H41" i="29"/>
  <c r="H39" i="29"/>
  <c r="H40" i="29" s="1"/>
  <c r="C34" i="15"/>
  <c r="J44" i="29"/>
  <c r="J43" i="29"/>
  <c r="J42" i="29"/>
  <c r="I42" i="29"/>
  <c r="G41" i="29"/>
  <c r="G39" i="29"/>
  <c r="G40" i="29" s="1"/>
  <c r="D29" i="26"/>
  <c r="AA34" i="97"/>
  <c r="D44" i="26"/>
  <c r="B18" i="29"/>
  <c r="L19" i="26"/>
  <c r="E28" i="29"/>
  <c r="B30" i="29"/>
  <c r="L31" i="26"/>
  <c r="C29" i="25"/>
  <c r="I44" i="29" l="1"/>
  <c r="B30" i="25"/>
  <c r="B30" i="26" s="1"/>
  <c r="O3" i="22"/>
  <c r="E39" i="26"/>
  <c r="B81" i="22"/>
  <c r="F28" i="29"/>
  <c r="F41" i="29" s="1"/>
  <c r="O35" i="20"/>
  <c r="B80" i="22" s="1"/>
  <c r="B2" i="20"/>
  <c r="B2" i="18"/>
  <c r="O2" i="18" s="1"/>
  <c r="S34" i="20"/>
  <c r="G22" i="27" s="1"/>
  <c r="Q23" i="32" s="1"/>
  <c r="F27" i="97" s="1"/>
  <c r="P2" i="20"/>
  <c r="P34" i="15"/>
  <c r="C34" i="17"/>
  <c r="D34" i="20"/>
  <c r="D34" i="18"/>
  <c r="Q34" i="18" s="1"/>
  <c r="R34" i="20"/>
  <c r="F22" i="27" s="1"/>
  <c r="P23" i="32" s="1"/>
  <c r="E27" i="97" s="1"/>
  <c r="C29" i="26"/>
  <c r="Z34" i="97"/>
  <c r="H44" i="29"/>
  <c r="H43" i="29"/>
  <c r="H42" i="29"/>
  <c r="G42" i="29"/>
  <c r="G43" i="29"/>
  <c r="G44" i="29"/>
  <c r="B29" i="25"/>
  <c r="Y35" i="97"/>
  <c r="E39" i="29"/>
  <c r="E40" i="29" s="1"/>
  <c r="E41" i="29"/>
  <c r="D28" i="29"/>
  <c r="D39" i="26"/>
  <c r="B34" i="15"/>
  <c r="N3" i="25" l="1"/>
  <c r="G2" i="35" s="1"/>
  <c r="C23" i="27"/>
  <c r="M24" i="32" s="1"/>
  <c r="B28" i="97" s="1"/>
  <c r="F39" i="29"/>
  <c r="F40" i="29" s="1"/>
  <c r="Q34" i="20"/>
  <c r="E22" i="27" s="1"/>
  <c r="O23" i="32" s="1"/>
  <c r="D27" i="97" s="1"/>
  <c r="O2" i="20"/>
  <c r="C34" i="18"/>
  <c r="P34" i="18" s="1"/>
  <c r="C34" i="20"/>
  <c r="O34" i="15"/>
  <c r="B34" i="17"/>
  <c r="C28" i="29"/>
  <c r="C39" i="26"/>
  <c r="B29" i="29"/>
  <c r="L30" i="26"/>
  <c r="F42" i="29"/>
  <c r="E43" i="29"/>
  <c r="E44" i="29"/>
  <c r="E42" i="29"/>
  <c r="D41" i="29"/>
  <c r="D39" i="29"/>
  <c r="D40" i="29" s="1"/>
  <c r="O11" i="25"/>
  <c r="O12" i="25" s="1"/>
  <c r="N11" i="25"/>
  <c r="B29" i="26"/>
  <c r="Y34" i="97"/>
  <c r="P4" i="25"/>
  <c r="P5" i="25"/>
  <c r="O3" i="25"/>
  <c r="P3" i="25"/>
  <c r="O4" i="25"/>
  <c r="O5" i="25"/>
  <c r="N4" i="25"/>
  <c r="F43" i="29" l="1"/>
  <c r="F44" i="29"/>
  <c r="R14" i="29"/>
  <c r="I2" i="35"/>
  <c r="B34" i="18"/>
  <c r="O34" i="18" s="1"/>
  <c r="B34" i="20"/>
  <c r="P34" i="20"/>
  <c r="D22" i="27" s="1"/>
  <c r="N23" i="32" s="1"/>
  <c r="C27" i="97" s="1"/>
  <c r="N5" i="25"/>
  <c r="Q3" i="25" s="1"/>
  <c r="P14" i="29"/>
  <c r="D45" i="26"/>
  <c r="B28" i="29"/>
  <c r="L29" i="26"/>
  <c r="L39" i="26" s="1"/>
  <c r="L44" i="26"/>
  <c r="L43" i="26"/>
  <c r="B39" i="26"/>
  <c r="C39" i="29"/>
  <c r="C40" i="29" s="1"/>
  <c r="C41" i="29"/>
  <c r="P11" i="25"/>
  <c r="P12" i="25" s="1"/>
  <c r="N12" i="25"/>
  <c r="D42" i="29"/>
  <c r="D44" i="29"/>
  <c r="D43" i="29"/>
  <c r="R13" i="29" l="1"/>
  <c r="O34" i="20"/>
  <c r="C22" i="27" s="1"/>
  <c r="M23" i="32" s="1"/>
  <c r="B27" i="97" s="1"/>
  <c r="B39" i="29"/>
  <c r="B40" i="29" s="1"/>
  <c r="B41" i="29"/>
  <c r="O5" i="29"/>
  <c r="O4" i="29"/>
  <c r="L45" i="26"/>
  <c r="N17" i="25" s="1"/>
  <c r="P13" i="29"/>
  <c r="J43" i="26"/>
  <c r="H46" i="26"/>
  <c r="B22" i="32" s="1"/>
  <c r="C22" i="32" s="1"/>
  <c r="Q4" i="25"/>
  <c r="Q5" i="25" s="1"/>
  <c r="C44" i="29"/>
  <c r="C42" i="29"/>
  <c r="C43" i="29"/>
  <c r="N13" i="29" l="1"/>
  <c r="P15" i="29" s="1"/>
  <c r="N15" i="25" s="1"/>
  <c r="Q4" i="29"/>
  <c r="R4" i="29" s="1"/>
  <c r="P4" i="29"/>
  <c r="O6" i="29"/>
  <c r="O7" i="29"/>
  <c r="Q5" i="29"/>
  <c r="R5" i="29" s="1"/>
  <c r="P5" i="29"/>
  <c r="B43" i="29"/>
  <c r="L43" i="29" s="1"/>
  <c r="B44" i="29"/>
  <c r="B42" i="29"/>
  <c r="B32" i="27"/>
  <c r="B33" i="27"/>
  <c r="H47" i="26"/>
  <c r="P15" i="25" l="1"/>
  <c r="F21" i="35"/>
  <c r="F5" i="35"/>
  <c r="F36" i="35"/>
  <c r="F51" i="35"/>
  <c r="R15" i="29"/>
  <c r="C21" i="32"/>
  <c r="B21" i="32"/>
  <c r="Q6" i="29"/>
  <c r="R6" i="29" s="1"/>
  <c r="P6" i="29"/>
  <c r="L44" i="29"/>
  <c r="C47" i="29"/>
  <c r="C48" i="29" s="1"/>
  <c r="A38" i="97"/>
  <c r="L34" i="32"/>
  <c r="P7" i="29"/>
  <c r="A37" i="97"/>
  <c r="L33" i="32"/>
  <c r="C2" i="35"/>
  <c r="B51" i="35" s="1"/>
  <c r="E3" i="97"/>
  <c r="P16" i="29"/>
  <c r="F21" i="32" l="1"/>
  <c r="I21" i="32" s="1"/>
  <c r="N16" i="25"/>
  <c r="P16" i="25" s="1"/>
  <c r="M3" i="97"/>
  <c r="R16" i="29"/>
  <c r="S16" i="29" s="1"/>
  <c r="S15" i="29"/>
  <c r="E2" i="35"/>
  <c r="D21" i="35" s="1"/>
  <c r="E21" i="32"/>
  <c r="H21" i="32" s="1"/>
  <c r="B36" i="35"/>
  <c r="B21" i="35"/>
  <c r="B5" i="35"/>
  <c r="S8" i="35" s="1"/>
  <c r="G2" i="122" s="1"/>
  <c r="P17" i="25" l="1"/>
  <c r="H21" i="35"/>
  <c r="J21" i="35" s="1"/>
  <c r="H51" i="35"/>
  <c r="H36" i="35"/>
  <c r="H5" i="35"/>
  <c r="V3" i="97"/>
  <c r="D51" i="35"/>
  <c r="K2" i="35"/>
  <c r="R3" i="97" s="1"/>
  <c r="D36" i="35"/>
  <c r="D5" i="35"/>
  <c r="V8" i="35"/>
  <c r="AB3" i="97"/>
  <c r="B8" i="35"/>
  <c r="C2" i="122" s="1"/>
  <c r="D30" i="35"/>
  <c r="D29" i="35"/>
  <c r="D31" i="35"/>
  <c r="D33" i="35"/>
  <c r="D26" i="35"/>
  <c r="D32" i="35"/>
  <c r="D27" i="35"/>
  <c r="D28" i="35"/>
  <c r="D25" i="35"/>
  <c r="D24" i="35"/>
  <c r="J36" i="35" l="1"/>
  <c r="T8" i="35"/>
  <c r="W8" i="35" s="1"/>
  <c r="E42" i="35"/>
  <c r="F42" i="35" s="1"/>
  <c r="E41" i="35"/>
  <c r="F41" i="35" s="1"/>
  <c r="E46" i="35"/>
  <c r="D46" i="35" s="1"/>
  <c r="C46" i="35" s="1"/>
  <c r="E47" i="35"/>
  <c r="F47" i="35" s="1"/>
  <c r="E40" i="35"/>
  <c r="D40" i="35" s="1"/>
  <c r="C40" i="35" s="1"/>
  <c r="E48" i="35"/>
  <c r="D48" i="35" s="1"/>
  <c r="C48" i="35" s="1"/>
  <c r="E43" i="35"/>
  <c r="D43" i="35" s="1"/>
  <c r="C43" i="35" s="1"/>
  <c r="E45" i="35"/>
  <c r="D45" i="35" s="1"/>
  <c r="C45" i="35" s="1"/>
  <c r="E44" i="35"/>
  <c r="F44" i="35" s="1"/>
  <c r="C12" i="35"/>
  <c r="B12" i="35" s="1"/>
  <c r="C14" i="35"/>
  <c r="B14" i="35" s="1"/>
  <c r="C16" i="35"/>
  <c r="B16" i="35" s="1"/>
  <c r="C15" i="35"/>
  <c r="B15" i="35" s="1"/>
  <c r="C9" i="35"/>
  <c r="D9" i="35" s="1"/>
  <c r="T9" i="35" s="1"/>
  <c r="D8" i="35"/>
  <c r="R8" i="35" s="1"/>
  <c r="C10" i="35"/>
  <c r="B10" i="35" s="1"/>
  <c r="E39" i="35"/>
  <c r="D39" i="35" s="1"/>
  <c r="C39" i="35" s="1"/>
  <c r="C13" i="35"/>
  <c r="C11" i="35"/>
  <c r="F56" i="35"/>
  <c r="F54" i="35"/>
  <c r="F63" i="35"/>
  <c r="F55" i="35"/>
  <c r="F57" i="35"/>
  <c r="J51" i="35"/>
  <c r="F59" i="35"/>
  <c r="F60" i="35"/>
  <c r="F62" i="35"/>
  <c r="F58" i="35"/>
  <c r="F61" i="35"/>
  <c r="C17" i="35"/>
  <c r="B17" i="35" s="1"/>
  <c r="J5" i="35"/>
  <c r="B4" i="122"/>
  <c r="E28" i="35"/>
  <c r="C28" i="35"/>
  <c r="C31" i="35"/>
  <c r="E31" i="35"/>
  <c r="E27" i="35"/>
  <c r="C27" i="35"/>
  <c r="C24" i="35"/>
  <c r="E24" i="35"/>
  <c r="C26" i="35"/>
  <c r="E26" i="35"/>
  <c r="E32" i="35"/>
  <c r="C32" i="35"/>
  <c r="C29" i="35"/>
  <c r="E29" i="35"/>
  <c r="C25" i="35"/>
  <c r="E25" i="35"/>
  <c r="C33" i="35"/>
  <c r="E33" i="35"/>
  <c r="C30" i="35"/>
  <c r="E30" i="35"/>
  <c r="U8" i="35" l="1"/>
  <c r="D14" i="35"/>
  <c r="E14" i="35" s="1"/>
  <c r="D42" i="35"/>
  <c r="C42" i="35" s="1"/>
  <c r="B42" i="35" s="1"/>
  <c r="I2" i="122"/>
  <c r="H4" i="122" s="1"/>
  <c r="D41" i="35"/>
  <c r="C41" i="35" s="1"/>
  <c r="B41" i="35" s="1"/>
  <c r="D47" i="35"/>
  <c r="C47" i="35" s="1"/>
  <c r="B47" i="35" s="1"/>
  <c r="N8" i="35"/>
  <c r="F43" i="35"/>
  <c r="G43" i="35" s="1"/>
  <c r="H43" i="35" s="1"/>
  <c r="I43" i="35" s="1"/>
  <c r="J43" i="35" s="1"/>
  <c r="F46" i="35"/>
  <c r="G46" i="35" s="1"/>
  <c r="H46" i="35" s="1"/>
  <c r="I46" i="35" s="1"/>
  <c r="J46" i="35" s="1"/>
  <c r="K46" i="35" s="1"/>
  <c r="L46" i="35" s="1"/>
  <c r="M46" i="35" s="1"/>
  <c r="B9" i="35"/>
  <c r="C2" i="80" s="1"/>
  <c r="B4" i="80" s="1"/>
  <c r="D44" i="35"/>
  <c r="C44" i="35" s="1"/>
  <c r="B44" i="35" s="1"/>
  <c r="B13" i="35"/>
  <c r="C2" i="91" s="1"/>
  <c r="B4" i="91" s="1"/>
  <c r="E2" i="122"/>
  <c r="D4" i="122" s="1"/>
  <c r="D7" i="122" s="1"/>
  <c r="F45" i="35"/>
  <c r="G45" i="35" s="1"/>
  <c r="H45" i="35" s="1"/>
  <c r="I45" i="35" s="1"/>
  <c r="J45" i="35" s="1"/>
  <c r="K45" i="35" s="1"/>
  <c r="L45" i="35" s="1"/>
  <c r="F40" i="35"/>
  <c r="T40" i="35" s="1"/>
  <c r="W40" i="35" s="1"/>
  <c r="F48" i="35"/>
  <c r="G48" i="35" s="1"/>
  <c r="H48" i="35" s="1"/>
  <c r="I48" i="35" s="1"/>
  <c r="J48" i="35" s="1"/>
  <c r="K48" i="35" s="1"/>
  <c r="L48" i="35" s="1"/>
  <c r="M48" i="35" s="1"/>
  <c r="N48" i="35" s="1"/>
  <c r="O48" i="35" s="1"/>
  <c r="D13" i="35"/>
  <c r="E13" i="35" s="1"/>
  <c r="D12" i="35"/>
  <c r="E12" i="35" s="1"/>
  <c r="F12" i="35" s="1"/>
  <c r="G12" i="35" s="1"/>
  <c r="H12" i="35" s="1"/>
  <c r="E2" i="90" s="1"/>
  <c r="D4" i="90" s="1"/>
  <c r="D16" i="35"/>
  <c r="E16" i="35" s="1"/>
  <c r="D15" i="35"/>
  <c r="E15" i="35" s="1"/>
  <c r="F39" i="35"/>
  <c r="B11" i="35"/>
  <c r="C2" i="88" s="1"/>
  <c r="B4" i="88" s="1"/>
  <c r="D10" i="35"/>
  <c r="E10" i="35" s="1"/>
  <c r="S10" i="35" s="1"/>
  <c r="D11" i="35"/>
  <c r="E11" i="35" s="1"/>
  <c r="F11" i="35" s="1"/>
  <c r="G11" i="35" s="1"/>
  <c r="E2" i="88" s="1"/>
  <c r="D4" i="88" s="1"/>
  <c r="E57" i="35"/>
  <c r="D57" i="35" s="1"/>
  <c r="C57" i="35" s="1"/>
  <c r="B57" i="35" s="1"/>
  <c r="C2" i="115" s="1"/>
  <c r="B4" i="115" s="1"/>
  <c r="B7" i="115" s="1"/>
  <c r="G57" i="35"/>
  <c r="H57" i="35" s="1"/>
  <c r="I57" i="35" s="1"/>
  <c r="E55" i="35"/>
  <c r="D55" i="35" s="1"/>
  <c r="C55" i="35" s="1"/>
  <c r="G55" i="35"/>
  <c r="D17" i="35"/>
  <c r="E17" i="35" s="1"/>
  <c r="E61" i="35"/>
  <c r="D61" i="35" s="1"/>
  <c r="C61" i="35" s="1"/>
  <c r="B61" i="35" s="1"/>
  <c r="C2" i="119" s="1"/>
  <c r="B4" i="119" s="1"/>
  <c r="B7" i="119" s="1"/>
  <c r="G61" i="35"/>
  <c r="H61" i="35" s="1"/>
  <c r="I61" i="35" s="1"/>
  <c r="J61" i="35" s="1"/>
  <c r="K61" i="35" s="1"/>
  <c r="L61" i="35" s="1"/>
  <c r="M61" i="35" s="1"/>
  <c r="N61" i="35" s="1"/>
  <c r="E59" i="35"/>
  <c r="D59" i="35" s="1"/>
  <c r="C59" i="35" s="1"/>
  <c r="B59" i="35" s="1"/>
  <c r="C2" i="117" s="1"/>
  <c r="B4" i="117" s="1"/>
  <c r="B7" i="117" s="1"/>
  <c r="G59" i="35"/>
  <c r="H59" i="35" s="1"/>
  <c r="I59" i="35" s="1"/>
  <c r="J59" i="35" s="1"/>
  <c r="K59" i="35" s="1"/>
  <c r="L59" i="35" s="1"/>
  <c r="E63" i="35"/>
  <c r="D63" i="35" s="1"/>
  <c r="C63" i="35" s="1"/>
  <c r="B63" i="35" s="1"/>
  <c r="C2" i="121" s="1"/>
  <c r="B4" i="121" s="1"/>
  <c r="B7" i="121" s="1"/>
  <c r="G63" i="35"/>
  <c r="H63" i="35" s="1"/>
  <c r="I63" i="35" s="1"/>
  <c r="J63" i="35" s="1"/>
  <c r="K63" i="35" s="1"/>
  <c r="L63" i="35" s="1"/>
  <c r="M63" i="35" s="1"/>
  <c r="N63" i="35" s="1"/>
  <c r="O63" i="35" s="1"/>
  <c r="P63" i="35" s="1"/>
  <c r="E62" i="35"/>
  <c r="D62" i="35" s="1"/>
  <c r="C62" i="35" s="1"/>
  <c r="B62" i="35" s="1"/>
  <c r="C2" i="120" s="1"/>
  <c r="B4" i="120" s="1"/>
  <c r="B7" i="120" s="1"/>
  <c r="G62" i="35"/>
  <c r="H62" i="35" s="1"/>
  <c r="I62" i="35" s="1"/>
  <c r="J62" i="35" s="1"/>
  <c r="K62" i="35" s="1"/>
  <c r="L62" i="35" s="1"/>
  <c r="M62" i="35" s="1"/>
  <c r="N62" i="35" s="1"/>
  <c r="O62" i="35" s="1"/>
  <c r="E2" i="120" s="1"/>
  <c r="D4" i="120" s="1"/>
  <c r="E56" i="35"/>
  <c r="D56" i="35" s="1"/>
  <c r="C56" i="35" s="1"/>
  <c r="B56" i="35" s="1"/>
  <c r="G56" i="35"/>
  <c r="H56" i="35" s="1"/>
  <c r="I56" i="35" s="1"/>
  <c r="E60" i="35"/>
  <c r="D60" i="35" s="1"/>
  <c r="C60" i="35" s="1"/>
  <c r="B60" i="35" s="1"/>
  <c r="C2" i="118" s="1"/>
  <c r="B4" i="118" s="1"/>
  <c r="B7" i="118" s="1"/>
  <c r="G60" i="35"/>
  <c r="H60" i="35" s="1"/>
  <c r="I60" i="35" s="1"/>
  <c r="J60" i="35" s="1"/>
  <c r="K60" i="35" s="1"/>
  <c r="L60" i="35" s="1"/>
  <c r="M60" i="35" s="1"/>
  <c r="E58" i="35"/>
  <c r="D58" i="35" s="1"/>
  <c r="C58" i="35" s="1"/>
  <c r="B58" i="35" s="1"/>
  <c r="C2" i="116" s="1"/>
  <c r="B4" i="116" s="1"/>
  <c r="B7" i="116" s="1"/>
  <c r="G58" i="35"/>
  <c r="H58" i="35" s="1"/>
  <c r="I58" i="35" s="1"/>
  <c r="J58" i="35" s="1"/>
  <c r="K58" i="35" s="1"/>
  <c r="E2" i="116" s="1"/>
  <c r="D4" i="116" s="1"/>
  <c r="E54" i="35"/>
  <c r="D54" i="35" s="1"/>
  <c r="C54" i="35" s="1"/>
  <c r="G54" i="35"/>
  <c r="W9" i="35"/>
  <c r="I2" i="80"/>
  <c r="H4" i="80" s="1"/>
  <c r="S9" i="35"/>
  <c r="F4" i="122"/>
  <c r="S7" i="122" s="1"/>
  <c r="V7" i="122" s="1"/>
  <c r="B7" i="122"/>
  <c r="S24" i="35"/>
  <c r="V24" i="35" s="1"/>
  <c r="T24" i="35"/>
  <c r="W24" i="35" s="1"/>
  <c r="S25" i="35"/>
  <c r="V25" i="35" s="1"/>
  <c r="T25" i="35"/>
  <c r="W25" i="35" s="1"/>
  <c r="T39" i="35"/>
  <c r="W39" i="35" s="1"/>
  <c r="S39" i="35"/>
  <c r="V39" i="35" s="1"/>
  <c r="E9" i="35"/>
  <c r="E2" i="80" s="1"/>
  <c r="D4" i="80" s="1"/>
  <c r="F29" i="35"/>
  <c r="G29" i="35" s="1"/>
  <c r="H29" i="35" s="1"/>
  <c r="I29" i="35" s="1"/>
  <c r="J29" i="35" s="1"/>
  <c r="F33" i="35"/>
  <c r="G33" i="35" s="1"/>
  <c r="H33" i="35" s="1"/>
  <c r="I33" i="35" s="1"/>
  <c r="J33" i="35" s="1"/>
  <c r="K33" i="35" s="1"/>
  <c r="L33" i="35" s="1"/>
  <c r="M33" i="35" s="1"/>
  <c r="N33" i="35" s="1"/>
  <c r="B29" i="35"/>
  <c r="B46" i="35"/>
  <c r="G47" i="35"/>
  <c r="H47" i="35" s="1"/>
  <c r="I47" i="35" s="1"/>
  <c r="J47" i="35" s="1"/>
  <c r="K47" i="35" s="1"/>
  <c r="L47" i="35" s="1"/>
  <c r="M47" i="35" s="1"/>
  <c r="N47" i="35" s="1"/>
  <c r="E2" i="111" s="1"/>
  <c r="D4" i="111" s="1"/>
  <c r="G42" i="35"/>
  <c r="H42" i="35" s="1"/>
  <c r="I42" i="35" s="1"/>
  <c r="G41" i="35"/>
  <c r="H41" i="35" s="1"/>
  <c r="C2" i="92"/>
  <c r="B4" i="92" s="1"/>
  <c r="C2" i="96"/>
  <c r="B4" i="96" s="1"/>
  <c r="F25" i="35"/>
  <c r="C2" i="87"/>
  <c r="B4" i="87" s="1"/>
  <c r="F31" i="35"/>
  <c r="G31" i="35" s="1"/>
  <c r="H31" i="35" s="1"/>
  <c r="I31" i="35" s="1"/>
  <c r="J31" i="35" s="1"/>
  <c r="K31" i="35" s="1"/>
  <c r="L31" i="35" s="1"/>
  <c r="B28" i="35"/>
  <c r="C2" i="93"/>
  <c r="B4" i="93" s="1"/>
  <c r="B25" i="35"/>
  <c r="F26" i="35"/>
  <c r="G26" i="35" s="1"/>
  <c r="C2" i="94"/>
  <c r="B4" i="94" s="1"/>
  <c r="G44" i="35"/>
  <c r="H44" i="35" s="1"/>
  <c r="I44" i="35" s="1"/>
  <c r="J44" i="35" s="1"/>
  <c r="K44" i="35" s="1"/>
  <c r="B31" i="35"/>
  <c r="F28" i="35"/>
  <c r="G28" i="35" s="1"/>
  <c r="H28" i="35" s="1"/>
  <c r="I28" i="35" s="1"/>
  <c r="B27" i="35"/>
  <c r="B33" i="35"/>
  <c r="B45" i="35"/>
  <c r="B48" i="35"/>
  <c r="B26" i="35"/>
  <c r="C2" i="90"/>
  <c r="B4" i="90" s="1"/>
  <c r="B32" i="35"/>
  <c r="F27" i="35"/>
  <c r="G27" i="35" s="1"/>
  <c r="H27" i="35" s="1"/>
  <c r="B39" i="35"/>
  <c r="B30" i="35"/>
  <c r="F30" i="35"/>
  <c r="G30" i="35" s="1"/>
  <c r="H30" i="35" s="1"/>
  <c r="I30" i="35" s="1"/>
  <c r="J30" i="35" s="1"/>
  <c r="K30" i="35" s="1"/>
  <c r="F32" i="35"/>
  <c r="G32" i="35" s="1"/>
  <c r="H32" i="35" s="1"/>
  <c r="I32" i="35" s="1"/>
  <c r="J32" i="35" s="1"/>
  <c r="K32" i="35" s="1"/>
  <c r="L32" i="35" s="1"/>
  <c r="M32" i="35" s="1"/>
  <c r="B24" i="35"/>
  <c r="R24" i="35" s="1"/>
  <c r="B40" i="35"/>
  <c r="B43" i="35"/>
  <c r="C16" i="122" l="1"/>
  <c r="B16" i="122" s="1"/>
  <c r="C13" i="122"/>
  <c r="B13" i="122" s="1"/>
  <c r="C8" i="122"/>
  <c r="B8" i="122" s="1"/>
  <c r="S40" i="35"/>
  <c r="V40" i="35" s="1"/>
  <c r="C14" i="122"/>
  <c r="C9" i="122"/>
  <c r="T7" i="122"/>
  <c r="W7" i="122" s="1"/>
  <c r="C12" i="122"/>
  <c r="C11" i="122"/>
  <c r="B11" i="122" s="1"/>
  <c r="D1" i="122"/>
  <c r="C15" i="122"/>
  <c r="B15" i="122" s="1"/>
  <c r="C10" i="122"/>
  <c r="B10" i="122" s="1"/>
  <c r="K2" i="122"/>
  <c r="G40" i="35"/>
  <c r="P40" i="35" s="1"/>
  <c r="R39" i="35"/>
  <c r="T62" i="35"/>
  <c r="W62" i="35" s="1"/>
  <c r="S62" i="35"/>
  <c r="V62" i="35" s="1"/>
  <c r="Q62" i="35"/>
  <c r="R59" i="35"/>
  <c r="Q56" i="35"/>
  <c r="Q63" i="35"/>
  <c r="T63" i="35"/>
  <c r="W63" i="35" s="1"/>
  <c r="E2" i="121"/>
  <c r="D4" i="121" s="1"/>
  <c r="R62" i="35"/>
  <c r="R63" i="35"/>
  <c r="T56" i="35"/>
  <c r="W56" i="35" s="1"/>
  <c r="Q58" i="35"/>
  <c r="S54" i="35"/>
  <c r="B54" i="35"/>
  <c r="T54" i="35"/>
  <c r="W54" i="35" s="1"/>
  <c r="R54" i="35"/>
  <c r="S55" i="35"/>
  <c r="H55" i="35"/>
  <c r="B55" i="35"/>
  <c r="T55" i="35"/>
  <c r="W55" i="35" s="1"/>
  <c r="S58" i="35"/>
  <c r="V58" i="35" s="1"/>
  <c r="S56" i="35"/>
  <c r="V56" i="35" s="1"/>
  <c r="R58" i="35"/>
  <c r="S63" i="35"/>
  <c r="G2" i="121" s="1"/>
  <c r="T58" i="35"/>
  <c r="I2" i="116" s="1"/>
  <c r="Q54" i="35"/>
  <c r="J4" i="122"/>
  <c r="G2" i="80"/>
  <c r="K2" i="80" s="1"/>
  <c r="V9" i="35"/>
  <c r="V10" i="35"/>
  <c r="G2" i="87"/>
  <c r="N7" i="122"/>
  <c r="R7" i="122"/>
  <c r="T7" i="80"/>
  <c r="W7" i="80" s="1"/>
  <c r="T59" i="35"/>
  <c r="S59" i="35"/>
  <c r="Q60" i="35"/>
  <c r="E2" i="118"/>
  <c r="D4" i="118" s="1"/>
  <c r="D1" i="116"/>
  <c r="Q59" i="35"/>
  <c r="E2" i="117"/>
  <c r="D4" i="117" s="1"/>
  <c r="D1" i="120"/>
  <c r="Q61" i="35"/>
  <c r="E2" i="119"/>
  <c r="D4" i="119" s="1"/>
  <c r="S48" i="35"/>
  <c r="R60" i="35"/>
  <c r="S44" i="35"/>
  <c r="S46" i="35"/>
  <c r="T61" i="35"/>
  <c r="T33" i="35"/>
  <c r="J57" i="35"/>
  <c r="T57" i="35"/>
  <c r="F15" i="35"/>
  <c r="G15" i="35" s="1"/>
  <c r="H15" i="35" s="1"/>
  <c r="I15" i="35" s="1"/>
  <c r="J15" i="35" s="1"/>
  <c r="K15" i="35" s="1"/>
  <c r="E2" i="93" s="1"/>
  <c r="D4" i="93" s="1"/>
  <c r="T47" i="35"/>
  <c r="T44" i="35"/>
  <c r="S57" i="35"/>
  <c r="T48" i="35"/>
  <c r="I2" i="112" s="1"/>
  <c r="S61" i="35"/>
  <c r="S30" i="35"/>
  <c r="S42" i="35"/>
  <c r="S33" i="35"/>
  <c r="G2" i="106" s="1"/>
  <c r="S47" i="35"/>
  <c r="T43" i="35"/>
  <c r="T60" i="35"/>
  <c r="S43" i="35"/>
  <c r="T42" i="35"/>
  <c r="S26" i="35"/>
  <c r="T46" i="35"/>
  <c r="T32" i="35"/>
  <c r="T10" i="35"/>
  <c r="F17" i="35"/>
  <c r="G17" i="35" s="1"/>
  <c r="H17" i="35" s="1"/>
  <c r="I17" i="35" s="1"/>
  <c r="S60" i="35"/>
  <c r="S27" i="35"/>
  <c r="S32" i="35"/>
  <c r="T27" i="35"/>
  <c r="T29" i="35"/>
  <c r="T11" i="35"/>
  <c r="R61" i="35"/>
  <c r="R56" i="35"/>
  <c r="S28" i="35"/>
  <c r="T45" i="35"/>
  <c r="S11" i="35"/>
  <c r="T41" i="35"/>
  <c r="W41" i="35" s="1"/>
  <c r="S31" i="35"/>
  <c r="S29" i="35"/>
  <c r="T12" i="35"/>
  <c r="T26" i="35"/>
  <c r="T28" i="35"/>
  <c r="S45" i="35"/>
  <c r="S12" i="35"/>
  <c r="S41" i="35"/>
  <c r="V41" i="35" s="1"/>
  <c r="T31" i="35"/>
  <c r="T30" i="35"/>
  <c r="N9" i="35"/>
  <c r="R25" i="35"/>
  <c r="R41" i="35"/>
  <c r="U25" i="35"/>
  <c r="R12" i="35"/>
  <c r="N12" i="35"/>
  <c r="N11" i="35"/>
  <c r="R9" i="35"/>
  <c r="R11" i="35"/>
  <c r="P39" i="35"/>
  <c r="C2" i="107"/>
  <c r="B4" i="107" s="1"/>
  <c r="R43" i="35"/>
  <c r="U24" i="35"/>
  <c r="C2" i="103"/>
  <c r="B4" i="103" s="1"/>
  <c r="R30" i="35"/>
  <c r="E2" i="108"/>
  <c r="D4" i="108" s="1"/>
  <c r="P44" i="35"/>
  <c r="C2" i="101"/>
  <c r="B4" i="101" s="1"/>
  <c r="R28" i="35"/>
  <c r="E2" i="89"/>
  <c r="D4" i="89" s="1"/>
  <c r="O26" i="35"/>
  <c r="E2" i="112"/>
  <c r="D4" i="112" s="1"/>
  <c r="P48" i="35"/>
  <c r="C2" i="99"/>
  <c r="B4" i="99" s="1"/>
  <c r="R42" i="35"/>
  <c r="P41" i="35"/>
  <c r="F13" i="35"/>
  <c r="E2" i="102"/>
  <c r="D4" i="102" s="1"/>
  <c r="O29" i="35"/>
  <c r="U39" i="35"/>
  <c r="O24" i="35"/>
  <c r="C2" i="112"/>
  <c r="B4" i="112" s="1"/>
  <c r="R48" i="35"/>
  <c r="C2" i="108"/>
  <c r="B4" i="108" s="1"/>
  <c r="R44" i="35"/>
  <c r="D1" i="88"/>
  <c r="F10" i="35"/>
  <c r="E2" i="104"/>
  <c r="D4" i="104" s="1"/>
  <c r="O31" i="35"/>
  <c r="D1" i="80"/>
  <c r="C2" i="89"/>
  <c r="B4" i="89" s="1"/>
  <c r="R26" i="35"/>
  <c r="E2" i="109"/>
  <c r="D4" i="109" s="1"/>
  <c r="P45" i="35"/>
  <c r="E2" i="101"/>
  <c r="D4" i="101" s="1"/>
  <c r="O28" i="35"/>
  <c r="E2" i="107"/>
  <c r="D4" i="107" s="1"/>
  <c r="P43" i="35"/>
  <c r="E2" i="105"/>
  <c r="D4" i="105" s="1"/>
  <c r="O32" i="35"/>
  <c r="D7" i="90"/>
  <c r="C2" i="106"/>
  <c r="B4" i="106" s="1"/>
  <c r="R33" i="35"/>
  <c r="F14" i="35"/>
  <c r="O25" i="35"/>
  <c r="U9" i="35"/>
  <c r="C2" i="109"/>
  <c r="B4" i="109" s="1"/>
  <c r="R45" i="35"/>
  <c r="D1" i="90"/>
  <c r="C2" i="111"/>
  <c r="B4" i="111" s="1"/>
  <c r="R47" i="35"/>
  <c r="E2" i="103"/>
  <c r="D4" i="103" s="1"/>
  <c r="O30" i="35"/>
  <c r="C2" i="100"/>
  <c r="B4" i="100" s="1"/>
  <c r="R27" i="35"/>
  <c r="E2" i="99"/>
  <c r="D4" i="99" s="1"/>
  <c r="P42" i="35"/>
  <c r="C2" i="102"/>
  <c r="B4" i="102" s="1"/>
  <c r="R29" i="35"/>
  <c r="C2" i="105"/>
  <c r="B4" i="105" s="1"/>
  <c r="R32" i="35"/>
  <c r="D7" i="88"/>
  <c r="C2" i="104"/>
  <c r="B4" i="104" s="1"/>
  <c r="R31" i="35"/>
  <c r="E2" i="110"/>
  <c r="D4" i="110" s="1"/>
  <c r="P46" i="35"/>
  <c r="D7" i="80"/>
  <c r="E2" i="100"/>
  <c r="D4" i="100" s="1"/>
  <c r="O27" i="35"/>
  <c r="F16" i="35"/>
  <c r="G16" i="35" s="1"/>
  <c r="H16" i="35" s="1"/>
  <c r="I16" i="35" s="1"/>
  <c r="J16" i="35" s="1"/>
  <c r="K16" i="35" s="1"/>
  <c r="L16" i="35" s="1"/>
  <c r="P47" i="35"/>
  <c r="C2" i="110"/>
  <c r="B4" i="110" s="1"/>
  <c r="R46" i="35"/>
  <c r="E2" i="106"/>
  <c r="D4" i="106" s="1"/>
  <c r="O33" i="35"/>
  <c r="U40" i="35" l="1"/>
  <c r="R40" i="35"/>
  <c r="D8" i="122"/>
  <c r="E8" i="122" s="1"/>
  <c r="N8" i="122" s="1"/>
  <c r="D9" i="122"/>
  <c r="E9" i="122" s="1"/>
  <c r="B9" i="122"/>
  <c r="D13" i="122"/>
  <c r="E13" i="122" s="1"/>
  <c r="D14" i="122"/>
  <c r="E14" i="122" s="1"/>
  <c r="B14" i="122"/>
  <c r="U7" i="122"/>
  <c r="D11" i="122"/>
  <c r="E11" i="122" s="1"/>
  <c r="B12" i="122"/>
  <c r="D15" i="122"/>
  <c r="E15" i="122" s="1"/>
  <c r="D16" i="122"/>
  <c r="E16" i="122" s="1"/>
  <c r="D12" i="122"/>
  <c r="E12" i="122" s="1"/>
  <c r="D10" i="122"/>
  <c r="E10" i="122" s="1"/>
  <c r="I2" i="120"/>
  <c r="H4" i="120" s="1"/>
  <c r="T7" i="120" s="1"/>
  <c r="W7" i="120" s="1"/>
  <c r="U62" i="35"/>
  <c r="G2" i="120"/>
  <c r="F4" i="120" s="1"/>
  <c r="W58" i="35"/>
  <c r="V63" i="35"/>
  <c r="D1" i="121"/>
  <c r="U56" i="35"/>
  <c r="I2" i="121"/>
  <c r="H4" i="121" s="1"/>
  <c r="T7" i="121" s="1"/>
  <c r="W7" i="121" s="1"/>
  <c r="F4" i="80"/>
  <c r="J4" i="80" s="1"/>
  <c r="U58" i="35"/>
  <c r="G2" i="116"/>
  <c r="F4" i="116" s="1"/>
  <c r="S7" i="116" s="1"/>
  <c r="V7" i="116" s="1"/>
  <c r="U63" i="35"/>
  <c r="Q55" i="35"/>
  <c r="R55" i="35"/>
  <c r="V55" i="35"/>
  <c r="U55" i="35"/>
  <c r="V54" i="35"/>
  <c r="U54" i="35"/>
  <c r="F4" i="121"/>
  <c r="S7" i="121" s="1"/>
  <c r="V7" i="121" s="1"/>
  <c r="V43" i="35"/>
  <c r="G2" i="107"/>
  <c r="W28" i="35"/>
  <c r="I2" i="101"/>
  <c r="G2" i="101"/>
  <c r="F4" i="101" s="1"/>
  <c r="V28" i="35"/>
  <c r="V60" i="35"/>
  <c r="G2" i="118"/>
  <c r="W60" i="35"/>
  <c r="I2" i="118"/>
  <c r="V57" i="35"/>
  <c r="G2" i="115"/>
  <c r="V46" i="35"/>
  <c r="G2" i="110"/>
  <c r="W59" i="35"/>
  <c r="I2" i="117"/>
  <c r="V59" i="35"/>
  <c r="G2" i="117"/>
  <c r="W26" i="35"/>
  <c r="I2" i="89"/>
  <c r="W43" i="35"/>
  <c r="I2" i="107"/>
  <c r="W44" i="35"/>
  <c r="I2" i="108"/>
  <c r="V44" i="35"/>
  <c r="G2" i="108"/>
  <c r="V45" i="35"/>
  <c r="G2" i="109"/>
  <c r="W12" i="35"/>
  <c r="I2" i="90"/>
  <c r="W10" i="35"/>
  <c r="I2" i="87"/>
  <c r="V47" i="35"/>
  <c r="G2" i="111"/>
  <c r="W47" i="35"/>
  <c r="I2" i="111"/>
  <c r="W30" i="35"/>
  <c r="I2" i="103"/>
  <c r="V29" i="35"/>
  <c r="G2" i="102"/>
  <c r="W11" i="35"/>
  <c r="I2" i="88"/>
  <c r="W32" i="35"/>
  <c r="I2" i="105"/>
  <c r="V48" i="35"/>
  <c r="G2" i="112"/>
  <c r="K2" i="112" s="1"/>
  <c r="W61" i="35"/>
  <c r="I2" i="119"/>
  <c r="W31" i="35"/>
  <c r="I2" i="104"/>
  <c r="V31" i="35"/>
  <c r="G2" i="104"/>
  <c r="W29" i="35"/>
  <c r="I2" i="102"/>
  <c r="W46" i="35"/>
  <c r="I2" i="110"/>
  <c r="V42" i="35"/>
  <c r="G2" i="99"/>
  <c r="W57" i="35"/>
  <c r="I2" i="115"/>
  <c r="F4" i="87"/>
  <c r="H4" i="116"/>
  <c r="G2" i="100"/>
  <c r="F4" i="100" s="1"/>
  <c r="V27" i="35"/>
  <c r="W27" i="35"/>
  <c r="I2" i="100"/>
  <c r="G2" i="89"/>
  <c r="F4" i="89" s="1"/>
  <c r="V26" i="35"/>
  <c r="V30" i="35"/>
  <c r="G2" i="103"/>
  <c r="W45" i="35"/>
  <c r="I2" i="109"/>
  <c r="V12" i="35"/>
  <c r="G2" i="90"/>
  <c r="V11" i="35"/>
  <c r="G2" i="88"/>
  <c r="V32" i="35"/>
  <c r="G2" i="105"/>
  <c r="W42" i="35"/>
  <c r="I2" i="99"/>
  <c r="V61" i="35"/>
  <c r="G2" i="119"/>
  <c r="W33" i="35"/>
  <c r="I2" i="106"/>
  <c r="K2" i="106" s="1"/>
  <c r="S8" i="122"/>
  <c r="V8" i="122" s="1"/>
  <c r="V33" i="35"/>
  <c r="F4" i="106" s="1"/>
  <c r="W48" i="35"/>
  <c r="H4" i="112" s="1"/>
  <c r="T7" i="112" s="1"/>
  <c r="W7" i="112" s="1"/>
  <c r="E33" i="122"/>
  <c r="E21" i="122"/>
  <c r="E45" i="122"/>
  <c r="D7" i="93"/>
  <c r="U59" i="35"/>
  <c r="R15" i="35"/>
  <c r="D1" i="117"/>
  <c r="C12" i="121"/>
  <c r="C16" i="121"/>
  <c r="D7" i="121"/>
  <c r="C15" i="121"/>
  <c r="C11" i="121"/>
  <c r="C14" i="121"/>
  <c r="C10" i="121"/>
  <c r="C13" i="121"/>
  <c r="C9" i="121"/>
  <c r="C8" i="121"/>
  <c r="C10" i="120"/>
  <c r="C16" i="120"/>
  <c r="C13" i="120"/>
  <c r="C12" i="120"/>
  <c r="D7" i="120"/>
  <c r="C14" i="120"/>
  <c r="C15" i="120"/>
  <c r="C9" i="120"/>
  <c r="C11" i="120"/>
  <c r="C8" i="120"/>
  <c r="D1" i="118"/>
  <c r="D1" i="119"/>
  <c r="E2" i="115"/>
  <c r="D4" i="115" s="1"/>
  <c r="C9" i="116"/>
  <c r="C15" i="116"/>
  <c r="C16" i="116"/>
  <c r="D7" i="116"/>
  <c r="C14" i="116"/>
  <c r="C11" i="116"/>
  <c r="C12" i="116"/>
  <c r="C13" i="116"/>
  <c r="C10" i="116"/>
  <c r="C8" i="116"/>
  <c r="U60" i="35"/>
  <c r="D1" i="93"/>
  <c r="S15" i="35"/>
  <c r="T16" i="35"/>
  <c r="U61" i="35"/>
  <c r="C14" i="90"/>
  <c r="S16" i="35"/>
  <c r="T15" i="35"/>
  <c r="C16" i="88"/>
  <c r="U57" i="35"/>
  <c r="Q57" i="35"/>
  <c r="R57" i="35"/>
  <c r="C16" i="93"/>
  <c r="C10" i="80"/>
  <c r="N15" i="35"/>
  <c r="U43" i="35"/>
  <c r="J17" i="35"/>
  <c r="C13" i="88"/>
  <c r="C10" i="88"/>
  <c r="U12" i="35"/>
  <c r="C15" i="88"/>
  <c r="C12" i="88"/>
  <c r="C9" i="88"/>
  <c r="C13" i="80"/>
  <c r="U47" i="35"/>
  <c r="C16" i="80"/>
  <c r="C12" i="80"/>
  <c r="C15" i="80"/>
  <c r="C11" i="80"/>
  <c r="C9" i="80"/>
  <c r="C14" i="80"/>
  <c r="U42" i="35"/>
  <c r="C11" i="88"/>
  <c r="C14" i="88"/>
  <c r="U11" i="35"/>
  <c r="C13" i="90"/>
  <c r="U41" i="35"/>
  <c r="C12" i="90"/>
  <c r="U33" i="35"/>
  <c r="C9" i="93"/>
  <c r="U48" i="35"/>
  <c r="D1" i="109"/>
  <c r="C10" i="93"/>
  <c r="C12" i="93"/>
  <c r="D1" i="89"/>
  <c r="G13" i="35"/>
  <c r="H13" i="35" s="1"/>
  <c r="D1" i="103"/>
  <c r="B7" i="92"/>
  <c r="D7" i="106"/>
  <c r="U28" i="35"/>
  <c r="D1" i="111"/>
  <c r="D1" i="106"/>
  <c r="G14" i="35"/>
  <c r="C9" i="90"/>
  <c r="C16" i="90"/>
  <c r="U29" i="35"/>
  <c r="U10" i="35"/>
  <c r="D7" i="112"/>
  <c r="U44" i="35"/>
  <c r="D7" i="110"/>
  <c r="B7" i="87"/>
  <c r="U30" i="35"/>
  <c r="B7" i="93"/>
  <c r="C8" i="93"/>
  <c r="U45" i="35"/>
  <c r="C11" i="93"/>
  <c r="D7" i="101"/>
  <c r="E2" i="87"/>
  <c r="D4" i="87" s="1"/>
  <c r="N10" i="35"/>
  <c r="R10" i="35"/>
  <c r="B7" i="91"/>
  <c r="D1" i="107"/>
  <c r="D7" i="100"/>
  <c r="D1" i="100"/>
  <c r="D1" i="104"/>
  <c r="U26" i="35"/>
  <c r="C8" i="90"/>
  <c r="B7" i="90"/>
  <c r="C11" i="90"/>
  <c r="U32" i="35"/>
  <c r="C13" i="93"/>
  <c r="B7" i="80"/>
  <c r="C8" i="80"/>
  <c r="D7" i="89"/>
  <c r="D1" i="105"/>
  <c r="D7" i="104"/>
  <c r="D1" i="108"/>
  <c r="D1" i="110"/>
  <c r="D1" i="102"/>
  <c r="C15" i="90"/>
  <c r="D1" i="112"/>
  <c r="D7" i="102"/>
  <c r="D7" i="111"/>
  <c r="E2" i="94"/>
  <c r="D4" i="94" s="1"/>
  <c r="R16" i="35"/>
  <c r="N16" i="35"/>
  <c r="U46" i="35"/>
  <c r="B7" i="94"/>
  <c r="B7" i="96"/>
  <c r="C10" i="90"/>
  <c r="C14" i="93"/>
  <c r="D7" i="109"/>
  <c r="D1" i="101"/>
  <c r="D7" i="107"/>
  <c r="D7" i="108"/>
  <c r="U31" i="35"/>
  <c r="D7" i="103"/>
  <c r="U27" i="35"/>
  <c r="D7" i="105"/>
  <c r="C15" i="93"/>
  <c r="B7" i="88"/>
  <c r="C8" i="88"/>
  <c r="D1" i="99"/>
  <c r="R8" i="122" l="1"/>
  <c r="E34" i="122" s="1"/>
  <c r="T8" i="122"/>
  <c r="W8" i="122" s="1"/>
  <c r="G45" i="122"/>
  <c r="G33" i="122"/>
  <c r="G21" i="122"/>
  <c r="K2" i="120"/>
  <c r="S7" i="80"/>
  <c r="V7" i="80" s="1"/>
  <c r="K2" i="121"/>
  <c r="K2" i="116"/>
  <c r="J4" i="116"/>
  <c r="K2" i="103"/>
  <c r="K2" i="105"/>
  <c r="K2" i="108"/>
  <c r="T7" i="116"/>
  <c r="W7" i="116" s="1"/>
  <c r="K2" i="90"/>
  <c r="J4" i="121"/>
  <c r="H4" i="105"/>
  <c r="T7" i="105" s="1"/>
  <c r="W7" i="105" s="1"/>
  <c r="H4" i="99"/>
  <c r="T7" i="99" s="1"/>
  <c r="W7" i="99" s="1"/>
  <c r="H4" i="109"/>
  <c r="T7" i="109" s="1"/>
  <c r="W7" i="109" s="1"/>
  <c r="K2" i="117"/>
  <c r="K2" i="99"/>
  <c r="F4" i="115"/>
  <c r="S7" i="115" s="1"/>
  <c r="V7" i="115" s="1"/>
  <c r="H4" i="101"/>
  <c r="T7" i="101" s="1"/>
  <c r="W7" i="101" s="1"/>
  <c r="F4" i="105"/>
  <c r="S7" i="105" s="1"/>
  <c r="V7" i="105" s="1"/>
  <c r="H4" i="88"/>
  <c r="T7" i="88" s="1"/>
  <c r="W7" i="88" s="1"/>
  <c r="F4" i="108"/>
  <c r="S7" i="108" s="1"/>
  <c r="F4" i="110"/>
  <c r="S7" i="110" s="1"/>
  <c r="V7" i="110" s="1"/>
  <c r="H4" i="106"/>
  <c r="T7" i="106" s="1"/>
  <c r="W7" i="106" s="1"/>
  <c r="F4" i="88"/>
  <c r="H4" i="110"/>
  <c r="T7" i="110" s="1"/>
  <c r="W7" i="110" s="1"/>
  <c r="K2" i="102"/>
  <c r="K2" i="87"/>
  <c r="F4" i="107"/>
  <c r="S7" i="107" s="1"/>
  <c r="V7" i="107" s="1"/>
  <c r="K2" i="119"/>
  <c r="H4" i="102"/>
  <c r="T7" i="102" s="1"/>
  <c r="W7" i="102" s="1"/>
  <c r="K2" i="107"/>
  <c r="H4" i="117"/>
  <c r="T7" i="117" s="1"/>
  <c r="W7" i="117" s="1"/>
  <c r="F4" i="118"/>
  <c r="S7" i="118" s="1"/>
  <c r="V7" i="118" s="1"/>
  <c r="F4" i="112"/>
  <c r="S7" i="112" s="1"/>
  <c r="K2" i="109"/>
  <c r="S7" i="101"/>
  <c r="V7" i="101" s="1"/>
  <c r="V16" i="35"/>
  <c r="G2" i="94"/>
  <c r="K2" i="100"/>
  <c r="F4" i="99"/>
  <c r="S7" i="99" s="1"/>
  <c r="V7" i="99" s="1"/>
  <c r="H4" i="104"/>
  <c r="T7" i="104" s="1"/>
  <c r="W7" i="104" s="1"/>
  <c r="K2" i="88"/>
  <c r="H4" i="111"/>
  <c r="T7" i="111" s="1"/>
  <c r="W7" i="111" s="1"/>
  <c r="F4" i="109"/>
  <c r="H4" i="89"/>
  <c r="K2" i="115"/>
  <c r="F4" i="103"/>
  <c r="S7" i="103" s="1"/>
  <c r="K2" i="111"/>
  <c r="K2" i="101"/>
  <c r="W15" i="35"/>
  <c r="I2" i="93"/>
  <c r="H4" i="119"/>
  <c r="T7" i="119" s="1"/>
  <c r="W7" i="119" s="1"/>
  <c r="F4" i="111"/>
  <c r="F4" i="117"/>
  <c r="W16" i="35"/>
  <c r="I2" i="94"/>
  <c r="F4" i="119"/>
  <c r="F4" i="90"/>
  <c r="S7" i="90" s="1"/>
  <c r="K2" i="89"/>
  <c r="J4" i="120"/>
  <c r="S7" i="120"/>
  <c r="V7" i="120" s="1"/>
  <c r="H4" i="118"/>
  <c r="T7" i="118" s="1"/>
  <c r="W7" i="118" s="1"/>
  <c r="V15" i="35"/>
  <c r="G2" i="93"/>
  <c r="F4" i="102"/>
  <c r="S7" i="102" s="1"/>
  <c r="H4" i="87"/>
  <c r="J4" i="87" s="1"/>
  <c r="H4" i="108"/>
  <c r="K2" i="118"/>
  <c r="K2" i="104"/>
  <c r="H4" i="100"/>
  <c r="J4" i="100" s="1"/>
  <c r="H4" i="115"/>
  <c r="F4" i="104"/>
  <c r="H4" i="103"/>
  <c r="T7" i="103" s="1"/>
  <c r="W7" i="103" s="1"/>
  <c r="H4" i="90"/>
  <c r="T7" i="90" s="1"/>
  <c r="W7" i="90" s="1"/>
  <c r="H4" i="107"/>
  <c r="T7" i="107" s="1"/>
  <c r="K2" i="110"/>
  <c r="F33" i="122"/>
  <c r="F21" i="122"/>
  <c r="F11" i="122"/>
  <c r="G11" i="122" s="1"/>
  <c r="H11" i="122" s="1"/>
  <c r="F15" i="122"/>
  <c r="G15" i="122" s="1"/>
  <c r="H15" i="122" s="1"/>
  <c r="I15" i="122" s="1"/>
  <c r="J15" i="122" s="1"/>
  <c r="K15" i="122" s="1"/>
  <c r="L15" i="122" s="1"/>
  <c r="F10" i="122"/>
  <c r="S10" i="122" s="1"/>
  <c r="V10" i="122" s="1"/>
  <c r="F16" i="122"/>
  <c r="F13" i="122"/>
  <c r="F9" i="122"/>
  <c r="T9" i="122"/>
  <c r="W9" i="122" s="1"/>
  <c r="S9" i="122"/>
  <c r="V9" i="122" s="1"/>
  <c r="F45" i="122"/>
  <c r="F14" i="122"/>
  <c r="F12" i="122"/>
  <c r="S7" i="106"/>
  <c r="S7" i="89"/>
  <c r="S7" i="100"/>
  <c r="V7" i="100" s="1"/>
  <c r="B16" i="88"/>
  <c r="N7" i="93"/>
  <c r="U7" i="121"/>
  <c r="B10" i="80"/>
  <c r="D8" i="116"/>
  <c r="E8" i="116" s="1"/>
  <c r="B8" i="116"/>
  <c r="D11" i="116"/>
  <c r="B11" i="116"/>
  <c r="B15" i="116"/>
  <c r="D15" i="116"/>
  <c r="D1" i="115"/>
  <c r="C13" i="118"/>
  <c r="D7" i="118"/>
  <c r="C11" i="118"/>
  <c r="C14" i="118"/>
  <c r="C12" i="118"/>
  <c r="C9" i="118"/>
  <c r="C10" i="118"/>
  <c r="C15" i="118"/>
  <c r="C16" i="118"/>
  <c r="C8" i="118"/>
  <c r="D9" i="120"/>
  <c r="B9" i="120"/>
  <c r="B12" i="120"/>
  <c r="D12" i="120"/>
  <c r="D8" i="121"/>
  <c r="S8" i="121" s="1"/>
  <c r="V8" i="121" s="1"/>
  <c r="B8" i="121"/>
  <c r="B14" i="121"/>
  <c r="D14" i="121"/>
  <c r="B16" i="121"/>
  <c r="D16" i="121"/>
  <c r="B14" i="90"/>
  <c r="D10" i="116"/>
  <c r="E10" i="116" s="1"/>
  <c r="F10" i="116" s="1"/>
  <c r="G10" i="116" s="1"/>
  <c r="B10" i="116"/>
  <c r="B14" i="116"/>
  <c r="D14" i="116"/>
  <c r="D9" i="116"/>
  <c r="B9" i="116"/>
  <c r="B15" i="120"/>
  <c r="D15" i="120"/>
  <c r="D13" i="120"/>
  <c r="B13" i="120"/>
  <c r="D9" i="121"/>
  <c r="B9" i="121"/>
  <c r="D11" i="121"/>
  <c r="B11" i="121"/>
  <c r="B12" i="121"/>
  <c r="D12" i="121"/>
  <c r="B16" i="93"/>
  <c r="B13" i="116"/>
  <c r="D13" i="116"/>
  <c r="N7" i="116"/>
  <c r="R7" i="116"/>
  <c r="C9" i="119"/>
  <c r="C14" i="119"/>
  <c r="D7" i="119"/>
  <c r="C13" i="119"/>
  <c r="C15" i="119"/>
  <c r="C16" i="119"/>
  <c r="C10" i="119"/>
  <c r="C12" i="119"/>
  <c r="C11" i="119"/>
  <c r="C8" i="119"/>
  <c r="D8" i="120"/>
  <c r="T8" i="120" s="1"/>
  <c r="W8" i="120" s="1"/>
  <c r="B8" i="120"/>
  <c r="B14" i="120"/>
  <c r="D14" i="120"/>
  <c r="B16" i="120"/>
  <c r="D16" i="120"/>
  <c r="B13" i="121"/>
  <c r="D13" i="121"/>
  <c r="B15" i="121"/>
  <c r="D15" i="121"/>
  <c r="B12" i="116"/>
  <c r="D12" i="116"/>
  <c r="D16" i="116"/>
  <c r="B16" i="116"/>
  <c r="D11" i="120"/>
  <c r="B11" i="120"/>
  <c r="N7" i="120"/>
  <c r="R7" i="120"/>
  <c r="D10" i="120"/>
  <c r="B10" i="120"/>
  <c r="D10" i="121"/>
  <c r="B10" i="121"/>
  <c r="R7" i="121"/>
  <c r="N7" i="121"/>
  <c r="D7" i="117"/>
  <c r="C13" i="117"/>
  <c r="C15" i="117"/>
  <c r="C9" i="117"/>
  <c r="C14" i="117"/>
  <c r="C11" i="117"/>
  <c r="C16" i="117"/>
  <c r="C10" i="117"/>
  <c r="C12" i="117"/>
  <c r="C8" i="117"/>
  <c r="C15" i="108"/>
  <c r="C16" i="101"/>
  <c r="C12" i="112"/>
  <c r="I13" i="35"/>
  <c r="E2" i="91" s="1"/>
  <c r="D4" i="91" s="1"/>
  <c r="S13" i="35"/>
  <c r="B13" i="80"/>
  <c r="D16" i="93"/>
  <c r="E16" i="93" s="1"/>
  <c r="F16" i="93" s="1"/>
  <c r="G16" i="93" s="1"/>
  <c r="H16" i="93" s="1"/>
  <c r="I16" i="93" s="1"/>
  <c r="J16" i="93" s="1"/>
  <c r="K16" i="93" s="1"/>
  <c r="L16" i="93" s="1"/>
  <c r="M16" i="93" s="1"/>
  <c r="C13" i="89"/>
  <c r="D10" i="80"/>
  <c r="B9" i="88"/>
  <c r="B12" i="90"/>
  <c r="U15" i="35"/>
  <c r="C12" i="107"/>
  <c r="C10" i="104"/>
  <c r="D11" i="80"/>
  <c r="B12" i="88"/>
  <c r="C13" i="111"/>
  <c r="C14" i="102"/>
  <c r="B13" i="90"/>
  <c r="B15" i="80"/>
  <c r="B14" i="80"/>
  <c r="C15" i="105"/>
  <c r="B12" i="80"/>
  <c r="C12" i="110"/>
  <c r="C11" i="100"/>
  <c r="C11" i="106"/>
  <c r="C16" i="109"/>
  <c r="B9" i="93"/>
  <c r="B14" i="88"/>
  <c r="B16" i="80"/>
  <c r="B10" i="88"/>
  <c r="T13" i="35"/>
  <c r="C16" i="103"/>
  <c r="B13" i="88"/>
  <c r="K17" i="35"/>
  <c r="D15" i="88"/>
  <c r="D16" i="88"/>
  <c r="B15" i="88"/>
  <c r="D14" i="88"/>
  <c r="D13" i="88"/>
  <c r="D10" i="88"/>
  <c r="D12" i="88"/>
  <c r="B11" i="88"/>
  <c r="C16" i="89"/>
  <c r="C11" i="104"/>
  <c r="D13" i="80"/>
  <c r="C13" i="104"/>
  <c r="D11" i="88"/>
  <c r="C10" i="89"/>
  <c r="D16" i="80"/>
  <c r="D9" i="93"/>
  <c r="R7" i="93"/>
  <c r="C10" i="111"/>
  <c r="C13" i="105"/>
  <c r="B11" i="80"/>
  <c r="C14" i="107"/>
  <c r="D12" i="80"/>
  <c r="C13" i="109"/>
  <c r="C14" i="109"/>
  <c r="C9" i="109"/>
  <c r="C10" i="109"/>
  <c r="C11" i="109"/>
  <c r="B9" i="80"/>
  <c r="C12" i="109"/>
  <c r="C15" i="109"/>
  <c r="D14" i="90"/>
  <c r="D15" i="80"/>
  <c r="D13" i="90"/>
  <c r="D14" i="80"/>
  <c r="C9" i="104"/>
  <c r="C9" i="103"/>
  <c r="C14" i="103"/>
  <c r="C13" i="103"/>
  <c r="C15" i="103"/>
  <c r="D12" i="90"/>
  <c r="C12" i="103"/>
  <c r="C10" i="103"/>
  <c r="C11" i="103"/>
  <c r="C9" i="108"/>
  <c r="C10" i="108"/>
  <c r="C16" i="107"/>
  <c r="C16" i="104"/>
  <c r="C9" i="107"/>
  <c r="C9" i="106"/>
  <c r="C12" i="108"/>
  <c r="C15" i="107"/>
  <c r="U16" i="35"/>
  <c r="C10" i="106"/>
  <c r="C10" i="107"/>
  <c r="C13" i="108"/>
  <c r="C11" i="107"/>
  <c r="C15" i="104"/>
  <c r="C13" i="106"/>
  <c r="C11" i="108"/>
  <c r="C13" i="107"/>
  <c r="C14" i="106"/>
  <c r="C14" i="108"/>
  <c r="C16" i="108"/>
  <c r="C15" i="106"/>
  <c r="C10" i="102"/>
  <c r="C12" i="111"/>
  <c r="C12" i="102"/>
  <c r="C16" i="111"/>
  <c r="C16" i="102"/>
  <c r="C15" i="102"/>
  <c r="C12" i="100"/>
  <c r="C9" i="111"/>
  <c r="C16" i="100"/>
  <c r="C14" i="111"/>
  <c r="C9" i="100"/>
  <c r="C15" i="101"/>
  <c r="C11" i="112"/>
  <c r="C13" i="100"/>
  <c r="C15" i="111"/>
  <c r="C11" i="111"/>
  <c r="C10" i="100"/>
  <c r="C12" i="106"/>
  <c r="C15" i="100"/>
  <c r="B7" i="99"/>
  <c r="C8" i="99"/>
  <c r="B7" i="112"/>
  <c r="C8" i="112"/>
  <c r="B7" i="108"/>
  <c r="C8" i="108"/>
  <c r="C11" i="89"/>
  <c r="C8" i="104"/>
  <c r="B7" i="104"/>
  <c r="C11" i="101"/>
  <c r="C12" i="101"/>
  <c r="C10" i="110"/>
  <c r="C15" i="112"/>
  <c r="B16" i="90"/>
  <c r="D16" i="90"/>
  <c r="B15" i="90"/>
  <c r="D15" i="90"/>
  <c r="C8" i="105"/>
  <c r="B7" i="105"/>
  <c r="C10" i="105"/>
  <c r="C13" i="102"/>
  <c r="C14" i="89"/>
  <c r="C9" i="89"/>
  <c r="C9" i="101"/>
  <c r="C11" i="110"/>
  <c r="C16" i="112"/>
  <c r="B7" i="111"/>
  <c r="C8" i="111"/>
  <c r="D13" i="93"/>
  <c r="B12" i="93"/>
  <c r="D12" i="93"/>
  <c r="C8" i="109"/>
  <c r="B7" i="109"/>
  <c r="C14" i="105"/>
  <c r="C12" i="89"/>
  <c r="C13" i="101"/>
  <c r="C13" i="110"/>
  <c r="C13" i="112"/>
  <c r="H14" i="35"/>
  <c r="I14" i="35" s="1"/>
  <c r="D11" i="93"/>
  <c r="B10" i="93"/>
  <c r="D10" i="93"/>
  <c r="C14" i="99"/>
  <c r="C11" i="99"/>
  <c r="C9" i="99"/>
  <c r="C10" i="99"/>
  <c r="C12" i="99"/>
  <c r="C13" i="99"/>
  <c r="C15" i="99"/>
  <c r="D7" i="99"/>
  <c r="C16" i="99"/>
  <c r="B8" i="88"/>
  <c r="D8" i="88"/>
  <c r="C12" i="105"/>
  <c r="D14" i="93"/>
  <c r="B14" i="93"/>
  <c r="C14" i="104"/>
  <c r="C15" i="89"/>
  <c r="B8" i="80"/>
  <c r="D8" i="80"/>
  <c r="T8" i="80" s="1"/>
  <c r="W8" i="80" s="1"/>
  <c r="B11" i="90"/>
  <c r="D11" i="90"/>
  <c r="C10" i="112"/>
  <c r="S7" i="87"/>
  <c r="V7" i="87" s="1"/>
  <c r="D9" i="80"/>
  <c r="C8" i="103"/>
  <c r="B7" i="103"/>
  <c r="C8" i="102"/>
  <c r="B7" i="102"/>
  <c r="C8" i="110"/>
  <c r="B7" i="110"/>
  <c r="N7" i="80"/>
  <c r="R7" i="80"/>
  <c r="D1" i="87"/>
  <c r="D8" i="93"/>
  <c r="B8" i="93"/>
  <c r="C14" i="110"/>
  <c r="C16" i="110"/>
  <c r="C14" i="112"/>
  <c r="B11" i="93"/>
  <c r="D9" i="90"/>
  <c r="B9" i="90"/>
  <c r="N7" i="88"/>
  <c r="R7" i="88"/>
  <c r="C11" i="105"/>
  <c r="C8" i="101"/>
  <c r="B7" i="101"/>
  <c r="D1" i="94"/>
  <c r="C9" i="102"/>
  <c r="B13" i="93"/>
  <c r="N7" i="90"/>
  <c r="R7" i="90"/>
  <c r="C10" i="101"/>
  <c r="C9" i="110"/>
  <c r="D9" i="88"/>
  <c r="C8" i="89"/>
  <c r="B7" i="89"/>
  <c r="C9" i="105"/>
  <c r="B15" i="93"/>
  <c r="D15" i="93"/>
  <c r="C16" i="105"/>
  <c r="D10" i="90"/>
  <c r="B10" i="90"/>
  <c r="C11" i="102"/>
  <c r="C12" i="104"/>
  <c r="B8" i="90"/>
  <c r="D8" i="90"/>
  <c r="C8" i="100"/>
  <c r="B7" i="100"/>
  <c r="C14" i="100"/>
  <c r="B7" i="107"/>
  <c r="C8" i="107"/>
  <c r="C14" i="101"/>
  <c r="C15" i="110"/>
  <c r="C9" i="112"/>
  <c r="B7" i="106"/>
  <c r="C8" i="106"/>
  <c r="C16" i="106"/>
  <c r="E22" i="122" l="1"/>
  <c r="U8" i="122"/>
  <c r="U9" i="122" s="1"/>
  <c r="E46" i="122"/>
  <c r="U7" i="80"/>
  <c r="U7" i="116"/>
  <c r="J4" i="115"/>
  <c r="J4" i="105"/>
  <c r="J4" i="109"/>
  <c r="U7" i="105"/>
  <c r="R3" i="95" s="1"/>
  <c r="U7" i="120"/>
  <c r="T7" i="100"/>
  <c r="W7" i="100" s="1"/>
  <c r="J4" i="106"/>
  <c r="J4" i="118"/>
  <c r="S7" i="109"/>
  <c r="V7" i="109" s="1"/>
  <c r="J4" i="99"/>
  <c r="J4" i="104"/>
  <c r="T8" i="88"/>
  <c r="W8" i="88" s="1"/>
  <c r="J4" i="112"/>
  <c r="J4" i="101"/>
  <c r="J4" i="110"/>
  <c r="J4" i="102"/>
  <c r="H4" i="93"/>
  <c r="T16" i="93" s="1"/>
  <c r="W16" i="93" s="1"/>
  <c r="T8" i="90"/>
  <c r="W8" i="90" s="1"/>
  <c r="F4" i="93"/>
  <c r="S7" i="93" s="1"/>
  <c r="V7" i="93" s="1"/>
  <c r="J4" i="103"/>
  <c r="T7" i="87"/>
  <c r="W7" i="87" s="1"/>
  <c r="J4" i="88"/>
  <c r="S7" i="88"/>
  <c r="J4" i="107"/>
  <c r="S7" i="104"/>
  <c r="U7" i="104" s="1"/>
  <c r="H4" i="94"/>
  <c r="T7" i="94" s="1"/>
  <c r="W7" i="94" s="1"/>
  <c r="T7" i="115"/>
  <c r="W7" i="115" s="1"/>
  <c r="J4" i="117"/>
  <c r="S7" i="117"/>
  <c r="V7" i="117" s="1"/>
  <c r="W13" i="35"/>
  <c r="I2" i="91"/>
  <c r="J4" i="108"/>
  <c r="T7" i="108"/>
  <c r="W7" i="108" s="1"/>
  <c r="J4" i="111"/>
  <c r="S7" i="111"/>
  <c r="K2" i="94"/>
  <c r="U7" i="101"/>
  <c r="N3" i="95" s="1"/>
  <c r="J4" i="90"/>
  <c r="J4" i="89"/>
  <c r="T7" i="89"/>
  <c r="W7" i="89" s="1"/>
  <c r="F4" i="94"/>
  <c r="J4" i="119"/>
  <c r="S7" i="119"/>
  <c r="V7" i="119" s="1"/>
  <c r="K2" i="93"/>
  <c r="V13" i="35"/>
  <c r="G2" i="91"/>
  <c r="T10" i="122"/>
  <c r="W10" i="122" s="1"/>
  <c r="T11" i="122"/>
  <c r="W11" i="122" s="1"/>
  <c r="S11" i="122"/>
  <c r="V11" i="122" s="1"/>
  <c r="U7" i="102"/>
  <c r="O3" i="95" s="1"/>
  <c r="V7" i="102"/>
  <c r="U7" i="106"/>
  <c r="S3" i="95" s="1"/>
  <c r="V7" i="106"/>
  <c r="U7" i="103"/>
  <c r="V7" i="103"/>
  <c r="U7" i="90"/>
  <c r="E3" i="95" s="1"/>
  <c r="Q8" i="97" s="1"/>
  <c r="V7" i="90"/>
  <c r="U7" i="112"/>
  <c r="AA3" i="95" s="1"/>
  <c r="V7" i="112"/>
  <c r="V7" i="89"/>
  <c r="V7" i="108"/>
  <c r="U7" i="107"/>
  <c r="V3" i="95" s="1"/>
  <c r="W7" i="107"/>
  <c r="T15" i="122"/>
  <c r="W15" i="122" s="1"/>
  <c r="G13" i="122"/>
  <c r="S15" i="122"/>
  <c r="V15" i="122" s="1"/>
  <c r="R15" i="122"/>
  <c r="N15" i="122"/>
  <c r="G16" i="122"/>
  <c r="G12" i="122"/>
  <c r="N11" i="122"/>
  <c r="R11" i="122"/>
  <c r="N9" i="122"/>
  <c r="R9" i="122"/>
  <c r="G14" i="122"/>
  <c r="G10" i="122"/>
  <c r="U7" i="110"/>
  <c r="B16" i="101"/>
  <c r="T8" i="121"/>
  <c r="W8" i="121" s="1"/>
  <c r="S8" i="80"/>
  <c r="V8" i="80" s="1"/>
  <c r="B15" i="108"/>
  <c r="S8" i="120"/>
  <c r="S8" i="88"/>
  <c r="V8" i="88" s="1"/>
  <c r="S10" i="116"/>
  <c r="V10" i="116" s="1"/>
  <c r="S8" i="116"/>
  <c r="V8" i="116" s="1"/>
  <c r="B13" i="89"/>
  <c r="T10" i="116"/>
  <c r="W10" i="116" s="1"/>
  <c r="T8" i="116"/>
  <c r="W8" i="116" s="1"/>
  <c r="S8" i="90"/>
  <c r="V8" i="90" s="1"/>
  <c r="R16" i="93"/>
  <c r="U7" i="118"/>
  <c r="U7" i="99"/>
  <c r="U3" i="95" s="1"/>
  <c r="E14" i="80"/>
  <c r="E12" i="80"/>
  <c r="E10" i="88"/>
  <c r="E16" i="88"/>
  <c r="E13" i="90"/>
  <c r="E11" i="88"/>
  <c r="E13" i="88"/>
  <c r="E15" i="88"/>
  <c r="B11" i="100"/>
  <c r="E12" i="90"/>
  <c r="E15" i="80"/>
  <c r="E9" i="93"/>
  <c r="E14" i="88"/>
  <c r="E14" i="90"/>
  <c r="E16" i="80"/>
  <c r="E13" i="80"/>
  <c r="E12" i="88"/>
  <c r="B14" i="102"/>
  <c r="B10" i="104"/>
  <c r="B11" i="106"/>
  <c r="B15" i="105"/>
  <c r="B10" i="117"/>
  <c r="D10" i="117"/>
  <c r="D9" i="117"/>
  <c r="B9" i="117"/>
  <c r="E21" i="120"/>
  <c r="E33" i="120"/>
  <c r="E45" i="120"/>
  <c r="E11" i="120"/>
  <c r="E15" i="121"/>
  <c r="E13" i="121"/>
  <c r="B10" i="119"/>
  <c r="D10" i="119"/>
  <c r="R7" i="119"/>
  <c r="N7" i="119"/>
  <c r="E33" i="116"/>
  <c r="E45" i="116"/>
  <c r="E21" i="116"/>
  <c r="E12" i="121"/>
  <c r="E8" i="121"/>
  <c r="R8" i="121" s="1"/>
  <c r="E9" i="120"/>
  <c r="B16" i="118"/>
  <c r="D16" i="118"/>
  <c r="D12" i="118"/>
  <c r="B12" i="118"/>
  <c r="B13" i="118"/>
  <c r="D13" i="118"/>
  <c r="E15" i="116"/>
  <c r="N8" i="116"/>
  <c r="R8" i="116"/>
  <c r="B13" i="111"/>
  <c r="D16" i="117"/>
  <c r="B16" i="117"/>
  <c r="B15" i="117"/>
  <c r="D15" i="117"/>
  <c r="E10" i="121"/>
  <c r="E10" i="120"/>
  <c r="E16" i="120"/>
  <c r="E14" i="120"/>
  <c r="D8" i="119"/>
  <c r="E8" i="119" s="1"/>
  <c r="B8" i="119"/>
  <c r="D16" i="119"/>
  <c r="B16" i="119"/>
  <c r="D14" i="119"/>
  <c r="B14" i="119"/>
  <c r="E11" i="121"/>
  <c r="E9" i="121"/>
  <c r="E15" i="120"/>
  <c r="E14" i="116"/>
  <c r="R10" i="116"/>
  <c r="N10" i="116"/>
  <c r="D15" i="118"/>
  <c r="B15" i="118"/>
  <c r="B14" i="118"/>
  <c r="D14" i="118"/>
  <c r="E11" i="116"/>
  <c r="B8" i="117"/>
  <c r="D8" i="117"/>
  <c r="S8" i="117" s="1"/>
  <c r="V8" i="117" s="1"/>
  <c r="D11" i="117"/>
  <c r="B11" i="117"/>
  <c r="D13" i="117"/>
  <c r="B13" i="117"/>
  <c r="E45" i="121"/>
  <c r="E33" i="121"/>
  <c r="E21" i="121"/>
  <c r="E12" i="116"/>
  <c r="E8" i="120"/>
  <c r="N8" i="120" s="1"/>
  <c r="B11" i="119"/>
  <c r="D11" i="119"/>
  <c r="D15" i="119"/>
  <c r="B15" i="119"/>
  <c r="D9" i="119"/>
  <c r="B9" i="119"/>
  <c r="E13" i="120"/>
  <c r="E9" i="116"/>
  <c r="D10" i="118"/>
  <c r="B10" i="118"/>
  <c r="D11" i="118"/>
  <c r="B11" i="118"/>
  <c r="B16" i="109"/>
  <c r="B12" i="117"/>
  <c r="D12" i="117"/>
  <c r="B14" i="117"/>
  <c r="D14" i="117"/>
  <c r="N7" i="117"/>
  <c r="R7" i="117"/>
  <c r="E16" i="116"/>
  <c r="B12" i="119"/>
  <c r="D12" i="119"/>
  <c r="D13" i="119"/>
  <c r="B13" i="119"/>
  <c r="E13" i="116"/>
  <c r="E16" i="121"/>
  <c r="E14" i="121"/>
  <c r="E12" i="120"/>
  <c r="B8" i="118"/>
  <c r="D8" i="118"/>
  <c r="D9" i="118"/>
  <c r="B9" i="118"/>
  <c r="N7" i="118"/>
  <c r="R7" i="118"/>
  <c r="D7" i="115"/>
  <c r="C15" i="115"/>
  <c r="C16" i="115"/>
  <c r="C14" i="115"/>
  <c r="C9" i="115"/>
  <c r="C13" i="115"/>
  <c r="C11" i="115"/>
  <c r="C10" i="115"/>
  <c r="C12" i="115"/>
  <c r="C8" i="115"/>
  <c r="R13" i="35"/>
  <c r="N13" i="35"/>
  <c r="B12" i="102"/>
  <c r="B13" i="107"/>
  <c r="D11" i="106"/>
  <c r="B10" i="108"/>
  <c r="B14" i="103"/>
  <c r="B12" i="109"/>
  <c r="B14" i="107"/>
  <c r="B11" i="108"/>
  <c r="E10" i="80"/>
  <c r="B15" i="100"/>
  <c r="B11" i="112"/>
  <c r="B10" i="102"/>
  <c r="B13" i="106"/>
  <c r="B11" i="103"/>
  <c r="D10" i="104"/>
  <c r="B13" i="105"/>
  <c r="D13" i="100"/>
  <c r="B9" i="108"/>
  <c r="D13" i="89"/>
  <c r="B12" i="106"/>
  <c r="D16" i="101"/>
  <c r="B15" i="106"/>
  <c r="B10" i="103"/>
  <c r="B10" i="109"/>
  <c r="B10" i="111"/>
  <c r="D11" i="104"/>
  <c r="B12" i="107"/>
  <c r="B12" i="100"/>
  <c r="E11" i="80"/>
  <c r="D15" i="105"/>
  <c r="B16" i="108"/>
  <c r="B12" i="103"/>
  <c r="B9" i="109"/>
  <c r="B16" i="89"/>
  <c r="B16" i="103"/>
  <c r="B13" i="104"/>
  <c r="D11" i="100"/>
  <c r="D14" i="111"/>
  <c r="B15" i="102"/>
  <c r="D15" i="108"/>
  <c r="D12" i="107"/>
  <c r="B9" i="107"/>
  <c r="B14" i="109"/>
  <c r="J14" i="35"/>
  <c r="E2" i="92" s="1"/>
  <c r="D4" i="92" s="1"/>
  <c r="T14" i="35"/>
  <c r="S14" i="35"/>
  <c r="B11" i="111"/>
  <c r="B16" i="102"/>
  <c r="B16" i="104"/>
  <c r="D16" i="103"/>
  <c r="D13" i="111"/>
  <c r="B12" i="112"/>
  <c r="D14" i="102"/>
  <c r="E14" i="102" s="1"/>
  <c r="F14" i="102" s="1"/>
  <c r="G14" i="102" s="1"/>
  <c r="H14" i="102" s="1"/>
  <c r="I14" i="102" s="1"/>
  <c r="J14" i="102" s="1"/>
  <c r="K14" i="102" s="1"/>
  <c r="B12" i="110"/>
  <c r="B15" i="111"/>
  <c r="B16" i="111"/>
  <c r="B16" i="107"/>
  <c r="B15" i="109"/>
  <c r="B10" i="89"/>
  <c r="L17" i="35"/>
  <c r="B15" i="101"/>
  <c r="B11" i="107"/>
  <c r="B14" i="108"/>
  <c r="B11" i="104"/>
  <c r="D16" i="89"/>
  <c r="B14" i="111"/>
  <c r="D9" i="107"/>
  <c r="D15" i="102"/>
  <c r="B10" i="100"/>
  <c r="B9" i="104"/>
  <c r="D13" i="108"/>
  <c r="D10" i="103"/>
  <c r="D10" i="89"/>
  <c r="D15" i="106"/>
  <c r="B9" i="103"/>
  <c r="D9" i="108"/>
  <c r="D12" i="100"/>
  <c r="B12" i="111"/>
  <c r="B13" i="100"/>
  <c r="D13" i="104"/>
  <c r="D14" i="109"/>
  <c r="B13" i="108"/>
  <c r="B14" i="106"/>
  <c r="D12" i="111"/>
  <c r="B15" i="103"/>
  <c r="D14" i="108"/>
  <c r="B13" i="109"/>
  <c r="D16" i="102"/>
  <c r="H15" i="95"/>
  <c r="E21" i="93"/>
  <c r="H27" i="95" s="1"/>
  <c r="E45" i="93"/>
  <c r="H51" i="95" s="1"/>
  <c r="E33" i="93"/>
  <c r="H39" i="95" s="1"/>
  <c r="D11" i="109"/>
  <c r="D13" i="105"/>
  <c r="D9" i="104"/>
  <c r="B11" i="109"/>
  <c r="D10" i="108"/>
  <c r="D10" i="100"/>
  <c r="D14" i="107"/>
  <c r="D12" i="109"/>
  <c r="N16" i="93"/>
  <c r="D13" i="109"/>
  <c r="B10" i="106"/>
  <c r="D15" i="107"/>
  <c r="D15" i="103"/>
  <c r="D11" i="108"/>
  <c r="D10" i="106"/>
  <c r="D13" i="107"/>
  <c r="D10" i="109"/>
  <c r="D16" i="108"/>
  <c r="D10" i="107"/>
  <c r="B9" i="106"/>
  <c r="B9" i="100"/>
  <c r="D9" i="109"/>
  <c r="U13" i="35"/>
  <c r="D9" i="106"/>
  <c r="D16" i="109"/>
  <c r="B10" i="107"/>
  <c r="D11" i="107"/>
  <c r="D15" i="109"/>
  <c r="D9" i="111"/>
  <c r="D14" i="103"/>
  <c r="B13" i="103"/>
  <c r="D13" i="103"/>
  <c r="B9" i="111"/>
  <c r="D10" i="111"/>
  <c r="D16" i="104"/>
  <c r="D12" i="108"/>
  <c r="D11" i="112"/>
  <c r="B15" i="107"/>
  <c r="D11" i="103"/>
  <c r="D12" i="103"/>
  <c r="D11" i="111"/>
  <c r="D10" i="102"/>
  <c r="D15" i="100"/>
  <c r="B15" i="104"/>
  <c r="D16" i="107"/>
  <c r="B12" i="108"/>
  <c r="D14" i="106"/>
  <c r="D12" i="112"/>
  <c r="E12" i="112" s="1"/>
  <c r="D13" i="106"/>
  <c r="D12" i="106"/>
  <c r="D16" i="100"/>
  <c r="D15" i="111"/>
  <c r="D16" i="111"/>
  <c r="B16" i="100"/>
  <c r="D15" i="95"/>
  <c r="E21" i="88"/>
  <c r="E45" i="88"/>
  <c r="E33" i="88"/>
  <c r="B8" i="110"/>
  <c r="D8" i="110"/>
  <c r="D14" i="104"/>
  <c r="B14" i="104"/>
  <c r="B12" i="105"/>
  <c r="D12" i="105"/>
  <c r="B12" i="99"/>
  <c r="D12" i="99"/>
  <c r="R7" i="109"/>
  <c r="N7" i="109"/>
  <c r="D11" i="89"/>
  <c r="B11" i="89"/>
  <c r="B8" i="112"/>
  <c r="D8" i="112"/>
  <c r="R7" i="100"/>
  <c r="N7" i="100"/>
  <c r="E11" i="90"/>
  <c r="E11" i="93"/>
  <c r="R7" i="106"/>
  <c r="N7" i="106"/>
  <c r="D15" i="101"/>
  <c r="B14" i="112"/>
  <c r="D14" i="112"/>
  <c r="E8" i="93"/>
  <c r="E14" i="93"/>
  <c r="B9" i="99"/>
  <c r="D9" i="99"/>
  <c r="B13" i="112"/>
  <c r="D13" i="112"/>
  <c r="B8" i="109"/>
  <c r="D8" i="109"/>
  <c r="T8" i="109" s="1"/>
  <c r="W8" i="109" s="1"/>
  <c r="D16" i="112"/>
  <c r="B16" i="112"/>
  <c r="B9" i="101"/>
  <c r="D9" i="101"/>
  <c r="R7" i="105"/>
  <c r="N7" i="105"/>
  <c r="D10" i="110"/>
  <c r="B10" i="110"/>
  <c r="B8" i="104"/>
  <c r="D8" i="104"/>
  <c r="R7" i="112"/>
  <c r="N7" i="112"/>
  <c r="D8" i="106"/>
  <c r="T8" i="106" s="1"/>
  <c r="W8" i="106" s="1"/>
  <c r="B8" i="106"/>
  <c r="B10" i="101"/>
  <c r="D10" i="101"/>
  <c r="D10" i="99"/>
  <c r="B10" i="99"/>
  <c r="R7" i="104"/>
  <c r="N7" i="104"/>
  <c r="D8" i="107"/>
  <c r="B8" i="107"/>
  <c r="B16" i="105"/>
  <c r="D16" i="105"/>
  <c r="E9" i="88"/>
  <c r="T9" i="88" s="1"/>
  <c r="W9" i="88" s="1"/>
  <c r="R7" i="101"/>
  <c r="N7" i="101"/>
  <c r="B16" i="110"/>
  <c r="D16" i="110"/>
  <c r="N7" i="102"/>
  <c r="R7" i="102"/>
  <c r="B11" i="99"/>
  <c r="D11" i="99"/>
  <c r="B13" i="110"/>
  <c r="D13" i="110"/>
  <c r="B11" i="110"/>
  <c r="D11" i="110"/>
  <c r="D9" i="89"/>
  <c r="B9" i="89"/>
  <c r="B13" i="102"/>
  <c r="D13" i="102"/>
  <c r="D10" i="105"/>
  <c r="B10" i="105"/>
  <c r="D8" i="105"/>
  <c r="B8" i="105"/>
  <c r="B12" i="101"/>
  <c r="D12" i="101"/>
  <c r="D8" i="100"/>
  <c r="B8" i="100"/>
  <c r="D9" i="112"/>
  <c r="B9" i="112"/>
  <c r="E10" i="90"/>
  <c r="B9" i="105"/>
  <c r="D9" i="105"/>
  <c r="D14" i="110"/>
  <c r="B14" i="110"/>
  <c r="C13" i="87"/>
  <c r="C11" i="87"/>
  <c r="C14" i="87"/>
  <c r="C9" i="87"/>
  <c r="C10" i="87"/>
  <c r="C16" i="87"/>
  <c r="D7" i="87"/>
  <c r="C12" i="87"/>
  <c r="C15" i="87"/>
  <c r="C8" i="87"/>
  <c r="D15" i="104"/>
  <c r="E9" i="80"/>
  <c r="S9" i="80" s="1"/>
  <c r="V9" i="80" s="1"/>
  <c r="E8" i="80"/>
  <c r="R8" i="80" s="1"/>
  <c r="D9" i="100"/>
  <c r="D16" i="99"/>
  <c r="B16" i="99"/>
  <c r="E12" i="93"/>
  <c r="B8" i="111"/>
  <c r="D8" i="111"/>
  <c r="B14" i="89"/>
  <c r="D14" i="89"/>
  <c r="D11" i="101"/>
  <c r="B11" i="101"/>
  <c r="D8" i="108"/>
  <c r="T8" i="108" s="1"/>
  <c r="W8" i="108" s="1"/>
  <c r="B8" i="108"/>
  <c r="B8" i="99"/>
  <c r="D8" i="99"/>
  <c r="T8" i="99" s="1"/>
  <c r="W8" i="99" s="1"/>
  <c r="D12" i="110"/>
  <c r="E15" i="93"/>
  <c r="B8" i="103"/>
  <c r="D8" i="103"/>
  <c r="E8" i="88"/>
  <c r="B16" i="106"/>
  <c r="D16" i="106"/>
  <c r="D15" i="110"/>
  <c r="B15" i="110"/>
  <c r="R7" i="107"/>
  <c r="N7" i="107"/>
  <c r="E8" i="90"/>
  <c r="N8" i="90" s="1"/>
  <c r="D11" i="102"/>
  <c r="B11" i="102"/>
  <c r="D1" i="91"/>
  <c r="E15" i="95"/>
  <c r="E21" i="90"/>
  <c r="E33" i="90"/>
  <c r="E45" i="90"/>
  <c r="B9" i="102"/>
  <c r="D9" i="102"/>
  <c r="D8" i="101"/>
  <c r="B8" i="101"/>
  <c r="D11" i="105"/>
  <c r="B11" i="105"/>
  <c r="D8" i="102"/>
  <c r="B8" i="102"/>
  <c r="R7" i="99"/>
  <c r="B14" i="99"/>
  <c r="D14" i="99"/>
  <c r="E15" i="90"/>
  <c r="D14" i="101"/>
  <c r="B14" i="101"/>
  <c r="D15" i="112"/>
  <c r="B15" i="112"/>
  <c r="B14" i="100"/>
  <c r="D14" i="100"/>
  <c r="R7" i="89"/>
  <c r="N7" i="89"/>
  <c r="E9" i="90"/>
  <c r="D12" i="102"/>
  <c r="R7" i="103"/>
  <c r="N7" i="103"/>
  <c r="D15" i="99"/>
  <c r="B15" i="99"/>
  <c r="E13" i="93"/>
  <c r="R7" i="111"/>
  <c r="N7" i="111"/>
  <c r="R7" i="108"/>
  <c r="N7" i="108"/>
  <c r="N7" i="99"/>
  <c r="D12" i="104"/>
  <c r="B12" i="104"/>
  <c r="C15" i="94"/>
  <c r="C14" i="94"/>
  <c r="D7" i="94"/>
  <c r="C9" i="94"/>
  <c r="C16" i="94"/>
  <c r="C11" i="94"/>
  <c r="C13" i="94"/>
  <c r="C10" i="94"/>
  <c r="C12" i="94"/>
  <c r="C8" i="94"/>
  <c r="D14" i="105"/>
  <c r="B14" i="105"/>
  <c r="D9" i="103"/>
  <c r="D8" i="89"/>
  <c r="B8" i="89"/>
  <c r="D9" i="110"/>
  <c r="B9" i="110"/>
  <c r="B15" i="95"/>
  <c r="E33" i="80"/>
  <c r="E45" i="80"/>
  <c r="E21" i="80"/>
  <c r="R7" i="110"/>
  <c r="N7" i="110"/>
  <c r="B10" i="112"/>
  <c r="D10" i="112"/>
  <c r="B15" i="89"/>
  <c r="D15" i="89"/>
  <c r="D13" i="99"/>
  <c r="B13" i="99"/>
  <c r="E10" i="93"/>
  <c r="B13" i="101"/>
  <c r="D13" i="101"/>
  <c r="B12" i="89"/>
  <c r="D12" i="89"/>
  <c r="E16" i="90"/>
  <c r="G34" i="122" l="1"/>
  <c r="F22" i="122"/>
  <c r="G22" i="122"/>
  <c r="F34" i="122"/>
  <c r="G46" i="122"/>
  <c r="G45" i="80"/>
  <c r="F46" i="122"/>
  <c r="G33" i="80"/>
  <c r="G21" i="80"/>
  <c r="B3" i="95"/>
  <c r="N8" i="97" s="1"/>
  <c r="U7" i="119"/>
  <c r="U7" i="117"/>
  <c r="U7" i="100"/>
  <c r="U7" i="109"/>
  <c r="T8" i="93"/>
  <c r="W8" i="93" s="1"/>
  <c r="T7" i="93"/>
  <c r="W7" i="93" s="1"/>
  <c r="G45" i="90"/>
  <c r="G33" i="90"/>
  <c r="G21" i="90"/>
  <c r="U7" i="115"/>
  <c r="Q3" i="95"/>
  <c r="J4" i="93"/>
  <c r="S8" i="93"/>
  <c r="V8" i="93" s="1"/>
  <c r="U7" i="89"/>
  <c r="L3" i="95" s="1"/>
  <c r="S16" i="93"/>
  <c r="V16" i="93" s="1"/>
  <c r="V7" i="104"/>
  <c r="F4" i="91"/>
  <c r="S7" i="91" s="1"/>
  <c r="V7" i="91" s="1"/>
  <c r="U7" i="108"/>
  <c r="V7" i="88"/>
  <c r="U7" i="88"/>
  <c r="W14" i="35"/>
  <c r="I2" i="92"/>
  <c r="K2" i="91"/>
  <c r="H4" i="91"/>
  <c r="T7" i="91" s="1"/>
  <c r="W7" i="91" s="1"/>
  <c r="V7" i="111"/>
  <c r="U7" i="111"/>
  <c r="V14" i="35"/>
  <c r="G2" i="92"/>
  <c r="U10" i="122"/>
  <c r="U11" i="122" s="1"/>
  <c r="S7" i="94"/>
  <c r="V7" i="94" s="1"/>
  <c r="J4" i="94"/>
  <c r="P3" i="95"/>
  <c r="U8" i="120"/>
  <c r="V8" i="120"/>
  <c r="Y3" i="95"/>
  <c r="H14" i="122"/>
  <c r="H13" i="122"/>
  <c r="I13" i="122" s="1"/>
  <c r="J13" i="122" s="1"/>
  <c r="N10" i="122"/>
  <c r="R10" i="122"/>
  <c r="E47" i="122"/>
  <c r="E23" i="122"/>
  <c r="E35" i="122"/>
  <c r="E29" i="122"/>
  <c r="E53" i="122"/>
  <c r="E41" i="122"/>
  <c r="E49" i="122"/>
  <c r="E37" i="122"/>
  <c r="E25" i="122"/>
  <c r="H12" i="122"/>
  <c r="S12" i="122" s="1"/>
  <c r="V12" i="122" s="1"/>
  <c r="H16" i="122"/>
  <c r="I16" i="122" s="1"/>
  <c r="J16" i="122" s="1"/>
  <c r="K16" i="122" s="1"/>
  <c r="L16" i="122" s="1"/>
  <c r="M16" i="122" s="1"/>
  <c r="T8" i="104"/>
  <c r="W8" i="104" s="1"/>
  <c r="S8" i="104"/>
  <c r="V8" i="104" s="1"/>
  <c r="T8" i="112"/>
  <c r="W8" i="112" s="1"/>
  <c r="S8" i="112"/>
  <c r="V8" i="112" s="1"/>
  <c r="T14" i="102"/>
  <c r="W14" i="102" s="1"/>
  <c r="S14" i="102"/>
  <c r="V14" i="102" s="1"/>
  <c r="F15" i="116"/>
  <c r="G15" i="116" s="1"/>
  <c r="H15" i="116" s="1"/>
  <c r="I15" i="116" s="1"/>
  <c r="J15" i="116" s="1"/>
  <c r="K15" i="116" s="1"/>
  <c r="L15" i="116" s="1"/>
  <c r="F12" i="88"/>
  <c r="G12" i="88" s="1"/>
  <c r="H12" i="88" s="1"/>
  <c r="I12" i="88" s="1"/>
  <c r="F14" i="88"/>
  <c r="G14" i="88" s="1"/>
  <c r="F13" i="90"/>
  <c r="G13" i="90" s="1"/>
  <c r="F12" i="80"/>
  <c r="G12" i="80" s="1"/>
  <c r="H12" i="80" s="1"/>
  <c r="I12" i="80" s="1"/>
  <c r="S8" i="108"/>
  <c r="V8" i="108" s="1"/>
  <c r="S9" i="88"/>
  <c r="V9" i="88" s="1"/>
  <c r="T8" i="119"/>
  <c r="W8" i="119" s="1"/>
  <c r="S9" i="90"/>
  <c r="V9" i="90" s="1"/>
  <c r="T9" i="90"/>
  <c r="W9" i="90" s="1"/>
  <c r="T8" i="103"/>
  <c r="W8" i="103" s="1"/>
  <c r="S8" i="103"/>
  <c r="V8" i="103" s="1"/>
  <c r="T8" i="111"/>
  <c r="W8" i="111" s="1"/>
  <c r="S8" i="111"/>
  <c r="V8" i="111" s="1"/>
  <c r="E15" i="108"/>
  <c r="F15" i="108" s="1"/>
  <c r="T9" i="121"/>
  <c r="W9" i="121" s="1"/>
  <c r="S9" i="121"/>
  <c r="V9" i="121" s="1"/>
  <c r="E15" i="117"/>
  <c r="F15" i="117" s="1"/>
  <c r="G15" i="117" s="1"/>
  <c r="H15" i="117" s="1"/>
  <c r="I15" i="117" s="1"/>
  <c r="J15" i="117" s="1"/>
  <c r="K15" i="117" s="1"/>
  <c r="L15" i="117" s="1"/>
  <c r="R15" i="117" s="1"/>
  <c r="F12" i="121"/>
  <c r="G12" i="121" s="1"/>
  <c r="H12" i="121" s="1"/>
  <c r="I12" i="121" s="1"/>
  <c r="R12" i="121" s="1"/>
  <c r="E38" i="121" s="1"/>
  <c r="F13" i="80"/>
  <c r="G13" i="80" s="1"/>
  <c r="H13" i="80" s="1"/>
  <c r="I13" i="80" s="1"/>
  <c r="J13" i="80" s="1"/>
  <c r="N13" i="80" s="1"/>
  <c r="S9" i="93"/>
  <c r="V9" i="93" s="1"/>
  <c r="T9" i="93"/>
  <c r="W9" i="93" s="1"/>
  <c r="F15" i="88"/>
  <c r="G15" i="88" s="1"/>
  <c r="F14" i="80"/>
  <c r="G14" i="80" s="1"/>
  <c r="H14" i="80" s="1"/>
  <c r="I14" i="80" s="1"/>
  <c r="J14" i="80" s="1"/>
  <c r="K14" i="80" s="1"/>
  <c r="N14" i="80" s="1"/>
  <c r="T8" i="102"/>
  <c r="W8" i="102" s="1"/>
  <c r="S8" i="102"/>
  <c r="V8" i="102" s="1"/>
  <c r="T8" i="101"/>
  <c r="W8" i="101" s="1"/>
  <c r="S8" i="101"/>
  <c r="V8" i="101" s="1"/>
  <c r="T8" i="107"/>
  <c r="W8" i="107" s="1"/>
  <c r="S8" i="107"/>
  <c r="V8" i="107" s="1"/>
  <c r="T9" i="116"/>
  <c r="W9" i="116" s="1"/>
  <c r="S9" i="116"/>
  <c r="V9" i="116" s="1"/>
  <c r="F16" i="80"/>
  <c r="G16" i="80" s="1"/>
  <c r="F15" i="80"/>
  <c r="G15" i="80" s="1"/>
  <c r="F16" i="88"/>
  <c r="G16" i="88" s="1"/>
  <c r="S8" i="99"/>
  <c r="V8" i="99" s="1"/>
  <c r="S8" i="109"/>
  <c r="S8" i="106"/>
  <c r="V8" i="106" s="1"/>
  <c r="T8" i="89"/>
  <c r="W8" i="89" s="1"/>
  <c r="S8" i="89"/>
  <c r="V8" i="89" s="1"/>
  <c r="T8" i="100"/>
  <c r="W8" i="100" s="1"/>
  <c r="S8" i="100"/>
  <c r="V8" i="100" s="1"/>
  <c r="S8" i="105"/>
  <c r="V8" i="105" s="1"/>
  <c r="T8" i="105"/>
  <c r="W8" i="105" s="1"/>
  <c r="S8" i="110"/>
  <c r="V8" i="110" s="1"/>
  <c r="T8" i="110"/>
  <c r="W8" i="110" s="1"/>
  <c r="E8" i="118"/>
  <c r="S8" i="118"/>
  <c r="V8" i="118" s="1"/>
  <c r="T8" i="118"/>
  <c r="W8" i="118" s="1"/>
  <c r="F13" i="120"/>
  <c r="G13" i="120" s="1"/>
  <c r="H13" i="120" s="1"/>
  <c r="I13" i="120" s="1"/>
  <c r="J13" i="120" s="1"/>
  <c r="R13" i="120" s="1"/>
  <c r="E27" i="120" s="1"/>
  <c r="F12" i="116"/>
  <c r="S9" i="120"/>
  <c r="V9" i="120" s="1"/>
  <c r="T9" i="120"/>
  <c r="W9" i="120" s="1"/>
  <c r="F14" i="90"/>
  <c r="F11" i="88"/>
  <c r="G11" i="88" s="1"/>
  <c r="S11" i="88" s="1"/>
  <c r="V11" i="88" s="1"/>
  <c r="F10" i="88"/>
  <c r="S10" i="88" s="1"/>
  <c r="V10" i="88" s="1"/>
  <c r="T9" i="80"/>
  <c r="W9" i="80" s="1"/>
  <c r="S8" i="119"/>
  <c r="V8" i="119" s="1"/>
  <c r="T8" i="117"/>
  <c r="F9" i="93"/>
  <c r="N9" i="93" s="1"/>
  <c r="N14" i="35"/>
  <c r="U8" i="90"/>
  <c r="E30" i="93"/>
  <c r="H36" i="95" s="1"/>
  <c r="H24" i="95"/>
  <c r="E42" i="93"/>
  <c r="H48" i="95" s="1"/>
  <c r="E54" i="93"/>
  <c r="H60" i="95" s="1"/>
  <c r="R14" i="35"/>
  <c r="N14" i="102"/>
  <c r="U8" i="80"/>
  <c r="U7" i="87"/>
  <c r="C3" i="95" s="1"/>
  <c r="O8" i="97" s="1"/>
  <c r="E14" i="111"/>
  <c r="E11" i="104"/>
  <c r="F11" i="104" s="1"/>
  <c r="G11" i="104" s="1"/>
  <c r="H11" i="104" s="1"/>
  <c r="N11" i="104" s="1"/>
  <c r="E9" i="107"/>
  <c r="F11" i="116"/>
  <c r="F12" i="90"/>
  <c r="F13" i="88"/>
  <c r="E14" i="109"/>
  <c r="F9" i="120"/>
  <c r="R9" i="120" s="1"/>
  <c r="E16" i="109"/>
  <c r="E13" i="104"/>
  <c r="E9" i="108"/>
  <c r="N8" i="121"/>
  <c r="R8" i="120"/>
  <c r="F16" i="90"/>
  <c r="E12" i="104"/>
  <c r="F9" i="88"/>
  <c r="R9" i="88" s="1"/>
  <c r="E8" i="110"/>
  <c r="E16" i="100"/>
  <c r="E14" i="106"/>
  <c r="E15" i="100"/>
  <c r="E11" i="103"/>
  <c r="E16" i="104"/>
  <c r="E11" i="107"/>
  <c r="E10" i="107"/>
  <c r="E10" i="106"/>
  <c r="E14" i="107"/>
  <c r="E9" i="104"/>
  <c r="E14" i="108"/>
  <c r="E15" i="106"/>
  <c r="E13" i="108"/>
  <c r="E12" i="107"/>
  <c r="E11" i="100"/>
  <c r="F11" i="80"/>
  <c r="E16" i="101"/>
  <c r="F10" i="80"/>
  <c r="D10" i="115"/>
  <c r="B10" i="115"/>
  <c r="D14" i="115"/>
  <c r="B14" i="115"/>
  <c r="F13" i="116"/>
  <c r="E33" i="117"/>
  <c r="E21" i="117"/>
  <c r="E45" i="117"/>
  <c r="U8" i="116"/>
  <c r="E10" i="112"/>
  <c r="F10" i="93"/>
  <c r="F9" i="80"/>
  <c r="E8" i="100"/>
  <c r="E16" i="111"/>
  <c r="F16" i="111" s="1"/>
  <c r="G16" i="111" s="1"/>
  <c r="H16" i="111" s="1"/>
  <c r="I16" i="111" s="1"/>
  <c r="J16" i="111" s="1"/>
  <c r="K16" i="111" s="1"/>
  <c r="L16" i="111" s="1"/>
  <c r="M16" i="111" s="1"/>
  <c r="R16" i="111" s="1"/>
  <c r="E12" i="106"/>
  <c r="E10" i="102"/>
  <c r="E10" i="111"/>
  <c r="E14" i="103"/>
  <c r="E9" i="109"/>
  <c r="E16" i="108"/>
  <c r="E11" i="108"/>
  <c r="E13" i="109"/>
  <c r="E10" i="100"/>
  <c r="E13" i="105"/>
  <c r="E12" i="100"/>
  <c r="E10" i="89"/>
  <c r="D11" i="115"/>
  <c r="B11" i="115"/>
  <c r="D16" i="115"/>
  <c r="B16" i="115"/>
  <c r="E45" i="118"/>
  <c r="E21" i="118"/>
  <c r="E33" i="118"/>
  <c r="E9" i="118"/>
  <c r="F14" i="121"/>
  <c r="E12" i="119"/>
  <c r="F16" i="116"/>
  <c r="E10" i="118"/>
  <c r="E11" i="117"/>
  <c r="F11" i="93"/>
  <c r="E15" i="111"/>
  <c r="E13" i="106"/>
  <c r="E16" i="107"/>
  <c r="F16" i="107" s="1"/>
  <c r="G16" i="107" s="1"/>
  <c r="H16" i="107" s="1"/>
  <c r="I16" i="107" s="1"/>
  <c r="J16" i="107" s="1"/>
  <c r="K16" i="107" s="1"/>
  <c r="L16" i="107" s="1"/>
  <c r="M16" i="107" s="1"/>
  <c r="R16" i="107" s="1"/>
  <c r="E11" i="111"/>
  <c r="F11" i="111" s="1"/>
  <c r="E11" i="112"/>
  <c r="F11" i="112" s="1"/>
  <c r="G11" i="112" s="1"/>
  <c r="H11" i="112" s="1"/>
  <c r="R11" i="112" s="1"/>
  <c r="E9" i="111"/>
  <c r="F9" i="111" s="1"/>
  <c r="R9" i="111" s="1"/>
  <c r="E10" i="109"/>
  <c r="F10" i="109" s="1"/>
  <c r="G10" i="109" s="1"/>
  <c r="R10" i="109" s="1"/>
  <c r="E10" i="108"/>
  <c r="F10" i="108" s="1"/>
  <c r="G10" i="108" s="1"/>
  <c r="R10" i="108" s="1"/>
  <c r="E11" i="109"/>
  <c r="F11" i="109" s="1"/>
  <c r="E16" i="102"/>
  <c r="F16" i="102" s="1"/>
  <c r="E12" i="111"/>
  <c r="E16" i="89"/>
  <c r="E13" i="111"/>
  <c r="E13" i="89"/>
  <c r="E10" i="104"/>
  <c r="E11" i="106"/>
  <c r="D8" i="115"/>
  <c r="B8" i="115"/>
  <c r="B13" i="115"/>
  <c r="D13" i="115"/>
  <c r="D15" i="115"/>
  <c r="B15" i="115"/>
  <c r="F12" i="120"/>
  <c r="E13" i="119"/>
  <c r="G33" i="121"/>
  <c r="F33" i="121"/>
  <c r="E13" i="117"/>
  <c r="E8" i="106"/>
  <c r="F11" i="90"/>
  <c r="G11" i="90" s="1"/>
  <c r="H11" i="90" s="1"/>
  <c r="N11" i="90" s="1"/>
  <c r="E12" i="103"/>
  <c r="E12" i="108"/>
  <c r="E13" i="103"/>
  <c r="E15" i="109"/>
  <c r="E9" i="106"/>
  <c r="E13" i="107"/>
  <c r="E15" i="107"/>
  <c r="E12" i="109"/>
  <c r="E10" i="103"/>
  <c r="F10" i="103" s="1"/>
  <c r="G10" i="103" s="1"/>
  <c r="N10" i="103" s="1"/>
  <c r="E15" i="102"/>
  <c r="E16" i="103"/>
  <c r="F16" i="103" s="1"/>
  <c r="G16" i="103" s="1"/>
  <c r="H16" i="103" s="1"/>
  <c r="I16" i="103" s="1"/>
  <c r="J16" i="103" s="1"/>
  <c r="K16" i="103" s="1"/>
  <c r="L16" i="103" s="1"/>
  <c r="M16" i="103" s="1"/>
  <c r="E15" i="105"/>
  <c r="F15" i="105" s="1"/>
  <c r="G15" i="105" s="1"/>
  <c r="H15" i="105" s="1"/>
  <c r="I15" i="105" s="1"/>
  <c r="J15" i="105" s="1"/>
  <c r="K15" i="105" s="1"/>
  <c r="L15" i="105" s="1"/>
  <c r="N15" i="105" s="1"/>
  <c r="B12" i="115"/>
  <c r="D12" i="115"/>
  <c r="D9" i="115"/>
  <c r="B9" i="115"/>
  <c r="R7" i="115"/>
  <c r="N7" i="115"/>
  <c r="F16" i="121"/>
  <c r="G16" i="121" s="1"/>
  <c r="H16" i="121" s="1"/>
  <c r="I16" i="121" s="1"/>
  <c r="J16" i="121" s="1"/>
  <c r="K16" i="121" s="1"/>
  <c r="L16" i="121" s="1"/>
  <c r="E14" i="117"/>
  <c r="E12" i="117"/>
  <c r="E11" i="118"/>
  <c r="F9" i="116"/>
  <c r="E11" i="119"/>
  <c r="G21" i="121"/>
  <c r="F21" i="121"/>
  <c r="F11" i="121"/>
  <c r="N8" i="119"/>
  <c r="R8" i="119"/>
  <c r="F16" i="120"/>
  <c r="F10" i="120"/>
  <c r="T10" i="120" s="1"/>
  <c r="W10" i="120" s="1"/>
  <c r="E22" i="116"/>
  <c r="E34" i="116"/>
  <c r="E46" i="116"/>
  <c r="G21" i="116"/>
  <c r="F21" i="116"/>
  <c r="F15" i="121"/>
  <c r="F11" i="120"/>
  <c r="G33" i="120"/>
  <c r="F33" i="120"/>
  <c r="E10" i="117"/>
  <c r="E48" i="116"/>
  <c r="E24" i="116"/>
  <c r="E36" i="116"/>
  <c r="E14" i="119"/>
  <c r="E16" i="119"/>
  <c r="E16" i="117"/>
  <c r="G45" i="116"/>
  <c r="F45" i="116"/>
  <c r="E10" i="119"/>
  <c r="G21" i="120"/>
  <c r="F21" i="120"/>
  <c r="E9" i="117"/>
  <c r="T9" i="117" s="1"/>
  <c r="W9" i="117" s="1"/>
  <c r="E9" i="119"/>
  <c r="E15" i="119"/>
  <c r="G45" i="121"/>
  <c r="F45" i="121"/>
  <c r="E14" i="118"/>
  <c r="F15" i="120"/>
  <c r="F9" i="121"/>
  <c r="F14" i="120"/>
  <c r="E13" i="118"/>
  <c r="E16" i="118"/>
  <c r="G33" i="116"/>
  <c r="F33" i="116"/>
  <c r="F13" i="121"/>
  <c r="E8" i="117"/>
  <c r="N8" i="117" s="1"/>
  <c r="E15" i="118"/>
  <c r="U8" i="121"/>
  <c r="F14" i="116"/>
  <c r="F10" i="121"/>
  <c r="E12" i="118"/>
  <c r="E46" i="121"/>
  <c r="E22" i="121"/>
  <c r="E34" i="121"/>
  <c r="E33" i="119"/>
  <c r="E45" i="119"/>
  <c r="E21" i="119"/>
  <c r="G45" i="120"/>
  <c r="F45" i="120"/>
  <c r="B11" i="87"/>
  <c r="B13" i="87"/>
  <c r="E13" i="100"/>
  <c r="F10" i="90"/>
  <c r="S10" i="90" s="1"/>
  <c r="V10" i="90" s="1"/>
  <c r="T17" i="35"/>
  <c r="S17" i="35"/>
  <c r="M17" i="35"/>
  <c r="E15" i="103"/>
  <c r="F15" i="103" s="1"/>
  <c r="G15" i="103" s="1"/>
  <c r="H15" i="103" s="1"/>
  <c r="I15" i="103" s="1"/>
  <c r="J15" i="103" s="1"/>
  <c r="K15" i="103" s="1"/>
  <c r="L15" i="103" s="1"/>
  <c r="N15" i="103" s="1"/>
  <c r="R8" i="93"/>
  <c r="F12" i="112"/>
  <c r="N8" i="93"/>
  <c r="R8" i="90"/>
  <c r="E22" i="90" s="1"/>
  <c r="E12" i="89"/>
  <c r="D9" i="94"/>
  <c r="B9" i="94"/>
  <c r="E15" i="99"/>
  <c r="E14" i="99"/>
  <c r="E8" i="101"/>
  <c r="R8" i="101" s="1"/>
  <c r="F21" i="90"/>
  <c r="E27" i="95"/>
  <c r="E8" i="108"/>
  <c r="E9" i="100"/>
  <c r="D8" i="87"/>
  <c r="B8" i="87"/>
  <c r="D14" i="87"/>
  <c r="B14" i="87"/>
  <c r="E16" i="105"/>
  <c r="F16" i="105" s="1"/>
  <c r="G16" i="105" s="1"/>
  <c r="H16" i="105" s="1"/>
  <c r="I16" i="105" s="1"/>
  <c r="J16" i="105" s="1"/>
  <c r="K16" i="105" s="1"/>
  <c r="L16" i="105" s="1"/>
  <c r="M16" i="105" s="1"/>
  <c r="N16" i="105" s="1"/>
  <c r="M15" i="95"/>
  <c r="E45" i="100"/>
  <c r="E21" i="100"/>
  <c r="E33" i="100"/>
  <c r="D39" i="95"/>
  <c r="B8" i="94"/>
  <c r="D8" i="94"/>
  <c r="E13" i="99"/>
  <c r="E15" i="89"/>
  <c r="E8" i="89"/>
  <c r="N8" i="89" s="1"/>
  <c r="N7" i="94"/>
  <c r="R7" i="94"/>
  <c r="F13" i="93"/>
  <c r="E15" i="112"/>
  <c r="C16" i="91"/>
  <c r="C13" i="91"/>
  <c r="C12" i="91"/>
  <c r="D7" i="91"/>
  <c r="C15" i="91"/>
  <c r="C9" i="91"/>
  <c r="C11" i="91"/>
  <c r="C14" i="91"/>
  <c r="C10" i="91"/>
  <c r="C8" i="91"/>
  <c r="E11" i="102"/>
  <c r="E15" i="110"/>
  <c r="E9" i="105"/>
  <c r="E12" i="101"/>
  <c r="E10" i="105"/>
  <c r="E11" i="110"/>
  <c r="E16" i="110"/>
  <c r="Q15" i="95"/>
  <c r="E45" i="104"/>
  <c r="G45" i="104" s="1"/>
  <c r="E33" i="104"/>
  <c r="E21" i="104"/>
  <c r="G21" i="104" s="1"/>
  <c r="E10" i="101"/>
  <c r="E9" i="101"/>
  <c r="F14" i="93"/>
  <c r="D51" i="95"/>
  <c r="E9" i="103"/>
  <c r="B12" i="94"/>
  <c r="D12" i="94"/>
  <c r="D14" i="94"/>
  <c r="B14" i="94"/>
  <c r="W15" i="95"/>
  <c r="E21" i="108"/>
  <c r="E45" i="108"/>
  <c r="E33" i="108"/>
  <c r="L15" i="95"/>
  <c r="E21" i="89"/>
  <c r="E45" i="89"/>
  <c r="E33" i="89"/>
  <c r="E14" i="100"/>
  <c r="E12" i="110"/>
  <c r="F12" i="93"/>
  <c r="D15" i="87"/>
  <c r="B15" i="87"/>
  <c r="E11" i="99"/>
  <c r="AA15" i="95"/>
  <c r="E33" i="112"/>
  <c r="G33" i="112" s="1"/>
  <c r="E21" i="112"/>
  <c r="G21" i="112" s="1"/>
  <c r="E45" i="112"/>
  <c r="E9" i="99"/>
  <c r="D27" i="95"/>
  <c r="D10" i="94"/>
  <c r="B10" i="94"/>
  <c r="B15" i="94"/>
  <c r="D15" i="94"/>
  <c r="F9" i="90"/>
  <c r="E14" i="101"/>
  <c r="U15" i="95"/>
  <c r="E33" i="99"/>
  <c r="E21" i="99"/>
  <c r="G21" i="99" s="1"/>
  <c r="E45" i="99"/>
  <c r="G45" i="99" s="1"/>
  <c r="E16" i="106"/>
  <c r="E46" i="80"/>
  <c r="E22" i="80"/>
  <c r="E34" i="80"/>
  <c r="B16" i="95"/>
  <c r="D13" i="87"/>
  <c r="B12" i="87"/>
  <c r="D12" i="87"/>
  <c r="E9" i="112"/>
  <c r="E10" i="110"/>
  <c r="Y15" i="95"/>
  <c r="E21" i="110"/>
  <c r="G21" i="110" s="1"/>
  <c r="E33" i="110"/>
  <c r="G33" i="110" s="1"/>
  <c r="E45" i="110"/>
  <c r="G45" i="110" s="1"/>
  <c r="D13" i="94"/>
  <c r="B13" i="94"/>
  <c r="E12" i="102"/>
  <c r="E9" i="102"/>
  <c r="F15" i="93"/>
  <c r="E11" i="101"/>
  <c r="N7" i="87"/>
  <c r="R7" i="87"/>
  <c r="E13" i="102"/>
  <c r="S15" i="95"/>
  <c r="E33" i="106"/>
  <c r="E21" i="106"/>
  <c r="G21" i="106" s="1"/>
  <c r="E45" i="106"/>
  <c r="G45" i="106" s="1"/>
  <c r="X15" i="95"/>
  <c r="E33" i="109"/>
  <c r="E45" i="109"/>
  <c r="E21" i="109"/>
  <c r="D1" i="92"/>
  <c r="E14" i="104"/>
  <c r="U14" i="35"/>
  <c r="B27" i="95"/>
  <c r="F21" i="80"/>
  <c r="E9" i="110"/>
  <c r="E14" i="105"/>
  <c r="B11" i="94"/>
  <c r="D11" i="94"/>
  <c r="E11" i="105"/>
  <c r="E14" i="89"/>
  <c r="D16" i="87"/>
  <c r="B16" i="87"/>
  <c r="E8" i="105"/>
  <c r="N8" i="105" s="1"/>
  <c r="O15" i="95"/>
  <c r="E45" i="102"/>
  <c r="G45" i="102" s="1"/>
  <c r="E33" i="102"/>
  <c r="E21" i="102"/>
  <c r="G21" i="102" s="1"/>
  <c r="E10" i="99"/>
  <c r="E16" i="112"/>
  <c r="E15" i="101"/>
  <c r="E11" i="89"/>
  <c r="E12" i="105"/>
  <c r="F12" i="105" s="1"/>
  <c r="G12" i="105" s="1"/>
  <c r="H12" i="105" s="1"/>
  <c r="I12" i="105" s="1"/>
  <c r="R12" i="105" s="1"/>
  <c r="F45" i="80"/>
  <c r="B51" i="95"/>
  <c r="B16" i="94"/>
  <c r="D16" i="94"/>
  <c r="P15" i="95"/>
  <c r="E21" i="103"/>
  <c r="G21" i="103" s="1"/>
  <c r="E45" i="103"/>
  <c r="G45" i="103" s="1"/>
  <c r="E33" i="103"/>
  <c r="N8" i="80"/>
  <c r="E8" i="102"/>
  <c r="N8" i="102" s="1"/>
  <c r="F45" i="90"/>
  <c r="E51" i="95"/>
  <c r="V15" i="95"/>
  <c r="E33" i="107"/>
  <c r="G33" i="107" s="1"/>
  <c r="E21" i="107"/>
  <c r="G21" i="107" s="1"/>
  <c r="E45" i="107"/>
  <c r="G45" i="107" s="1"/>
  <c r="E8" i="99"/>
  <c r="N8" i="99" s="1"/>
  <c r="D11" i="87"/>
  <c r="D10" i="87"/>
  <c r="B10" i="87"/>
  <c r="E14" i="110"/>
  <c r="E13" i="110"/>
  <c r="E8" i="104"/>
  <c r="R8" i="104" s="1"/>
  <c r="N8" i="88"/>
  <c r="R14" i="102"/>
  <c r="E13" i="101"/>
  <c r="F33" i="80"/>
  <c r="B39" i="95"/>
  <c r="Z15" i="95"/>
  <c r="E21" i="111"/>
  <c r="E45" i="111"/>
  <c r="E33" i="111"/>
  <c r="F15" i="90"/>
  <c r="F33" i="90"/>
  <c r="E39" i="95"/>
  <c r="E8" i="103"/>
  <c r="E8" i="111"/>
  <c r="R8" i="111" s="1"/>
  <c r="E16" i="99"/>
  <c r="E15" i="104"/>
  <c r="B9" i="87"/>
  <c r="D9" i="87"/>
  <c r="E9" i="89"/>
  <c r="N15" i="95"/>
  <c r="E21" i="101"/>
  <c r="G21" i="101" s="1"/>
  <c r="E33" i="101"/>
  <c r="E45" i="101"/>
  <c r="G45" i="101" s="1"/>
  <c r="E8" i="107"/>
  <c r="R8" i="107" s="1"/>
  <c r="R15" i="95"/>
  <c r="E33" i="105"/>
  <c r="E21" i="105"/>
  <c r="G21" i="105" s="1"/>
  <c r="E45" i="105"/>
  <c r="G45" i="105" s="1"/>
  <c r="E8" i="109"/>
  <c r="R8" i="109" s="1"/>
  <c r="E13" i="112"/>
  <c r="R8" i="88"/>
  <c r="E14" i="112"/>
  <c r="E8" i="112"/>
  <c r="R8" i="112" s="1"/>
  <c r="E12" i="99"/>
  <c r="U8" i="88" l="1"/>
  <c r="U9" i="88" s="1"/>
  <c r="G21" i="109"/>
  <c r="G45" i="109"/>
  <c r="G33" i="109"/>
  <c r="F45" i="88"/>
  <c r="F21" i="88"/>
  <c r="G45" i="100"/>
  <c r="G21" i="111"/>
  <c r="F33" i="88"/>
  <c r="E26" i="121"/>
  <c r="E50" i="121"/>
  <c r="G33" i="111"/>
  <c r="G45" i="111"/>
  <c r="G21" i="100"/>
  <c r="M3" i="95"/>
  <c r="G45" i="88"/>
  <c r="U7" i="93"/>
  <c r="G21" i="88"/>
  <c r="X3" i="95"/>
  <c r="G45" i="89"/>
  <c r="G21" i="89"/>
  <c r="N15" i="117"/>
  <c r="G33" i="88"/>
  <c r="R9" i="93"/>
  <c r="K2" i="92"/>
  <c r="G10" i="88"/>
  <c r="R10" i="88" s="1"/>
  <c r="U7" i="94"/>
  <c r="G33" i="108"/>
  <c r="J4" i="91"/>
  <c r="G45" i="108"/>
  <c r="G21" i="108"/>
  <c r="D3" i="95"/>
  <c r="P8" i="97" s="1"/>
  <c r="W3" i="95"/>
  <c r="T16" i="122"/>
  <c r="W16" i="122" s="1"/>
  <c r="V17" i="35"/>
  <c r="G2" i="96"/>
  <c r="W17" i="35"/>
  <c r="I2" i="96"/>
  <c r="F4" i="92"/>
  <c r="H4" i="92"/>
  <c r="T7" i="92" s="1"/>
  <c r="W7" i="92" s="1"/>
  <c r="Z3" i="95"/>
  <c r="G37" i="122"/>
  <c r="G49" i="122"/>
  <c r="G25" i="122"/>
  <c r="N12" i="121"/>
  <c r="S16" i="122"/>
  <c r="V16" i="122" s="1"/>
  <c r="U8" i="109"/>
  <c r="V8" i="109"/>
  <c r="U8" i="117"/>
  <c r="W8" i="117"/>
  <c r="N8" i="118"/>
  <c r="T13" i="120"/>
  <c r="W13" i="120" s="1"/>
  <c r="T10" i="88"/>
  <c r="W10" i="88" s="1"/>
  <c r="T13" i="122"/>
  <c r="W13" i="122" s="1"/>
  <c r="R13" i="80"/>
  <c r="B21" i="95" s="1"/>
  <c r="S13" i="122"/>
  <c r="V13" i="122" s="1"/>
  <c r="S13" i="120"/>
  <c r="V13" i="120" s="1"/>
  <c r="I12" i="122"/>
  <c r="T12" i="122"/>
  <c r="I14" i="122"/>
  <c r="F37" i="122"/>
  <c r="G23" i="122"/>
  <c r="F23" i="122"/>
  <c r="G47" i="122"/>
  <c r="F47" i="122"/>
  <c r="E24" i="122"/>
  <c r="E48" i="122"/>
  <c r="E36" i="122"/>
  <c r="F49" i="122"/>
  <c r="S12" i="80"/>
  <c r="V12" i="80" s="1"/>
  <c r="F25" i="122"/>
  <c r="R16" i="122"/>
  <c r="N16" i="122"/>
  <c r="G35" i="122"/>
  <c r="F35" i="122"/>
  <c r="N13" i="122"/>
  <c r="R13" i="122"/>
  <c r="R8" i="118"/>
  <c r="E46" i="118" s="1"/>
  <c r="S15" i="116"/>
  <c r="V15" i="116" s="1"/>
  <c r="U8" i="100"/>
  <c r="T15" i="117"/>
  <c r="W15" i="117" s="1"/>
  <c r="S15" i="117"/>
  <c r="V15" i="117" s="1"/>
  <c r="T15" i="116"/>
  <c r="W15" i="116" s="1"/>
  <c r="U8" i="118"/>
  <c r="U8" i="107"/>
  <c r="V4" i="95" s="1"/>
  <c r="G14" i="90"/>
  <c r="H14" i="90" s="1"/>
  <c r="I14" i="90" s="1"/>
  <c r="J14" i="90" s="1"/>
  <c r="K14" i="90" s="1"/>
  <c r="U9" i="120"/>
  <c r="T12" i="80"/>
  <c r="W12" i="80" s="1"/>
  <c r="T11" i="88"/>
  <c r="W11" i="88" s="1"/>
  <c r="F15" i="101"/>
  <c r="G15" i="101" s="1"/>
  <c r="H15" i="101" s="1"/>
  <c r="I15" i="101" s="1"/>
  <c r="J15" i="101" s="1"/>
  <c r="K15" i="101" s="1"/>
  <c r="L15" i="101" s="1"/>
  <c r="N15" i="101" s="1"/>
  <c r="F12" i="102"/>
  <c r="G12" i="102" s="1"/>
  <c r="H12" i="102" s="1"/>
  <c r="I12" i="102" s="1"/>
  <c r="R12" i="102" s="1"/>
  <c r="T9" i="112"/>
  <c r="W9" i="112" s="1"/>
  <c r="S9" i="112"/>
  <c r="V9" i="112" s="1"/>
  <c r="F16" i="106"/>
  <c r="G16" i="106" s="1"/>
  <c r="H16" i="106" s="1"/>
  <c r="I16" i="106" s="1"/>
  <c r="J16" i="106" s="1"/>
  <c r="K16" i="106" s="1"/>
  <c r="L16" i="106" s="1"/>
  <c r="M16" i="106" s="1"/>
  <c r="N16" i="106" s="1"/>
  <c r="F14" i="101"/>
  <c r="G14" i="101" s="1"/>
  <c r="H14" i="101" s="1"/>
  <c r="I14" i="101" s="1"/>
  <c r="J14" i="101" s="1"/>
  <c r="K14" i="101" s="1"/>
  <c r="R14" i="101" s="1"/>
  <c r="E8" i="94"/>
  <c r="R8" i="94" s="1"/>
  <c r="T8" i="94"/>
  <c r="W8" i="94" s="1"/>
  <c r="S8" i="94"/>
  <c r="V8" i="94" s="1"/>
  <c r="F12" i="89"/>
  <c r="G12" i="89" s="1"/>
  <c r="H12" i="89" s="1"/>
  <c r="I12" i="89" s="1"/>
  <c r="N12" i="89" s="1"/>
  <c r="H16" i="80"/>
  <c r="I16" i="80" s="1"/>
  <c r="J16" i="80" s="1"/>
  <c r="K16" i="80" s="1"/>
  <c r="L16" i="80" s="1"/>
  <c r="M16" i="80" s="1"/>
  <c r="N16" i="80" s="1"/>
  <c r="T9" i="119"/>
  <c r="W9" i="119" s="1"/>
  <c r="S9" i="119"/>
  <c r="V9" i="119" s="1"/>
  <c r="F11" i="118"/>
  <c r="G11" i="118" s="1"/>
  <c r="H11" i="118" s="1"/>
  <c r="N11" i="118" s="1"/>
  <c r="F15" i="107"/>
  <c r="G15" i="107" s="1"/>
  <c r="F13" i="89"/>
  <c r="G13" i="89" s="1"/>
  <c r="H13" i="89" s="1"/>
  <c r="I13" i="89" s="1"/>
  <c r="J13" i="89" s="1"/>
  <c r="N13" i="89" s="1"/>
  <c r="S9" i="118"/>
  <c r="V9" i="118" s="1"/>
  <c r="T9" i="118"/>
  <c r="W9" i="118" s="1"/>
  <c r="F12" i="100"/>
  <c r="G12" i="100" s="1"/>
  <c r="F11" i="108"/>
  <c r="G11" i="108" s="1"/>
  <c r="H11" i="108" s="1"/>
  <c r="N11" i="108" s="1"/>
  <c r="F10" i="111"/>
  <c r="S10" i="111" s="1"/>
  <c r="V10" i="111" s="1"/>
  <c r="G10" i="80"/>
  <c r="R10" i="80" s="1"/>
  <c r="E36" i="80" s="1"/>
  <c r="B42" i="95" s="1"/>
  <c r="S10" i="80"/>
  <c r="V10" i="80" s="1"/>
  <c r="T10" i="80"/>
  <c r="W10" i="80" s="1"/>
  <c r="T9" i="104"/>
  <c r="W9" i="104" s="1"/>
  <c r="S9" i="104"/>
  <c r="V9" i="104" s="1"/>
  <c r="F11" i="107"/>
  <c r="G11" i="107" s="1"/>
  <c r="H11" i="107" s="1"/>
  <c r="R11" i="107" s="1"/>
  <c r="F14" i="106"/>
  <c r="G14" i="106" s="1"/>
  <c r="H14" i="106" s="1"/>
  <c r="I14" i="106" s="1"/>
  <c r="J14" i="106" s="1"/>
  <c r="K14" i="106" s="1"/>
  <c r="N14" i="106" s="1"/>
  <c r="F12" i="104"/>
  <c r="G12" i="104" s="1"/>
  <c r="H12" i="104" s="1"/>
  <c r="I12" i="104" s="1"/>
  <c r="R12" i="104" s="1"/>
  <c r="S15" i="105"/>
  <c r="V15" i="105" s="1"/>
  <c r="S10" i="103"/>
  <c r="V10" i="103" s="1"/>
  <c r="S15" i="103"/>
  <c r="V15" i="103" s="1"/>
  <c r="S9" i="111"/>
  <c r="V9" i="111" s="1"/>
  <c r="S16" i="105"/>
  <c r="V16" i="105" s="1"/>
  <c r="F15" i="104"/>
  <c r="G15" i="104" s="1"/>
  <c r="H15" i="104" s="1"/>
  <c r="I15" i="104" s="1"/>
  <c r="J15" i="104" s="1"/>
  <c r="K15" i="104" s="1"/>
  <c r="L15" i="104" s="1"/>
  <c r="N15" i="104" s="1"/>
  <c r="F9" i="99"/>
  <c r="R9" i="99" s="1"/>
  <c r="S9" i="99"/>
  <c r="V9" i="99" s="1"/>
  <c r="T9" i="99"/>
  <c r="W9" i="99" s="1"/>
  <c r="F14" i="100"/>
  <c r="G14" i="100" s="1"/>
  <c r="H14" i="100" s="1"/>
  <c r="I14" i="100" s="1"/>
  <c r="J14" i="100" s="1"/>
  <c r="K14" i="100" s="1"/>
  <c r="N14" i="100" s="1"/>
  <c r="F9" i="103"/>
  <c r="N9" i="103" s="1"/>
  <c r="S9" i="103"/>
  <c r="V9" i="103" s="1"/>
  <c r="T9" i="103"/>
  <c r="W9" i="103" s="1"/>
  <c r="T8" i="87"/>
  <c r="W8" i="87" s="1"/>
  <c r="S8" i="87"/>
  <c r="V8" i="87" s="1"/>
  <c r="F15" i="99"/>
  <c r="G15" i="99" s="1"/>
  <c r="H15" i="99" s="1"/>
  <c r="I15" i="99" s="1"/>
  <c r="J15" i="99" s="1"/>
  <c r="K15" i="99" s="1"/>
  <c r="L15" i="99" s="1"/>
  <c r="R15" i="99" s="1"/>
  <c r="F13" i="100"/>
  <c r="G13" i="100" s="1"/>
  <c r="F12" i="117"/>
  <c r="G12" i="117" s="1"/>
  <c r="H12" i="117" s="1"/>
  <c r="I12" i="117" s="1"/>
  <c r="R12" i="117" s="1"/>
  <c r="T8" i="115"/>
  <c r="W8" i="115" s="1"/>
  <c r="S8" i="115"/>
  <c r="V8" i="115" s="1"/>
  <c r="F15" i="111"/>
  <c r="G15" i="111" s="1"/>
  <c r="F13" i="105"/>
  <c r="G13" i="105" s="1"/>
  <c r="H13" i="105" s="1"/>
  <c r="I13" i="105" s="1"/>
  <c r="J13" i="105" s="1"/>
  <c r="R13" i="105" s="1"/>
  <c r="F16" i="108"/>
  <c r="G16" i="108" s="1"/>
  <c r="H16" i="108" s="1"/>
  <c r="I16" i="108" s="1"/>
  <c r="J16" i="108" s="1"/>
  <c r="K16" i="108" s="1"/>
  <c r="L16" i="108" s="1"/>
  <c r="M16" i="108" s="1"/>
  <c r="N16" i="108" s="1"/>
  <c r="F10" i="102"/>
  <c r="G10" i="102" s="1"/>
  <c r="N10" i="102" s="1"/>
  <c r="F16" i="101"/>
  <c r="G16" i="101" s="1"/>
  <c r="F13" i="108"/>
  <c r="G13" i="108" s="1"/>
  <c r="H13" i="108" s="1"/>
  <c r="I13" i="108" s="1"/>
  <c r="J13" i="108" s="1"/>
  <c r="N13" i="108" s="1"/>
  <c r="F14" i="107"/>
  <c r="G14" i="107" s="1"/>
  <c r="F16" i="104"/>
  <c r="G16" i="104" s="1"/>
  <c r="H16" i="104" s="1"/>
  <c r="I16" i="104" s="1"/>
  <c r="J16" i="104" s="1"/>
  <c r="K16" i="104" s="1"/>
  <c r="L16" i="104" s="1"/>
  <c r="M16" i="104" s="1"/>
  <c r="N16" i="104" s="1"/>
  <c r="F16" i="100"/>
  <c r="G16" i="100" s="1"/>
  <c r="G16" i="90"/>
  <c r="H16" i="90" s="1"/>
  <c r="I16" i="90" s="1"/>
  <c r="J16" i="90" s="1"/>
  <c r="K16" i="90" s="1"/>
  <c r="L16" i="90" s="1"/>
  <c r="M16" i="90" s="1"/>
  <c r="F14" i="109"/>
  <c r="G14" i="109" s="1"/>
  <c r="S10" i="120"/>
  <c r="V10" i="120" s="1"/>
  <c r="T16" i="121"/>
  <c r="W16" i="121" s="1"/>
  <c r="T15" i="105"/>
  <c r="W15" i="105" s="1"/>
  <c r="T10" i="103"/>
  <c r="W10" i="103" s="1"/>
  <c r="T15" i="103"/>
  <c r="W15" i="103" s="1"/>
  <c r="T9" i="111"/>
  <c r="W9" i="111" s="1"/>
  <c r="T11" i="90"/>
  <c r="W11" i="90" s="1"/>
  <c r="T16" i="105"/>
  <c r="W16" i="105" s="1"/>
  <c r="S14" i="80"/>
  <c r="V14" i="80" s="1"/>
  <c r="G15" i="90"/>
  <c r="H15" i="90" s="1"/>
  <c r="I15" i="90" s="1"/>
  <c r="J15" i="90" s="1"/>
  <c r="K15" i="90" s="1"/>
  <c r="L15" i="90" s="1"/>
  <c r="N15" i="90" s="1"/>
  <c r="T9" i="89"/>
  <c r="W9" i="89" s="1"/>
  <c r="S9" i="89"/>
  <c r="V9" i="89" s="1"/>
  <c r="F16" i="99"/>
  <c r="G16" i="99" s="1"/>
  <c r="H16" i="99" s="1"/>
  <c r="I16" i="99" s="1"/>
  <c r="J16" i="99" s="1"/>
  <c r="K16" i="99" s="1"/>
  <c r="L16" i="99" s="1"/>
  <c r="M16" i="99" s="1"/>
  <c r="N16" i="99" s="1"/>
  <c r="T9" i="110"/>
  <c r="W9" i="110" s="1"/>
  <c r="S9" i="110"/>
  <c r="V9" i="110" s="1"/>
  <c r="F11" i="101"/>
  <c r="G11" i="101" s="1"/>
  <c r="H11" i="101" s="1"/>
  <c r="R11" i="101" s="1"/>
  <c r="G15" i="108"/>
  <c r="H15" i="108" s="1"/>
  <c r="I15" i="108" s="1"/>
  <c r="J15" i="108" s="1"/>
  <c r="K15" i="108" s="1"/>
  <c r="L15" i="108" s="1"/>
  <c r="R15" i="108" s="1"/>
  <c r="F12" i="110"/>
  <c r="G12" i="110" s="1"/>
  <c r="H12" i="110" s="1"/>
  <c r="I12" i="110" s="1"/>
  <c r="R12" i="110" s="1"/>
  <c r="S9" i="105"/>
  <c r="V9" i="105" s="1"/>
  <c r="T9" i="105"/>
  <c r="W9" i="105" s="1"/>
  <c r="T10" i="121"/>
  <c r="W10" i="121" s="1"/>
  <c r="S10" i="121"/>
  <c r="V10" i="121" s="1"/>
  <c r="F16" i="119"/>
  <c r="G16" i="119" s="1"/>
  <c r="H16" i="119" s="1"/>
  <c r="I16" i="119" s="1"/>
  <c r="J16" i="119" s="1"/>
  <c r="K16" i="119" s="1"/>
  <c r="L16" i="119" s="1"/>
  <c r="M16" i="119" s="1"/>
  <c r="R16" i="119" s="1"/>
  <c r="G15" i="121"/>
  <c r="H15" i="121" s="1"/>
  <c r="I15" i="121" s="1"/>
  <c r="J15" i="121" s="1"/>
  <c r="K15" i="121" s="1"/>
  <c r="T15" i="121" s="1"/>
  <c r="W15" i="121" s="1"/>
  <c r="F11" i="119"/>
  <c r="G11" i="119" s="1"/>
  <c r="H11" i="119" s="1"/>
  <c r="N11" i="119" s="1"/>
  <c r="F14" i="117"/>
  <c r="G14" i="117" s="1"/>
  <c r="H14" i="117" s="1"/>
  <c r="I14" i="117" s="1"/>
  <c r="J14" i="117" s="1"/>
  <c r="K14" i="117" s="1"/>
  <c r="R14" i="117" s="1"/>
  <c r="E40" i="117" s="1"/>
  <c r="F9" i="106"/>
  <c r="N9" i="106" s="1"/>
  <c r="S9" i="106"/>
  <c r="V9" i="106" s="1"/>
  <c r="T9" i="106"/>
  <c r="W9" i="106" s="1"/>
  <c r="F12" i="103"/>
  <c r="G12" i="103" s="1"/>
  <c r="H12" i="103" s="1"/>
  <c r="I12" i="103" s="1"/>
  <c r="N12" i="103" s="1"/>
  <c r="F16" i="89"/>
  <c r="G16" i="89" s="1"/>
  <c r="H16" i="89" s="1"/>
  <c r="I16" i="89" s="1"/>
  <c r="J16" i="89" s="1"/>
  <c r="K16" i="89" s="1"/>
  <c r="L16" i="89" s="1"/>
  <c r="M16" i="89" s="1"/>
  <c r="R16" i="89" s="1"/>
  <c r="G11" i="93"/>
  <c r="S11" i="93" s="1"/>
  <c r="V11" i="93" s="1"/>
  <c r="F10" i="118"/>
  <c r="G10" i="118" s="1"/>
  <c r="N10" i="118" s="1"/>
  <c r="F9" i="109"/>
  <c r="R9" i="109" s="1"/>
  <c r="T9" i="109"/>
  <c r="W9" i="109" s="1"/>
  <c r="S9" i="109"/>
  <c r="V9" i="109" s="1"/>
  <c r="G10" i="93"/>
  <c r="N10" i="93" s="1"/>
  <c r="S10" i="93"/>
  <c r="V10" i="93" s="1"/>
  <c r="T10" i="93"/>
  <c r="W10" i="93" s="1"/>
  <c r="G11" i="80"/>
  <c r="H11" i="80" s="1"/>
  <c r="R11" i="80" s="1"/>
  <c r="F15" i="106"/>
  <c r="G15" i="106" s="1"/>
  <c r="H15" i="106" s="1"/>
  <c r="I15" i="106" s="1"/>
  <c r="J15" i="106" s="1"/>
  <c r="K15" i="106" s="1"/>
  <c r="L15" i="106" s="1"/>
  <c r="F10" i="106"/>
  <c r="T10" i="106" s="1"/>
  <c r="W10" i="106" s="1"/>
  <c r="F11" i="103"/>
  <c r="G11" i="103" s="1"/>
  <c r="H11" i="103" s="1"/>
  <c r="R11" i="103" s="1"/>
  <c r="H15" i="80"/>
  <c r="I15" i="80" s="1"/>
  <c r="J15" i="80" s="1"/>
  <c r="K15" i="80" s="1"/>
  <c r="L15" i="80" s="1"/>
  <c r="R15" i="80" s="1"/>
  <c r="E53" i="80" s="1"/>
  <c r="S9" i="108"/>
  <c r="V9" i="108" s="1"/>
  <c r="T9" i="108"/>
  <c r="W9" i="108" s="1"/>
  <c r="G11" i="116"/>
  <c r="H11" i="116" s="1"/>
  <c r="F14" i="111"/>
  <c r="G14" i="111" s="1"/>
  <c r="H14" i="111" s="1"/>
  <c r="I14" i="111" s="1"/>
  <c r="J14" i="111" s="1"/>
  <c r="K14" i="111" s="1"/>
  <c r="R14" i="111" s="1"/>
  <c r="S9" i="117"/>
  <c r="S16" i="121"/>
  <c r="V16" i="121" s="1"/>
  <c r="S11" i="104"/>
  <c r="V11" i="104" s="1"/>
  <c r="S16" i="103"/>
  <c r="V16" i="103" s="1"/>
  <c r="S10" i="108"/>
  <c r="V10" i="108" s="1"/>
  <c r="S10" i="109"/>
  <c r="V10" i="109" s="1"/>
  <c r="S11" i="112"/>
  <c r="V11" i="112" s="1"/>
  <c r="S16" i="107"/>
  <c r="V16" i="107" s="1"/>
  <c r="S16" i="111"/>
  <c r="V16" i="111" s="1"/>
  <c r="S12" i="105"/>
  <c r="V12" i="105" s="1"/>
  <c r="S11" i="90"/>
  <c r="V11" i="90" s="1"/>
  <c r="T10" i="90"/>
  <c r="W10" i="90" s="1"/>
  <c r="T9" i="102"/>
  <c r="W9" i="102" s="1"/>
  <c r="S9" i="102"/>
  <c r="V9" i="102" s="1"/>
  <c r="F10" i="110"/>
  <c r="G10" i="110" s="1"/>
  <c r="R10" i="110" s="1"/>
  <c r="T9" i="101"/>
  <c r="W9" i="101" s="1"/>
  <c r="S9" i="101"/>
  <c r="V9" i="101" s="1"/>
  <c r="F9" i="100"/>
  <c r="R9" i="100" s="1"/>
  <c r="S9" i="100"/>
  <c r="V9" i="100" s="1"/>
  <c r="T9" i="100"/>
  <c r="W9" i="100" s="1"/>
  <c r="F16" i="117"/>
  <c r="G16" i="117" s="1"/>
  <c r="H16" i="117" s="1"/>
  <c r="I16" i="117" s="1"/>
  <c r="J16" i="117" s="1"/>
  <c r="K16" i="117" s="1"/>
  <c r="L16" i="117" s="1"/>
  <c r="M16" i="117" s="1"/>
  <c r="N16" i="117" s="1"/>
  <c r="F14" i="119"/>
  <c r="G14" i="119" s="1"/>
  <c r="H14" i="119" s="1"/>
  <c r="I14" i="119" s="1"/>
  <c r="J14" i="119" s="1"/>
  <c r="K14" i="119" s="1"/>
  <c r="R14" i="119" s="1"/>
  <c r="F12" i="109"/>
  <c r="G12" i="109" s="1"/>
  <c r="H12" i="109" s="1"/>
  <c r="I12" i="109" s="1"/>
  <c r="N12" i="109" s="1"/>
  <c r="F15" i="109"/>
  <c r="G15" i="109" s="1"/>
  <c r="H15" i="109" s="1"/>
  <c r="I15" i="109" s="1"/>
  <c r="J15" i="109" s="1"/>
  <c r="K15" i="109" s="1"/>
  <c r="L15" i="109" s="1"/>
  <c r="R15" i="109" s="1"/>
  <c r="G12" i="120"/>
  <c r="H12" i="120" s="1"/>
  <c r="T12" i="120" s="1"/>
  <c r="W12" i="120" s="1"/>
  <c r="F10" i="104"/>
  <c r="G10" i="104" s="1"/>
  <c r="R10" i="104" s="1"/>
  <c r="F12" i="111"/>
  <c r="G12" i="111" s="1"/>
  <c r="F10" i="89"/>
  <c r="S10" i="89" s="1"/>
  <c r="V10" i="89" s="1"/>
  <c r="F13" i="109"/>
  <c r="G13" i="109" s="1"/>
  <c r="H13" i="109" s="1"/>
  <c r="I13" i="109" s="1"/>
  <c r="J13" i="109" s="1"/>
  <c r="R13" i="109" s="1"/>
  <c r="F14" i="103"/>
  <c r="G14" i="103" s="1"/>
  <c r="F10" i="112"/>
  <c r="G10" i="112" s="1"/>
  <c r="N10" i="112" s="1"/>
  <c r="F11" i="100"/>
  <c r="G11" i="100" s="1"/>
  <c r="H11" i="100" s="1"/>
  <c r="R11" i="100" s="1"/>
  <c r="F14" i="108"/>
  <c r="G14" i="108" s="1"/>
  <c r="H14" i="108" s="1"/>
  <c r="I14" i="108" s="1"/>
  <c r="J14" i="108" s="1"/>
  <c r="K14" i="108" s="1"/>
  <c r="R14" i="108" s="1"/>
  <c r="F10" i="107"/>
  <c r="T10" i="107" s="1"/>
  <c r="W10" i="107" s="1"/>
  <c r="F15" i="100"/>
  <c r="G15" i="100" s="1"/>
  <c r="H15" i="100" s="1"/>
  <c r="I15" i="100" s="1"/>
  <c r="J15" i="100" s="1"/>
  <c r="K15" i="100" s="1"/>
  <c r="L15" i="100" s="1"/>
  <c r="N15" i="100" s="1"/>
  <c r="F13" i="104"/>
  <c r="G13" i="104" s="1"/>
  <c r="H13" i="104" s="1"/>
  <c r="I13" i="104" s="1"/>
  <c r="J13" i="104" s="1"/>
  <c r="N13" i="104" s="1"/>
  <c r="T9" i="107"/>
  <c r="W9" i="107" s="1"/>
  <c r="S9" i="107"/>
  <c r="V9" i="107" s="1"/>
  <c r="G12" i="116"/>
  <c r="T11" i="104"/>
  <c r="W11" i="104" s="1"/>
  <c r="T16" i="103"/>
  <c r="W16" i="103" s="1"/>
  <c r="T10" i="108"/>
  <c r="W10" i="108" s="1"/>
  <c r="T10" i="109"/>
  <c r="W10" i="109" s="1"/>
  <c r="T11" i="112"/>
  <c r="W11" i="112" s="1"/>
  <c r="T16" i="107"/>
  <c r="W16" i="107" s="1"/>
  <c r="T16" i="111"/>
  <c r="W16" i="111" s="1"/>
  <c r="T12" i="105"/>
  <c r="W12" i="105" s="1"/>
  <c r="T14" i="80"/>
  <c r="W14" i="80" s="1"/>
  <c r="T13" i="80"/>
  <c r="W13" i="80" s="1"/>
  <c r="T12" i="121"/>
  <c r="W12" i="121" s="1"/>
  <c r="S12" i="88"/>
  <c r="V12" i="88" s="1"/>
  <c r="S13" i="80"/>
  <c r="V13" i="80" s="1"/>
  <c r="S12" i="121"/>
  <c r="V12" i="121" s="1"/>
  <c r="N12" i="80"/>
  <c r="R12" i="80"/>
  <c r="T12" i="88"/>
  <c r="W12" i="88" s="1"/>
  <c r="N14" i="97"/>
  <c r="B30" i="32"/>
  <c r="R8" i="100"/>
  <c r="N11" i="112"/>
  <c r="E4" i="95"/>
  <c r="E39" i="120"/>
  <c r="B4" i="95"/>
  <c r="E51" i="120"/>
  <c r="E23" i="120"/>
  <c r="R8" i="110"/>
  <c r="E47" i="120"/>
  <c r="E35" i="120"/>
  <c r="N9" i="120"/>
  <c r="N8" i="100"/>
  <c r="N8" i="110"/>
  <c r="U8" i="101"/>
  <c r="U7" i="91"/>
  <c r="N8" i="106"/>
  <c r="F9" i="107"/>
  <c r="N9" i="107" s="1"/>
  <c r="R11" i="104"/>
  <c r="N9" i="80"/>
  <c r="R8" i="106"/>
  <c r="E37" i="112"/>
  <c r="AA43" i="95" s="1"/>
  <c r="F9" i="108"/>
  <c r="F9" i="104"/>
  <c r="R10" i="103"/>
  <c r="E46" i="120"/>
  <c r="G46" i="120" s="1"/>
  <c r="F12" i="107"/>
  <c r="G12" i="107" s="1"/>
  <c r="H12" i="107" s="1"/>
  <c r="I12" i="107" s="1"/>
  <c r="R12" i="107" s="1"/>
  <c r="F13" i="106"/>
  <c r="G13" i="106" s="1"/>
  <c r="H13" i="106" s="1"/>
  <c r="I13" i="106" s="1"/>
  <c r="J13" i="106" s="1"/>
  <c r="R13" i="106" s="1"/>
  <c r="U8" i="89"/>
  <c r="R9" i="80"/>
  <c r="F10" i="100"/>
  <c r="G10" i="100" s="1"/>
  <c r="N10" i="100" s="1"/>
  <c r="N9" i="88"/>
  <c r="F16" i="109"/>
  <c r="G16" i="109" s="1"/>
  <c r="H16" i="109" s="1"/>
  <c r="I16" i="109" s="1"/>
  <c r="J16" i="109" s="1"/>
  <c r="K16" i="109" s="1"/>
  <c r="L16" i="109" s="1"/>
  <c r="R14" i="80"/>
  <c r="H11" i="88"/>
  <c r="R11" i="88" s="1"/>
  <c r="G11" i="120"/>
  <c r="T11" i="120" s="1"/>
  <c r="W11" i="120" s="1"/>
  <c r="G13" i="88"/>
  <c r="H13" i="88" s="1"/>
  <c r="I13" i="88" s="1"/>
  <c r="S13" i="88" s="1"/>
  <c r="V13" i="88" s="1"/>
  <c r="N10" i="108"/>
  <c r="F9" i="117"/>
  <c r="R9" i="117" s="1"/>
  <c r="E47" i="117" s="1"/>
  <c r="G16" i="120"/>
  <c r="H16" i="120" s="1"/>
  <c r="I16" i="120" s="1"/>
  <c r="J16" i="120" s="1"/>
  <c r="K16" i="120" s="1"/>
  <c r="L16" i="120" s="1"/>
  <c r="T16" i="120" s="1"/>
  <c r="W16" i="120" s="1"/>
  <c r="G12" i="90"/>
  <c r="F10" i="117"/>
  <c r="S10" i="117" s="1"/>
  <c r="V10" i="117" s="1"/>
  <c r="G10" i="120"/>
  <c r="F12" i="108"/>
  <c r="G12" i="108" s="1"/>
  <c r="H12" i="108" s="1"/>
  <c r="I12" i="108" s="1"/>
  <c r="F11" i="106"/>
  <c r="G11" i="106" s="1"/>
  <c r="F15" i="102"/>
  <c r="G15" i="102" s="1"/>
  <c r="H15" i="102" s="1"/>
  <c r="I15" i="102" s="1"/>
  <c r="J15" i="102" s="1"/>
  <c r="K15" i="102" s="1"/>
  <c r="L15" i="102" s="1"/>
  <c r="G10" i="121"/>
  <c r="R10" i="121" s="1"/>
  <c r="F10" i="119"/>
  <c r="T10" i="119" s="1"/>
  <c r="W10" i="119" s="1"/>
  <c r="M16" i="121"/>
  <c r="N16" i="121" s="1"/>
  <c r="N13" i="120"/>
  <c r="R15" i="116"/>
  <c r="N15" i="116"/>
  <c r="E49" i="112"/>
  <c r="N16" i="107"/>
  <c r="E25" i="112"/>
  <c r="AA31" i="95" s="1"/>
  <c r="AA19" i="95"/>
  <c r="R11" i="90"/>
  <c r="E37" i="90" s="1"/>
  <c r="E43" i="95" s="1"/>
  <c r="E34" i="120"/>
  <c r="G34" i="120" s="1"/>
  <c r="E22" i="120"/>
  <c r="G22" i="120" s="1"/>
  <c r="N10" i="109"/>
  <c r="N16" i="111"/>
  <c r="U8" i="111"/>
  <c r="U8" i="102"/>
  <c r="U9" i="80"/>
  <c r="U8" i="104"/>
  <c r="U8" i="105"/>
  <c r="G22" i="121"/>
  <c r="U9" i="121"/>
  <c r="G34" i="121"/>
  <c r="G46" i="121"/>
  <c r="N9" i="116"/>
  <c r="R9" i="116"/>
  <c r="F13" i="107"/>
  <c r="G13" i="107" s="1"/>
  <c r="H13" i="107" s="1"/>
  <c r="I13" i="107" s="1"/>
  <c r="J13" i="107" s="1"/>
  <c r="F13" i="111"/>
  <c r="G45" i="119"/>
  <c r="F45" i="119"/>
  <c r="F22" i="121"/>
  <c r="F34" i="121"/>
  <c r="F46" i="121"/>
  <c r="G13" i="121"/>
  <c r="U8" i="119"/>
  <c r="G15" i="120"/>
  <c r="F14" i="118"/>
  <c r="G46" i="116"/>
  <c r="G22" i="116"/>
  <c r="G16" i="116"/>
  <c r="G33" i="118"/>
  <c r="F33" i="118"/>
  <c r="G45" i="118"/>
  <c r="F45" i="118"/>
  <c r="U8" i="99"/>
  <c r="U4" i="95" s="1"/>
  <c r="R8" i="117"/>
  <c r="G45" i="117"/>
  <c r="F45" i="117"/>
  <c r="G33" i="117"/>
  <c r="F33" i="117"/>
  <c r="G13" i="116"/>
  <c r="U8" i="112"/>
  <c r="U8" i="108"/>
  <c r="F12" i="119"/>
  <c r="G12" i="119" s="1"/>
  <c r="H12" i="119" s="1"/>
  <c r="R15" i="105"/>
  <c r="N9" i="111"/>
  <c r="G21" i="119"/>
  <c r="F21" i="119"/>
  <c r="F12" i="118"/>
  <c r="F15" i="118"/>
  <c r="F16" i="118"/>
  <c r="R9" i="121"/>
  <c r="N9" i="121"/>
  <c r="E22" i="119"/>
  <c r="E34" i="119"/>
  <c r="E46" i="119"/>
  <c r="E9" i="115"/>
  <c r="S9" i="115" s="1"/>
  <c r="V9" i="115" s="1"/>
  <c r="U8" i="106"/>
  <c r="E13" i="115"/>
  <c r="G14" i="121"/>
  <c r="F9" i="118"/>
  <c r="E16" i="115"/>
  <c r="E11" i="115"/>
  <c r="U8" i="103"/>
  <c r="G21" i="117"/>
  <c r="F21" i="117"/>
  <c r="E14" i="115"/>
  <c r="E10" i="115"/>
  <c r="U8" i="110"/>
  <c r="U9" i="90"/>
  <c r="G33" i="119"/>
  <c r="F33" i="119"/>
  <c r="F13" i="118"/>
  <c r="F15" i="119"/>
  <c r="E29" i="117"/>
  <c r="E41" i="117"/>
  <c r="E53" i="117"/>
  <c r="E12" i="115"/>
  <c r="F12" i="115" s="1"/>
  <c r="G12" i="115" s="1"/>
  <c r="H12" i="115" s="1"/>
  <c r="I12" i="115" s="1"/>
  <c r="N12" i="115" s="1"/>
  <c r="F11" i="117"/>
  <c r="G11" i="117" s="1"/>
  <c r="G21" i="118"/>
  <c r="F21" i="118"/>
  <c r="F22" i="116"/>
  <c r="F34" i="116"/>
  <c r="F46" i="116"/>
  <c r="F13" i="103"/>
  <c r="F12" i="106"/>
  <c r="G12" i="106" s="1"/>
  <c r="H12" i="106" s="1"/>
  <c r="I12" i="106" s="1"/>
  <c r="G14" i="116"/>
  <c r="H14" i="116" s="1"/>
  <c r="I14" i="116" s="1"/>
  <c r="J14" i="116" s="1"/>
  <c r="S14" i="116" s="1"/>
  <c r="V14" i="116" s="1"/>
  <c r="G14" i="120"/>
  <c r="F9" i="119"/>
  <c r="G34" i="116"/>
  <c r="G11" i="121"/>
  <c r="S11" i="121" s="1"/>
  <c r="V11" i="121" s="1"/>
  <c r="U9" i="116"/>
  <c r="E45" i="115"/>
  <c r="E33" i="115"/>
  <c r="E21" i="115"/>
  <c r="F13" i="117"/>
  <c r="F13" i="119"/>
  <c r="G13" i="119" s="1"/>
  <c r="H13" i="119" s="1"/>
  <c r="I13" i="119" s="1"/>
  <c r="E15" i="115"/>
  <c r="E8" i="115"/>
  <c r="N8" i="115" s="1"/>
  <c r="G10" i="90"/>
  <c r="F13" i="101"/>
  <c r="F10" i="105"/>
  <c r="T10" i="105" s="1"/>
  <c r="W10" i="105" s="1"/>
  <c r="G12" i="112"/>
  <c r="H12" i="112" s="1"/>
  <c r="I12" i="112" s="1"/>
  <c r="F13" i="99"/>
  <c r="G13" i="99" s="1"/>
  <c r="H13" i="99" s="1"/>
  <c r="I13" i="99" s="1"/>
  <c r="J13" i="99" s="1"/>
  <c r="N13" i="99" s="1"/>
  <c r="U17" i="35"/>
  <c r="E2" i="96"/>
  <c r="D4" i="96" s="1"/>
  <c r="N17" i="35"/>
  <c r="R17" i="35"/>
  <c r="X18" i="95"/>
  <c r="E24" i="109"/>
  <c r="X30" i="95" s="1"/>
  <c r="E48" i="109"/>
  <c r="X54" i="95" s="1"/>
  <c r="E36" i="109"/>
  <c r="X42" i="95" s="1"/>
  <c r="R15" i="103"/>
  <c r="N8" i="104"/>
  <c r="E22" i="93"/>
  <c r="H28" i="95" s="1"/>
  <c r="E54" i="107"/>
  <c r="V60" i="95" s="1"/>
  <c r="E30" i="107"/>
  <c r="V36" i="95" s="1"/>
  <c r="V24" i="95"/>
  <c r="E42" i="107"/>
  <c r="V48" i="95" s="1"/>
  <c r="N12" i="105"/>
  <c r="R8" i="108"/>
  <c r="N8" i="108"/>
  <c r="N8" i="101"/>
  <c r="E46" i="93"/>
  <c r="E34" i="93"/>
  <c r="H40" i="95" s="1"/>
  <c r="H16" i="95"/>
  <c r="E46" i="90"/>
  <c r="F46" i="90" s="1"/>
  <c r="E34" i="90"/>
  <c r="E40" i="95" s="1"/>
  <c r="R16" i="105"/>
  <c r="E28" i="95"/>
  <c r="G22" i="90"/>
  <c r="F22" i="90"/>
  <c r="B28" i="95"/>
  <c r="G22" i="80"/>
  <c r="B40" i="95"/>
  <c r="G34" i="80"/>
  <c r="E16" i="95"/>
  <c r="B52" i="95"/>
  <c r="G46" i="80"/>
  <c r="F33" i="89"/>
  <c r="G33" i="89"/>
  <c r="F33" i="104"/>
  <c r="G33" i="104"/>
  <c r="F33" i="105"/>
  <c r="G33" i="105"/>
  <c r="R8" i="99"/>
  <c r="F33" i="103"/>
  <c r="G33" i="103"/>
  <c r="F33" i="99"/>
  <c r="G33" i="99"/>
  <c r="F33" i="100"/>
  <c r="G33" i="100"/>
  <c r="F33" i="101"/>
  <c r="G33" i="101"/>
  <c r="F33" i="102"/>
  <c r="G33" i="102"/>
  <c r="R8" i="102"/>
  <c r="F33" i="106"/>
  <c r="G33" i="106"/>
  <c r="F45" i="112"/>
  <c r="G45" i="112"/>
  <c r="Q16" i="95"/>
  <c r="E22" i="104"/>
  <c r="E34" i="104"/>
  <c r="E46" i="104"/>
  <c r="F12" i="99"/>
  <c r="F13" i="112"/>
  <c r="N12" i="88"/>
  <c r="R12" i="88"/>
  <c r="P51" i="95"/>
  <c r="F45" i="103"/>
  <c r="F11" i="89"/>
  <c r="G11" i="89" s="1"/>
  <c r="H11" i="89" s="1"/>
  <c r="H13" i="90"/>
  <c r="R8" i="105"/>
  <c r="F9" i="102"/>
  <c r="F33" i="110"/>
  <c r="Y39" i="95"/>
  <c r="F33" i="112"/>
  <c r="AA39" i="95"/>
  <c r="F21" i="89"/>
  <c r="L39" i="95"/>
  <c r="F12" i="101"/>
  <c r="F11" i="102"/>
  <c r="B10" i="91"/>
  <c r="D10" i="91"/>
  <c r="B13" i="91"/>
  <c r="D13" i="91"/>
  <c r="F14" i="99"/>
  <c r="F14" i="112"/>
  <c r="G14" i="112" s="1"/>
  <c r="H14" i="112" s="1"/>
  <c r="I14" i="112" s="1"/>
  <c r="J14" i="112" s="1"/>
  <c r="K14" i="112" s="1"/>
  <c r="F21" i="101"/>
  <c r="N39" i="95"/>
  <c r="N27" i="95"/>
  <c r="AA16" i="95"/>
  <c r="E46" i="112"/>
  <c r="E34" i="112"/>
  <c r="E22" i="112"/>
  <c r="Z16" i="95"/>
  <c r="E22" i="111"/>
  <c r="E34" i="111"/>
  <c r="E46" i="111"/>
  <c r="N8" i="107"/>
  <c r="F21" i="103"/>
  <c r="P39" i="95"/>
  <c r="P27" i="95"/>
  <c r="F10" i="99"/>
  <c r="T10" i="99" s="1"/>
  <c r="W10" i="99" s="1"/>
  <c r="F14" i="89"/>
  <c r="G11" i="109"/>
  <c r="T11" i="109" s="1"/>
  <c r="W11" i="109" s="1"/>
  <c r="E47" i="88"/>
  <c r="D17" i="95"/>
  <c r="E23" i="88"/>
  <c r="E35" i="88"/>
  <c r="E13" i="94"/>
  <c r="F13" i="94" s="1"/>
  <c r="G13" i="94" s="1"/>
  <c r="H13" i="94" s="1"/>
  <c r="I13" i="94" s="1"/>
  <c r="J13" i="94" s="1"/>
  <c r="N13" i="94" s="1"/>
  <c r="F21" i="110"/>
  <c r="Y27" i="95"/>
  <c r="N9" i="90"/>
  <c r="R9" i="90"/>
  <c r="E15" i="87"/>
  <c r="F15" i="87" s="1"/>
  <c r="G15" i="87" s="1"/>
  <c r="H15" i="87" s="1"/>
  <c r="I15" i="87" s="1"/>
  <c r="J15" i="87" s="1"/>
  <c r="K15" i="87" s="1"/>
  <c r="L15" i="87" s="1"/>
  <c r="R15" i="87" s="1"/>
  <c r="F9" i="101"/>
  <c r="Q51" i="95"/>
  <c r="F45" i="104"/>
  <c r="F34" i="80"/>
  <c r="B8" i="91"/>
  <c r="D8" i="91"/>
  <c r="T8" i="91" s="1"/>
  <c r="W8" i="91" s="1"/>
  <c r="D14" i="91"/>
  <c r="B14" i="91"/>
  <c r="D16" i="91"/>
  <c r="B16" i="91"/>
  <c r="F15" i="89"/>
  <c r="R8" i="89"/>
  <c r="N8" i="112"/>
  <c r="F9" i="89"/>
  <c r="F33" i="111"/>
  <c r="Z39" i="95"/>
  <c r="F21" i="102"/>
  <c r="O39" i="95"/>
  <c r="O27" i="95"/>
  <c r="H14" i="88"/>
  <c r="I14" i="88" s="1"/>
  <c r="J14" i="88" s="1"/>
  <c r="S14" i="88" s="1"/>
  <c r="V14" i="88" s="1"/>
  <c r="F14" i="105"/>
  <c r="G14" i="105" s="1"/>
  <c r="H14" i="105" s="1"/>
  <c r="I14" i="105" s="1"/>
  <c r="J14" i="105" s="1"/>
  <c r="K14" i="105" s="1"/>
  <c r="F14" i="104"/>
  <c r="G14" i="104" s="1"/>
  <c r="H14" i="104" s="1"/>
  <c r="I14" i="104" s="1"/>
  <c r="J14" i="104" s="1"/>
  <c r="K14" i="104" s="1"/>
  <c r="F45" i="106"/>
  <c r="S51" i="95"/>
  <c r="C15" i="95"/>
  <c r="E33" i="87"/>
  <c r="G33" i="87" s="1"/>
  <c r="E21" i="87"/>
  <c r="G21" i="87" s="1"/>
  <c r="E45" i="87"/>
  <c r="G45" i="87" s="1"/>
  <c r="G15" i="93"/>
  <c r="H15" i="93" s="1"/>
  <c r="I15" i="93" s="1"/>
  <c r="J15" i="93" s="1"/>
  <c r="K15" i="93" s="1"/>
  <c r="T15" i="93" s="1"/>
  <c r="W15" i="93" s="1"/>
  <c r="E24" i="108"/>
  <c r="E48" i="108"/>
  <c r="E36" i="108"/>
  <c r="W18" i="95"/>
  <c r="F11" i="110"/>
  <c r="F46" i="80"/>
  <c r="B11" i="91"/>
  <c r="D11" i="91"/>
  <c r="R8" i="103"/>
  <c r="X16" i="95"/>
  <c r="E34" i="109"/>
  <c r="E46" i="109"/>
  <c r="E22" i="109"/>
  <c r="E9" i="87"/>
  <c r="T9" i="87" s="1"/>
  <c r="W9" i="87" s="1"/>
  <c r="F45" i="111"/>
  <c r="Z51" i="95"/>
  <c r="G11" i="111"/>
  <c r="T11" i="111" s="1"/>
  <c r="W11" i="111" s="1"/>
  <c r="F14" i="110"/>
  <c r="F45" i="107"/>
  <c r="V51" i="95"/>
  <c r="E16" i="94"/>
  <c r="F21" i="106"/>
  <c r="S39" i="95"/>
  <c r="S27" i="95"/>
  <c r="E54" i="111"/>
  <c r="E30" i="111"/>
  <c r="Z24" i="95"/>
  <c r="E42" i="111"/>
  <c r="F33" i="108"/>
  <c r="W39" i="95"/>
  <c r="F16" i="110"/>
  <c r="B9" i="91"/>
  <c r="D9" i="91"/>
  <c r="F15" i="112"/>
  <c r="G13" i="93"/>
  <c r="N8" i="109"/>
  <c r="N8" i="103"/>
  <c r="V16" i="95"/>
  <c r="E34" i="107"/>
  <c r="E46" i="107"/>
  <c r="E22" i="107"/>
  <c r="F21" i="111"/>
  <c r="Z27" i="95"/>
  <c r="E47" i="111"/>
  <c r="Z17" i="95"/>
  <c r="E23" i="111"/>
  <c r="E35" i="111"/>
  <c r="O22" i="95"/>
  <c r="E28" i="102"/>
  <c r="E52" i="102"/>
  <c r="E40" i="102"/>
  <c r="G16" i="102"/>
  <c r="H16" i="102" s="1"/>
  <c r="I16" i="102" s="1"/>
  <c r="J16" i="102" s="1"/>
  <c r="K16" i="102" s="1"/>
  <c r="L16" i="102" s="1"/>
  <c r="M16" i="102" s="1"/>
  <c r="F21" i="107"/>
  <c r="V27" i="95"/>
  <c r="F45" i="102"/>
  <c r="O51" i="95"/>
  <c r="E16" i="87"/>
  <c r="F16" i="87" s="1"/>
  <c r="G16" i="87" s="1"/>
  <c r="H16" i="87" s="1"/>
  <c r="I16" i="87" s="1"/>
  <c r="J16" i="87" s="1"/>
  <c r="K16" i="87" s="1"/>
  <c r="L16" i="87" s="1"/>
  <c r="M16" i="87" s="1"/>
  <c r="N16" i="87" s="1"/>
  <c r="F9" i="110"/>
  <c r="D7" i="92"/>
  <c r="C14" i="92"/>
  <c r="C16" i="92"/>
  <c r="C12" i="92"/>
  <c r="C10" i="92"/>
  <c r="C13" i="92"/>
  <c r="C9" i="92"/>
  <c r="C11" i="92"/>
  <c r="C15" i="92"/>
  <c r="C8" i="92"/>
  <c r="E12" i="87"/>
  <c r="F45" i="99"/>
  <c r="U51" i="95"/>
  <c r="E15" i="94"/>
  <c r="F45" i="108"/>
  <c r="W51" i="95"/>
  <c r="E14" i="94"/>
  <c r="F9" i="105"/>
  <c r="I15" i="95"/>
  <c r="E33" i="94"/>
  <c r="E45" i="94"/>
  <c r="E21" i="94"/>
  <c r="E9" i="94"/>
  <c r="S9" i="94" s="1"/>
  <c r="V9" i="94" s="1"/>
  <c r="F33" i="107"/>
  <c r="V39" i="95"/>
  <c r="F16" i="112"/>
  <c r="X27" i="95"/>
  <c r="F21" i="109"/>
  <c r="F21" i="99"/>
  <c r="U39" i="95"/>
  <c r="U27" i="95"/>
  <c r="F11" i="99"/>
  <c r="G12" i="93"/>
  <c r="F21" i="108"/>
  <c r="W27" i="95"/>
  <c r="E12" i="94"/>
  <c r="F22" i="80"/>
  <c r="D15" i="91"/>
  <c r="B15" i="91"/>
  <c r="E14" i="87"/>
  <c r="N16" i="95"/>
  <c r="E46" i="101"/>
  <c r="E34" i="101"/>
  <c r="E22" i="101"/>
  <c r="E10" i="87"/>
  <c r="E46" i="88"/>
  <c r="E34" i="88"/>
  <c r="D16" i="95"/>
  <c r="D30" i="32" s="1"/>
  <c r="E22" i="88"/>
  <c r="F45" i="105"/>
  <c r="R51" i="95"/>
  <c r="F45" i="101"/>
  <c r="N51" i="95"/>
  <c r="E11" i="87"/>
  <c r="F11" i="105"/>
  <c r="E11" i="94"/>
  <c r="F45" i="109"/>
  <c r="X51" i="95"/>
  <c r="F13" i="102"/>
  <c r="E13" i="87"/>
  <c r="H15" i="88"/>
  <c r="G14" i="93"/>
  <c r="F10" i="101"/>
  <c r="T10" i="101" s="1"/>
  <c r="W10" i="101" s="1"/>
  <c r="F15" i="110"/>
  <c r="R7" i="91"/>
  <c r="N7" i="91"/>
  <c r="F21" i="100"/>
  <c r="M39" i="95"/>
  <c r="M27" i="95"/>
  <c r="N8" i="111"/>
  <c r="F21" i="105"/>
  <c r="R39" i="95"/>
  <c r="R27" i="95"/>
  <c r="E38" i="105"/>
  <c r="R20" i="95"/>
  <c r="E50" i="105"/>
  <c r="E26" i="105"/>
  <c r="F13" i="110"/>
  <c r="X39" i="95"/>
  <c r="F33" i="109"/>
  <c r="F45" i="110"/>
  <c r="Y51" i="95"/>
  <c r="N16" i="103"/>
  <c r="R16" i="103"/>
  <c r="F9" i="112"/>
  <c r="E10" i="94"/>
  <c r="F21" i="112"/>
  <c r="AA51" i="95"/>
  <c r="AA27" i="95"/>
  <c r="F45" i="89"/>
  <c r="L51" i="95"/>
  <c r="Q39" i="95"/>
  <c r="Q27" i="95"/>
  <c r="F21" i="104"/>
  <c r="B12" i="91"/>
  <c r="D12" i="91"/>
  <c r="H16" i="88"/>
  <c r="F45" i="100"/>
  <c r="M51" i="95"/>
  <c r="E8" i="87"/>
  <c r="R8" i="87" s="1"/>
  <c r="N8" i="94" l="1"/>
  <c r="G46" i="88"/>
  <c r="G22" i="88"/>
  <c r="D4" i="95"/>
  <c r="P9" i="97" s="1"/>
  <c r="G34" i="88"/>
  <c r="R14" i="100"/>
  <c r="U10" i="88"/>
  <c r="U11" i="88" s="1"/>
  <c r="E38" i="117"/>
  <c r="N12" i="117"/>
  <c r="X4" i="95"/>
  <c r="G22" i="109"/>
  <c r="F33" i="93"/>
  <c r="E24" i="80"/>
  <c r="B30" i="95" s="1"/>
  <c r="N21" i="97" s="1"/>
  <c r="N9" i="100"/>
  <c r="R10" i="93"/>
  <c r="I3" i="95"/>
  <c r="U8" i="97" s="1"/>
  <c r="E26" i="117"/>
  <c r="P19" i="95"/>
  <c r="E50" i="117"/>
  <c r="G21" i="94"/>
  <c r="G21" i="93"/>
  <c r="G45" i="94"/>
  <c r="F21" i="93"/>
  <c r="G33" i="94"/>
  <c r="G10" i="106"/>
  <c r="N10" i="106" s="1"/>
  <c r="H3" i="95"/>
  <c r="T8" i="97" s="1"/>
  <c r="E52" i="117"/>
  <c r="U8" i="93"/>
  <c r="E28" i="117"/>
  <c r="F45" i="93"/>
  <c r="E48" i="80"/>
  <c r="B54" i="95" s="1"/>
  <c r="N14" i="117"/>
  <c r="G33" i="93"/>
  <c r="N12" i="104"/>
  <c r="G10" i="111"/>
  <c r="N10" i="111" s="1"/>
  <c r="G45" i="93"/>
  <c r="R16" i="106"/>
  <c r="E41" i="99"/>
  <c r="R13" i="108"/>
  <c r="H17" i="95"/>
  <c r="H31" i="32" s="1"/>
  <c r="E47" i="93"/>
  <c r="E35" i="93"/>
  <c r="H41" i="95" s="1"/>
  <c r="E23" i="93"/>
  <c r="N10" i="80"/>
  <c r="B18" i="95"/>
  <c r="B32" i="32" s="1"/>
  <c r="E36" i="104"/>
  <c r="N10" i="104"/>
  <c r="H4" i="96"/>
  <c r="T7" i="96" s="1"/>
  <c r="W7" i="96" s="1"/>
  <c r="N10" i="88"/>
  <c r="E25" i="80"/>
  <c r="B31" i="95" s="1"/>
  <c r="E52" i="119"/>
  <c r="E40" i="119"/>
  <c r="J4" i="92"/>
  <c r="E49" i="80"/>
  <c r="B55" i="95" s="1"/>
  <c r="E37" i="80"/>
  <c r="B43" i="95" s="1"/>
  <c r="L15" i="121"/>
  <c r="R15" i="121" s="1"/>
  <c r="E47" i="99"/>
  <c r="U53" i="95" s="1"/>
  <c r="E52" i="111"/>
  <c r="Z58" i="95" s="1"/>
  <c r="U17" i="95"/>
  <c r="E28" i="111"/>
  <c r="Z34" i="95" s="1"/>
  <c r="E23" i="99"/>
  <c r="U41" i="95" s="1"/>
  <c r="S7" i="92"/>
  <c r="V7" i="92" s="1"/>
  <c r="Z22" i="95"/>
  <c r="K2" i="96"/>
  <c r="E35" i="99"/>
  <c r="N15" i="109"/>
  <c r="E40" i="111"/>
  <c r="Z46" i="95" s="1"/>
  <c r="F4" i="96"/>
  <c r="S7" i="96" s="1"/>
  <c r="V7" i="96" s="1"/>
  <c r="N9" i="99"/>
  <c r="B19" i="95"/>
  <c r="Q18" i="95"/>
  <c r="E28" i="119"/>
  <c r="N11" i="107"/>
  <c r="S11" i="107"/>
  <c r="V11" i="107" s="1"/>
  <c r="N12" i="102"/>
  <c r="N14" i="119"/>
  <c r="R11" i="108"/>
  <c r="E24" i="110"/>
  <c r="Y30" i="95" s="1"/>
  <c r="E36" i="110"/>
  <c r="Y42" i="95" s="1"/>
  <c r="Y18" i="95"/>
  <c r="E27" i="105"/>
  <c r="R45" i="95" s="1"/>
  <c r="N10" i="110"/>
  <c r="E48" i="110"/>
  <c r="Y54" i="95" s="1"/>
  <c r="E42" i="119"/>
  <c r="E39" i="109"/>
  <c r="X45" i="95" s="1"/>
  <c r="S10" i="110"/>
  <c r="V10" i="110" s="1"/>
  <c r="R15" i="104"/>
  <c r="T11" i="116"/>
  <c r="W11" i="116" s="1"/>
  <c r="N13" i="105"/>
  <c r="R21" i="95"/>
  <c r="S11" i="116"/>
  <c r="V11" i="116" s="1"/>
  <c r="U12" i="122"/>
  <c r="U13" i="122" s="1"/>
  <c r="W12" i="122"/>
  <c r="U9" i="117"/>
  <c r="G47" i="117" s="1"/>
  <c r="V9" i="117"/>
  <c r="T10" i="111"/>
  <c r="W10" i="111" s="1"/>
  <c r="E30" i="119"/>
  <c r="N16" i="119"/>
  <c r="R11" i="118"/>
  <c r="R10" i="112"/>
  <c r="R16" i="99"/>
  <c r="S16" i="106"/>
  <c r="V16" i="106" s="1"/>
  <c r="R9" i="106"/>
  <c r="E39" i="105"/>
  <c r="E51" i="105"/>
  <c r="R57" i="95" s="1"/>
  <c r="E24" i="104"/>
  <c r="Q42" i="95" s="1"/>
  <c r="E48" i="104"/>
  <c r="Q54" i="95" s="1"/>
  <c r="S12" i="103"/>
  <c r="V12" i="103" s="1"/>
  <c r="R12" i="103"/>
  <c r="E49" i="101"/>
  <c r="N55" i="95" s="1"/>
  <c r="E28" i="101"/>
  <c r="N46" i="95" s="1"/>
  <c r="E30" i="89"/>
  <c r="L48" i="95" s="1"/>
  <c r="E51" i="80"/>
  <c r="B57" i="95" s="1"/>
  <c r="E27" i="80"/>
  <c r="B33" i="95" s="1"/>
  <c r="E29" i="80"/>
  <c r="B35" i="95" s="1"/>
  <c r="N11" i="80"/>
  <c r="E41" i="80"/>
  <c r="B47" i="95" s="1"/>
  <c r="R16" i="80"/>
  <c r="E42" i="80" s="1"/>
  <c r="B48" i="95" s="1"/>
  <c r="E39" i="80"/>
  <c r="B45" i="95" s="1"/>
  <c r="B23" i="95"/>
  <c r="N15" i="80"/>
  <c r="G35" i="120"/>
  <c r="E49" i="103"/>
  <c r="P55" i="95" s="1"/>
  <c r="E28" i="108"/>
  <c r="W34" i="95" s="1"/>
  <c r="E52" i="108"/>
  <c r="W58" i="95" s="1"/>
  <c r="E37" i="103"/>
  <c r="E25" i="103"/>
  <c r="P31" i="95" s="1"/>
  <c r="N11" i="103"/>
  <c r="E40" i="108"/>
  <c r="W46" i="95" s="1"/>
  <c r="J14" i="122"/>
  <c r="K14" i="122" s="1"/>
  <c r="T15" i="80"/>
  <c r="W15" i="80" s="1"/>
  <c r="T12" i="103"/>
  <c r="W12" i="103" s="1"/>
  <c r="E42" i="89"/>
  <c r="E51" i="122"/>
  <c r="E27" i="122"/>
  <c r="E39" i="122"/>
  <c r="E54" i="89"/>
  <c r="L60" i="95" s="1"/>
  <c r="E22" i="118"/>
  <c r="G22" i="118" s="1"/>
  <c r="G48" i="122"/>
  <c r="F48" i="122"/>
  <c r="G24" i="122"/>
  <c r="F24" i="122"/>
  <c r="N15" i="108"/>
  <c r="L24" i="95"/>
  <c r="E34" i="118"/>
  <c r="G34" i="118" s="1"/>
  <c r="R15" i="101"/>
  <c r="T12" i="117"/>
  <c r="W12" i="117" s="1"/>
  <c r="R12" i="122"/>
  <c r="N12" i="122"/>
  <c r="R15" i="100"/>
  <c r="N16" i="89"/>
  <c r="S15" i="100"/>
  <c r="V15" i="100" s="1"/>
  <c r="E30" i="122"/>
  <c r="E54" i="122"/>
  <c r="E42" i="122"/>
  <c r="G36" i="122"/>
  <c r="F36" i="122"/>
  <c r="E54" i="119"/>
  <c r="N14" i="111"/>
  <c r="N12" i="110"/>
  <c r="E27" i="109"/>
  <c r="X33" i="95" s="1"/>
  <c r="X21" i="95"/>
  <c r="R12" i="109"/>
  <c r="N13" i="109"/>
  <c r="T12" i="109"/>
  <c r="W12" i="109" s="1"/>
  <c r="S12" i="109"/>
  <c r="V12" i="109" s="1"/>
  <c r="E51" i="109"/>
  <c r="X57" i="95" s="1"/>
  <c r="N14" i="108"/>
  <c r="W22" i="95"/>
  <c r="R16" i="108"/>
  <c r="G10" i="107"/>
  <c r="N10" i="107" s="1"/>
  <c r="S12" i="104"/>
  <c r="V12" i="104" s="1"/>
  <c r="R10" i="102"/>
  <c r="T10" i="102"/>
  <c r="W10" i="102" s="1"/>
  <c r="E25" i="101"/>
  <c r="N43" i="95" s="1"/>
  <c r="E37" i="101"/>
  <c r="N11" i="101"/>
  <c r="N19" i="95"/>
  <c r="S11" i="101"/>
  <c r="V11" i="101" s="1"/>
  <c r="E22" i="100"/>
  <c r="F22" i="100" s="1"/>
  <c r="T14" i="90"/>
  <c r="W14" i="90" s="1"/>
  <c r="T16" i="90"/>
  <c r="W16" i="90" s="1"/>
  <c r="S14" i="90"/>
  <c r="V14" i="90" s="1"/>
  <c r="G23" i="120"/>
  <c r="G46" i="118"/>
  <c r="U8" i="87"/>
  <c r="G22" i="107"/>
  <c r="F34" i="107"/>
  <c r="F46" i="107"/>
  <c r="U9" i="107"/>
  <c r="G47" i="120"/>
  <c r="T10" i="112"/>
  <c r="W10" i="112" s="1"/>
  <c r="S15" i="109"/>
  <c r="V15" i="109" s="1"/>
  <c r="S11" i="80"/>
  <c r="V11" i="80" s="1"/>
  <c r="S11" i="108"/>
  <c r="V11" i="108" s="1"/>
  <c r="S11" i="118"/>
  <c r="V11" i="118" s="1"/>
  <c r="S12" i="110"/>
  <c r="V12" i="110" s="1"/>
  <c r="S13" i="105"/>
  <c r="V13" i="105" s="1"/>
  <c r="T11" i="108"/>
  <c r="W11" i="108" s="1"/>
  <c r="T11" i="118"/>
  <c r="W11" i="118" s="1"/>
  <c r="R9" i="103"/>
  <c r="N9" i="109"/>
  <c r="S10" i="107"/>
  <c r="V10" i="107" s="1"/>
  <c r="S11" i="103"/>
  <c r="V11" i="103" s="1"/>
  <c r="R13" i="89"/>
  <c r="T11" i="103"/>
  <c r="W11" i="103" s="1"/>
  <c r="T15" i="90"/>
  <c r="W15" i="90" s="1"/>
  <c r="T12" i="104"/>
  <c r="W12" i="104" s="1"/>
  <c r="N11" i="100"/>
  <c r="S16" i="80"/>
  <c r="V16" i="80" s="1"/>
  <c r="U8" i="115"/>
  <c r="E53" i="99"/>
  <c r="U59" i="95" s="1"/>
  <c r="E52" i="101"/>
  <c r="N58" i="95" s="1"/>
  <c r="N15" i="99"/>
  <c r="R16" i="104"/>
  <c r="G10" i="89"/>
  <c r="R10" i="89" s="1"/>
  <c r="E29" i="99"/>
  <c r="U47" i="95" s="1"/>
  <c r="N14" i="101"/>
  <c r="E40" i="101"/>
  <c r="N22" i="95"/>
  <c r="R12" i="89"/>
  <c r="R10" i="118"/>
  <c r="R16" i="117"/>
  <c r="E30" i="117" s="1"/>
  <c r="R13" i="104"/>
  <c r="S14" i="119"/>
  <c r="V14" i="119" s="1"/>
  <c r="T10" i="110"/>
  <c r="W10" i="110" s="1"/>
  <c r="T14" i="111"/>
  <c r="W14" i="111" s="1"/>
  <c r="S16" i="119"/>
  <c r="V16" i="119" s="1"/>
  <c r="T15" i="108"/>
  <c r="W15" i="108" s="1"/>
  <c r="T13" i="108"/>
  <c r="W13" i="108" s="1"/>
  <c r="S15" i="104"/>
  <c r="V15" i="104" s="1"/>
  <c r="S14" i="106"/>
  <c r="V14" i="106" s="1"/>
  <c r="S12" i="89"/>
  <c r="V12" i="89" s="1"/>
  <c r="U23" i="95"/>
  <c r="R14" i="106"/>
  <c r="I12" i="120"/>
  <c r="N12" i="120" s="1"/>
  <c r="R11" i="119"/>
  <c r="S12" i="120"/>
  <c r="V12" i="120" s="1"/>
  <c r="S15" i="106"/>
  <c r="V15" i="106" s="1"/>
  <c r="T11" i="119"/>
  <c r="W11" i="119" s="1"/>
  <c r="S15" i="108"/>
  <c r="V15" i="108" s="1"/>
  <c r="S16" i="104"/>
  <c r="V16" i="104" s="1"/>
  <c r="T15" i="104"/>
  <c r="W15" i="104" s="1"/>
  <c r="T14" i="106"/>
  <c r="W14" i="106" s="1"/>
  <c r="T12" i="89"/>
  <c r="W12" i="89" s="1"/>
  <c r="E50" i="80"/>
  <c r="B56" i="95" s="1"/>
  <c r="B20" i="95"/>
  <c r="E38" i="80"/>
  <c r="B44" i="95" s="1"/>
  <c r="E26" i="80"/>
  <c r="B32" i="95" s="1"/>
  <c r="S13" i="104"/>
  <c r="V13" i="104" s="1"/>
  <c r="S14" i="108"/>
  <c r="V14" i="108" s="1"/>
  <c r="T11" i="100"/>
  <c r="W11" i="100" s="1"/>
  <c r="S13" i="109"/>
  <c r="V13" i="109" s="1"/>
  <c r="T10" i="89"/>
  <c r="W10" i="89" s="1"/>
  <c r="S10" i="104"/>
  <c r="V10" i="104" s="1"/>
  <c r="T14" i="119"/>
  <c r="W14" i="119" s="1"/>
  <c r="T16" i="117"/>
  <c r="W16" i="117" s="1"/>
  <c r="T9" i="94"/>
  <c r="W9" i="94" s="1"/>
  <c r="S15" i="87"/>
  <c r="V15" i="87" s="1"/>
  <c r="S14" i="112"/>
  <c r="V14" i="112" s="1"/>
  <c r="S16" i="102"/>
  <c r="V16" i="102" s="1"/>
  <c r="S10" i="106"/>
  <c r="V10" i="106" s="1"/>
  <c r="T15" i="106"/>
  <c r="W15" i="106" s="1"/>
  <c r="T12" i="106"/>
  <c r="W12" i="106" s="1"/>
  <c r="S10" i="118"/>
  <c r="V10" i="118" s="1"/>
  <c r="S16" i="89"/>
  <c r="V16" i="89" s="1"/>
  <c r="T11" i="106"/>
  <c r="W11" i="106" s="1"/>
  <c r="S13" i="119"/>
  <c r="V13" i="119" s="1"/>
  <c r="T14" i="117"/>
  <c r="W14" i="117" s="1"/>
  <c r="S15" i="121"/>
  <c r="V15" i="121" s="1"/>
  <c r="T16" i="119"/>
  <c r="W16" i="119" s="1"/>
  <c r="T12" i="110"/>
  <c r="W12" i="110" s="1"/>
  <c r="S13" i="94"/>
  <c r="V13" i="94" s="1"/>
  <c r="T16" i="99"/>
  <c r="W16" i="99" s="1"/>
  <c r="S15" i="90"/>
  <c r="V15" i="90" s="1"/>
  <c r="S16" i="90"/>
  <c r="V16" i="90" s="1"/>
  <c r="S13" i="108"/>
  <c r="V13" i="108" s="1"/>
  <c r="S10" i="102"/>
  <c r="V10" i="102" s="1"/>
  <c r="T16" i="108"/>
  <c r="W16" i="108" s="1"/>
  <c r="S12" i="108"/>
  <c r="V12" i="108" s="1"/>
  <c r="S15" i="102"/>
  <c r="V15" i="102" s="1"/>
  <c r="S12" i="117"/>
  <c r="V12" i="117" s="1"/>
  <c r="T11" i="121"/>
  <c r="W11" i="121" s="1"/>
  <c r="T15" i="99"/>
  <c r="W15" i="99" s="1"/>
  <c r="T14" i="100"/>
  <c r="W14" i="100" s="1"/>
  <c r="T14" i="105"/>
  <c r="W14" i="105" s="1"/>
  <c r="S16" i="109"/>
  <c r="V16" i="109" s="1"/>
  <c r="T11" i="107"/>
  <c r="W11" i="107" s="1"/>
  <c r="S13" i="89"/>
  <c r="V13" i="89" s="1"/>
  <c r="T9" i="115"/>
  <c r="W9" i="115" s="1"/>
  <c r="S10" i="101"/>
  <c r="V10" i="101" s="1"/>
  <c r="T14" i="101"/>
  <c r="W14" i="101" s="1"/>
  <c r="S12" i="102"/>
  <c r="V12" i="102" s="1"/>
  <c r="S15" i="101"/>
  <c r="V15" i="101" s="1"/>
  <c r="T14" i="116"/>
  <c r="W14" i="116" s="1"/>
  <c r="T15" i="87"/>
  <c r="W15" i="87" s="1"/>
  <c r="T16" i="102"/>
  <c r="W16" i="102" s="1"/>
  <c r="H12" i="116"/>
  <c r="T14" i="108"/>
  <c r="W14" i="108" s="1"/>
  <c r="T13" i="109"/>
  <c r="W13" i="109" s="1"/>
  <c r="S9" i="87"/>
  <c r="V9" i="87" s="1"/>
  <c r="S12" i="106"/>
  <c r="V12" i="106" s="1"/>
  <c r="S10" i="100"/>
  <c r="V10" i="100" s="1"/>
  <c r="T16" i="89"/>
  <c r="W16" i="89" s="1"/>
  <c r="S16" i="120"/>
  <c r="V16" i="120" s="1"/>
  <c r="T13" i="94"/>
  <c r="W13" i="94" s="1"/>
  <c r="T12" i="108"/>
  <c r="W12" i="108" s="1"/>
  <c r="T15" i="102"/>
  <c r="W15" i="102" s="1"/>
  <c r="S11" i="120"/>
  <c r="V11" i="120" s="1"/>
  <c r="S14" i="104"/>
  <c r="V14" i="104" s="1"/>
  <c r="T14" i="88"/>
  <c r="W14" i="88" s="1"/>
  <c r="S13" i="106"/>
  <c r="V13" i="106" s="1"/>
  <c r="S11" i="109"/>
  <c r="V11" i="109" s="1"/>
  <c r="S12" i="119"/>
  <c r="V12" i="119" s="1"/>
  <c r="T16" i="109"/>
  <c r="W16" i="109" s="1"/>
  <c r="S12" i="107"/>
  <c r="V12" i="107" s="1"/>
  <c r="S11" i="117"/>
  <c r="V11" i="117" s="1"/>
  <c r="T15" i="101"/>
  <c r="W15" i="101" s="1"/>
  <c r="T11" i="89"/>
  <c r="W11" i="89" s="1"/>
  <c r="T12" i="112"/>
  <c r="W12" i="112" s="1"/>
  <c r="T13" i="88"/>
  <c r="W13" i="88" s="1"/>
  <c r="S12" i="112"/>
  <c r="V12" i="112" s="1"/>
  <c r="S13" i="99"/>
  <c r="V13" i="99" s="1"/>
  <c r="S10" i="105"/>
  <c r="V10" i="105" s="1"/>
  <c r="S15" i="93"/>
  <c r="V15" i="93" s="1"/>
  <c r="S11" i="89"/>
  <c r="V11" i="89" s="1"/>
  <c r="T10" i="100"/>
  <c r="W10" i="100" s="1"/>
  <c r="T10" i="117"/>
  <c r="S10" i="99"/>
  <c r="V10" i="99" s="1"/>
  <c r="T13" i="107"/>
  <c r="W13" i="107" s="1"/>
  <c r="T12" i="115"/>
  <c r="W12" i="115" s="1"/>
  <c r="S8" i="91"/>
  <c r="T14" i="104"/>
  <c r="W14" i="104" s="1"/>
  <c r="T16" i="87"/>
  <c r="W16" i="87" s="1"/>
  <c r="S11" i="111"/>
  <c r="V11" i="111" s="1"/>
  <c r="T12" i="107"/>
  <c r="W12" i="107" s="1"/>
  <c r="T11" i="117"/>
  <c r="W11" i="117" s="1"/>
  <c r="T12" i="119"/>
  <c r="W12" i="119" s="1"/>
  <c r="T13" i="104"/>
  <c r="W13" i="104" s="1"/>
  <c r="T15" i="100"/>
  <c r="W15" i="100" s="1"/>
  <c r="S11" i="100"/>
  <c r="V11" i="100" s="1"/>
  <c r="S10" i="112"/>
  <c r="V10" i="112" s="1"/>
  <c r="T10" i="104"/>
  <c r="W10" i="104" s="1"/>
  <c r="T15" i="109"/>
  <c r="W15" i="109" s="1"/>
  <c r="S16" i="117"/>
  <c r="V16" i="117" s="1"/>
  <c r="T13" i="99"/>
  <c r="W13" i="99" s="1"/>
  <c r="T14" i="112"/>
  <c r="W14" i="112" s="1"/>
  <c r="S14" i="111"/>
  <c r="V14" i="111" s="1"/>
  <c r="S15" i="80"/>
  <c r="V15" i="80" s="1"/>
  <c r="T11" i="80"/>
  <c r="W11" i="80" s="1"/>
  <c r="T10" i="118"/>
  <c r="W10" i="118" s="1"/>
  <c r="H11" i="93"/>
  <c r="T11" i="93"/>
  <c r="W11" i="93" s="1"/>
  <c r="S11" i="106"/>
  <c r="V11" i="106" s="1"/>
  <c r="T13" i="119"/>
  <c r="W13" i="119" s="1"/>
  <c r="S14" i="117"/>
  <c r="V14" i="117" s="1"/>
  <c r="S11" i="119"/>
  <c r="V11" i="119" s="1"/>
  <c r="T11" i="101"/>
  <c r="W11" i="101" s="1"/>
  <c r="S16" i="99"/>
  <c r="V16" i="99" s="1"/>
  <c r="S10" i="119"/>
  <c r="V10" i="119" s="1"/>
  <c r="T16" i="104"/>
  <c r="W16" i="104" s="1"/>
  <c r="S16" i="108"/>
  <c r="V16" i="108" s="1"/>
  <c r="T13" i="105"/>
  <c r="W13" i="105" s="1"/>
  <c r="S13" i="107"/>
  <c r="V13" i="107" s="1"/>
  <c r="S12" i="115"/>
  <c r="V12" i="115" s="1"/>
  <c r="S15" i="99"/>
  <c r="V15" i="99" s="1"/>
  <c r="S14" i="100"/>
  <c r="V14" i="100" s="1"/>
  <c r="S14" i="105"/>
  <c r="V14" i="105" s="1"/>
  <c r="S16" i="87"/>
  <c r="V16" i="87" s="1"/>
  <c r="T13" i="89"/>
  <c r="W13" i="89" s="1"/>
  <c r="T16" i="80"/>
  <c r="W16" i="80" s="1"/>
  <c r="S14" i="101"/>
  <c r="V14" i="101" s="1"/>
  <c r="T16" i="106"/>
  <c r="W16" i="106" s="1"/>
  <c r="T12" i="102"/>
  <c r="W12" i="102" s="1"/>
  <c r="T13" i="106"/>
  <c r="W13" i="106" s="1"/>
  <c r="E34" i="100"/>
  <c r="G34" i="100" s="1"/>
  <c r="M16" i="95"/>
  <c r="E46" i="100"/>
  <c r="F46" i="100" s="1"/>
  <c r="T14" i="97"/>
  <c r="H30" i="32"/>
  <c r="T19" i="97"/>
  <c r="H35" i="32"/>
  <c r="P15" i="97"/>
  <c r="D31" i="32"/>
  <c r="N9" i="97"/>
  <c r="B25" i="32"/>
  <c r="Q19" i="97"/>
  <c r="E35" i="32"/>
  <c r="Q14" i="97"/>
  <c r="E30" i="32"/>
  <c r="N19" i="97"/>
  <c r="B35" i="32"/>
  <c r="Q9" i="97"/>
  <c r="E25" i="32"/>
  <c r="E46" i="110"/>
  <c r="Y52" i="95" s="1"/>
  <c r="E28" i="80"/>
  <c r="B34" i="95" s="1"/>
  <c r="S16" i="95"/>
  <c r="N12" i="107"/>
  <c r="E25" i="88"/>
  <c r="D31" i="95" s="1"/>
  <c r="R9" i="104"/>
  <c r="E48" i="103"/>
  <c r="P54" i="95" s="1"/>
  <c r="E37" i="104"/>
  <c r="F23" i="120"/>
  <c r="N9" i="104"/>
  <c r="E36" i="103"/>
  <c r="F47" i="120"/>
  <c r="P18" i="95"/>
  <c r="R9" i="108"/>
  <c r="N9" i="108"/>
  <c r="Q19" i="95"/>
  <c r="E25" i="104"/>
  <c r="Q31" i="95" s="1"/>
  <c r="E34" i="110"/>
  <c r="F34" i="110" s="1"/>
  <c r="Y16" i="95"/>
  <c r="E22" i="110"/>
  <c r="F22" i="110" s="1"/>
  <c r="E47" i="80"/>
  <c r="G47" i="80" s="1"/>
  <c r="N13" i="106"/>
  <c r="F35" i="120"/>
  <c r="R16" i="121"/>
  <c r="E30" i="121" s="1"/>
  <c r="E34" i="106"/>
  <c r="F34" i="106" s="1"/>
  <c r="E25" i="107"/>
  <c r="V31" i="95" s="1"/>
  <c r="E49" i="104"/>
  <c r="Q55" i="95" s="1"/>
  <c r="R10" i="120"/>
  <c r="E48" i="120" s="1"/>
  <c r="F46" i="120"/>
  <c r="E24" i="103"/>
  <c r="P42" i="95" s="1"/>
  <c r="U9" i="101"/>
  <c r="N5" i="95" s="1"/>
  <c r="R4" i="95"/>
  <c r="E35" i="80"/>
  <c r="G35" i="80" s="1"/>
  <c r="R9" i="107"/>
  <c r="B17" i="95"/>
  <c r="Q4" i="95"/>
  <c r="E23" i="80"/>
  <c r="F23" i="80" s="1"/>
  <c r="G22" i="104"/>
  <c r="N10" i="120"/>
  <c r="U9" i="89"/>
  <c r="F46" i="118"/>
  <c r="U9" i="109"/>
  <c r="U10" i="120"/>
  <c r="E40" i="80"/>
  <c r="B46" i="95" s="1"/>
  <c r="E49" i="88"/>
  <c r="D55" i="95" s="1"/>
  <c r="R14" i="90"/>
  <c r="R15" i="90"/>
  <c r="E53" i="90" s="1"/>
  <c r="B22" i="95"/>
  <c r="N10" i="90"/>
  <c r="D19" i="95"/>
  <c r="E25" i="90"/>
  <c r="E31" i="95" s="1"/>
  <c r="N10" i="121"/>
  <c r="AA55" i="95"/>
  <c r="E52" i="80"/>
  <c r="B58" i="95" s="1"/>
  <c r="E46" i="106"/>
  <c r="F46" i="106" s="1"/>
  <c r="E37" i="107"/>
  <c r="V43" i="95" s="1"/>
  <c r="E22" i="106"/>
  <c r="F22" i="106" s="1"/>
  <c r="R10" i="90"/>
  <c r="E37" i="88"/>
  <c r="U9" i="108"/>
  <c r="W5" i="95" s="1"/>
  <c r="N11" i="88"/>
  <c r="E35" i="117"/>
  <c r="R10" i="100"/>
  <c r="N9" i="117"/>
  <c r="E23" i="117"/>
  <c r="N14" i="90"/>
  <c r="M16" i="109"/>
  <c r="N16" i="109" s="1"/>
  <c r="G13" i="101"/>
  <c r="H13" i="101" s="1"/>
  <c r="I13" i="101" s="1"/>
  <c r="T13" i="101" s="1"/>
  <c r="W13" i="101" s="1"/>
  <c r="J13" i="119"/>
  <c r="G13" i="111"/>
  <c r="H13" i="111" s="1"/>
  <c r="I13" i="111" s="1"/>
  <c r="T13" i="111" s="1"/>
  <c r="W13" i="111" s="1"/>
  <c r="E29" i="116"/>
  <c r="E53" i="116"/>
  <c r="E41" i="116"/>
  <c r="R16" i="90"/>
  <c r="N16" i="90"/>
  <c r="G10" i="117"/>
  <c r="J13" i="88"/>
  <c r="H11" i="120"/>
  <c r="G13" i="118"/>
  <c r="H13" i="118" s="1"/>
  <c r="I13" i="118" s="1"/>
  <c r="T13" i="118" s="1"/>
  <c r="W13" i="118" s="1"/>
  <c r="H13" i="100"/>
  <c r="I13" i="100" s="1"/>
  <c r="S13" i="100" s="1"/>
  <c r="V13" i="100" s="1"/>
  <c r="E19" i="95"/>
  <c r="E49" i="90"/>
  <c r="E55" i="95" s="1"/>
  <c r="K14" i="116"/>
  <c r="N14" i="116" s="1"/>
  <c r="G13" i="103"/>
  <c r="H13" i="103" s="1"/>
  <c r="I13" i="103" s="1"/>
  <c r="T13" i="103" s="1"/>
  <c r="W13" i="103" s="1"/>
  <c r="H11" i="117"/>
  <c r="R11" i="117" s="1"/>
  <c r="I12" i="119"/>
  <c r="R12" i="119" s="1"/>
  <c r="F34" i="120"/>
  <c r="N11" i="116"/>
  <c r="R11" i="116"/>
  <c r="G10" i="119"/>
  <c r="H12" i="90"/>
  <c r="H14" i="103"/>
  <c r="I14" i="103" s="1"/>
  <c r="J14" i="103" s="1"/>
  <c r="T14" i="103" s="1"/>
  <c r="W14" i="103" s="1"/>
  <c r="G15" i="119"/>
  <c r="H15" i="119" s="1"/>
  <c r="I15" i="119" s="1"/>
  <c r="J15" i="119" s="1"/>
  <c r="K15" i="119" s="1"/>
  <c r="S15" i="119" s="1"/>
  <c r="V15" i="119" s="1"/>
  <c r="M16" i="120"/>
  <c r="U8" i="94"/>
  <c r="U9" i="99"/>
  <c r="F22" i="120"/>
  <c r="U9" i="105"/>
  <c r="E49" i="107"/>
  <c r="V19" i="95"/>
  <c r="U10" i="90"/>
  <c r="U11" i="90" s="1"/>
  <c r="G34" i="112"/>
  <c r="AA4" i="95"/>
  <c r="U9" i="102"/>
  <c r="R23" i="95"/>
  <c r="O4" i="95"/>
  <c r="P4" i="95"/>
  <c r="U9" i="100"/>
  <c r="E5" i="95"/>
  <c r="U9" i="111"/>
  <c r="G23" i="111" s="1"/>
  <c r="U10" i="121"/>
  <c r="U9" i="104"/>
  <c r="E41" i="105"/>
  <c r="U10" i="80"/>
  <c r="G34" i="119"/>
  <c r="E53" i="105"/>
  <c r="R59" i="95" s="1"/>
  <c r="E29" i="105"/>
  <c r="R47" i="95" s="1"/>
  <c r="G22" i="112"/>
  <c r="U9" i="112"/>
  <c r="G46" i="119"/>
  <c r="G22" i="119"/>
  <c r="U9" i="118"/>
  <c r="G10" i="105"/>
  <c r="U9" i="119"/>
  <c r="F16" i="115"/>
  <c r="F9" i="115"/>
  <c r="G16" i="118"/>
  <c r="H16" i="116"/>
  <c r="I16" i="116" s="1"/>
  <c r="J16" i="116" s="1"/>
  <c r="K16" i="116" s="1"/>
  <c r="L16" i="116" s="1"/>
  <c r="T16" i="116" s="1"/>
  <c r="W16" i="116" s="1"/>
  <c r="H15" i="120"/>
  <c r="H14" i="107"/>
  <c r="I14" i="107" s="1"/>
  <c r="J14" i="107" s="1"/>
  <c r="S14" i="107" s="1"/>
  <c r="V14" i="107" s="1"/>
  <c r="H15" i="107"/>
  <c r="I15" i="107" s="1"/>
  <c r="J15" i="107" s="1"/>
  <c r="K15" i="107" s="1"/>
  <c r="T15" i="107" s="1"/>
  <c r="W15" i="107" s="1"/>
  <c r="H12" i="93"/>
  <c r="T12" i="93" s="1"/>
  <c r="W12" i="93" s="1"/>
  <c r="G16" i="112"/>
  <c r="F12" i="87"/>
  <c r="G12" i="87" s="1"/>
  <c r="H12" i="87" s="1"/>
  <c r="F15" i="115"/>
  <c r="N9" i="119"/>
  <c r="R9" i="119"/>
  <c r="H14" i="120"/>
  <c r="I14" i="120" s="1"/>
  <c r="J14" i="120" s="1"/>
  <c r="S14" i="120" s="1"/>
  <c r="V14" i="120" s="1"/>
  <c r="F10" i="115"/>
  <c r="S10" i="115" s="1"/>
  <c r="V10" i="115" s="1"/>
  <c r="N9" i="118"/>
  <c r="R9" i="118"/>
  <c r="F13" i="115"/>
  <c r="R12" i="115"/>
  <c r="U9" i="103"/>
  <c r="U10" i="103" s="1"/>
  <c r="E22" i="117"/>
  <c r="E46" i="117"/>
  <c r="E34" i="117"/>
  <c r="U9" i="110"/>
  <c r="G14" i="118"/>
  <c r="H13" i="121"/>
  <c r="I13" i="121" s="1"/>
  <c r="G13" i="117"/>
  <c r="G21" i="115"/>
  <c r="F21" i="115"/>
  <c r="H11" i="121"/>
  <c r="F11" i="115"/>
  <c r="G11" i="115" s="1"/>
  <c r="T11" i="115" s="1"/>
  <c r="W11" i="115" s="1"/>
  <c r="H13" i="116"/>
  <c r="U9" i="106"/>
  <c r="E36" i="121"/>
  <c r="E24" i="121"/>
  <c r="E48" i="121"/>
  <c r="E23" i="116"/>
  <c r="G23" i="116" s="1"/>
  <c r="E47" i="116"/>
  <c r="G47" i="116" s="1"/>
  <c r="E35" i="116"/>
  <c r="G35" i="116" s="1"/>
  <c r="G11" i="99"/>
  <c r="S11" i="99" s="1"/>
  <c r="V11" i="99" s="1"/>
  <c r="F10" i="87"/>
  <c r="S10" i="87" s="1"/>
  <c r="V10" i="87" s="1"/>
  <c r="G33" i="115"/>
  <c r="F33" i="115"/>
  <c r="G45" i="115"/>
  <c r="F45" i="115"/>
  <c r="U10" i="116"/>
  <c r="F14" i="115"/>
  <c r="H14" i="121"/>
  <c r="I14" i="121" s="1"/>
  <c r="J14" i="121" s="1"/>
  <c r="T14" i="121" s="1"/>
  <c r="W14" i="121" s="1"/>
  <c r="R8" i="115"/>
  <c r="E47" i="121"/>
  <c r="E35" i="121"/>
  <c r="E23" i="121"/>
  <c r="G15" i="118"/>
  <c r="H15" i="118" s="1"/>
  <c r="I15" i="118" s="1"/>
  <c r="J15" i="118" s="1"/>
  <c r="K15" i="118" s="1"/>
  <c r="T15" i="118" s="1"/>
  <c r="W15" i="118" s="1"/>
  <c r="G12" i="118"/>
  <c r="H12" i="118" s="1"/>
  <c r="S12" i="118" s="1"/>
  <c r="V12" i="118" s="1"/>
  <c r="F22" i="119"/>
  <c r="F34" i="119"/>
  <c r="F46" i="119"/>
  <c r="R13" i="99"/>
  <c r="R12" i="112"/>
  <c r="N12" i="112"/>
  <c r="I13" i="90"/>
  <c r="L15" i="93"/>
  <c r="N15" i="93" s="1"/>
  <c r="G12" i="101"/>
  <c r="H12" i="101" s="1"/>
  <c r="S12" i="101" s="1"/>
  <c r="V12" i="101" s="1"/>
  <c r="F13" i="87"/>
  <c r="G13" i="87" s="1"/>
  <c r="H13" i="87" s="1"/>
  <c r="I13" i="87" s="1"/>
  <c r="S13" i="87" s="1"/>
  <c r="V13" i="87" s="1"/>
  <c r="F16" i="94"/>
  <c r="G16" i="94" s="1"/>
  <c r="H16" i="94" s="1"/>
  <c r="I16" i="94" s="1"/>
  <c r="J16" i="94" s="1"/>
  <c r="K16" i="94" s="1"/>
  <c r="L16" i="94" s="1"/>
  <c r="F9" i="87"/>
  <c r="N9" i="87" s="1"/>
  <c r="H16" i="100"/>
  <c r="D1" i="96"/>
  <c r="E41" i="103"/>
  <c r="P23" i="95"/>
  <c r="E53" i="103"/>
  <c r="P59" i="95" s="1"/>
  <c r="E29" i="103"/>
  <c r="P47" i="95" s="1"/>
  <c r="B5" i="95"/>
  <c r="F34" i="90"/>
  <c r="L4" i="95"/>
  <c r="L63" i="95" s="1"/>
  <c r="E34" i="108"/>
  <c r="W40" i="95" s="1"/>
  <c r="E22" i="108"/>
  <c r="W28" i="95" s="1"/>
  <c r="G34" i="90"/>
  <c r="E46" i="108"/>
  <c r="W52" i="95" s="1"/>
  <c r="H52" i="95"/>
  <c r="W16" i="95"/>
  <c r="S4" i="95"/>
  <c r="E42" i="105"/>
  <c r="E54" i="105"/>
  <c r="R60" i="95" s="1"/>
  <c r="R24" i="95"/>
  <c r="E30" i="105"/>
  <c r="G46" i="90"/>
  <c r="E52" i="95"/>
  <c r="Y4" i="95"/>
  <c r="F22" i="104"/>
  <c r="U16" i="95"/>
  <c r="D5" i="95"/>
  <c r="B63" i="95"/>
  <c r="Q20" i="95"/>
  <c r="E26" i="104"/>
  <c r="E50" i="104"/>
  <c r="Q56" i="95" s="1"/>
  <c r="E38" i="104"/>
  <c r="E46" i="102"/>
  <c r="G46" i="102" s="1"/>
  <c r="E63" i="95"/>
  <c r="E40" i="32" s="1"/>
  <c r="E22" i="99"/>
  <c r="G22" i="99" s="1"/>
  <c r="E34" i="99"/>
  <c r="F34" i="99" s="1"/>
  <c r="E46" i="99"/>
  <c r="G46" i="99" s="1"/>
  <c r="V52" i="95"/>
  <c r="G46" i="107"/>
  <c r="Z40" i="95"/>
  <c r="G34" i="111"/>
  <c r="O16" i="95"/>
  <c r="Q52" i="95"/>
  <c r="G46" i="104"/>
  <c r="F46" i="112"/>
  <c r="G46" i="112"/>
  <c r="Z48" i="95"/>
  <c r="D41" i="95"/>
  <c r="G35" i="88"/>
  <c r="G22" i="111"/>
  <c r="F34" i="104"/>
  <c r="G34" i="104"/>
  <c r="X52" i="95"/>
  <c r="G46" i="109"/>
  <c r="D29" i="95"/>
  <c r="G23" i="88"/>
  <c r="Z41" i="95"/>
  <c r="G22" i="101"/>
  <c r="O58" i="95"/>
  <c r="X40" i="95"/>
  <c r="G34" i="109"/>
  <c r="E22" i="102"/>
  <c r="G22" i="102" s="1"/>
  <c r="B59" i="95"/>
  <c r="V40" i="95"/>
  <c r="G34" i="107"/>
  <c r="R56" i="95"/>
  <c r="G34" i="101"/>
  <c r="Z53" i="95"/>
  <c r="D53" i="95"/>
  <c r="G47" i="88"/>
  <c r="E34" i="102"/>
  <c r="Z52" i="95"/>
  <c r="G46" i="111"/>
  <c r="N52" i="95"/>
  <c r="G46" i="101"/>
  <c r="Z60" i="95"/>
  <c r="E53" i="87"/>
  <c r="C23" i="95"/>
  <c r="E29" i="87"/>
  <c r="E41" i="87"/>
  <c r="R9" i="112"/>
  <c r="N9" i="112"/>
  <c r="E33" i="91"/>
  <c r="G33" i="91" s="1"/>
  <c r="F15" i="95"/>
  <c r="E45" i="91"/>
  <c r="G45" i="91" s="1"/>
  <c r="E21" i="91"/>
  <c r="G21" i="91" s="1"/>
  <c r="P14" i="97"/>
  <c r="F14" i="87"/>
  <c r="F33" i="94"/>
  <c r="I39" i="95"/>
  <c r="F14" i="94"/>
  <c r="G14" i="94" s="1"/>
  <c r="H14" i="94" s="1"/>
  <c r="I14" i="94" s="1"/>
  <c r="J14" i="94" s="1"/>
  <c r="D12" i="92"/>
  <c r="B12" i="92"/>
  <c r="N9" i="110"/>
  <c r="R9" i="110"/>
  <c r="Z29" i="95"/>
  <c r="E38" i="110"/>
  <c r="E50" i="110"/>
  <c r="E26" i="110"/>
  <c r="Y20" i="95"/>
  <c r="M19" i="95"/>
  <c r="E37" i="100"/>
  <c r="E25" i="100"/>
  <c r="E49" i="100"/>
  <c r="F22" i="109"/>
  <c r="X28" i="95"/>
  <c r="C27" i="95"/>
  <c r="F21" i="87"/>
  <c r="E14" i="91"/>
  <c r="N9" i="101"/>
  <c r="R9" i="101"/>
  <c r="N15" i="87"/>
  <c r="R13" i="94"/>
  <c r="R16" i="95"/>
  <c r="E34" i="105"/>
  <c r="E22" i="105"/>
  <c r="G22" i="105" s="1"/>
  <c r="E46" i="105"/>
  <c r="G46" i="105" s="1"/>
  <c r="W4" i="95"/>
  <c r="I16" i="88"/>
  <c r="J16" i="88" s="1"/>
  <c r="K16" i="88" s="1"/>
  <c r="L16" i="88" s="1"/>
  <c r="T16" i="88" s="1"/>
  <c r="W16" i="88" s="1"/>
  <c r="E34" i="87"/>
  <c r="C16" i="95"/>
  <c r="E46" i="87"/>
  <c r="E22" i="87"/>
  <c r="E12" i="91"/>
  <c r="F12" i="91" s="1"/>
  <c r="G12" i="91" s="1"/>
  <c r="H12" i="91" s="1"/>
  <c r="I12" i="91" s="1"/>
  <c r="N12" i="91" s="1"/>
  <c r="E30" i="103"/>
  <c r="P24" i="95"/>
  <c r="E54" i="103"/>
  <c r="E42" i="103"/>
  <c r="G13" i="110"/>
  <c r="Z4" i="95"/>
  <c r="F34" i="111"/>
  <c r="F46" i="111"/>
  <c r="G10" i="101"/>
  <c r="D40" i="95"/>
  <c r="F34" i="88"/>
  <c r="F12" i="94"/>
  <c r="D8" i="92"/>
  <c r="S8" i="92" s="1"/>
  <c r="V8" i="92" s="1"/>
  <c r="B8" i="92"/>
  <c r="B16" i="92"/>
  <c r="D16" i="92"/>
  <c r="G15" i="112"/>
  <c r="H11" i="111"/>
  <c r="E11" i="91"/>
  <c r="C39" i="95"/>
  <c r="F33" i="87"/>
  <c r="E8" i="91"/>
  <c r="H11" i="109"/>
  <c r="G14" i="89"/>
  <c r="E13" i="91"/>
  <c r="H15" i="111"/>
  <c r="D52" i="95"/>
  <c r="F46" i="88"/>
  <c r="F9" i="94"/>
  <c r="O46" i="95"/>
  <c r="O34" i="95"/>
  <c r="E9" i="91"/>
  <c r="T9" i="91" s="1"/>
  <c r="W9" i="91" s="1"/>
  <c r="R16" i="87"/>
  <c r="H12" i="100"/>
  <c r="T12" i="100" s="1"/>
  <c r="W12" i="100" s="1"/>
  <c r="L16" i="95"/>
  <c r="E34" i="89"/>
  <c r="E46" i="89"/>
  <c r="G46" i="89" s="1"/>
  <c r="E22" i="89"/>
  <c r="G22" i="89" s="1"/>
  <c r="M4" i="95"/>
  <c r="H12" i="111"/>
  <c r="S12" i="111" s="1"/>
  <c r="V12" i="111" s="1"/>
  <c r="F22" i="111"/>
  <c r="Z28" i="95"/>
  <c r="E51" i="106"/>
  <c r="E39" i="106"/>
  <c r="S21" i="95"/>
  <c r="E27" i="106"/>
  <c r="E26" i="88"/>
  <c r="E38" i="88"/>
  <c r="E50" i="88"/>
  <c r="D20" i="95"/>
  <c r="R44" i="95"/>
  <c r="R32" i="95"/>
  <c r="I15" i="88"/>
  <c r="F11" i="94"/>
  <c r="N40" i="95"/>
  <c r="N28" i="95"/>
  <c r="R9" i="105"/>
  <c r="N9" i="105"/>
  <c r="R12" i="106"/>
  <c r="N12" i="106"/>
  <c r="D15" i="92"/>
  <c r="B15" i="92"/>
  <c r="D14" i="92"/>
  <c r="B14" i="92"/>
  <c r="R16" i="102"/>
  <c r="N16" i="102"/>
  <c r="E35" i="109"/>
  <c r="E23" i="109"/>
  <c r="X17" i="95"/>
  <c r="E47" i="109"/>
  <c r="Z36" i="95"/>
  <c r="P16" i="95"/>
  <c r="E46" i="103"/>
  <c r="G46" i="103" s="1"/>
  <c r="E34" i="103"/>
  <c r="E22" i="103"/>
  <c r="G22" i="103" s="1"/>
  <c r="O20" i="95"/>
  <c r="E50" i="102"/>
  <c r="E26" i="102"/>
  <c r="E38" i="102"/>
  <c r="N14" i="105"/>
  <c r="R14" i="105"/>
  <c r="E47" i="90"/>
  <c r="G47" i="90" s="1"/>
  <c r="E23" i="90"/>
  <c r="G23" i="90" s="1"/>
  <c r="E35" i="90"/>
  <c r="G35" i="90" s="1"/>
  <c r="E17" i="95"/>
  <c r="G10" i="99"/>
  <c r="AA52" i="95"/>
  <c r="AA28" i="95"/>
  <c r="F22" i="112"/>
  <c r="N14" i="112"/>
  <c r="R14" i="112"/>
  <c r="E10" i="91"/>
  <c r="W23" i="95"/>
  <c r="E29" i="108"/>
  <c r="E41" i="108"/>
  <c r="E53" i="108"/>
  <c r="R13" i="107"/>
  <c r="N13" i="107"/>
  <c r="G15" i="110"/>
  <c r="H14" i="93"/>
  <c r="E35" i="100"/>
  <c r="E23" i="100"/>
  <c r="M17" i="95"/>
  <c r="E47" i="100"/>
  <c r="D11" i="92"/>
  <c r="B11" i="92"/>
  <c r="N7" i="92"/>
  <c r="R7" i="92"/>
  <c r="G15" i="89"/>
  <c r="F34" i="109"/>
  <c r="AA40" i="95"/>
  <c r="F34" i="112"/>
  <c r="F23" i="88"/>
  <c r="F15" i="94"/>
  <c r="G15" i="94" s="1"/>
  <c r="H15" i="94" s="1"/>
  <c r="I15" i="94" s="1"/>
  <c r="J15" i="94" s="1"/>
  <c r="K15" i="94" s="1"/>
  <c r="B9" i="92"/>
  <c r="D9" i="92"/>
  <c r="W42" i="95"/>
  <c r="X23" i="95"/>
  <c r="E41" i="109"/>
  <c r="E53" i="109"/>
  <c r="E29" i="109"/>
  <c r="E26" i="107"/>
  <c r="V20" i="95"/>
  <c r="E50" i="107"/>
  <c r="E38" i="107"/>
  <c r="N14" i="104"/>
  <c r="R14" i="104"/>
  <c r="R9" i="89"/>
  <c r="N9" i="89"/>
  <c r="H14" i="109"/>
  <c r="I14" i="109" s="1"/>
  <c r="J14" i="109" s="1"/>
  <c r="T14" i="109" s="1"/>
  <c r="W14" i="109" s="1"/>
  <c r="F46" i="109"/>
  <c r="F47" i="88"/>
  <c r="G13" i="112"/>
  <c r="G11" i="105"/>
  <c r="T11" i="105" s="1"/>
  <c r="W11" i="105" s="1"/>
  <c r="F11" i="87"/>
  <c r="E15" i="91"/>
  <c r="F15" i="91" s="1"/>
  <c r="G15" i="91" s="1"/>
  <c r="H15" i="91" s="1"/>
  <c r="I15" i="91" s="1"/>
  <c r="J15" i="91" s="1"/>
  <c r="K15" i="91" s="1"/>
  <c r="L15" i="91" s="1"/>
  <c r="N15" i="91" s="1"/>
  <c r="F21" i="94"/>
  <c r="I27" i="95"/>
  <c r="B13" i="92"/>
  <c r="D13" i="92"/>
  <c r="F22" i="107"/>
  <c r="V28" i="95"/>
  <c r="V63" i="95" s="1"/>
  <c r="G14" i="110"/>
  <c r="W54" i="95"/>
  <c r="K14" i="88"/>
  <c r="E16" i="91"/>
  <c r="F16" i="91" s="1"/>
  <c r="G16" i="91" s="1"/>
  <c r="H16" i="91" s="1"/>
  <c r="I16" i="91" s="1"/>
  <c r="J16" i="91" s="1"/>
  <c r="K16" i="91" s="1"/>
  <c r="L16" i="91" s="1"/>
  <c r="M16" i="91" s="1"/>
  <c r="R16" i="91" s="1"/>
  <c r="G11" i="102"/>
  <c r="S11" i="102" s="1"/>
  <c r="V11" i="102" s="1"/>
  <c r="F35" i="88"/>
  <c r="N11" i="89"/>
  <c r="R11" i="89"/>
  <c r="N15" i="106"/>
  <c r="R15" i="106"/>
  <c r="F46" i="104"/>
  <c r="Q28" i="95"/>
  <c r="Q40" i="95"/>
  <c r="N15" i="102"/>
  <c r="R15" i="102"/>
  <c r="H11" i="106"/>
  <c r="R12" i="108"/>
  <c r="N12" i="108"/>
  <c r="F10" i="94"/>
  <c r="T10" i="94" s="1"/>
  <c r="W10" i="94" s="1"/>
  <c r="H16" i="101"/>
  <c r="N8" i="87"/>
  <c r="G13" i="102"/>
  <c r="D28" i="95"/>
  <c r="D35" i="32" s="1"/>
  <c r="F22" i="88"/>
  <c r="F45" i="94"/>
  <c r="I51" i="95"/>
  <c r="F3" i="95"/>
  <c r="R8" i="97" s="1"/>
  <c r="D10" i="92"/>
  <c r="B10" i="92"/>
  <c r="F34" i="101"/>
  <c r="F46" i="101"/>
  <c r="N4" i="95"/>
  <c r="F22" i="101"/>
  <c r="H13" i="93"/>
  <c r="G16" i="110"/>
  <c r="G11" i="110"/>
  <c r="S11" i="110" s="1"/>
  <c r="V11" i="110" s="1"/>
  <c r="W30" i="95"/>
  <c r="C51" i="95"/>
  <c r="F45" i="87"/>
  <c r="G14" i="99"/>
  <c r="E46" i="94"/>
  <c r="I16" i="95"/>
  <c r="E22" i="94"/>
  <c r="E34" i="94"/>
  <c r="R9" i="102"/>
  <c r="N9" i="102"/>
  <c r="E48" i="88"/>
  <c r="D18" i="95"/>
  <c r="E24" i="88"/>
  <c r="E36" i="88"/>
  <c r="G12" i="99"/>
  <c r="M22" i="95" l="1"/>
  <c r="E28" i="100"/>
  <c r="M46" i="95" s="1"/>
  <c r="E40" i="100"/>
  <c r="E39" i="108"/>
  <c r="W45" i="95" s="1"/>
  <c r="E52" i="100"/>
  <c r="M58" i="95" s="1"/>
  <c r="E27" i="108"/>
  <c r="W33" i="95" s="1"/>
  <c r="E42" i="99"/>
  <c r="G24" i="88"/>
  <c r="G48" i="88"/>
  <c r="D6" i="95"/>
  <c r="D27" i="32" s="1"/>
  <c r="G36" i="88"/>
  <c r="U24" i="95"/>
  <c r="E30" i="99"/>
  <c r="U36" i="95" s="1"/>
  <c r="T15" i="97"/>
  <c r="X63" i="95"/>
  <c r="E54" i="99"/>
  <c r="U60" i="95" s="1"/>
  <c r="E54" i="106"/>
  <c r="S60" i="95" s="1"/>
  <c r="D25" i="32"/>
  <c r="E30" i="106"/>
  <c r="S36" i="95" s="1"/>
  <c r="E30" i="104"/>
  <c r="Q36" i="95" s="1"/>
  <c r="H18" i="95"/>
  <c r="H32" i="32" s="1"/>
  <c r="B37" i="32"/>
  <c r="E35" i="106"/>
  <c r="F35" i="106" s="1"/>
  <c r="R10" i="111"/>
  <c r="G48" i="80"/>
  <c r="E48" i="93"/>
  <c r="H54" i="95" s="1"/>
  <c r="E36" i="93"/>
  <c r="H42" i="95" s="1"/>
  <c r="E24" i="93"/>
  <c r="H30" i="95" s="1"/>
  <c r="T21" i="97" s="1"/>
  <c r="E51" i="108"/>
  <c r="W57" i="95" s="1"/>
  <c r="W21" i="95"/>
  <c r="N16" i="97"/>
  <c r="S24" i="95"/>
  <c r="E42" i="106"/>
  <c r="F46" i="93"/>
  <c r="G34" i="93"/>
  <c r="G22" i="93"/>
  <c r="R10" i="106"/>
  <c r="F34" i="93"/>
  <c r="F22" i="93"/>
  <c r="E29" i="121"/>
  <c r="H53" i="95"/>
  <c r="H4" i="95"/>
  <c r="U9" i="93"/>
  <c r="G46" i="93"/>
  <c r="U29" i="95"/>
  <c r="N15" i="121"/>
  <c r="E41" i="121"/>
  <c r="E53" i="121"/>
  <c r="U7" i="92"/>
  <c r="G3" i="95" s="1"/>
  <c r="S8" i="97" s="1"/>
  <c r="E49" i="108"/>
  <c r="W55" i="95" s="1"/>
  <c r="H29" i="95"/>
  <c r="H36" i="32" s="1"/>
  <c r="N31" i="95"/>
  <c r="E54" i="104"/>
  <c r="Q60" i="95" s="1"/>
  <c r="P17" i="95"/>
  <c r="E23" i="103"/>
  <c r="P41" i="95" s="1"/>
  <c r="J4" i="96"/>
  <c r="G23" i="117"/>
  <c r="F47" i="117"/>
  <c r="Q30" i="95"/>
  <c r="E24" i="112"/>
  <c r="AA54" i="95" s="1"/>
  <c r="E30" i="80"/>
  <c r="B36" i="95" s="1"/>
  <c r="L20" i="95"/>
  <c r="E36" i="112"/>
  <c r="AA42" i="95" s="1"/>
  <c r="E54" i="80"/>
  <c r="B60" i="95" s="1"/>
  <c r="AA18" i="95"/>
  <c r="E53" i="101"/>
  <c r="N59" i="95" s="1"/>
  <c r="B24" i="95"/>
  <c r="E26" i="109"/>
  <c r="X32" i="95" s="1"/>
  <c r="E48" i="112"/>
  <c r="F34" i="118"/>
  <c r="W19" i="95"/>
  <c r="E37" i="108"/>
  <c r="W43" i="95" s="1"/>
  <c r="E25" i="108"/>
  <c r="W31" i="95" s="1"/>
  <c r="R10" i="107"/>
  <c r="X20" i="95"/>
  <c r="E49" i="118"/>
  <c r="P43" i="95"/>
  <c r="E50" i="109"/>
  <c r="X56" i="95" s="1"/>
  <c r="E38" i="109"/>
  <c r="X44" i="95" s="1"/>
  <c r="E26" i="103"/>
  <c r="P44" i="95" s="1"/>
  <c r="E38" i="103"/>
  <c r="P20" i="95"/>
  <c r="E50" i="103"/>
  <c r="P56" i="95" s="1"/>
  <c r="E23" i="106"/>
  <c r="S29" i="95" s="1"/>
  <c r="S17" i="95"/>
  <c r="R33" i="95"/>
  <c r="Q43" i="95"/>
  <c r="Q23" i="95"/>
  <c r="N23" i="95"/>
  <c r="F39" i="122"/>
  <c r="E29" i="104"/>
  <c r="Q47" i="95" s="1"/>
  <c r="E41" i="104"/>
  <c r="V5" i="95"/>
  <c r="E54" i="108"/>
  <c r="W60" i="95" s="1"/>
  <c r="E41" i="101"/>
  <c r="E53" i="104"/>
  <c r="Q59" i="95" s="1"/>
  <c r="E29" i="101"/>
  <c r="N47" i="95" s="1"/>
  <c r="E42" i="108"/>
  <c r="W48" i="95" s="1"/>
  <c r="E30" i="108"/>
  <c r="W36" i="95" s="1"/>
  <c r="W24" i="95"/>
  <c r="E47" i="103"/>
  <c r="F47" i="103" s="1"/>
  <c r="E42" i="104"/>
  <c r="M52" i="95"/>
  <c r="G46" i="110"/>
  <c r="E25" i="118"/>
  <c r="M23" i="95"/>
  <c r="T14" i="122"/>
  <c r="W14" i="122" s="1"/>
  <c r="Q24" i="95"/>
  <c r="E53" i="100"/>
  <c r="M59" i="95" s="1"/>
  <c r="G27" i="122"/>
  <c r="U35" i="95"/>
  <c r="N34" i="95"/>
  <c r="F35" i="117"/>
  <c r="E29" i="100"/>
  <c r="M47" i="95" s="1"/>
  <c r="S14" i="122"/>
  <c r="V14" i="122" s="1"/>
  <c r="E37" i="118"/>
  <c r="E35" i="103"/>
  <c r="G35" i="103" s="1"/>
  <c r="E41" i="100"/>
  <c r="U8" i="91"/>
  <c r="V8" i="91"/>
  <c r="U10" i="117"/>
  <c r="U11" i="117" s="1"/>
  <c r="W10" i="117"/>
  <c r="E47" i="106"/>
  <c r="S53" i="95" s="1"/>
  <c r="P30" i="95"/>
  <c r="M28" i="95"/>
  <c r="M63" i="95" s="1"/>
  <c r="G22" i="100"/>
  <c r="M40" i="95"/>
  <c r="G51" i="122"/>
  <c r="G39" i="122"/>
  <c r="U10" i="102"/>
  <c r="G46" i="100"/>
  <c r="F27" i="122"/>
  <c r="E26" i="89"/>
  <c r="L44" i="95" s="1"/>
  <c r="O18" i="95"/>
  <c r="E36" i="102"/>
  <c r="E51" i="89"/>
  <c r="L57" i="95" s="1"/>
  <c r="E50" i="89"/>
  <c r="L56" i="95" s="1"/>
  <c r="F22" i="118"/>
  <c r="E39" i="89"/>
  <c r="C4" i="95"/>
  <c r="C25" i="32" s="1"/>
  <c r="E25" i="119"/>
  <c r="E38" i="89"/>
  <c r="F51" i="122"/>
  <c r="E27" i="89"/>
  <c r="L45" i="95" s="1"/>
  <c r="E48" i="102"/>
  <c r="O54" i="95" s="1"/>
  <c r="L21" i="95"/>
  <c r="E24" i="102"/>
  <c r="O42" i="95" s="1"/>
  <c r="E50" i="122"/>
  <c r="E38" i="122"/>
  <c r="E26" i="122"/>
  <c r="R14" i="122"/>
  <c r="N14" i="122"/>
  <c r="E49" i="119"/>
  <c r="E37" i="119"/>
  <c r="E36" i="118"/>
  <c r="E24" i="118"/>
  <c r="E48" i="118"/>
  <c r="E28" i="106"/>
  <c r="S34" i="95" s="1"/>
  <c r="S22" i="95"/>
  <c r="E52" i="106"/>
  <c r="S58" i="95" s="1"/>
  <c r="E40" i="106"/>
  <c r="E51" i="104"/>
  <c r="Q57" i="95" s="1"/>
  <c r="E39" i="104"/>
  <c r="E27" i="104"/>
  <c r="Q45" i="95" s="1"/>
  <c r="Q21" i="95"/>
  <c r="Q29" i="97"/>
  <c r="U10" i="89"/>
  <c r="U10" i="104"/>
  <c r="G48" i="104" s="1"/>
  <c r="U9" i="87"/>
  <c r="U10" i="107"/>
  <c r="U10" i="110"/>
  <c r="U10" i="118"/>
  <c r="N10" i="89"/>
  <c r="F34" i="100"/>
  <c r="Y28" i="95"/>
  <c r="Y63" i="95" s="1"/>
  <c r="E54" i="117"/>
  <c r="R12" i="120"/>
  <c r="E50" i="120" s="1"/>
  <c r="E42" i="117"/>
  <c r="U11" i="120"/>
  <c r="U12" i="120" s="1"/>
  <c r="T13" i="90"/>
  <c r="W13" i="90" s="1"/>
  <c r="S13" i="90"/>
  <c r="V13" i="90" s="1"/>
  <c r="T13" i="121"/>
  <c r="W13" i="121" s="1"/>
  <c r="S13" i="121"/>
  <c r="V13" i="121" s="1"/>
  <c r="S11" i="105"/>
  <c r="V11" i="105" s="1"/>
  <c r="S16" i="91"/>
  <c r="V16" i="91" s="1"/>
  <c r="S14" i="103"/>
  <c r="V14" i="103" s="1"/>
  <c r="I12" i="116"/>
  <c r="S12" i="116"/>
  <c r="V12" i="116" s="1"/>
  <c r="T8" i="92"/>
  <c r="T12" i="101"/>
  <c r="W12" i="101" s="1"/>
  <c r="S13" i="101"/>
  <c r="V13" i="101" s="1"/>
  <c r="T11" i="110"/>
  <c r="W11" i="110" s="1"/>
  <c r="T15" i="91"/>
  <c r="W15" i="91" s="1"/>
  <c r="S12" i="100"/>
  <c r="V12" i="100" s="1"/>
  <c r="T14" i="94"/>
  <c r="W14" i="94" s="1"/>
  <c r="T15" i="94"/>
  <c r="W15" i="94" s="1"/>
  <c r="T12" i="90"/>
  <c r="W12" i="90" s="1"/>
  <c r="S12" i="90"/>
  <c r="V12" i="90" s="1"/>
  <c r="N11" i="93"/>
  <c r="R11" i="93"/>
  <c r="S13" i="103"/>
  <c r="V13" i="103" s="1"/>
  <c r="T12" i="118"/>
  <c r="W12" i="118" s="1"/>
  <c r="S14" i="94"/>
  <c r="V14" i="94" s="1"/>
  <c r="S10" i="94"/>
  <c r="V10" i="94" s="1"/>
  <c r="T14" i="107"/>
  <c r="W14" i="107" s="1"/>
  <c r="S9" i="91"/>
  <c r="T10" i="87"/>
  <c r="W10" i="87" s="1"/>
  <c r="S15" i="91"/>
  <c r="V15" i="91" s="1"/>
  <c r="T16" i="94"/>
  <c r="W16" i="94" s="1"/>
  <c r="S15" i="107"/>
  <c r="V15" i="107" s="1"/>
  <c r="T11" i="102"/>
  <c r="W11" i="102" s="1"/>
  <c r="T12" i="91"/>
  <c r="W12" i="91" s="1"/>
  <c r="S16" i="88"/>
  <c r="V16" i="88" s="1"/>
  <c r="S16" i="94"/>
  <c r="V16" i="94" s="1"/>
  <c r="S14" i="121"/>
  <c r="V14" i="121" s="1"/>
  <c r="S13" i="111"/>
  <c r="V13" i="111" s="1"/>
  <c r="T15" i="119"/>
  <c r="W15" i="119" s="1"/>
  <c r="S14" i="109"/>
  <c r="V14" i="109" s="1"/>
  <c r="T13" i="87"/>
  <c r="W13" i="87" s="1"/>
  <c r="T12" i="87"/>
  <c r="W12" i="87" s="1"/>
  <c r="S16" i="116"/>
  <c r="V16" i="116" s="1"/>
  <c r="T12" i="111"/>
  <c r="W12" i="111" s="1"/>
  <c r="S12" i="93"/>
  <c r="V12" i="93" s="1"/>
  <c r="T10" i="115"/>
  <c r="W10" i="115" s="1"/>
  <c r="S12" i="91"/>
  <c r="V12" i="91" s="1"/>
  <c r="T12" i="116"/>
  <c r="W12" i="116" s="1"/>
  <c r="S11" i="115"/>
  <c r="V11" i="115" s="1"/>
  <c r="T11" i="99"/>
  <c r="W11" i="99" s="1"/>
  <c r="S15" i="118"/>
  <c r="V15" i="118" s="1"/>
  <c r="S15" i="94"/>
  <c r="V15" i="94" s="1"/>
  <c r="S13" i="118"/>
  <c r="V13" i="118" s="1"/>
  <c r="T16" i="91"/>
  <c r="W16" i="91" s="1"/>
  <c r="T14" i="120"/>
  <c r="W14" i="120" s="1"/>
  <c r="S12" i="87"/>
  <c r="V12" i="87" s="1"/>
  <c r="T13" i="100"/>
  <c r="W13" i="100" s="1"/>
  <c r="N29" i="97"/>
  <c r="T16" i="97"/>
  <c r="U14" i="97"/>
  <c r="I30" i="32"/>
  <c r="E35" i="104"/>
  <c r="F35" i="104" s="1"/>
  <c r="P10" i="97"/>
  <c r="D26" i="32"/>
  <c r="N10" i="97"/>
  <c r="B26" i="32"/>
  <c r="Q15" i="97"/>
  <c r="E31" i="32"/>
  <c r="P20" i="97"/>
  <c r="D36" i="32"/>
  <c r="N24" i="97"/>
  <c r="B40" i="32"/>
  <c r="Q10" i="97"/>
  <c r="E26" i="32"/>
  <c r="N15" i="97"/>
  <c r="B31" i="32"/>
  <c r="P16" i="97"/>
  <c r="D32" i="32"/>
  <c r="O14" i="97"/>
  <c r="C30" i="32"/>
  <c r="Q24" i="97"/>
  <c r="F46" i="110"/>
  <c r="E47" i="104"/>
  <c r="G47" i="104" s="1"/>
  <c r="Q17" i="95"/>
  <c r="S28" i="95"/>
  <c r="S63" i="95" s="1"/>
  <c r="E23" i="104"/>
  <c r="F23" i="104" s="1"/>
  <c r="E41" i="90"/>
  <c r="E47" i="95" s="1"/>
  <c r="B41" i="95"/>
  <c r="G22" i="110"/>
  <c r="G24" i="121"/>
  <c r="E36" i="90"/>
  <c r="G36" i="90" s="1"/>
  <c r="G23" i="109"/>
  <c r="G37" i="88"/>
  <c r="G34" i="106"/>
  <c r="E40" i="90"/>
  <c r="E46" i="95" s="1"/>
  <c r="E23" i="107"/>
  <c r="G23" i="107" s="1"/>
  <c r="F47" i="80"/>
  <c r="G34" i="110"/>
  <c r="R13" i="119"/>
  <c r="E27" i="119" s="1"/>
  <c r="F49" i="88"/>
  <c r="E35" i="108"/>
  <c r="G35" i="108" s="1"/>
  <c r="E22" i="95"/>
  <c r="E47" i="107"/>
  <c r="G47" i="107" s="1"/>
  <c r="Y40" i="95"/>
  <c r="B53" i="95"/>
  <c r="G35" i="117"/>
  <c r="F25" i="88"/>
  <c r="E52" i="90"/>
  <c r="E58" i="95" s="1"/>
  <c r="E35" i="107"/>
  <c r="G35" i="107" s="1"/>
  <c r="E28" i="90"/>
  <c r="E34" i="95" s="1"/>
  <c r="V17" i="95"/>
  <c r="E23" i="108"/>
  <c r="W29" i="95" s="1"/>
  <c r="W64" i="95" s="1"/>
  <c r="Q63" i="95"/>
  <c r="E47" i="108"/>
  <c r="F47" i="108" s="1"/>
  <c r="W17" i="95"/>
  <c r="F37" i="88"/>
  <c r="G35" i="109"/>
  <c r="F35" i="80"/>
  <c r="E29" i="90"/>
  <c r="E35" i="95" s="1"/>
  <c r="D43" i="95"/>
  <c r="E24" i="90"/>
  <c r="E30" i="95" s="1"/>
  <c r="E37" i="32" s="1"/>
  <c r="G47" i="109"/>
  <c r="R16" i="109"/>
  <c r="G23" i="80"/>
  <c r="E42" i="121"/>
  <c r="E23" i="95"/>
  <c r="E18" i="95"/>
  <c r="B29" i="95"/>
  <c r="X5" i="95"/>
  <c r="U10" i="109"/>
  <c r="E54" i="121"/>
  <c r="F24" i="103"/>
  <c r="E36" i="120"/>
  <c r="G36" i="120" s="1"/>
  <c r="E24" i="120"/>
  <c r="G24" i="120" s="1"/>
  <c r="U10" i="101"/>
  <c r="U11" i="101" s="1"/>
  <c r="U10" i="108"/>
  <c r="F48" i="80"/>
  <c r="U11" i="80"/>
  <c r="N12" i="119"/>
  <c r="N13" i="119"/>
  <c r="R14" i="116"/>
  <c r="E36" i="100"/>
  <c r="G22" i="106"/>
  <c r="S40" i="95"/>
  <c r="F25" i="90"/>
  <c r="E48" i="100"/>
  <c r="M54" i="95" s="1"/>
  <c r="G49" i="88"/>
  <c r="N11" i="117"/>
  <c r="E48" i="90"/>
  <c r="G48" i="90" s="1"/>
  <c r="E27" i="99"/>
  <c r="U45" i="95" s="1"/>
  <c r="M18" i="95"/>
  <c r="S52" i="95"/>
  <c r="G25" i="88"/>
  <c r="G46" i="106"/>
  <c r="D7" i="95"/>
  <c r="D66" i="95" s="1"/>
  <c r="G48" i="121"/>
  <c r="E24" i="100"/>
  <c r="M42" i="95" s="1"/>
  <c r="U9" i="94"/>
  <c r="F23" i="117"/>
  <c r="U10" i="99"/>
  <c r="R35" i="95"/>
  <c r="I12" i="90"/>
  <c r="E37" i="116"/>
  <c r="E49" i="116"/>
  <c r="E25" i="116"/>
  <c r="R13" i="88"/>
  <c r="N13" i="88"/>
  <c r="J13" i="111"/>
  <c r="H11" i="99"/>
  <c r="K14" i="109"/>
  <c r="E51" i="99"/>
  <c r="U57" i="95" s="1"/>
  <c r="F10" i="91"/>
  <c r="T10" i="91" s="1"/>
  <c r="W10" i="91" s="1"/>
  <c r="K14" i="94"/>
  <c r="R14" i="94" s="1"/>
  <c r="G14" i="87"/>
  <c r="H14" i="87" s="1"/>
  <c r="I14" i="87" s="1"/>
  <c r="J14" i="87" s="1"/>
  <c r="T14" i="87" s="1"/>
  <c r="W14" i="87" s="1"/>
  <c r="L15" i="118"/>
  <c r="R11" i="120"/>
  <c r="N11" i="120"/>
  <c r="E24" i="95"/>
  <c r="E54" i="90"/>
  <c r="E60" i="95" s="1"/>
  <c r="E42" i="90"/>
  <c r="E48" i="95" s="1"/>
  <c r="E30" i="90"/>
  <c r="E36" i="95" s="1"/>
  <c r="J13" i="101"/>
  <c r="H16" i="112"/>
  <c r="AA63" i="95"/>
  <c r="I12" i="100"/>
  <c r="M16" i="94"/>
  <c r="K14" i="121"/>
  <c r="R14" i="121" s="1"/>
  <c r="H11" i="115"/>
  <c r="N11" i="115" s="1"/>
  <c r="L15" i="107"/>
  <c r="L15" i="119"/>
  <c r="N10" i="119"/>
  <c r="R10" i="119"/>
  <c r="J13" i="118"/>
  <c r="R10" i="117"/>
  <c r="N10" i="117"/>
  <c r="I12" i="118"/>
  <c r="J13" i="121"/>
  <c r="N13" i="121" s="1"/>
  <c r="E39" i="99"/>
  <c r="F14" i="91"/>
  <c r="G14" i="91" s="1"/>
  <c r="H14" i="91" s="1"/>
  <c r="I14" i="91" s="1"/>
  <c r="J14" i="91" s="1"/>
  <c r="J13" i="87"/>
  <c r="R13" i="87" s="1"/>
  <c r="E27" i="87" s="1"/>
  <c r="G10" i="87"/>
  <c r="K14" i="120"/>
  <c r="N14" i="120" s="1"/>
  <c r="I12" i="87"/>
  <c r="N12" i="87" s="1"/>
  <c r="K14" i="107"/>
  <c r="N14" i="107" s="1"/>
  <c r="N16" i="120"/>
  <c r="R16" i="120"/>
  <c r="K14" i="103"/>
  <c r="J13" i="103"/>
  <c r="J13" i="100"/>
  <c r="G47" i="111"/>
  <c r="F24" i="80"/>
  <c r="F47" i="111"/>
  <c r="F23" i="111"/>
  <c r="G35" i="111"/>
  <c r="E7" i="95"/>
  <c r="E66" i="95" s="1"/>
  <c r="E6" i="95"/>
  <c r="F35" i="111"/>
  <c r="F36" i="80"/>
  <c r="U11" i="121"/>
  <c r="U12" i="121" s="1"/>
  <c r="F47" i="116"/>
  <c r="F23" i="116"/>
  <c r="G48" i="120"/>
  <c r="F48" i="120"/>
  <c r="U10" i="100"/>
  <c r="U10" i="112"/>
  <c r="AA5" i="95"/>
  <c r="G15" i="115"/>
  <c r="H15" i="115" s="1"/>
  <c r="I15" i="115" s="1"/>
  <c r="J15" i="115" s="1"/>
  <c r="K15" i="115" s="1"/>
  <c r="T15" i="115" s="1"/>
  <c r="W15" i="115" s="1"/>
  <c r="V55" i="95"/>
  <c r="F49" i="90"/>
  <c r="F37" i="90"/>
  <c r="G25" i="90"/>
  <c r="G49" i="90"/>
  <c r="S5" i="95"/>
  <c r="P6" i="95"/>
  <c r="F48" i="103"/>
  <c r="G36" i="103"/>
  <c r="F36" i="103"/>
  <c r="G48" i="103"/>
  <c r="G24" i="80"/>
  <c r="R15" i="93"/>
  <c r="U21" i="95"/>
  <c r="Z5" i="95"/>
  <c r="Z64" i="95" s="1"/>
  <c r="R9" i="87"/>
  <c r="E23" i="87" s="1"/>
  <c r="C29" i="95" s="1"/>
  <c r="E26" i="112"/>
  <c r="AA32" i="95" s="1"/>
  <c r="B6" i="95"/>
  <c r="G36" i="121"/>
  <c r="U10" i="111"/>
  <c r="F35" i="116"/>
  <c r="Q5" i="95"/>
  <c r="G36" i="80"/>
  <c r="U11" i="103"/>
  <c r="G49" i="103" s="1"/>
  <c r="G24" i="103"/>
  <c r="N11" i="121"/>
  <c r="R11" i="121"/>
  <c r="G34" i="117"/>
  <c r="F34" i="117"/>
  <c r="G13" i="115"/>
  <c r="H13" i="115" s="1"/>
  <c r="I13" i="115" s="1"/>
  <c r="T13" i="115" s="1"/>
  <c r="W13" i="115" s="1"/>
  <c r="G10" i="115"/>
  <c r="F24" i="121"/>
  <c r="H16" i="118"/>
  <c r="G16" i="115"/>
  <c r="N10" i="105"/>
  <c r="R10" i="105"/>
  <c r="G37" i="90"/>
  <c r="G35" i="121"/>
  <c r="F35" i="121"/>
  <c r="E46" i="115"/>
  <c r="E34" i="115"/>
  <c r="E22" i="115"/>
  <c r="G14" i="115"/>
  <c r="G46" i="117"/>
  <c r="F46" i="117"/>
  <c r="E50" i="115"/>
  <c r="E38" i="115"/>
  <c r="E26" i="115"/>
  <c r="I15" i="120"/>
  <c r="F48" i="121"/>
  <c r="U10" i="119"/>
  <c r="E37" i="117"/>
  <c r="E25" i="117"/>
  <c r="E49" i="117"/>
  <c r="U11" i="116"/>
  <c r="F36" i="116"/>
  <c r="F48" i="116"/>
  <c r="F24" i="116"/>
  <c r="G36" i="116"/>
  <c r="G24" i="116"/>
  <c r="G48" i="116"/>
  <c r="H13" i="117"/>
  <c r="E35" i="118"/>
  <c r="E47" i="118"/>
  <c r="E23" i="118"/>
  <c r="E47" i="119"/>
  <c r="G47" i="119" s="1"/>
  <c r="E35" i="119"/>
  <c r="G35" i="119" s="1"/>
  <c r="E23" i="119"/>
  <c r="G23" i="119" s="1"/>
  <c r="I12" i="93"/>
  <c r="M16" i="116"/>
  <c r="F36" i="121"/>
  <c r="U9" i="115"/>
  <c r="U12" i="88"/>
  <c r="G23" i="121"/>
  <c r="F23" i="121"/>
  <c r="G47" i="121"/>
  <c r="F47" i="121"/>
  <c r="I13" i="116"/>
  <c r="H14" i="118"/>
  <c r="G22" i="117"/>
  <c r="F22" i="117"/>
  <c r="E26" i="119"/>
  <c r="E38" i="119"/>
  <c r="E50" i="119"/>
  <c r="N9" i="115"/>
  <c r="R9" i="115"/>
  <c r="U10" i="105"/>
  <c r="U10" i="106"/>
  <c r="AA20" i="95"/>
  <c r="J13" i="90"/>
  <c r="R13" i="90" s="1"/>
  <c r="E50" i="112"/>
  <c r="E38" i="112"/>
  <c r="AA44" i="95" s="1"/>
  <c r="M16" i="88"/>
  <c r="N16" i="88" s="1"/>
  <c r="I12" i="111"/>
  <c r="I16" i="100"/>
  <c r="I12" i="101"/>
  <c r="I15" i="111"/>
  <c r="J15" i="111" s="1"/>
  <c r="K15" i="111" s="1"/>
  <c r="T15" i="111" s="1"/>
  <c r="W15" i="111" s="1"/>
  <c r="D7" i="96"/>
  <c r="C9" i="96"/>
  <c r="C13" i="96"/>
  <c r="C14" i="96"/>
  <c r="C12" i="96"/>
  <c r="C16" i="96"/>
  <c r="C11" i="96"/>
  <c r="C15" i="96"/>
  <c r="C10" i="96"/>
  <c r="C8" i="96"/>
  <c r="P5" i="95"/>
  <c r="P35" i="95"/>
  <c r="G22" i="94"/>
  <c r="I4" i="95"/>
  <c r="Q32" i="95"/>
  <c r="R48" i="95"/>
  <c r="G34" i="108"/>
  <c r="F34" i="108"/>
  <c r="G46" i="94"/>
  <c r="F46" i="108"/>
  <c r="G46" i="108"/>
  <c r="G34" i="94"/>
  <c r="F23" i="99"/>
  <c r="R36" i="95"/>
  <c r="G47" i="99"/>
  <c r="F22" i="108"/>
  <c r="G35" i="99"/>
  <c r="U5" i="95"/>
  <c r="G22" i="108"/>
  <c r="F35" i="99"/>
  <c r="G23" i="99"/>
  <c r="F47" i="99"/>
  <c r="U40" i="95"/>
  <c r="N8" i="91"/>
  <c r="Q44" i="95"/>
  <c r="G47" i="100"/>
  <c r="G23" i="100"/>
  <c r="G34" i="99"/>
  <c r="D64" i="95"/>
  <c r="D41" i="32" s="1"/>
  <c r="N63" i="95"/>
  <c r="R12" i="91"/>
  <c r="F46" i="99"/>
  <c r="U52" i="95"/>
  <c r="F46" i="102"/>
  <c r="O52" i="95"/>
  <c r="U28" i="95"/>
  <c r="U63" i="95" s="1"/>
  <c r="F22" i="99"/>
  <c r="M5" i="95"/>
  <c r="R8" i="91"/>
  <c r="O40" i="95"/>
  <c r="V44" i="95"/>
  <c r="V56" i="95"/>
  <c r="X59" i="95"/>
  <c r="E59" i="95"/>
  <c r="F34" i="102"/>
  <c r="G34" i="102"/>
  <c r="S57" i="95"/>
  <c r="C47" i="95"/>
  <c r="C28" i="95"/>
  <c r="G22" i="87"/>
  <c r="F34" i="105"/>
  <c r="G34" i="105"/>
  <c r="C35" i="95"/>
  <c r="X47" i="95"/>
  <c r="W59" i="95"/>
  <c r="F22" i="102"/>
  <c r="P60" i="95"/>
  <c r="C52" i="95"/>
  <c r="G46" i="87"/>
  <c r="W63" i="95"/>
  <c r="Y32" i="95"/>
  <c r="W47" i="95"/>
  <c r="O56" i="95"/>
  <c r="F34" i="103"/>
  <c r="G34" i="103"/>
  <c r="F34" i="89"/>
  <c r="G34" i="89"/>
  <c r="O28" i="95"/>
  <c r="O63" i="95" s="1"/>
  <c r="M55" i="95"/>
  <c r="Y56" i="95"/>
  <c r="C59" i="95"/>
  <c r="X35" i="95"/>
  <c r="F35" i="100"/>
  <c r="G35" i="100"/>
  <c r="W35" i="95"/>
  <c r="C40" i="95"/>
  <c r="G34" i="87"/>
  <c r="H14" i="99"/>
  <c r="I14" i="99" s="1"/>
  <c r="J14" i="99" s="1"/>
  <c r="T14" i="99" s="1"/>
  <c r="W14" i="99" s="1"/>
  <c r="I28" i="95"/>
  <c r="I35" i="32" s="1"/>
  <c r="F22" i="94"/>
  <c r="H11" i="110"/>
  <c r="Y5" i="95"/>
  <c r="E49" i="89"/>
  <c r="E37" i="89"/>
  <c r="E25" i="89"/>
  <c r="L19" i="95"/>
  <c r="F24" i="95"/>
  <c r="E30" i="91"/>
  <c r="E54" i="91"/>
  <c r="E42" i="91"/>
  <c r="E28" i="104"/>
  <c r="Q22" i="95"/>
  <c r="E52" i="104"/>
  <c r="E40" i="104"/>
  <c r="I14" i="93"/>
  <c r="D56" i="95"/>
  <c r="H13" i="110"/>
  <c r="E27" i="94"/>
  <c r="I21" i="95"/>
  <c r="E51" i="94"/>
  <c r="E39" i="94"/>
  <c r="AA17" i="95"/>
  <c r="E23" i="112"/>
  <c r="G23" i="112" s="1"/>
  <c r="E47" i="112"/>
  <c r="E35" i="112"/>
  <c r="G35" i="112" s="1"/>
  <c r="H13" i="102"/>
  <c r="I16" i="101"/>
  <c r="J16" i="101" s="1"/>
  <c r="K16" i="101" s="1"/>
  <c r="L16" i="101" s="1"/>
  <c r="S16" i="101" s="1"/>
  <c r="V16" i="101" s="1"/>
  <c r="E26" i="108"/>
  <c r="W20" i="95"/>
  <c r="E38" i="108"/>
  <c r="E50" i="108"/>
  <c r="H11" i="105"/>
  <c r="H13" i="112"/>
  <c r="I13" i="112" s="1"/>
  <c r="T13" i="112" s="1"/>
  <c r="W13" i="112" s="1"/>
  <c r="V32" i="95"/>
  <c r="M53" i="95"/>
  <c r="F47" i="100"/>
  <c r="AA22" i="95"/>
  <c r="E40" i="112"/>
  <c r="E28" i="112"/>
  <c r="E52" i="112"/>
  <c r="E41" i="95"/>
  <c r="F35" i="90"/>
  <c r="E14" i="92"/>
  <c r="E38" i="106"/>
  <c r="E26" i="106"/>
  <c r="S20" i="95"/>
  <c r="E50" i="106"/>
  <c r="D44" i="95"/>
  <c r="F9" i="91"/>
  <c r="L5" i="95"/>
  <c r="L64" i="95" s="1"/>
  <c r="R52" i="95"/>
  <c r="F46" i="105"/>
  <c r="E23" i="101"/>
  <c r="G23" i="101" s="1"/>
  <c r="E35" i="101"/>
  <c r="E47" i="101"/>
  <c r="G47" i="101" s="1"/>
  <c r="N17" i="95"/>
  <c r="E35" i="110"/>
  <c r="E47" i="110"/>
  <c r="Y17" i="95"/>
  <c r="E23" i="110"/>
  <c r="G23" i="110" s="1"/>
  <c r="F46" i="87"/>
  <c r="E10" i="92"/>
  <c r="H11" i="102"/>
  <c r="N16" i="91"/>
  <c r="L18" i="95"/>
  <c r="E48" i="89"/>
  <c r="E24" i="89"/>
  <c r="E36" i="89"/>
  <c r="E29" i="95"/>
  <c r="E36" i="32" s="1"/>
  <c r="F23" i="90"/>
  <c r="G11" i="94"/>
  <c r="S11" i="94" s="1"/>
  <c r="V11" i="94" s="1"/>
  <c r="D32" i="95"/>
  <c r="L40" i="95"/>
  <c r="F22" i="89"/>
  <c r="R11" i="111"/>
  <c r="N11" i="111"/>
  <c r="R40" i="95"/>
  <c r="R28" i="95"/>
  <c r="R63" i="95" s="1"/>
  <c r="F22" i="105"/>
  <c r="D42" i="95"/>
  <c r="F36" i="88"/>
  <c r="E23" i="102"/>
  <c r="G23" i="102" s="1"/>
  <c r="E47" i="102"/>
  <c r="F47" i="102" s="1"/>
  <c r="O17" i="95"/>
  <c r="E35" i="102"/>
  <c r="H16" i="110"/>
  <c r="O23" i="95"/>
  <c r="E29" i="102"/>
  <c r="E53" i="102"/>
  <c r="E41" i="102"/>
  <c r="E9" i="92"/>
  <c r="F9" i="92" s="1"/>
  <c r="R9" i="92" s="1"/>
  <c r="R15" i="91"/>
  <c r="E11" i="92"/>
  <c r="F11" i="92" s="1"/>
  <c r="G11" i="92" s="1"/>
  <c r="M41" i="95"/>
  <c r="M29" i="95"/>
  <c r="F23" i="100"/>
  <c r="H15" i="110"/>
  <c r="E53" i="95"/>
  <c r="F47" i="90"/>
  <c r="O44" i="95"/>
  <c r="O32" i="95"/>
  <c r="X53" i="95"/>
  <c r="F47" i="109"/>
  <c r="E15" i="92"/>
  <c r="F15" i="92" s="1"/>
  <c r="G15" i="92" s="1"/>
  <c r="H15" i="92" s="1"/>
  <c r="I15" i="92" s="1"/>
  <c r="J15" i="92" s="1"/>
  <c r="K15" i="92" s="1"/>
  <c r="R17" i="95"/>
  <c r="E23" i="105"/>
  <c r="G23" i="105" s="1"/>
  <c r="E47" i="105"/>
  <c r="F47" i="105" s="1"/>
  <c r="E35" i="105"/>
  <c r="S33" i="95"/>
  <c r="S45" i="95"/>
  <c r="L52" i="95"/>
  <c r="F46" i="89"/>
  <c r="E30" i="87"/>
  <c r="C24" i="95"/>
  <c r="E54" i="87"/>
  <c r="E42" i="87"/>
  <c r="F11" i="91"/>
  <c r="E16" i="92"/>
  <c r="R5" i="95"/>
  <c r="G12" i="94"/>
  <c r="D30" i="95"/>
  <c r="D37" i="32" s="1"/>
  <c r="F24" i="88"/>
  <c r="P19" i="97"/>
  <c r="D63" i="95"/>
  <c r="D40" i="32" s="1"/>
  <c r="R14" i="88"/>
  <c r="N14" i="88"/>
  <c r="H14" i="110"/>
  <c r="I14" i="110" s="1"/>
  <c r="J14" i="110" s="1"/>
  <c r="S14" i="110" s="1"/>
  <c r="V14" i="110" s="1"/>
  <c r="R22" i="95"/>
  <c r="E28" i="105"/>
  <c r="E52" i="105"/>
  <c r="E40" i="105"/>
  <c r="J15" i="88"/>
  <c r="K15" i="88" s="1"/>
  <c r="H14" i="89"/>
  <c r="Z63" i="95"/>
  <c r="P48" i="95"/>
  <c r="P36" i="95"/>
  <c r="M43" i="95"/>
  <c r="M31" i="95"/>
  <c r="E12" i="92"/>
  <c r="F33" i="91"/>
  <c r="F39" i="95"/>
  <c r="G10" i="94"/>
  <c r="O5" i="95"/>
  <c r="E23" i="89"/>
  <c r="L17" i="95"/>
  <c r="E47" i="89"/>
  <c r="E35" i="89"/>
  <c r="P40" i="95"/>
  <c r="P28" i="95"/>
  <c r="P63" i="95" s="1"/>
  <c r="F22" i="103"/>
  <c r="X29" i="95"/>
  <c r="F23" i="109"/>
  <c r="F13" i="91"/>
  <c r="G13" i="91" s="1"/>
  <c r="H13" i="91" s="1"/>
  <c r="I13" i="91" s="1"/>
  <c r="T13" i="91" s="1"/>
  <c r="W13" i="91" s="1"/>
  <c r="F21" i="91"/>
  <c r="F27" i="95"/>
  <c r="I13" i="93"/>
  <c r="D54" i="95"/>
  <c r="F48" i="88"/>
  <c r="N11" i="106"/>
  <c r="R11" i="106"/>
  <c r="E29" i="106"/>
  <c r="S23" i="95"/>
  <c r="E41" i="106"/>
  <c r="E53" i="106"/>
  <c r="G11" i="87"/>
  <c r="T11" i="87" s="1"/>
  <c r="W11" i="87" s="1"/>
  <c r="L15" i="94"/>
  <c r="H15" i="89"/>
  <c r="E27" i="107"/>
  <c r="E51" i="107"/>
  <c r="V21" i="95"/>
  <c r="E39" i="107"/>
  <c r="R10" i="99"/>
  <c r="N10" i="99"/>
  <c r="X41" i="95"/>
  <c r="F35" i="109"/>
  <c r="E42" i="102"/>
  <c r="E54" i="102"/>
  <c r="E30" i="102"/>
  <c r="O24" i="95"/>
  <c r="R9" i="94"/>
  <c r="N9" i="94"/>
  <c r="R11" i="109"/>
  <c r="N11" i="109"/>
  <c r="E8" i="92"/>
  <c r="F45" i="91"/>
  <c r="F51" i="95"/>
  <c r="F22" i="87"/>
  <c r="I52" i="95"/>
  <c r="F46" i="94"/>
  <c r="H12" i="99"/>
  <c r="I40" i="95"/>
  <c r="F34" i="94"/>
  <c r="E13" i="92"/>
  <c r="F13" i="92" s="1"/>
  <c r="G13" i="92" s="1"/>
  <c r="H13" i="92" s="1"/>
  <c r="I13" i="92" s="1"/>
  <c r="J13" i="92" s="1"/>
  <c r="R13" i="92" s="1"/>
  <c r="G15" i="95"/>
  <c r="E33" i="92"/>
  <c r="E45" i="92"/>
  <c r="E21" i="92"/>
  <c r="P52" i="95"/>
  <c r="F46" i="103"/>
  <c r="H15" i="112"/>
  <c r="N10" i="101"/>
  <c r="R10" i="101"/>
  <c r="Y44" i="95"/>
  <c r="F34" i="87"/>
  <c r="P11" i="97" l="1"/>
  <c r="M34" i="95"/>
  <c r="U48" i="95"/>
  <c r="E24" i="111"/>
  <c r="Z30" i="95" s="1"/>
  <c r="G35" i="106"/>
  <c r="Q48" i="95"/>
  <c r="S48" i="95"/>
  <c r="Z18" i="95"/>
  <c r="E48" i="111"/>
  <c r="G48" i="111" s="1"/>
  <c r="E36" i="111"/>
  <c r="Z42" i="95" s="1"/>
  <c r="E36" i="106"/>
  <c r="G36" i="106" s="1"/>
  <c r="H37" i="32"/>
  <c r="E48" i="106"/>
  <c r="G48" i="106" s="1"/>
  <c r="U64" i="95"/>
  <c r="E24" i="106"/>
  <c r="S30" i="95" s="1"/>
  <c r="S18" i="95"/>
  <c r="T20" i="97"/>
  <c r="G47" i="103"/>
  <c r="Q35" i="95"/>
  <c r="P53" i="95"/>
  <c r="P29" i="95"/>
  <c r="P64" i="95" s="1"/>
  <c r="F24" i="110"/>
  <c r="G36" i="112"/>
  <c r="F36" i="110"/>
  <c r="G45" i="92"/>
  <c r="G33" i="92"/>
  <c r="G23" i="103"/>
  <c r="O30" i="95"/>
  <c r="G21" i="92"/>
  <c r="G24" i="110"/>
  <c r="F23" i="103"/>
  <c r="G36" i="110"/>
  <c r="F47" i="93"/>
  <c r="H5" i="95"/>
  <c r="G35" i="93"/>
  <c r="U10" i="93"/>
  <c r="F23" i="93"/>
  <c r="F35" i="93"/>
  <c r="H63" i="95"/>
  <c r="T9" i="97"/>
  <c r="H25" i="32"/>
  <c r="G23" i="93"/>
  <c r="G47" i="93"/>
  <c r="S64" i="95"/>
  <c r="F35" i="103"/>
  <c r="M35" i="95"/>
  <c r="AA30" i="95"/>
  <c r="F23" i="106"/>
  <c r="G23" i="106"/>
  <c r="S41" i="95"/>
  <c r="P32" i="95"/>
  <c r="G24" i="104"/>
  <c r="E36" i="107"/>
  <c r="V42" i="95" s="1"/>
  <c r="E24" i="107"/>
  <c r="V30" i="95" s="1"/>
  <c r="V18" i="95"/>
  <c r="E48" i="107"/>
  <c r="G48" i="107" s="1"/>
  <c r="P65" i="95"/>
  <c r="F24" i="90"/>
  <c r="F36" i="102"/>
  <c r="S46" i="95"/>
  <c r="F24" i="102"/>
  <c r="N35" i="95"/>
  <c r="G47" i="106"/>
  <c r="U14" i="122"/>
  <c r="U15" i="122" s="1"/>
  <c r="F47" i="106"/>
  <c r="E54" i="109"/>
  <c r="X60" i="95" s="1"/>
  <c r="G24" i="89"/>
  <c r="L6" i="95"/>
  <c r="L65" i="95" s="1"/>
  <c r="U9" i="91"/>
  <c r="V9" i="91"/>
  <c r="U8" i="92"/>
  <c r="W8" i="92"/>
  <c r="G48" i="89"/>
  <c r="F48" i="110"/>
  <c r="Y6" i="95"/>
  <c r="Y65" i="95" s="1"/>
  <c r="G48" i="110"/>
  <c r="G48" i="102"/>
  <c r="G36" i="102"/>
  <c r="G24" i="102"/>
  <c r="O6" i="95"/>
  <c r="U11" i="102"/>
  <c r="U12" i="102" s="1"/>
  <c r="G38" i="102" s="1"/>
  <c r="U11" i="89"/>
  <c r="U12" i="89" s="1"/>
  <c r="G24" i="118"/>
  <c r="G36" i="104"/>
  <c r="F48" i="104"/>
  <c r="F24" i="104"/>
  <c r="Q6" i="95"/>
  <c r="Q65" i="95" s="1"/>
  <c r="U11" i="104"/>
  <c r="F36" i="104"/>
  <c r="F48" i="102"/>
  <c r="Q33" i="95"/>
  <c r="U10" i="87"/>
  <c r="V6" i="95"/>
  <c r="G26" i="122"/>
  <c r="F26" i="122"/>
  <c r="G38" i="122"/>
  <c r="F38" i="122"/>
  <c r="E28" i="122"/>
  <c r="E40" i="122"/>
  <c r="E52" i="122"/>
  <c r="O9" i="97"/>
  <c r="G50" i="122"/>
  <c r="F50" i="122"/>
  <c r="F48" i="118"/>
  <c r="G36" i="118"/>
  <c r="G48" i="118"/>
  <c r="U11" i="118"/>
  <c r="G25" i="118" s="1"/>
  <c r="F24" i="118"/>
  <c r="F36" i="118"/>
  <c r="U11" i="107"/>
  <c r="U11" i="110"/>
  <c r="U12" i="110" s="1"/>
  <c r="G26" i="110" s="1"/>
  <c r="F25" i="101"/>
  <c r="G35" i="104"/>
  <c r="T11" i="92"/>
  <c r="W11" i="92" s="1"/>
  <c r="E26" i="120"/>
  <c r="F26" i="120" s="1"/>
  <c r="S13" i="115"/>
  <c r="V13" i="115" s="1"/>
  <c r="S15" i="115"/>
  <c r="V15" i="115" s="1"/>
  <c r="E38" i="120"/>
  <c r="G38" i="120" s="1"/>
  <c r="S10" i="91"/>
  <c r="T14" i="91"/>
  <c r="W14" i="91" s="1"/>
  <c r="T11" i="94"/>
  <c r="W11" i="94" s="1"/>
  <c r="E42" i="95"/>
  <c r="S13" i="116"/>
  <c r="V13" i="116" s="1"/>
  <c r="T13" i="116"/>
  <c r="W13" i="116" s="1"/>
  <c r="S11" i="87"/>
  <c r="V11" i="87" s="1"/>
  <c r="S11" i="92"/>
  <c r="V11" i="92" s="1"/>
  <c r="S15" i="92"/>
  <c r="V15" i="92" s="1"/>
  <c r="S14" i="99"/>
  <c r="V14" i="99" s="1"/>
  <c r="T14" i="110"/>
  <c r="W14" i="110" s="1"/>
  <c r="S15" i="88"/>
  <c r="V15" i="88" s="1"/>
  <c r="T15" i="88"/>
  <c r="W15" i="88" s="1"/>
  <c r="T9" i="92"/>
  <c r="W9" i="92" s="1"/>
  <c r="S12" i="99"/>
  <c r="V12" i="99" s="1"/>
  <c r="T12" i="99"/>
  <c r="W12" i="99" s="1"/>
  <c r="T13" i="93"/>
  <c r="W13" i="93" s="1"/>
  <c r="S13" i="93"/>
  <c r="V13" i="93" s="1"/>
  <c r="S14" i="87"/>
  <c r="V14" i="87" s="1"/>
  <c r="E25" i="93"/>
  <c r="H31" i="95" s="1"/>
  <c r="E49" i="93"/>
  <c r="H55" i="95" s="1"/>
  <c r="H19" i="95"/>
  <c r="E37" i="93"/>
  <c r="H43" i="95" s="1"/>
  <c r="N12" i="116"/>
  <c r="R12" i="116"/>
  <c r="S9" i="92"/>
  <c r="V9" i="92" s="1"/>
  <c r="T16" i="101"/>
  <c r="W16" i="101" s="1"/>
  <c r="T13" i="92"/>
  <c r="W13" i="92" s="1"/>
  <c r="S13" i="92"/>
  <c r="V13" i="92" s="1"/>
  <c r="S13" i="91"/>
  <c r="V13" i="91" s="1"/>
  <c r="S15" i="111"/>
  <c r="V15" i="111" s="1"/>
  <c r="S13" i="112"/>
  <c r="V13" i="112" s="1"/>
  <c r="S14" i="91"/>
  <c r="V14" i="91" s="1"/>
  <c r="T15" i="92"/>
  <c r="W15" i="92" s="1"/>
  <c r="X6" i="95"/>
  <c r="X65" i="95" s="1"/>
  <c r="P30" i="97"/>
  <c r="V53" i="95"/>
  <c r="U9" i="97"/>
  <c r="I25" i="32"/>
  <c r="F49" i="80"/>
  <c r="G48" i="109"/>
  <c r="O20" i="97"/>
  <c r="C36" i="32"/>
  <c r="P24" i="97"/>
  <c r="N11" i="97"/>
  <c r="N31" i="97" s="1"/>
  <c r="B27" i="32"/>
  <c r="N20" i="97"/>
  <c r="N30" i="97" s="1"/>
  <c r="B36" i="32"/>
  <c r="O19" i="97"/>
  <c r="C35" i="32"/>
  <c r="P25" i="97"/>
  <c r="Q16" i="97"/>
  <c r="E32" i="32"/>
  <c r="Q11" i="97"/>
  <c r="E27" i="32"/>
  <c r="F24" i="108"/>
  <c r="G23" i="108"/>
  <c r="Q41" i="95"/>
  <c r="U11" i="109"/>
  <c r="U12" i="109" s="1"/>
  <c r="U13" i="109" s="1"/>
  <c r="F24" i="109"/>
  <c r="E42" i="109"/>
  <c r="X48" i="95" s="1"/>
  <c r="G24" i="109"/>
  <c r="G23" i="104"/>
  <c r="Q29" i="95"/>
  <c r="Q64" i="95" s="1"/>
  <c r="F36" i="90"/>
  <c r="E30" i="109"/>
  <c r="X36" i="95" s="1"/>
  <c r="F36" i="109"/>
  <c r="G24" i="90"/>
  <c r="F47" i="104"/>
  <c r="Q53" i="95"/>
  <c r="V29" i="95"/>
  <c r="V64" i="95" s="1"/>
  <c r="F35" i="107"/>
  <c r="F23" i="107"/>
  <c r="V41" i="95"/>
  <c r="F23" i="108"/>
  <c r="E51" i="119"/>
  <c r="W53" i="95"/>
  <c r="N6" i="95"/>
  <c r="F37" i="101"/>
  <c r="F47" i="107"/>
  <c r="G37" i="101"/>
  <c r="U12" i="101"/>
  <c r="G47" i="108"/>
  <c r="G25" i="101"/>
  <c r="F49" i="101"/>
  <c r="N7" i="95"/>
  <c r="N66" i="95" s="1"/>
  <c r="G49" i="101"/>
  <c r="E39" i="119"/>
  <c r="R11" i="115"/>
  <c r="E25" i="115" s="1"/>
  <c r="G37" i="80"/>
  <c r="X24" i="95"/>
  <c r="F50" i="88"/>
  <c r="F25" i="80"/>
  <c r="F36" i="120"/>
  <c r="F48" i="109"/>
  <c r="G36" i="109"/>
  <c r="F26" i="88"/>
  <c r="F35" i="108"/>
  <c r="B64" i="95"/>
  <c r="F37" i="80"/>
  <c r="E41" i="93"/>
  <c r="H47" i="95" s="1"/>
  <c r="W41" i="95"/>
  <c r="N11" i="99"/>
  <c r="B7" i="95"/>
  <c r="B66" i="95" s="1"/>
  <c r="H23" i="95"/>
  <c r="E39" i="87"/>
  <c r="C45" i="95" s="1"/>
  <c r="U12" i="80"/>
  <c r="F26" i="80" s="1"/>
  <c r="K14" i="91"/>
  <c r="E53" i="93"/>
  <c r="H59" i="95" s="1"/>
  <c r="M30" i="95"/>
  <c r="N14" i="121"/>
  <c r="G25" i="80"/>
  <c r="G49" i="80"/>
  <c r="Z6" i="95"/>
  <c r="E40" i="116"/>
  <c r="N14" i="94"/>
  <c r="X64" i="95"/>
  <c r="G36" i="108"/>
  <c r="E28" i="116"/>
  <c r="G48" i="108"/>
  <c r="E52" i="116"/>
  <c r="W6" i="95"/>
  <c r="W65" i="95" s="1"/>
  <c r="G24" i="108"/>
  <c r="F48" i="108"/>
  <c r="U11" i="108"/>
  <c r="W7" i="95" s="1"/>
  <c r="W66" i="95" s="1"/>
  <c r="F36" i="108"/>
  <c r="E51" i="87"/>
  <c r="C57" i="95" s="1"/>
  <c r="F24" i="120"/>
  <c r="C21" i="95"/>
  <c r="N13" i="87"/>
  <c r="U11" i="105"/>
  <c r="U12" i="105" s="1"/>
  <c r="R13" i="121"/>
  <c r="U10" i="94"/>
  <c r="F24" i="100"/>
  <c r="U33" i="95"/>
  <c r="C17" i="95"/>
  <c r="N14" i="109"/>
  <c r="F36" i="112"/>
  <c r="N15" i="118"/>
  <c r="AA56" i="95"/>
  <c r="R15" i="118"/>
  <c r="E29" i="118" s="1"/>
  <c r="G10" i="91"/>
  <c r="R10" i="91" s="1"/>
  <c r="R12" i="87"/>
  <c r="N12" i="100"/>
  <c r="R11" i="99"/>
  <c r="R12" i="118"/>
  <c r="E50" i="118" s="1"/>
  <c r="E29" i="93"/>
  <c r="H35" i="95" s="1"/>
  <c r="R12" i="100"/>
  <c r="F48" i="90"/>
  <c r="E35" i="87"/>
  <c r="C41" i="95" s="1"/>
  <c r="N12" i="118"/>
  <c r="R14" i="120"/>
  <c r="E54" i="95"/>
  <c r="E47" i="87"/>
  <c r="C53" i="95" s="1"/>
  <c r="G48" i="112"/>
  <c r="U12" i="90"/>
  <c r="E8" i="95" s="1"/>
  <c r="U7" i="96"/>
  <c r="J3" i="95" s="1"/>
  <c r="V8" i="97" s="1"/>
  <c r="U11" i="99"/>
  <c r="R14" i="109"/>
  <c r="R14" i="107"/>
  <c r="F48" i="100"/>
  <c r="M6" i="95"/>
  <c r="F38" i="88"/>
  <c r="G24" i="100"/>
  <c r="G48" i="100"/>
  <c r="G36" i="100"/>
  <c r="U6" i="95"/>
  <c r="F36" i="100"/>
  <c r="J13" i="91"/>
  <c r="N13" i="91" s="1"/>
  <c r="N14" i="103"/>
  <c r="R14" i="103"/>
  <c r="N15" i="107"/>
  <c r="R15" i="107"/>
  <c r="N16" i="94"/>
  <c r="R16" i="94"/>
  <c r="E49" i="120"/>
  <c r="E25" i="120"/>
  <c r="E37" i="120"/>
  <c r="R13" i="111"/>
  <c r="N13" i="111"/>
  <c r="N13" i="103"/>
  <c r="R13" i="103"/>
  <c r="N10" i="87"/>
  <c r="R10" i="87"/>
  <c r="N13" i="118"/>
  <c r="R13" i="118"/>
  <c r="I16" i="112"/>
  <c r="J16" i="112" s="1"/>
  <c r="K16" i="112" s="1"/>
  <c r="L16" i="112" s="1"/>
  <c r="N12" i="90"/>
  <c r="R12" i="90"/>
  <c r="L15" i="115"/>
  <c r="E36" i="117"/>
  <c r="E24" i="117"/>
  <c r="E48" i="117"/>
  <c r="E24" i="119"/>
  <c r="G24" i="119" s="1"/>
  <c r="E48" i="119"/>
  <c r="G48" i="119" s="1"/>
  <c r="E36" i="119"/>
  <c r="F36" i="119" s="1"/>
  <c r="R13" i="101"/>
  <c r="N13" i="101"/>
  <c r="N13" i="100"/>
  <c r="R13" i="100"/>
  <c r="E30" i="120"/>
  <c r="E54" i="120"/>
  <c r="E42" i="120"/>
  <c r="R15" i="119"/>
  <c r="N15" i="119"/>
  <c r="K14" i="87"/>
  <c r="D21" i="95"/>
  <c r="E51" i="88"/>
  <c r="D57" i="95" s="1"/>
  <c r="E39" i="88"/>
  <c r="D45" i="95" s="1"/>
  <c r="E27" i="88"/>
  <c r="D33" i="95" s="1"/>
  <c r="B65" i="95"/>
  <c r="F37" i="103"/>
  <c r="P7" i="95"/>
  <c r="P66" i="95" s="1"/>
  <c r="F49" i="103"/>
  <c r="G37" i="103"/>
  <c r="F25" i="103"/>
  <c r="F24" i="112"/>
  <c r="R6" i="95"/>
  <c r="G24" i="112"/>
  <c r="G25" i="103"/>
  <c r="F48" i="112"/>
  <c r="U11" i="111"/>
  <c r="U12" i="111" s="1"/>
  <c r="U13" i="111" s="1"/>
  <c r="U11" i="112"/>
  <c r="AA6" i="95"/>
  <c r="U11" i="100"/>
  <c r="U12" i="100" s="1"/>
  <c r="G26" i="88"/>
  <c r="F37" i="117"/>
  <c r="F25" i="117"/>
  <c r="F49" i="117"/>
  <c r="U12" i="117"/>
  <c r="U10" i="115"/>
  <c r="G35" i="118"/>
  <c r="F35" i="118"/>
  <c r="I13" i="117"/>
  <c r="G37" i="117"/>
  <c r="F47" i="119"/>
  <c r="G22" i="115"/>
  <c r="F22" i="115"/>
  <c r="G46" i="115"/>
  <c r="F46" i="115"/>
  <c r="G50" i="88"/>
  <c r="E36" i="105"/>
  <c r="R18" i="95"/>
  <c r="E48" i="105"/>
  <c r="E24" i="105"/>
  <c r="U13" i="120"/>
  <c r="F50" i="120"/>
  <c r="E37" i="121"/>
  <c r="E49" i="121"/>
  <c r="E25" i="121"/>
  <c r="H11" i="94"/>
  <c r="R11" i="94" s="1"/>
  <c r="E47" i="115"/>
  <c r="G47" i="115" s="1"/>
  <c r="E23" i="115"/>
  <c r="G23" i="115" s="1"/>
  <c r="E35" i="115"/>
  <c r="G35" i="115" s="1"/>
  <c r="G49" i="117"/>
  <c r="U11" i="119"/>
  <c r="F35" i="119"/>
  <c r="H16" i="115"/>
  <c r="I16" i="118"/>
  <c r="G50" i="120"/>
  <c r="J13" i="115"/>
  <c r="U11" i="106"/>
  <c r="S6" i="95"/>
  <c r="G23" i="118"/>
  <c r="F23" i="118"/>
  <c r="U12" i="116"/>
  <c r="F25" i="116"/>
  <c r="F49" i="116"/>
  <c r="F37" i="116"/>
  <c r="G37" i="116"/>
  <c r="G49" i="116"/>
  <c r="G25" i="116"/>
  <c r="F23" i="119"/>
  <c r="U13" i="121"/>
  <c r="F50" i="121"/>
  <c r="F38" i="121"/>
  <c r="F26" i="121"/>
  <c r="G38" i="121"/>
  <c r="G26" i="121"/>
  <c r="G50" i="121"/>
  <c r="J15" i="120"/>
  <c r="H14" i="115"/>
  <c r="G34" i="115"/>
  <c r="F34" i="115"/>
  <c r="E28" i="121"/>
  <c r="E52" i="121"/>
  <c r="E40" i="121"/>
  <c r="I14" i="118"/>
  <c r="J13" i="116"/>
  <c r="U13" i="88"/>
  <c r="D8" i="95"/>
  <c r="D67" i="95" s="1"/>
  <c r="R16" i="116"/>
  <c r="N16" i="116"/>
  <c r="R12" i="93"/>
  <c r="N12" i="93"/>
  <c r="G47" i="118"/>
  <c r="F47" i="118"/>
  <c r="G25" i="117"/>
  <c r="G38" i="88"/>
  <c r="R10" i="115"/>
  <c r="N10" i="115"/>
  <c r="U12" i="103"/>
  <c r="N13" i="90"/>
  <c r="N12" i="111"/>
  <c r="R12" i="111"/>
  <c r="R16" i="88"/>
  <c r="E30" i="88" s="1"/>
  <c r="R12" i="101"/>
  <c r="N12" i="101"/>
  <c r="F10" i="92"/>
  <c r="S10" i="92" s="1"/>
  <c r="V10" i="92" s="1"/>
  <c r="K14" i="99"/>
  <c r="N14" i="99" s="1"/>
  <c r="L15" i="111"/>
  <c r="J16" i="100"/>
  <c r="K16" i="100" s="1"/>
  <c r="L16" i="100" s="1"/>
  <c r="J13" i="93"/>
  <c r="R13" i="93" s="1"/>
  <c r="I12" i="99"/>
  <c r="N12" i="99" s="1"/>
  <c r="D11" i="96"/>
  <c r="B11" i="96"/>
  <c r="B16" i="96"/>
  <c r="D12" i="96"/>
  <c r="B12" i="96"/>
  <c r="D14" i="96"/>
  <c r="E14" i="96" s="1"/>
  <c r="F14" i="96" s="1"/>
  <c r="G14" i="96" s="1"/>
  <c r="H14" i="96" s="1"/>
  <c r="I14" i="96" s="1"/>
  <c r="J14" i="96" s="1"/>
  <c r="K14" i="96" s="1"/>
  <c r="B14" i="96"/>
  <c r="B13" i="96"/>
  <c r="D13" i="96"/>
  <c r="B8" i="96"/>
  <c r="D8" i="96"/>
  <c r="S8" i="96" s="1"/>
  <c r="V8" i="96" s="1"/>
  <c r="B9" i="96"/>
  <c r="D9" i="96"/>
  <c r="B10" i="96"/>
  <c r="D10" i="96"/>
  <c r="R7" i="96"/>
  <c r="N7" i="96"/>
  <c r="D16" i="96"/>
  <c r="D15" i="96"/>
  <c r="B15" i="96"/>
  <c r="P29" i="97"/>
  <c r="E34" i="91"/>
  <c r="F34" i="91" s="1"/>
  <c r="M64" i="95"/>
  <c r="E22" i="91"/>
  <c r="F28" i="95" s="1"/>
  <c r="F16" i="95"/>
  <c r="E46" i="91"/>
  <c r="F52" i="95" s="1"/>
  <c r="F23" i="87"/>
  <c r="G23" i="87"/>
  <c r="C5" i="95"/>
  <c r="I5" i="95"/>
  <c r="E38" i="91"/>
  <c r="F44" i="95" s="1"/>
  <c r="F20" i="95"/>
  <c r="E50" i="91"/>
  <c r="F56" i="95" s="1"/>
  <c r="E26" i="91"/>
  <c r="F32" i="95" s="1"/>
  <c r="F4" i="95"/>
  <c r="C63" i="95"/>
  <c r="C40" i="32" s="1"/>
  <c r="N9" i="92"/>
  <c r="F23" i="102"/>
  <c r="F23" i="105"/>
  <c r="F35" i="101"/>
  <c r="G35" i="101"/>
  <c r="I45" i="95"/>
  <c r="F35" i="102"/>
  <c r="G35" i="102"/>
  <c r="Y53" i="95"/>
  <c r="G47" i="110"/>
  <c r="W44" i="95"/>
  <c r="S59" i="95"/>
  <c r="C48" i="95"/>
  <c r="I33" i="95"/>
  <c r="C60" i="95"/>
  <c r="O53" i="95"/>
  <c r="G47" i="102"/>
  <c r="AA46" i="95"/>
  <c r="Q58" i="95"/>
  <c r="L43" i="95"/>
  <c r="F35" i="89"/>
  <c r="G35" i="89"/>
  <c r="V57" i="95"/>
  <c r="L53" i="95"/>
  <c r="G47" i="89"/>
  <c r="F35" i="105"/>
  <c r="G35" i="105"/>
  <c r="O59" i="95"/>
  <c r="F36" i="89"/>
  <c r="G36" i="89"/>
  <c r="Y41" i="95"/>
  <c r="G35" i="110"/>
  <c r="S56" i="95"/>
  <c r="W32" i="95"/>
  <c r="F48" i="95"/>
  <c r="I57" i="95"/>
  <c r="V33" i="95"/>
  <c r="R53" i="95"/>
  <c r="G47" i="105"/>
  <c r="F60" i="95"/>
  <c r="L55" i="95"/>
  <c r="W56" i="95"/>
  <c r="O60" i="95"/>
  <c r="N8" i="92"/>
  <c r="L41" i="95"/>
  <c r="G23" i="89"/>
  <c r="R58" i="95"/>
  <c r="C36" i="95"/>
  <c r="C33" i="95"/>
  <c r="F47" i="112"/>
  <c r="G47" i="112"/>
  <c r="F36" i="95"/>
  <c r="V45" i="95"/>
  <c r="N15" i="94"/>
  <c r="R15" i="94"/>
  <c r="I13" i="102"/>
  <c r="L15" i="88"/>
  <c r="H11" i="92"/>
  <c r="I13" i="110"/>
  <c r="J14" i="93"/>
  <c r="Q21" i="97"/>
  <c r="E65" i="95"/>
  <c r="E42" i="32" s="1"/>
  <c r="R11" i="110"/>
  <c r="N11" i="110"/>
  <c r="I15" i="112"/>
  <c r="R10" i="94"/>
  <c r="N10" i="94"/>
  <c r="L15" i="92"/>
  <c r="E41" i="91"/>
  <c r="E53" i="91"/>
  <c r="E29" i="91"/>
  <c r="F23" i="95"/>
  <c r="I16" i="110"/>
  <c r="J16" i="110" s="1"/>
  <c r="K16" i="110" s="1"/>
  <c r="L16" i="110" s="1"/>
  <c r="E49" i="111"/>
  <c r="E25" i="111"/>
  <c r="E37" i="111"/>
  <c r="Z19" i="95"/>
  <c r="F23" i="110"/>
  <c r="Y29" i="95"/>
  <c r="Y64" i="95" s="1"/>
  <c r="S44" i="95"/>
  <c r="S32" i="95"/>
  <c r="J13" i="112"/>
  <c r="AA53" i="95"/>
  <c r="AA29" i="95"/>
  <c r="AA64" i="95" s="1"/>
  <c r="F23" i="112"/>
  <c r="N13" i="92"/>
  <c r="Q20" i="97"/>
  <c r="E64" i="95"/>
  <c r="E41" i="32" s="1"/>
  <c r="R11" i="102"/>
  <c r="N11" i="102"/>
  <c r="F21" i="92"/>
  <c r="G27" i="95"/>
  <c r="I15" i="89"/>
  <c r="K14" i="110"/>
  <c r="G11" i="91"/>
  <c r="S11" i="91" s="1"/>
  <c r="V11" i="91" s="1"/>
  <c r="I15" i="110"/>
  <c r="O41" i="95"/>
  <c r="O29" i="95"/>
  <c r="O64" i="95" s="1"/>
  <c r="N53" i="95"/>
  <c r="F47" i="101"/>
  <c r="F23" i="89"/>
  <c r="N9" i="91"/>
  <c r="R9" i="91"/>
  <c r="F47" i="110"/>
  <c r="S19" i="95"/>
  <c r="E49" i="106"/>
  <c r="E37" i="106"/>
  <c r="E25" i="106"/>
  <c r="F45" i="92"/>
  <c r="G51" i="95"/>
  <c r="O48" i="95"/>
  <c r="O36" i="95"/>
  <c r="P21" i="97"/>
  <c r="D65" i="95"/>
  <c r="D42" i="32" s="1"/>
  <c r="R41" i="95"/>
  <c r="R29" i="95"/>
  <c r="R64" i="95" s="1"/>
  <c r="F47" i="89"/>
  <c r="F35" i="110"/>
  <c r="E51" i="92"/>
  <c r="G21" i="95"/>
  <c r="E39" i="92"/>
  <c r="E27" i="92"/>
  <c r="S47" i="95"/>
  <c r="S35" i="95"/>
  <c r="F12" i="92"/>
  <c r="G12" i="92" s="1"/>
  <c r="H12" i="92" s="1"/>
  <c r="S12" i="92" s="1"/>
  <c r="V12" i="92" s="1"/>
  <c r="E28" i="88"/>
  <c r="D22" i="95"/>
  <c r="E52" i="88"/>
  <c r="E40" i="88"/>
  <c r="H12" i="94"/>
  <c r="E21" i="95"/>
  <c r="E51" i="90"/>
  <c r="E27" i="90"/>
  <c r="E39" i="90"/>
  <c r="E47" i="92"/>
  <c r="E23" i="92"/>
  <c r="E35" i="92"/>
  <c r="G17" i="95"/>
  <c r="O47" i="95"/>
  <c r="O35" i="95"/>
  <c r="L42" i="95"/>
  <c r="F24" i="89"/>
  <c r="N29" i="95"/>
  <c r="N64" i="95" s="1"/>
  <c r="N41" i="95"/>
  <c r="F23" i="101"/>
  <c r="F33" i="92"/>
  <c r="G39" i="95"/>
  <c r="I17" i="95"/>
  <c r="E47" i="94"/>
  <c r="G47" i="94" s="1"/>
  <c r="E35" i="94"/>
  <c r="G35" i="94" s="1"/>
  <c r="E23" i="94"/>
  <c r="G23" i="94" s="1"/>
  <c r="U18" i="95"/>
  <c r="E48" i="99"/>
  <c r="G48" i="99" s="1"/>
  <c r="E36" i="99"/>
  <c r="E24" i="99"/>
  <c r="G24" i="99" s="1"/>
  <c r="E24" i="101"/>
  <c r="G24" i="101" s="1"/>
  <c r="E36" i="101"/>
  <c r="E48" i="101"/>
  <c r="G48" i="101" s="1"/>
  <c r="N18" i="95"/>
  <c r="R46" i="95"/>
  <c r="R34" i="95"/>
  <c r="F16" i="92"/>
  <c r="L54" i="95"/>
  <c r="F48" i="89"/>
  <c r="F14" i="92"/>
  <c r="R11" i="105"/>
  <c r="N11" i="105"/>
  <c r="M16" i="101"/>
  <c r="E52" i="94"/>
  <c r="E28" i="94"/>
  <c r="I22" i="95"/>
  <c r="E40" i="94"/>
  <c r="AA41" i="95"/>
  <c r="F35" i="112"/>
  <c r="H11" i="87"/>
  <c r="E49" i="109"/>
  <c r="E25" i="109"/>
  <c r="E37" i="109"/>
  <c r="X19" i="95"/>
  <c r="R8" i="92"/>
  <c r="I14" i="89"/>
  <c r="AA34" i="95"/>
  <c r="AA58" i="95"/>
  <c r="Q46" i="95"/>
  <c r="Q34" i="95"/>
  <c r="U19" i="97"/>
  <c r="I63" i="95"/>
  <c r="G36" i="111" l="1"/>
  <c r="F24" i="111"/>
  <c r="G24" i="111"/>
  <c r="F36" i="111"/>
  <c r="F36" i="106"/>
  <c r="F24" i="106"/>
  <c r="S42" i="95"/>
  <c r="G24" i="106"/>
  <c r="F48" i="111"/>
  <c r="S54" i="95"/>
  <c r="Z54" i="95"/>
  <c r="F48" i="106"/>
  <c r="O65" i="95"/>
  <c r="T29" i="97"/>
  <c r="V54" i="95"/>
  <c r="H6" i="95"/>
  <c r="F24" i="93"/>
  <c r="G36" i="93"/>
  <c r="F48" i="93"/>
  <c r="F36" i="93"/>
  <c r="G48" i="93"/>
  <c r="G24" i="93"/>
  <c r="U11" i="93"/>
  <c r="T24" i="97"/>
  <c r="H40" i="32"/>
  <c r="H26" i="32"/>
  <c r="T10" i="97"/>
  <c r="H64" i="95"/>
  <c r="F48" i="107"/>
  <c r="C6" i="95"/>
  <c r="O11" i="97" s="1"/>
  <c r="G36" i="107"/>
  <c r="AA65" i="95"/>
  <c r="F38" i="120"/>
  <c r="F36" i="107"/>
  <c r="G24" i="107"/>
  <c r="F24" i="107"/>
  <c r="V65" i="95"/>
  <c r="U16" i="122"/>
  <c r="F42" i="122" s="1"/>
  <c r="F53" i="122"/>
  <c r="G4" i="95"/>
  <c r="G25" i="32" s="1"/>
  <c r="G41" i="122"/>
  <c r="G53" i="122"/>
  <c r="G29" i="122"/>
  <c r="F41" i="122"/>
  <c r="U12" i="104"/>
  <c r="Q8" i="95" s="1"/>
  <c r="Q67" i="95" s="1"/>
  <c r="Q7" i="95"/>
  <c r="Q66" i="95" s="1"/>
  <c r="G49" i="104"/>
  <c r="F49" i="104"/>
  <c r="G25" i="104"/>
  <c r="F37" i="104"/>
  <c r="F25" i="104"/>
  <c r="G37" i="104"/>
  <c r="F29" i="122"/>
  <c r="F25" i="89"/>
  <c r="G37" i="89"/>
  <c r="F50" i="89"/>
  <c r="F49" i="89"/>
  <c r="G26" i="89"/>
  <c r="U10" i="91"/>
  <c r="V10" i="91"/>
  <c r="F38" i="102"/>
  <c r="F50" i="102"/>
  <c r="G26" i="102"/>
  <c r="O7" i="95"/>
  <c r="O8" i="95"/>
  <c r="O67" i="95" s="1"/>
  <c r="F26" i="102"/>
  <c r="G50" i="102"/>
  <c r="L8" i="95"/>
  <c r="L67" i="95" s="1"/>
  <c r="U13" i="89"/>
  <c r="F37" i="89"/>
  <c r="G49" i="89"/>
  <c r="G25" i="89"/>
  <c r="F38" i="89"/>
  <c r="G50" i="89"/>
  <c r="L7" i="95"/>
  <c r="L66" i="95" s="1"/>
  <c r="G38" i="89"/>
  <c r="F26" i="89"/>
  <c r="G26" i="120"/>
  <c r="F49" i="107"/>
  <c r="G49" i="107"/>
  <c r="O29" i="97"/>
  <c r="F37" i="107"/>
  <c r="V7" i="95"/>
  <c r="V66" i="95" s="1"/>
  <c r="G49" i="118"/>
  <c r="G28" i="122"/>
  <c r="F28" i="122"/>
  <c r="F37" i="118"/>
  <c r="G40" i="122"/>
  <c r="F40" i="122"/>
  <c r="G52" i="122"/>
  <c r="F52" i="122"/>
  <c r="F38" i="110"/>
  <c r="F25" i="107"/>
  <c r="U12" i="107"/>
  <c r="G26" i="107" s="1"/>
  <c r="G25" i="107"/>
  <c r="Y8" i="95"/>
  <c r="Y67" i="95" s="1"/>
  <c r="Y7" i="95"/>
  <c r="F50" i="110"/>
  <c r="F26" i="110"/>
  <c r="G38" i="110"/>
  <c r="G50" i="110"/>
  <c r="F49" i="118"/>
  <c r="U12" i="118"/>
  <c r="F50" i="118" s="1"/>
  <c r="F25" i="118"/>
  <c r="G37" i="118"/>
  <c r="G37" i="107"/>
  <c r="U29" i="97"/>
  <c r="S16" i="110"/>
  <c r="V16" i="110" s="1"/>
  <c r="T16" i="110"/>
  <c r="W16" i="110" s="1"/>
  <c r="T13" i="110"/>
  <c r="W13" i="110" s="1"/>
  <c r="S13" i="110"/>
  <c r="V13" i="110" s="1"/>
  <c r="S13" i="102"/>
  <c r="V13" i="102" s="1"/>
  <c r="T13" i="102"/>
  <c r="W13" i="102" s="1"/>
  <c r="S16" i="100"/>
  <c r="V16" i="100" s="1"/>
  <c r="T16" i="100"/>
  <c r="W16" i="100" s="1"/>
  <c r="E50" i="116"/>
  <c r="G50" i="116" s="1"/>
  <c r="E26" i="116"/>
  <c r="F26" i="116" s="1"/>
  <c r="E38" i="116"/>
  <c r="F38" i="116" s="1"/>
  <c r="T11" i="91"/>
  <c r="W11" i="91" s="1"/>
  <c r="S14" i="93"/>
  <c r="V14" i="93" s="1"/>
  <c r="T14" i="93"/>
  <c r="W14" i="93" s="1"/>
  <c r="S13" i="117"/>
  <c r="V13" i="117" s="1"/>
  <c r="T13" i="117"/>
  <c r="W13" i="117" s="1"/>
  <c r="S14" i="96"/>
  <c r="V14" i="96" s="1"/>
  <c r="S12" i="94"/>
  <c r="V12" i="94" s="1"/>
  <c r="T12" i="94"/>
  <c r="W12" i="94" s="1"/>
  <c r="G10" i="92"/>
  <c r="R10" i="92" s="1"/>
  <c r="T10" i="92"/>
  <c r="W10" i="92" s="1"/>
  <c r="S16" i="112"/>
  <c r="V16" i="112" s="1"/>
  <c r="T16" i="112"/>
  <c r="W16" i="112" s="1"/>
  <c r="T8" i="96"/>
  <c r="I14" i="115"/>
  <c r="J14" i="115" s="1"/>
  <c r="T14" i="115" s="1"/>
  <c r="W14" i="115" s="1"/>
  <c r="T12" i="92"/>
  <c r="W12" i="92" s="1"/>
  <c r="T14" i="96"/>
  <c r="W14" i="96" s="1"/>
  <c r="G50" i="109"/>
  <c r="U15" i="97"/>
  <c r="I31" i="32"/>
  <c r="R13" i="91"/>
  <c r="F21" i="95" s="1"/>
  <c r="U24" i="97"/>
  <c r="I40" i="32"/>
  <c r="U10" i="97"/>
  <c r="I26" i="32"/>
  <c r="G49" i="109"/>
  <c r="N10" i="91"/>
  <c r="F50" i="109"/>
  <c r="S15" i="97"/>
  <c r="G31" i="32"/>
  <c r="C64" i="95"/>
  <c r="C41" i="32" s="1"/>
  <c r="C26" i="32"/>
  <c r="R19" i="97"/>
  <c r="F35" i="32"/>
  <c r="Q25" i="97"/>
  <c r="R14" i="97"/>
  <c r="F30" i="32"/>
  <c r="Q26" i="97"/>
  <c r="N25" i="97"/>
  <c r="B41" i="32"/>
  <c r="P26" i="97"/>
  <c r="O24" i="97"/>
  <c r="R9" i="97"/>
  <c r="F25" i="32"/>
  <c r="N26" i="97"/>
  <c r="B42" i="32"/>
  <c r="O15" i="97"/>
  <c r="C31" i="32"/>
  <c r="G25" i="109"/>
  <c r="E40" i="120"/>
  <c r="E37" i="115"/>
  <c r="G26" i="109"/>
  <c r="U13" i="101"/>
  <c r="U14" i="101" s="1"/>
  <c r="F28" i="101" s="1"/>
  <c r="X7" i="95"/>
  <c r="N8" i="95"/>
  <c r="E49" i="115"/>
  <c r="F38" i="109"/>
  <c r="F26" i="109"/>
  <c r="G37" i="109"/>
  <c r="G38" i="109"/>
  <c r="X8" i="95"/>
  <c r="X67" i="95" s="1"/>
  <c r="G37" i="108"/>
  <c r="G26" i="105"/>
  <c r="U13" i="105"/>
  <c r="I6" i="95"/>
  <c r="F38" i="80"/>
  <c r="G26" i="80"/>
  <c r="R14" i="91"/>
  <c r="E27" i="121"/>
  <c r="F27" i="121" s="1"/>
  <c r="E52" i="120"/>
  <c r="U11" i="94"/>
  <c r="N14" i="91"/>
  <c r="U19" i="95"/>
  <c r="E28" i="120"/>
  <c r="E49" i="99"/>
  <c r="G49" i="99" s="1"/>
  <c r="G50" i="80"/>
  <c r="M65" i="95"/>
  <c r="G35" i="87"/>
  <c r="E38" i="118"/>
  <c r="E26" i="118"/>
  <c r="F35" i="87"/>
  <c r="E53" i="118"/>
  <c r="U13" i="80"/>
  <c r="G38" i="80"/>
  <c r="F50" i="80"/>
  <c r="B8" i="95"/>
  <c r="B67" i="95" s="1"/>
  <c r="G47" i="87"/>
  <c r="G25" i="108"/>
  <c r="G49" i="108"/>
  <c r="U12" i="108"/>
  <c r="F38" i="108" s="1"/>
  <c r="F26" i="105"/>
  <c r="R8" i="95"/>
  <c r="R67" i="95" s="1"/>
  <c r="G38" i="105"/>
  <c r="Z65" i="95"/>
  <c r="F25" i="108"/>
  <c r="F37" i="108"/>
  <c r="F50" i="105"/>
  <c r="M20" i="95"/>
  <c r="R7" i="95"/>
  <c r="F49" i="108"/>
  <c r="F38" i="105"/>
  <c r="G50" i="105"/>
  <c r="E41" i="118"/>
  <c r="E38" i="87"/>
  <c r="C44" i="95" s="1"/>
  <c r="F47" i="115"/>
  <c r="E51" i="121"/>
  <c r="F51" i="121" s="1"/>
  <c r="E39" i="121"/>
  <c r="F39" i="121" s="1"/>
  <c r="U11" i="87"/>
  <c r="U12" i="87" s="1"/>
  <c r="F23" i="115"/>
  <c r="R14" i="99"/>
  <c r="E38" i="100"/>
  <c r="F38" i="100" s="1"/>
  <c r="U7" i="95"/>
  <c r="E50" i="100"/>
  <c r="M56" i="95" s="1"/>
  <c r="E26" i="100"/>
  <c r="F26" i="100" s="1"/>
  <c r="S65" i="95"/>
  <c r="N11" i="94"/>
  <c r="F37" i="111"/>
  <c r="E26" i="87"/>
  <c r="C32" i="95" s="1"/>
  <c r="E50" i="87"/>
  <c r="C56" i="95" s="1"/>
  <c r="C20" i="95"/>
  <c r="U13" i="90"/>
  <c r="E9" i="95" s="1"/>
  <c r="E25" i="99"/>
  <c r="G25" i="99" s="1"/>
  <c r="E37" i="99"/>
  <c r="G37" i="99" s="1"/>
  <c r="G36" i="119"/>
  <c r="F24" i="119"/>
  <c r="F47" i="87"/>
  <c r="E52" i="109"/>
  <c r="X58" i="95" s="1"/>
  <c r="X22" i="95"/>
  <c r="F48" i="119"/>
  <c r="E28" i="109"/>
  <c r="X34" i="95" s="1"/>
  <c r="E26" i="111"/>
  <c r="Z32" i="95" s="1"/>
  <c r="V22" i="95"/>
  <c r="E40" i="107"/>
  <c r="E52" i="107"/>
  <c r="V58" i="95" s="1"/>
  <c r="E28" i="107"/>
  <c r="V34" i="95" s="1"/>
  <c r="E40" i="109"/>
  <c r="X46" i="95" s="1"/>
  <c r="G49" i="120"/>
  <c r="F49" i="120"/>
  <c r="E54" i="94"/>
  <c r="I60" i="95" s="1"/>
  <c r="I24" i="95"/>
  <c r="E42" i="94"/>
  <c r="I48" i="95" s="1"/>
  <c r="E30" i="94"/>
  <c r="I36" i="95" s="1"/>
  <c r="P22" i="95"/>
  <c r="E40" i="103"/>
  <c r="E28" i="103"/>
  <c r="E52" i="103"/>
  <c r="P58" i="95" s="1"/>
  <c r="I12" i="92"/>
  <c r="N12" i="92" s="1"/>
  <c r="N21" i="95"/>
  <c r="E51" i="101"/>
  <c r="E27" i="101"/>
  <c r="E39" i="101"/>
  <c r="E27" i="118"/>
  <c r="E39" i="118"/>
  <c r="E51" i="118"/>
  <c r="E27" i="111"/>
  <c r="Z33" i="95" s="1"/>
  <c r="E39" i="111"/>
  <c r="Z45" i="95" s="1"/>
  <c r="Z21" i="95"/>
  <c r="E51" i="111"/>
  <c r="Z57" i="95" s="1"/>
  <c r="G37" i="120"/>
  <c r="F37" i="120"/>
  <c r="J13" i="117"/>
  <c r="N13" i="117" s="1"/>
  <c r="E41" i="119"/>
  <c r="E53" i="119"/>
  <c r="E29" i="119"/>
  <c r="F48" i="117"/>
  <c r="G48" i="117"/>
  <c r="G36" i="117"/>
  <c r="F36" i="117"/>
  <c r="N15" i="115"/>
  <c r="R15" i="115"/>
  <c r="E29" i="107"/>
  <c r="V35" i="95" s="1"/>
  <c r="V23" i="95"/>
  <c r="E41" i="107"/>
  <c r="V47" i="95" s="1"/>
  <c r="E53" i="107"/>
  <c r="V59" i="95" s="1"/>
  <c r="R14" i="87"/>
  <c r="N14" i="87"/>
  <c r="E39" i="100"/>
  <c r="E51" i="100"/>
  <c r="M57" i="95" s="1"/>
  <c r="E27" i="100"/>
  <c r="M21" i="95"/>
  <c r="F24" i="117"/>
  <c r="G24" i="117"/>
  <c r="E38" i="90"/>
  <c r="E26" i="90"/>
  <c r="E20" i="95"/>
  <c r="E50" i="90"/>
  <c r="M16" i="112"/>
  <c r="C18" i="95"/>
  <c r="E48" i="87"/>
  <c r="E36" i="87"/>
  <c r="E24" i="87"/>
  <c r="E39" i="103"/>
  <c r="E51" i="103"/>
  <c r="P57" i="95" s="1"/>
  <c r="P21" i="95"/>
  <c r="E27" i="103"/>
  <c r="F25" i="120"/>
  <c r="G25" i="120"/>
  <c r="U14" i="111"/>
  <c r="F25" i="111"/>
  <c r="Z7" i="95"/>
  <c r="F49" i="111"/>
  <c r="U13" i="100"/>
  <c r="N13" i="93"/>
  <c r="G49" i="106"/>
  <c r="M7" i="95"/>
  <c r="M66" i="95" s="1"/>
  <c r="G25" i="100"/>
  <c r="F37" i="100"/>
  <c r="G37" i="100"/>
  <c r="F25" i="100"/>
  <c r="F49" i="100"/>
  <c r="G49" i="100"/>
  <c r="Z9" i="95"/>
  <c r="G49" i="112"/>
  <c r="F49" i="112"/>
  <c r="U12" i="112"/>
  <c r="U13" i="112" s="1"/>
  <c r="AA7" i="95"/>
  <c r="AA66" i="95" s="1"/>
  <c r="F25" i="112"/>
  <c r="G37" i="112"/>
  <c r="G25" i="112"/>
  <c r="F37" i="112"/>
  <c r="U9" i="92"/>
  <c r="F35" i="115"/>
  <c r="G25" i="106"/>
  <c r="U12" i="99"/>
  <c r="U13" i="99" s="1"/>
  <c r="E24" i="115"/>
  <c r="G24" i="115" s="1"/>
  <c r="E36" i="115"/>
  <c r="G36" i="115" s="1"/>
  <c r="E48" i="115"/>
  <c r="G48" i="115" s="1"/>
  <c r="N13" i="116"/>
  <c r="R13" i="116"/>
  <c r="U14" i="121"/>
  <c r="U12" i="106"/>
  <c r="S7" i="95"/>
  <c r="G37" i="121"/>
  <c r="F37" i="121"/>
  <c r="U14" i="120"/>
  <c r="F51" i="120"/>
  <c r="F39" i="120"/>
  <c r="F27" i="120"/>
  <c r="G51" i="120"/>
  <c r="G27" i="120"/>
  <c r="G39" i="120"/>
  <c r="F50" i="117"/>
  <c r="F38" i="117"/>
  <c r="F26" i="117"/>
  <c r="G38" i="117"/>
  <c r="G50" i="117"/>
  <c r="G26" i="117"/>
  <c r="K15" i="120"/>
  <c r="J16" i="118"/>
  <c r="R42" i="95"/>
  <c r="F24" i="105"/>
  <c r="R30" i="95"/>
  <c r="R65" i="95" s="1"/>
  <c r="G24" i="105"/>
  <c r="U13" i="103"/>
  <c r="G38" i="103"/>
  <c r="G50" i="103"/>
  <c r="G26" i="103"/>
  <c r="P8" i="95"/>
  <c r="P67" i="95" s="1"/>
  <c r="F38" i="103"/>
  <c r="F26" i="103"/>
  <c r="F50" i="103"/>
  <c r="U14" i="88"/>
  <c r="F51" i="88"/>
  <c r="D9" i="95"/>
  <c r="D68" i="95" s="1"/>
  <c r="G51" i="88"/>
  <c r="F39" i="88"/>
  <c r="G39" i="88"/>
  <c r="F27" i="88"/>
  <c r="G27" i="88"/>
  <c r="J14" i="118"/>
  <c r="R13" i="115"/>
  <c r="N13" i="115"/>
  <c r="U14" i="109"/>
  <c r="X10" i="95" s="1"/>
  <c r="X9" i="95"/>
  <c r="X68" i="95" s="1"/>
  <c r="G27" i="109"/>
  <c r="G39" i="109"/>
  <c r="F39" i="109"/>
  <c r="F51" i="109"/>
  <c r="G51" i="109"/>
  <c r="F27" i="109"/>
  <c r="G49" i="121"/>
  <c r="F49" i="121"/>
  <c r="F48" i="105"/>
  <c r="R54" i="95"/>
  <c r="G48" i="105"/>
  <c r="F36" i="105"/>
  <c r="G36" i="105"/>
  <c r="E50" i="93"/>
  <c r="H20" i="95"/>
  <c r="E26" i="93"/>
  <c r="E38" i="93"/>
  <c r="E42" i="116"/>
  <c r="E30" i="116"/>
  <c r="E54" i="116"/>
  <c r="U13" i="116"/>
  <c r="I16" i="115"/>
  <c r="J16" i="115" s="1"/>
  <c r="K16" i="115" s="1"/>
  <c r="L16" i="115" s="1"/>
  <c r="F37" i="119"/>
  <c r="F49" i="119"/>
  <c r="F25" i="119"/>
  <c r="G25" i="119"/>
  <c r="G49" i="119"/>
  <c r="G37" i="119"/>
  <c r="U12" i="119"/>
  <c r="G25" i="121"/>
  <c r="F25" i="121"/>
  <c r="U11" i="115"/>
  <c r="E38" i="111"/>
  <c r="G38" i="111" s="1"/>
  <c r="Z20" i="95"/>
  <c r="E50" i="111"/>
  <c r="G50" i="111" s="1"/>
  <c r="E42" i="88"/>
  <c r="D48" i="95" s="1"/>
  <c r="E54" i="88"/>
  <c r="D60" i="95" s="1"/>
  <c r="D24" i="95"/>
  <c r="R12" i="99"/>
  <c r="N14" i="96"/>
  <c r="J13" i="102"/>
  <c r="R15" i="111"/>
  <c r="N15" i="111"/>
  <c r="N20" i="95"/>
  <c r="E26" i="101"/>
  <c r="E50" i="101"/>
  <c r="E38" i="101"/>
  <c r="I12" i="94"/>
  <c r="R12" i="94" s="1"/>
  <c r="M16" i="100"/>
  <c r="R14" i="96"/>
  <c r="E15" i="96"/>
  <c r="E13" i="96"/>
  <c r="E33" i="96"/>
  <c r="E45" i="96"/>
  <c r="E21" i="96"/>
  <c r="J15" i="95"/>
  <c r="E9" i="96"/>
  <c r="T9" i="96" s="1"/>
  <c r="W9" i="96" s="1"/>
  <c r="E16" i="96"/>
  <c r="E8" i="96"/>
  <c r="E11" i="96"/>
  <c r="E10" i="96"/>
  <c r="E12" i="96"/>
  <c r="F12" i="96" s="1"/>
  <c r="G12" i="96" s="1"/>
  <c r="H12" i="96" s="1"/>
  <c r="P31" i="97"/>
  <c r="Q30" i="97"/>
  <c r="Q31" i="97"/>
  <c r="G34" i="91"/>
  <c r="F40" i="95"/>
  <c r="F46" i="91"/>
  <c r="F22" i="91"/>
  <c r="O10" i="97"/>
  <c r="G22" i="91"/>
  <c r="G46" i="91"/>
  <c r="M8" i="95"/>
  <c r="F5" i="95"/>
  <c r="F63" i="95"/>
  <c r="F40" i="32" s="1"/>
  <c r="D36" i="95"/>
  <c r="I46" i="95"/>
  <c r="G41" i="95"/>
  <c r="Z31" i="95"/>
  <c r="G25" i="111"/>
  <c r="F47" i="95"/>
  <c r="G53" i="95"/>
  <c r="G33" i="95"/>
  <c r="G29" i="95"/>
  <c r="I34" i="95"/>
  <c r="I58" i="95"/>
  <c r="G45" i="95"/>
  <c r="F37" i="106"/>
  <c r="G37" i="106"/>
  <c r="F36" i="99"/>
  <c r="G36" i="99"/>
  <c r="Z55" i="95"/>
  <c r="G49" i="111"/>
  <c r="F36" i="101"/>
  <c r="G36" i="101"/>
  <c r="G57" i="95"/>
  <c r="F35" i="95"/>
  <c r="Z43" i="95"/>
  <c r="G37" i="111"/>
  <c r="F59" i="95"/>
  <c r="J15" i="110"/>
  <c r="K15" i="110" s="1"/>
  <c r="I23" i="95"/>
  <c r="E53" i="94"/>
  <c r="E29" i="94"/>
  <c r="E41" i="94"/>
  <c r="R16" i="101"/>
  <c r="N16" i="101"/>
  <c r="S43" i="95"/>
  <c r="S31" i="95"/>
  <c r="F25" i="106"/>
  <c r="H21" i="95"/>
  <c r="E27" i="93"/>
  <c r="E51" i="93"/>
  <c r="E39" i="93"/>
  <c r="O19" i="95"/>
  <c r="E37" i="102"/>
  <c r="E49" i="102"/>
  <c r="G49" i="102" s="1"/>
  <c r="E25" i="102"/>
  <c r="G25" i="102" s="1"/>
  <c r="X43" i="95"/>
  <c r="F37" i="109"/>
  <c r="E48" i="94"/>
  <c r="G48" i="94" s="1"/>
  <c r="I18" i="95"/>
  <c r="E36" i="94"/>
  <c r="G36" i="94" s="1"/>
  <c r="E24" i="94"/>
  <c r="G24" i="94" s="1"/>
  <c r="J13" i="110"/>
  <c r="R11" i="92"/>
  <c r="N11" i="92"/>
  <c r="J14" i="89"/>
  <c r="E22" i="92"/>
  <c r="G22" i="92" s="1"/>
  <c r="E46" i="92"/>
  <c r="G46" i="92" s="1"/>
  <c r="G16" i="95"/>
  <c r="E34" i="92"/>
  <c r="G34" i="92" s="1"/>
  <c r="F25" i="109"/>
  <c r="X31" i="95"/>
  <c r="E45" i="95"/>
  <c r="D46" i="95"/>
  <c r="S55" i="95"/>
  <c r="F49" i="106"/>
  <c r="H11" i="91"/>
  <c r="N11" i="87"/>
  <c r="R11" i="87"/>
  <c r="U42" i="95"/>
  <c r="U30" i="95"/>
  <c r="U65" i="95" s="1"/>
  <c r="F24" i="99"/>
  <c r="I29" i="95"/>
  <c r="I36" i="32" s="1"/>
  <c r="F23" i="94"/>
  <c r="D58" i="95"/>
  <c r="J15" i="89"/>
  <c r="K15" i="89" s="1"/>
  <c r="X55" i="95"/>
  <c r="F49" i="109"/>
  <c r="R19" i="95"/>
  <c r="E49" i="105"/>
  <c r="G49" i="105" s="1"/>
  <c r="E37" i="105"/>
  <c r="E25" i="105"/>
  <c r="G25" i="105" s="1"/>
  <c r="N54" i="95"/>
  <c r="F48" i="101"/>
  <c r="I41" i="95"/>
  <c r="F35" i="94"/>
  <c r="E33" i="95"/>
  <c r="Z8" i="95"/>
  <c r="R13" i="112"/>
  <c r="N13" i="112"/>
  <c r="M16" i="110"/>
  <c r="J15" i="112"/>
  <c r="K14" i="93"/>
  <c r="G16" i="92"/>
  <c r="U54" i="95"/>
  <c r="F48" i="99"/>
  <c r="I53" i="95"/>
  <c r="F47" i="94"/>
  <c r="E57" i="95"/>
  <c r="E37" i="94"/>
  <c r="E25" i="94"/>
  <c r="E49" i="94"/>
  <c r="I19" i="95"/>
  <c r="E35" i="91"/>
  <c r="G35" i="91" s="1"/>
  <c r="E23" i="91"/>
  <c r="G23" i="91" s="1"/>
  <c r="E47" i="91"/>
  <c r="G47" i="91" s="1"/>
  <c r="F17" i="95"/>
  <c r="R14" i="110"/>
  <c r="N14" i="110"/>
  <c r="Y19" i="95"/>
  <c r="E25" i="110"/>
  <c r="G25" i="110" s="1"/>
  <c r="E37" i="110"/>
  <c r="G37" i="110" s="1"/>
  <c r="E49" i="110"/>
  <c r="G49" i="110" s="1"/>
  <c r="E24" i="91"/>
  <c r="E36" i="91"/>
  <c r="F18" i="95"/>
  <c r="E48" i="91"/>
  <c r="N15" i="88"/>
  <c r="R15" i="88"/>
  <c r="G14" i="92"/>
  <c r="N42" i="95"/>
  <c r="N30" i="95"/>
  <c r="N65" i="95" s="1"/>
  <c r="F24" i="101"/>
  <c r="D34" i="95"/>
  <c r="N15" i="92"/>
  <c r="R15" i="92"/>
  <c r="C27" i="32" l="1"/>
  <c r="F25" i="93"/>
  <c r="G25" i="93"/>
  <c r="F49" i="93"/>
  <c r="G37" i="93"/>
  <c r="G49" i="93"/>
  <c r="F37" i="93"/>
  <c r="G51" i="89"/>
  <c r="G24" i="91"/>
  <c r="F6" i="95"/>
  <c r="R11" i="97" s="1"/>
  <c r="G36" i="91"/>
  <c r="F27" i="89"/>
  <c r="F39" i="89"/>
  <c r="G48" i="91"/>
  <c r="F38" i="104"/>
  <c r="H41" i="32"/>
  <c r="T25" i="97"/>
  <c r="F50" i="104"/>
  <c r="T30" i="97"/>
  <c r="U13" i="104"/>
  <c r="H27" i="32"/>
  <c r="H65" i="95"/>
  <c r="T11" i="97"/>
  <c r="T31" i="97" s="1"/>
  <c r="H7" i="95"/>
  <c r="H66" i="95" s="1"/>
  <c r="U12" i="93"/>
  <c r="F30" i="122"/>
  <c r="F51" i="89"/>
  <c r="G39" i="89"/>
  <c r="L9" i="95"/>
  <c r="L68" i="95" s="1"/>
  <c r="G27" i="89"/>
  <c r="G54" i="122"/>
  <c r="G30" i="122"/>
  <c r="F54" i="122"/>
  <c r="G42" i="122"/>
  <c r="S9" i="97"/>
  <c r="G50" i="104"/>
  <c r="G38" i="104"/>
  <c r="G26" i="104"/>
  <c r="F26" i="104"/>
  <c r="G26" i="116"/>
  <c r="G18" i="95"/>
  <c r="S16" i="97" s="1"/>
  <c r="F50" i="116"/>
  <c r="E39" i="91"/>
  <c r="F45" i="95" s="1"/>
  <c r="G38" i="100"/>
  <c r="U8" i="96"/>
  <c r="W8" i="96"/>
  <c r="G50" i="118"/>
  <c r="U13" i="118"/>
  <c r="N10" i="92"/>
  <c r="E48" i="92"/>
  <c r="G54" i="95" s="1"/>
  <c r="E24" i="92"/>
  <c r="G30" i="95" s="1"/>
  <c r="G37" i="32" s="1"/>
  <c r="E36" i="92"/>
  <c r="G42" i="95" s="1"/>
  <c r="G38" i="118"/>
  <c r="U13" i="107"/>
  <c r="F39" i="107" s="1"/>
  <c r="F26" i="107"/>
  <c r="V8" i="95"/>
  <c r="V67" i="95" s="1"/>
  <c r="U13" i="108"/>
  <c r="F39" i="108" s="1"/>
  <c r="G50" i="107"/>
  <c r="M32" i="95"/>
  <c r="M67" i="95" s="1"/>
  <c r="G27" i="121"/>
  <c r="G51" i="121"/>
  <c r="F38" i="118"/>
  <c r="F38" i="107"/>
  <c r="G38" i="107"/>
  <c r="F26" i="118"/>
  <c r="F50" i="108"/>
  <c r="F50" i="107"/>
  <c r="G38" i="108"/>
  <c r="F26" i="108"/>
  <c r="G50" i="108"/>
  <c r="G26" i="108"/>
  <c r="W8" i="95"/>
  <c r="W67" i="95" s="1"/>
  <c r="N10" i="95"/>
  <c r="N69" i="95" s="1"/>
  <c r="F52" i="101"/>
  <c r="G28" i="101"/>
  <c r="G38" i="116"/>
  <c r="G52" i="101"/>
  <c r="N9" i="95"/>
  <c r="T12" i="96"/>
  <c r="W12" i="96" s="1"/>
  <c r="K14" i="115"/>
  <c r="R14" i="115" s="1"/>
  <c r="F40" i="101"/>
  <c r="U15" i="101"/>
  <c r="G40" i="101"/>
  <c r="G39" i="105"/>
  <c r="S15" i="120"/>
  <c r="V15" i="120" s="1"/>
  <c r="T15" i="120"/>
  <c r="W15" i="120" s="1"/>
  <c r="S14" i="115"/>
  <c r="V14" i="115" s="1"/>
  <c r="T14" i="89"/>
  <c r="W14" i="89" s="1"/>
  <c r="S14" i="89"/>
  <c r="V14" i="89" s="1"/>
  <c r="S15" i="110"/>
  <c r="V15" i="110" s="1"/>
  <c r="T15" i="110"/>
  <c r="W15" i="110" s="1"/>
  <c r="T16" i="115"/>
  <c r="W16" i="115" s="1"/>
  <c r="S16" i="115"/>
  <c r="V16" i="115" s="1"/>
  <c r="S15" i="89"/>
  <c r="V15" i="89" s="1"/>
  <c r="T15" i="89"/>
  <c r="W15" i="89" s="1"/>
  <c r="S14" i="118"/>
  <c r="V14" i="118" s="1"/>
  <c r="T14" i="118"/>
  <c r="W14" i="118" s="1"/>
  <c r="S12" i="96"/>
  <c r="V12" i="96" s="1"/>
  <c r="S9" i="96"/>
  <c r="E28" i="91"/>
  <c r="F34" i="95" s="1"/>
  <c r="U13" i="87"/>
  <c r="F27" i="87" s="1"/>
  <c r="F27" i="90"/>
  <c r="R29" i="97"/>
  <c r="X66" i="95"/>
  <c r="E27" i="91"/>
  <c r="F33" i="95" s="1"/>
  <c r="E51" i="91"/>
  <c r="F57" i="95" s="1"/>
  <c r="U16" i="97"/>
  <c r="I32" i="32"/>
  <c r="E40" i="91"/>
  <c r="F46" i="95" s="1"/>
  <c r="G26" i="118"/>
  <c r="F22" i="95"/>
  <c r="E52" i="91"/>
  <c r="F58" i="95" s="1"/>
  <c r="U11" i="97"/>
  <c r="I27" i="32"/>
  <c r="R16" i="97"/>
  <c r="F32" i="32"/>
  <c r="R24" i="97"/>
  <c r="R15" i="97"/>
  <c r="F31" i="32"/>
  <c r="S20" i="97"/>
  <c r="G36" i="32"/>
  <c r="S14" i="97"/>
  <c r="G30" i="32"/>
  <c r="R10" i="97"/>
  <c r="F26" i="32"/>
  <c r="O16" i="97"/>
  <c r="C32" i="32"/>
  <c r="O25" i="97"/>
  <c r="E28" i="99"/>
  <c r="U46" i="95" s="1"/>
  <c r="F39" i="105"/>
  <c r="U14" i="105"/>
  <c r="F51" i="105"/>
  <c r="G51" i="105"/>
  <c r="F27" i="105"/>
  <c r="G27" i="105"/>
  <c r="R9" i="95"/>
  <c r="R68" i="95" s="1"/>
  <c r="F39" i="80"/>
  <c r="G27" i="80"/>
  <c r="G28" i="120"/>
  <c r="F27" i="111"/>
  <c r="F49" i="99"/>
  <c r="U55" i="95"/>
  <c r="F24" i="115"/>
  <c r="E52" i="99"/>
  <c r="U58" i="95" s="1"/>
  <c r="M44" i="95"/>
  <c r="G51" i="80"/>
  <c r="B9" i="95"/>
  <c r="B68" i="95" s="1"/>
  <c r="G26" i="100"/>
  <c r="F51" i="80"/>
  <c r="E40" i="99"/>
  <c r="U22" i="95"/>
  <c r="F26" i="87"/>
  <c r="U14" i="80"/>
  <c r="F52" i="80" s="1"/>
  <c r="F27" i="80"/>
  <c r="G39" i="80"/>
  <c r="G50" i="100"/>
  <c r="G39" i="121"/>
  <c r="F50" i="100"/>
  <c r="F52" i="111"/>
  <c r="S66" i="95"/>
  <c r="F37" i="99"/>
  <c r="G38" i="87"/>
  <c r="F38" i="87"/>
  <c r="C8" i="95"/>
  <c r="C67" i="95" s="1"/>
  <c r="G27" i="111"/>
  <c r="F26" i="111"/>
  <c r="G26" i="111"/>
  <c r="G26" i="87"/>
  <c r="R13" i="117"/>
  <c r="G50" i="87"/>
  <c r="U13" i="117"/>
  <c r="U14" i="117" s="1"/>
  <c r="U11" i="91"/>
  <c r="U12" i="91" s="1"/>
  <c r="F50" i="91" s="1"/>
  <c r="G52" i="120"/>
  <c r="G52" i="121"/>
  <c r="G28" i="111"/>
  <c r="G52" i="111"/>
  <c r="U15" i="111"/>
  <c r="U16" i="111" s="1"/>
  <c r="F25" i="99"/>
  <c r="Z56" i="95"/>
  <c r="G28" i="121"/>
  <c r="Z10" i="95"/>
  <c r="Z69" i="95" s="1"/>
  <c r="F40" i="111"/>
  <c r="G40" i="111"/>
  <c r="U43" i="95"/>
  <c r="Z66" i="95"/>
  <c r="G40" i="120"/>
  <c r="F28" i="111"/>
  <c r="F50" i="87"/>
  <c r="G39" i="90"/>
  <c r="F39" i="90"/>
  <c r="R12" i="92"/>
  <c r="U31" i="95"/>
  <c r="U66" i="95" s="1"/>
  <c r="F51" i="90"/>
  <c r="E68" i="95"/>
  <c r="E52" i="96"/>
  <c r="J58" i="95" s="1"/>
  <c r="U14" i="90"/>
  <c r="U15" i="90" s="1"/>
  <c r="Z68" i="95"/>
  <c r="G27" i="90"/>
  <c r="G51" i="90"/>
  <c r="F52" i="88"/>
  <c r="F36" i="115"/>
  <c r="F39" i="111"/>
  <c r="G39" i="111"/>
  <c r="F51" i="111"/>
  <c r="F28" i="88"/>
  <c r="F40" i="88"/>
  <c r="G51" i="111"/>
  <c r="V46" i="95"/>
  <c r="F50" i="111"/>
  <c r="F36" i="87"/>
  <c r="C42" i="95"/>
  <c r="G36" i="87"/>
  <c r="R16" i="112"/>
  <c r="N16" i="112"/>
  <c r="P34" i="95"/>
  <c r="P46" i="95"/>
  <c r="E56" i="95"/>
  <c r="G50" i="90"/>
  <c r="F50" i="90"/>
  <c r="E32" i="95"/>
  <c r="E67" i="95" s="1"/>
  <c r="G26" i="90"/>
  <c r="F26" i="90"/>
  <c r="G39" i="101"/>
  <c r="F39" i="101"/>
  <c r="N33" i="95"/>
  <c r="N45" i="95"/>
  <c r="G27" i="101"/>
  <c r="F27" i="101"/>
  <c r="L15" i="120"/>
  <c r="N15" i="120" s="1"/>
  <c r="P45" i="95"/>
  <c r="P33" i="95"/>
  <c r="C30" i="95"/>
  <c r="C37" i="32" s="1"/>
  <c r="G24" i="87"/>
  <c r="F24" i="87"/>
  <c r="E29" i="115"/>
  <c r="E53" i="115"/>
  <c r="E41" i="115"/>
  <c r="N57" i="95"/>
  <c r="G51" i="101"/>
  <c r="F51" i="101"/>
  <c r="C54" i="95"/>
  <c r="F48" i="87"/>
  <c r="G48" i="87"/>
  <c r="E44" i="95"/>
  <c r="F38" i="90"/>
  <c r="G38" i="90"/>
  <c r="M33" i="95"/>
  <c r="M45" i="95"/>
  <c r="C22" i="95"/>
  <c r="E40" i="87"/>
  <c r="C46" i="95" s="1"/>
  <c r="E52" i="87"/>
  <c r="C58" i="95" s="1"/>
  <c r="E28" i="87"/>
  <c r="C34" i="95" s="1"/>
  <c r="Z44" i="95"/>
  <c r="F38" i="111"/>
  <c r="N13" i="102"/>
  <c r="G40" i="109"/>
  <c r="F28" i="109"/>
  <c r="F51" i="100"/>
  <c r="G51" i="100"/>
  <c r="G39" i="100"/>
  <c r="U14" i="100"/>
  <c r="F39" i="100"/>
  <c r="G40" i="121"/>
  <c r="U14" i="99"/>
  <c r="U15" i="99" s="1"/>
  <c r="U14" i="112"/>
  <c r="G28" i="112" s="1"/>
  <c r="U20" i="95"/>
  <c r="F48" i="115"/>
  <c r="G27" i="99"/>
  <c r="G27" i="100"/>
  <c r="F27" i="100"/>
  <c r="M9" i="95"/>
  <c r="G28" i="109"/>
  <c r="F52" i="109"/>
  <c r="U9" i="95"/>
  <c r="U68" i="95" s="1"/>
  <c r="G52" i="109"/>
  <c r="F40" i="109"/>
  <c r="F51" i="99"/>
  <c r="F26" i="112"/>
  <c r="G50" i="112"/>
  <c r="G26" i="112"/>
  <c r="F50" i="112"/>
  <c r="F38" i="112"/>
  <c r="G38" i="112"/>
  <c r="AA8" i="95"/>
  <c r="AA67" i="95" s="1"/>
  <c r="F27" i="99"/>
  <c r="G51" i="99"/>
  <c r="U13" i="110"/>
  <c r="U14" i="110" s="1"/>
  <c r="Y10" i="95" s="1"/>
  <c r="U12" i="94"/>
  <c r="U13" i="94" s="1"/>
  <c r="F39" i="99"/>
  <c r="R13" i="102"/>
  <c r="G39" i="99"/>
  <c r="U10" i="92"/>
  <c r="U11" i="92" s="1"/>
  <c r="U12" i="92" s="1"/>
  <c r="U13" i="92" s="1"/>
  <c r="H32" i="95"/>
  <c r="U15" i="109"/>
  <c r="U13" i="106"/>
  <c r="S8" i="95"/>
  <c r="S67" i="95" s="1"/>
  <c r="F26" i="106"/>
  <c r="G26" i="106"/>
  <c r="F38" i="106"/>
  <c r="G50" i="106"/>
  <c r="G38" i="106"/>
  <c r="F50" i="106"/>
  <c r="F49" i="115"/>
  <c r="F37" i="115"/>
  <c r="F25" i="115"/>
  <c r="U12" i="115"/>
  <c r="U13" i="119"/>
  <c r="F38" i="119"/>
  <c r="F26" i="119"/>
  <c r="F50" i="119"/>
  <c r="G38" i="119"/>
  <c r="G26" i="119"/>
  <c r="G50" i="119"/>
  <c r="K14" i="118"/>
  <c r="U15" i="88"/>
  <c r="D10" i="95"/>
  <c r="D69" i="95" s="1"/>
  <c r="G49" i="115"/>
  <c r="F28" i="120"/>
  <c r="F52" i="120"/>
  <c r="F40" i="120"/>
  <c r="E27" i="116"/>
  <c r="G27" i="116" s="1"/>
  <c r="E39" i="116"/>
  <c r="G39" i="116" s="1"/>
  <c r="E51" i="116"/>
  <c r="G51" i="116" s="1"/>
  <c r="G37" i="115"/>
  <c r="U14" i="116"/>
  <c r="H44" i="95"/>
  <c r="G25" i="115"/>
  <c r="E51" i="115"/>
  <c r="E39" i="115"/>
  <c r="E27" i="115"/>
  <c r="U14" i="103"/>
  <c r="F51" i="103"/>
  <c r="G51" i="103"/>
  <c r="P9" i="95"/>
  <c r="F39" i="103"/>
  <c r="G39" i="103"/>
  <c r="G27" i="103"/>
  <c r="F27" i="103"/>
  <c r="G52" i="88"/>
  <c r="G28" i="88"/>
  <c r="M16" i="115"/>
  <c r="H56" i="95"/>
  <c r="U13" i="102"/>
  <c r="U14" i="102" s="1"/>
  <c r="K16" i="118"/>
  <c r="G40" i="88"/>
  <c r="U15" i="121"/>
  <c r="F28" i="121"/>
  <c r="F40" i="121"/>
  <c r="F52" i="121"/>
  <c r="E50" i="99"/>
  <c r="F50" i="99" s="1"/>
  <c r="E26" i="99"/>
  <c r="G26" i="99" s="1"/>
  <c r="E38" i="99"/>
  <c r="F38" i="99" s="1"/>
  <c r="E28" i="96"/>
  <c r="J34" i="95" s="1"/>
  <c r="N8" i="96"/>
  <c r="J22" i="95"/>
  <c r="E40" i="96"/>
  <c r="N12" i="94"/>
  <c r="N16" i="100"/>
  <c r="R16" i="100"/>
  <c r="F38" i="101"/>
  <c r="G38" i="101"/>
  <c r="L15" i="89"/>
  <c r="N56" i="95"/>
  <c r="G50" i="101"/>
  <c r="F50" i="101"/>
  <c r="E53" i="111"/>
  <c r="E41" i="111"/>
  <c r="Z23" i="95"/>
  <c r="E29" i="111"/>
  <c r="F26" i="101"/>
  <c r="N32" i="95"/>
  <c r="N67" i="95" s="1"/>
  <c r="G26" i="101"/>
  <c r="N44" i="95"/>
  <c r="F10" i="96"/>
  <c r="T10" i="96" s="1"/>
  <c r="W10" i="96" s="1"/>
  <c r="F16" i="96"/>
  <c r="G45" i="96"/>
  <c r="J51" i="95"/>
  <c r="F45" i="96"/>
  <c r="G33" i="96"/>
  <c r="J39" i="95"/>
  <c r="F33" i="96"/>
  <c r="F9" i="96"/>
  <c r="F15" i="96"/>
  <c r="F11" i="96"/>
  <c r="G21" i="96"/>
  <c r="J27" i="95"/>
  <c r="F21" i="96"/>
  <c r="I12" i="96"/>
  <c r="R8" i="96"/>
  <c r="F13" i="96"/>
  <c r="O30" i="97"/>
  <c r="F23" i="92"/>
  <c r="U8" i="95"/>
  <c r="F47" i="92"/>
  <c r="AA9" i="95"/>
  <c r="G5" i="95"/>
  <c r="Z67" i="95"/>
  <c r="G23" i="92"/>
  <c r="X69" i="95"/>
  <c r="G47" i="92"/>
  <c r="F35" i="92"/>
  <c r="G35" i="92"/>
  <c r="C7" i="95"/>
  <c r="I31" i="95"/>
  <c r="G25" i="94"/>
  <c r="I43" i="95"/>
  <c r="G37" i="94"/>
  <c r="F37" i="105"/>
  <c r="G37" i="105"/>
  <c r="F37" i="102"/>
  <c r="G37" i="102"/>
  <c r="H57" i="95"/>
  <c r="H45" i="95"/>
  <c r="I55" i="95"/>
  <c r="G49" i="94"/>
  <c r="H33" i="95"/>
  <c r="Y55" i="95"/>
  <c r="F49" i="110"/>
  <c r="F29" i="95"/>
  <c r="F36" i="32" s="1"/>
  <c r="F23" i="91"/>
  <c r="R43" i="95"/>
  <c r="R31" i="95"/>
  <c r="R66" i="95" s="1"/>
  <c r="F25" i="105"/>
  <c r="U20" i="97"/>
  <c r="U30" i="97" s="1"/>
  <c r="I64" i="95"/>
  <c r="G40" i="95"/>
  <c r="F34" i="92"/>
  <c r="I30" i="95"/>
  <c r="I37" i="32" s="1"/>
  <c r="F24" i="94"/>
  <c r="E30" i="101"/>
  <c r="N24" i="95"/>
  <c r="E54" i="101"/>
  <c r="E42" i="101"/>
  <c r="F42" i="95"/>
  <c r="F36" i="91"/>
  <c r="Y43" i="95"/>
  <c r="F37" i="110"/>
  <c r="F41" i="95"/>
  <c r="F35" i="91"/>
  <c r="R16" i="110"/>
  <c r="N16" i="110"/>
  <c r="K14" i="89"/>
  <c r="G19" i="95"/>
  <c r="E37" i="92"/>
  <c r="E25" i="92"/>
  <c r="E49" i="92"/>
  <c r="I42" i="95"/>
  <c r="F36" i="94"/>
  <c r="O43" i="95"/>
  <c r="O31" i="95"/>
  <c r="O66" i="95" s="1"/>
  <c r="F25" i="102"/>
  <c r="I35" i="95"/>
  <c r="F30" i="95"/>
  <c r="F37" i="32" s="1"/>
  <c r="F24" i="91"/>
  <c r="Y31" i="95"/>
  <c r="Y66" i="95" s="1"/>
  <c r="F25" i="110"/>
  <c r="R55" i="95"/>
  <c r="F49" i="105"/>
  <c r="I20" i="95"/>
  <c r="E26" i="94"/>
  <c r="E38" i="94"/>
  <c r="E50" i="94"/>
  <c r="G52" i="95"/>
  <c r="F46" i="92"/>
  <c r="O55" i="95"/>
  <c r="F49" i="102"/>
  <c r="I59" i="95"/>
  <c r="E41" i="92"/>
  <c r="E29" i="92"/>
  <c r="G23" i="95"/>
  <c r="E53" i="92"/>
  <c r="G28" i="95"/>
  <c r="G35" i="32" s="1"/>
  <c r="F22" i="92"/>
  <c r="I54" i="95"/>
  <c r="F48" i="94"/>
  <c r="H14" i="92"/>
  <c r="D23" i="95"/>
  <c r="E29" i="88"/>
  <c r="E53" i="88"/>
  <c r="E41" i="88"/>
  <c r="E40" i="110"/>
  <c r="Y22" i="95"/>
  <c r="E52" i="110"/>
  <c r="E28" i="110"/>
  <c r="E25" i="87"/>
  <c r="G25" i="87" s="1"/>
  <c r="E49" i="87"/>
  <c r="G49" i="87" s="1"/>
  <c r="C19" i="95"/>
  <c r="E37" i="87"/>
  <c r="G37" i="87" s="1"/>
  <c r="L15" i="110"/>
  <c r="H16" i="92"/>
  <c r="I16" i="92" s="1"/>
  <c r="J16" i="92" s="1"/>
  <c r="K16" i="92" s="1"/>
  <c r="L16" i="92" s="1"/>
  <c r="R14" i="93"/>
  <c r="N14" i="93"/>
  <c r="N13" i="110"/>
  <c r="R13" i="110"/>
  <c r="F49" i="94"/>
  <c r="F25" i="94"/>
  <c r="F37" i="94"/>
  <c r="I7" i="95"/>
  <c r="E39" i="112"/>
  <c r="G39" i="112" s="1"/>
  <c r="AA21" i="95"/>
  <c r="E27" i="112"/>
  <c r="G27" i="112" s="1"/>
  <c r="E51" i="112"/>
  <c r="N11" i="91"/>
  <c r="R11" i="91"/>
  <c r="F54" i="95"/>
  <c r="F48" i="91"/>
  <c r="F53" i="95"/>
  <c r="F47" i="91"/>
  <c r="K15" i="112"/>
  <c r="I47" i="95"/>
  <c r="G38" i="93" l="1"/>
  <c r="F50" i="93"/>
  <c r="G51" i="118"/>
  <c r="F51" i="118"/>
  <c r="G50" i="93"/>
  <c r="F38" i="93"/>
  <c r="G26" i="93"/>
  <c r="F26" i="93"/>
  <c r="F39" i="118"/>
  <c r="F27" i="118"/>
  <c r="F51" i="104"/>
  <c r="G27" i="118"/>
  <c r="F27" i="32"/>
  <c r="G32" i="32"/>
  <c r="G27" i="108"/>
  <c r="G39" i="108"/>
  <c r="G51" i="108"/>
  <c r="F27" i="108"/>
  <c r="U14" i="108"/>
  <c r="F52" i="108" s="1"/>
  <c r="F27" i="104"/>
  <c r="U14" i="104"/>
  <c r="F52" i="104" s="1"/>
  <c r="F39" i="104"/>
  <c r="G51" i="104"/>
  <c r="G39" i="104"/>
  <c r="U13" i="93"/>
  <c r="H8" i="95"/>
  <c r="H67" i="95" s="1"/>
  <c r="Q9" i="95"/>
  <c r="Q68" i="95" s="1"/>
  <c r="G27" i="104"/>
  <c r="T26" i="97"/>
  <c r="H42" i="32"/>
  <c r="W9" i="95"/>
  <c r="W68" i="95" s="1"/>
  <c r="F51" i="108"/>
  <c r="J4" i="95"/>
  <c r="J25" i="32" s="1"/>
  <c r="S21" i="97"/>
  <c r="U9" i="96"/>
  <c r="V9" i="96"/>
  <c r="G39" i="118"/>
  <c r="U14" i="107"/>
  <c r="U15" i="107" s="1"/>
  <c r="G39" i="107"/>
  <c r="V9" i="95"/>
  <c r="V68" i="95" s="1"/>
  <c r="G51" i="107"/>
  <c r="G27" i="107"/>
  <c r="F51" i="107"/>
  <c r="F27" i="107"/>
  <c r="G39" i="87"/>
  <c r="N68" i="95"/>
  <c r="N14" i="115"/>
  <c r="N11" i="95"/>
  <c r="N70" i="95" s="1"/>
  <c r="U16" i="101"/>
  <c r="G30" i="101" s="1"/>
  <c r="F29" i="101"/>
  <c r="F41" i="101"/>
  <c r="G41" i="101"/>
  <c r="G29" i="101"/>
  <c r="F53" i="101"/>
  <c r="G53" i="101"/>
  <c r="F51" i="87"/>
  <c r="F39" i="87"/>
  <c r="U14" i="87"/>
  <c r="G40" i="87" s="1"/>
  <c r="T15" i="112"/>
  <c r="W15" i="112" s="1"/>
  <c r="S15" i="112"/>
  <c r="V15" i="112" s="1"/>
  <c r="T16" i="92"/>
  <c r="W16" i="92" s="1"/>
  <c r="S16" i="92"/>
  <c r="V16" i="92" s="1"/>
  <c r="U34" i="95"/>
  <c r="G51" i="87"/>
  <c r="C9" i="95"/>
  <c r="C68" i="95" s="1"/>
  <c r="G27" i="87"/>
  <c r="S10" i="96"/>
  <c r="F28" i="105"/>
  <c r="U25" i="97"/>
  <c r="I41" i="32"/>
  <c r="G64" i="95"/>
  <c r="G41" i="32" s="1"/>
  <c r="G26" i="32"/>
  <c r="F52" i="105"/>
  <c r="U15" i="105"/>
  <c r="G52" i="105"/>
  <c r="G40" i="105"/>
  <c r="F40" i="105"/>
  <c r="G28" i="105"/>
  <c r="R10" i="95"/>
  <c r="R69" i="95" s="1"/>
  <c r="Z12" i="95"/>
  <c r="Z71" i="95" s="1"/>
  <c r="E10" i="95"/>
  <c r="E69" i="95" s="1"/>
  <c r="Z11" i="95"/>
  <c r="G42" i="111"/>
  <c r="G38" i="91"/>
  <c r="U11" i="95"/>
  <c r="U70" i="95" s="1"/>
  <c r="E27" i="117"/>
  <c r="G27" i="117" s="1"/>
  <c r="G40" i="99"/>
  <c r="U10" i="95"/>
  <c r="F41" i="99"/>
  <c r="G26" i="91"/>
  <c r="G52" i="80"/>
  <c r="F30" i="111"/>
  <c r="G30" i="111"/>
  <c r="F42" i="111"/>
  <c r="F54" i="111"/>
  <c r="G54" i="111"/>
  <c r="E50" i="92"/>
  <c r="G50" i="92" s="1"/>
  <c r="O21" i="95"/>
  <c r="F7" i="95"/>
  <c r="G52" i="99"/>
  <c r="F52" i="99"/>
  <c r="E39" i="117"/>
  <c r="G39" i="117" s="1"/>
  <c r="F38" i="91"/>
  <c r="F40" i="80"/>
  <c r="U15" i="80"/>
  <c r="F53" i="80" s="1"/>
  <c r="G28" i="80"/>
  <c r="F28" i="99"/>
  <c r="G28" i="99"/>
  <c r="G29" i="99"/>
  <c r="G41" i="99"/>
  <c r="E51" i="117"/>
  <c r="G51" i="117" s="1"/>
  <c r="F8" i="95"/>
  <c r="F67" i="95" s="1"/>
  <c r="F26" i="91"/>
  <c r="U13" i="91"/>
  <c r="G39" i="91" s="1"/>
  <c r="B10" i="95"/>
  <c r="B69" i="95" s="1"/>
  <c r="F28" i="80"/>
  <c r="G20" i="95"/>
  <c r="F40" i="99"/>
  <c r="G53" i="99"/>
  <c r="U16" i="99"/>
  <c r="G30" i="99" s="1"/>
  <c r="G50" i="91"/>
  <c r="G40" i="80"/>
  <c r="E39" i="102"/>
  <c r="F39" i="102" s="1"/>
  <c r="P68" i="95"/>
  <c r="E51" i="102"/>
  <c r="G51" i="102" s="1"/>
  <c r="R15" i="120"/>
  <c r="U32" i="95"/>
  <c r="U67" i="95" s="1"/>
  <c r="E27" i="102"/>
  <c r="G27" i="102" s="1"/>
  <c r="G52" i="112"/>
  <c r="G28" i="100"/>
  <c r="F40" i="90"/>
  <c r="F52" i="90"/>
  <c r="F28" i="90"/>
  <c r="G28" i="90"/>
  <c r="U14" i="118"/>
  <c r="U15" i="118" s="1"/>
  <c r="G40" i="90"/>
  <c r="G52" i="90"/>
  <c r="G40" i="100"/>
  <c r="G40" i="112"/>
  <c r="G52" i="110"/>
  <c r="F28" i="112"/>
  <c r="G7" i="95"/>
  <c r="F26" i="99"/>
  <c r="E38" i="92"/>
  <c r="G38" i="92" s="1"/>
  <c r="G25" i="92"/>
  <c r="G48" i="92"/>
  <c r="G6" i="95"/>
  <c r="M10" i="95"/>
  <c r="M69" i="95" s="1"/>
  <c r="G49" i="92"/>
  <c r="E26" i="92"/>
  <c r="F26" i="92" s="1"/>
  <c r="G37" i="92"/>
  <c r="G24" i="92"/>
  <c r="U56" i="95"/>
  <c r="F27" i="94"/>
  <c r="F40" i="112"/>
  <c r="AA10" i="95"/>
  <c r="AA69" i="95" s="1"/>
  <c r="G52" i="100"/>
  <c r="M68" i="95"/>
  <c r="I9" i="95"/>
  <c r="I68" i="95" s="1"/>
  <c r="G39" i="94"/>
  <c r="U14" i="94"/>
  <c r="F28" i="94" s="1"/>
  <c r="F51" i="94"/>
  <c r="O21" i="97"/>
  <c r="C65" i="95"/>
  <c r="C42" i="32" s="1"/>
  <c r="E30" i="112"/>
  <c r="AA24" i="95"/>
  <c r="E54" i="112"/>
  <c r="E42" i="112"/>
  <c r="AA48" i="95" s="1"/>
  <c r="F52" i="112"/>
  <c r="F53" i="99"/>
  <c r="F29" i="99"/>
  <c r="F40" i="100"/>
  <c r="U15" i="100"/>
  <c r="G29" i="100" s="1"/>
  <c r="F28" i="100"/>
  <c r="G51" i="94"/>
  <c r="F39" i="94"/>
  <c r="G27" i="94"/>
  <c r="G38" i="99"/>
  <c r="U44" i="95"/>
  <c r="F52" i="100"/>
  <c r="G40" i="110"/>
  <c r="U15" i="110"/>
  <c r="U16" i="110" s="1"/>
  <c r="Y12" i="95" s="1"/>
  <c r="G28" i="110"/>
  <c r="G41" i="88"/>
  <c r="G29" i="88"/>
  <c r="G53" i="88"/>
  <c r="D11" i="95"/>
  <c r="U14" i="89"/>
  <c r="U15" i="89" s="1"/>
  <c r="U16" i="89" s="1"/>
  <c r="F51" i="92"/>
  <c r="G51" i="92"/>
  <c r="F39" i="92"/>
  <c r="F27" i="92"/>
  <c r="R15" i="89"/>
  <c r="G50" i="99"/>
  <c r="G9" i="95"/>
  <c r="G68" i="95" s="1"/>
  <c r="G27" i="92"/>
  <c r="F39" i="116"/>
  <c r="U15" i="120"/>
  <c r="F27" i="116"/>
  <c r="U15" i="102"/>
  <c r="G40" i="102"/>
  <c r="F52" i="102"/>
  <c r="F28" i="102"/>
  <c r="F40" i="102"/>
  <c r="G52" i="102"/>
  <c r="G28" i="102"/>
  <c r="O10" i="95"/>
  <c r="O69" i="95" s="1"/>
  <c r="U16" i="90"/>
  <c r="G29" i="90"/>
  <c r="F53" i="90"/>
  <c r="G53" i="90"/>
  <c r="G41" i="90"/>
  <c r="F29" i="90"/>
  <c r="E11" i="95"/>
  <c r="E70" i="95" s="1"/>
  <c r="F41" i="90"/>
  <c r="U15" i="103"/>
  <c r="P10" i="95"/>
  <c r="P69" i="95" s="1"/>
  <c r="G52" i="103"/>
  <c r="F40" i="103"/>
  <c r="G40" i="103"/>
  <c r="F28" i="103"/>
  <c r="G28" i="103"/>
  <c r="F52" i="103"/>
  <c r="U15" i="117"/>
  <c r="F40" i="117"/>
  <c r="F52" i="117"/>
  <c r="F28" i="117"/>
  <c r="G52" i="117"/>
  <c r="G40" i="117"/>
  <c r="G28" i="117"/>
  <c r="N14" i="118"/>
  <c r="R14" i="118"/>
  <c r="U14" i="119"/>
  <c r="F27" i="119"/>
  <c r="F51" i="119"/>
  <c r="F39" i="119"/>
  <c r="G39" i="119"/>
  <c r="G27" i="119"/>
  <c r="G51" i="119"/>
  <c r="U14" i="106"/>
  <c r="G51" i="106"/>
  <c r="F39" i="106"/>
  <c r="F51" i="106"/>
  <c r="S9" i="95"/>
  <c r="S68" i="95" s="1"/>
  <c r="G39" i="106"/>
  <c r="F27" i="106"/>
  <c r="G27" i="106"/>
  <c r="U16" i="109"/>
  <c r="F53" i="109"/>
  <c r="F41" i="109"/>
  <c r="G53" i="109"/>
  <c r="G41" i="109"/>
  <c r="F29" i="109"/>
  <c r="G29" i="109"/>
  <c r="X11" i="95"/>
  <c r="X70" i="95" s="1"/>
  <c r="G39" i="92"/>
  <c r="M16" i="92"/>
  <c r="N16" i="92" s="1"/>
  <c r="F50" i="115"/>
  <c r="F38" i="115"/>
  <c r="F26" i="115"/>
  <c r="G38" i="115"/>
  <c r="G26" i="115"/>
  <c r="G50" i="115"/>
  <c r="U13" i="115"/>
  <c r="U16" i="121"/>
  <c r="F29" i="121"/>
  <c r="F41" i="121"/>
  <c r="F53" i="121"/>
  <c r="G41" i="121"/>
  <c r="G29" i="121"/>
  <c r="G53" i="121"/>
  <c r="L16" i="118"/>
  <c r="N16" i="115"/>
  <c r="R16" i="115"/>
  <c r="F51" i="116"/>
  <c r="U15" i="116"/>
  <c r="F28" i="116"/>
  <c r="F40" i="116"/>
  <c r="F52" i="116"/>
  <c r="G52" i="116"/>
  <c r="G28" i="116"/>
  <c r="G40" i="116"/>
  <c r="U16" i="88"/>
  <c r="E28" i="115"/>
  <c r="E52" i="115"/>
  <c r="E40" i="115"/>
  <c r="J46" i="95"/>
  <c r="F48" i="92"/>
  <c r="F24" i="92"/>
  <c r="F36" i="92"/>
  <c r="G36" i="92"/>
  <c r="N15" i="89"/>
  <c r="M24" i="95"/>
  <c r="E42" i="100"/>
  <c r="E30" i="100"/>
  <c r="E54" i="100"/>
  <c r="F53" i="111"/>
  <c r="G53" i="111"/>
  <c r="Z59" i="95"/>
  <c r="G29" i="111"/>
  <c r="Z35" i="95"/>
  <c r="F29" i="111"/>
  <c r="Z47" i="95"/>
  <c r="G41" i="111"/>
  <c r="F41" i="111"/>
  <c r="R12" i="96"/>
  <c r="N12" i="96"/>
  <c r="G13" i="96"/>
  <c r="G11" i="96"/>
  <c r="T11" i="96" s="1"/>
  <c r="W11" i="96" s="1"/>
  <c r="N9" i="96"/>
  <c r="R9" i="96"/>
  <c r="G16" i="96"/>
  <c r="J16" i="95"/>
  <c r="E22" i="96"/>
  <c r="E34" i="96"/>
  <c r="E46" i="96"/>
  <c r="G15" i="96"/>
  <c r="G10" i="96"/>
  <c r="O9" i="95"/>
  <c r="S10" i="97"/>
  <c r="G8" i="95"/>
  <c r="I66" i="95"/>
  <c r="F51" i="112"/>
  <c r="G51" i="112"/>
  <c r="I44" i="95"/>
  <c r="G38" i="94"/>
  <c r="I32" i="95"/>
  <c r="G26" i="94"/>
  <c r="I56" i="95"/>
  <c r="G50" i="94"/>
  <c r="N60" i="95"/>
  <c r="F19" i="95"/>
  <c r="E49" i="91"/>
  <c r="G49" i="91" s="1"/>
  <c r="E25" i="91"/>
  <c r="G25" i="91" s="1"/>
  <c r="E37" i="91"/>
  <c r="G37" i="91" s="1"/>
  <c r="E28" i="93"/>
  <c r="H22" i="95"/>
  <c r="E52" i="93"/>
  <c r="E40" i="93"/>
  <c r="S19" i="97"/>
  <c r="G63" i="95"/>
  <c r="G40" i="32" s="1"/>
  <c r="L15" i="112"/>
  <c r="C43" i="95"/>
  <c r="F37" i="87"/>
  <c r="F28" i="110"/>
  <c r="Y34" i="95"/>
  <c r="Y69" i="95" s="1"/>
  <c r="R21" i="97"/>
  <c r="F65" i="95"/>
  <c r="F42" i="32" s="1"/>
  <c r="I8" i="95"/>
  <c r="F26" i="94"/>
  <c r="F50" i="94"/>
  <c r="F38" i="94"/>
  <c r="Y9" i="95"/>
  <c r="Y58" i="95"/>
  <c r="F52" i="110"/>
  <c r="D35" i="95"/>
  <c r="F29" i="88"/>
  <c r="G55" i="95"/>
  <c r="F49" i="92"/>
  <c r="N14" i="89"/>
  <c r="R14" i="89"/>
  <c r="Y46" i="95"/>
  <c r="F40" i="110"/>
  <c r="G59" i="95"/>
  <c r="G31" i="95"/>
  <c r="F25" i="92"/>
  <c r="R20" i="97"/>
  <c r="F64" i="95"/>
  <c r="F41" i="32" s="1"/>
  <c r="C55" i="95"/>
  <c r="F49" i="87"/>
  <c r="G43" i="95"/>
  <c r="F37" i="92"/>
  <c r="N36" i="95"/>
  <c r="N48" i="95"/>
  <c r="Y21" i="95"/>
  <c r="E27" i="110"/>
  <c r="E39" i="110"/>
  <c r="E51" i="110"/>
  <c r="C31" i="95"/>
  <c r="C66" i="95" s="1"/>
  <c r="F25" i="87"/>
  <c r="D47" i="95"/>
  <c r="F41" i="88"/>
  <c r="I14" i="92"/>
  <c r="G35" i="95"/>
  <c r="U21" i="97"/>
  <c r="U31" i="97" s="1"/>
  <c r="I65" i="95"/>
  <c r="AA57" i="95"/>
  <c r="AA33" i="95"/>
  <c r="AA68" i="95" s="1"/>
  <c r="F27" i="112"/>
  <c r="F39" i="112"/>
  <c r="AA45" i="95"/>
  <c r="R15" i="110"/>
  <c r="N15" i="110"/>
  <c r="D59" i="95"/>
  <c r="F53" i="88"/>
  <c r="G47" i="95"/>
  <c r="E30" i="110"/>
  <c r="Y24" i="95"/>
  <c r="E42" i="110"/>
  <c r="E54" i="110"/>
  <c r="G52" i="108" l="1"/>
  <c r="F52" i="87"/>
  <c r="G28" i="108"/>
  <c r="F40" i="108"/>
  <c r="G40" i="108"/>
  <c r="U15" i="108"/>
  <c r="W10" i="95"/>
  <c r="W69" i="95" s="1"/>
  <c r="F28" i="108"/>
  <c r="G28" i="104"/>
  <c r="G40" i="104"/>
  <c r="Q10" i="95"/>
  <c r="Q69" i="95" s="1"/>
  <c r="F28" i="104"/>
  <c r="U15" i="104"/>
  <c r="G29" i="104" s="1"/>
  <c r="F40" i="104"/>
  <c r="G52" i="104"/>
  <c r="U69" i="95"/>
  <c r="V9" i="97"/>
  <c r="F39" i="93"/>
  <c r="G27" i="93"/>
  <c r="G51" i="93"/>
  <c r="F27" i="93"/>
  <c r="U14" i="93"/>
  <c r="G39" i="93"/>
  <c r="H9" i="95"/>
  <c r="H68" i="95" s="1"/>
  <c r="F51" i="93"/>
  <c r="G29" i="107"/>
  <c r="F41" i="107"/>
  <c r="F52" i="107"/>
  <c r="U16" i="107"/>
  <c r="G53" i="107"/>
  <c r="G40" i="107"/>
  <c r="F29" i="107"/>
  <c r="G52" i="107"/>
  <c r="F53" i="107"/>
  <c r="V11" i="95"/>
  <c r="V70" i="95" s="1"/>
  <c r="G41" i="107"/>
  <c r="V10" i="95"/>
  <c r="V69" i="95" s="1"/>
  <c r="F40" i="107"/>
  <c r="G28" i="107"/>
  <c r="F28" i="107"/>
  <c r="G54" i="101"/>
  <c r="U10" i="96"/>
  <c r="J6" i="95" s="1"/>
  <c r="V10" i="96"/>
  <c r="F42" i="101"/>
  <c r="F30" i="101"/>
  <c r="R11" i="95"/>
  <c r="R70" i="95" s="1"/>
  <c r="U16" i="105"/>
  <c r="G42" i="101"/>
  <c r="F54" i="101"/>
  <c r="N12" i="95"/>
  <c r="N71" i="95" s="1"/>
  <c r="S11" i="96"/>
  <c r="V11" i="96" s="1"/>
  <c r="T16" i="118"/>
  <c r="W16" i="118" s="1"/>
  <c r="S16" i="118"/>
  <c r="V16" i="118" s="1"/>
  <c r="F40" i="87"/>
  <c r="C10" i="95"/>
  <c r="C69" i="95" s="1"/>
  <c r="G52" i="87"/>
  <c r="U15" i="87"/>
  <c r="F41" i="87" s="1"/>
  <c r="F28" i="87"/>
  <c r="G28" i="87"/>
  <c r="G56" i="95"/>
  <c r="U26" i="97"/>
  <c r="I42" i="32"/>
  <c r="V14" i="97"/>
  <c r="J30" i="32"/>
  <c r="R25" i="97"/>
  <c r="R26" i="97"/>
  <c r="O26" i="97"/>
  <c r="S24" i="97"/>
  <c r="S11" i="97"/>
  <c r="S31" i="97" s="1"/>
  <c r="G27" i="32"/>
  <c r="S25" i="97"/>
  <c r="F41" i="105"/>
  <c r="G53" i="105"/>
  <c r="O57" i="95"/>
  <c r="F53" i="105"/>
  <c r="G41" i="105"/>
  <c r="F51" i="102"/>
  <c r="F29" i="105"/>
  <c r="G29" i="105"/>
  <c r="Z70" i="95"/>
  <c r="F50" i="92"/>
  <c r="F41" i="80"/>
  <c r="F51" i="117"/>
  <c r="F27" i="102"/>
  <c r="U14" i="91"/>
  <c r="E29" i="120"/>
  <c r="F29" i="120" s="1"/>
  <c r="F27" i="117"/>
  <c r="B11" i="95"/>
  <c r="B70" i="95" s="1"/>
  <c r="O33" i="95"/>
  <c r="O68" i="95" s="1"/>
  <c r="E41" i="120"/>
  <c r="G41" i="120" s="1"/>
  <c r="G41" i="80"/>
  <c r="G29" i="80"/>
  <c r="F39" i="91"/>
  <c r="G27" i="91"/>
  <c r="E53" i="120"/>
  <c r="F53" i="120" s="1"/>
  <c r="U16" i="80"/>
  <c r="F54" i="80" s="1"/>
  <c r="F29" i="80"/>
  <c r="F27" i="91"/>
  <c r="G39" i="102"/>
  <c r="L23" i="95"/>
  <c r="F30" i="99"/>
  <c r="F42" i="89"/>
  <c r="G53" i="80"/>
  <c r="G51" i="91"/>
  <c r="F9" i="95"/>
  <c r="F68" i="95" s="1"/>
  <c r="F51" i="91"/>
  <c r="F42" i="99"/>
  <c r="U12" i="95"/>
  <c r="U71" i="95" s="1"/>
  <c r="F54" i="99"/>
  <c r="G54" i="99"/>
  <c r="G42" i="99"/>
  <c r="F38" i="92"/>
  <c r="F39" i="117"/>
  <c r="G26" i="92"/>
  <c r="O45" i="95"/>
  <c r="R16" i="92"/>
  <c r="G44" i="95"/>
  <c r="G28" i="94"/>
  <c r="I10" i="95"/>
  <c r="I69" i="95" s="1"/>
  <c r="G40" i="94"/>
  <c r="G52" i="94"/>
  <c r="G30" i="89"/>
  <c r="G54" i="89"/>
  <c r="F29" i="100"/>
  <c r="G66" i="95"/>
  <c r="M11" i="95"/>
  <c r="M70" i="95" s="1"/>
  <c r="L10" i="95"/>
  <c r="L69" i="95" s="1"/>
  <c r="E41" i="89"/>
  <c r="F41" i="89" s="1"/>
  <c r="E29" i="89"/>
  <c r="F29" i="89" s="1"/>
  <c r="G32" i="95"/>
  <c r="G67" i="95" s="1"/>
  <c r="G65" i="95"/>
  <c r="G42" i="32" s="1"/>
  <c r="G42" i="89"/>
  <c r="F30" i="89"/>
  <c r="F40" i="94"/>
  <c r="U15" i="94"/>
  <c r="D70" i="95"/>
  <c r="E53" i="89"/>
  <c r="F53" i="89" s="1"/>
  <c r="F54" i="89"/>
  <c r="L12" i="95"/>
  <c r="L71" i="95" s="1"/>
  <c r="F52" i="94"/>
  <c r="AA36" i="95"/>
  <c r="AA60" i="95"/>
  <c r="O31" i="97"/>
  <c r="G53" i="100"/>
  <c r="F41" i="100"/>
  <c r="U16" i="100"/>
  <c r="G41" i="100"/>
  <c r="F53" i="100"/>
  <c r="Y11" i="95"/>
  <c r="U15" i="112"/>
  <c r="U16" i="112" s="1"/>
  <c r="U16" i="120"/>
  <c r="E30" i="115"/>
  <c r="E42" i="115"/>
  <c r="E54" i="115"/>
  <c r="D12" i="95"/>
  <c r="D71" i="95" s="1"/>
  <c r="G54" i="88"/>
  <c r="F42" i="88"/>
  <c r="G30" i="88"/>
  <c r="G42" i="88"/>
  <c r="F30" i="88"/>
  <c r="F54" i="88"/>
  <c r="F27" i="115"/>
  <c r="F51" i="115"/>
  <c r="F39" i="115"/>
  <c r="U14" i="115"/>
  <c r="G52" i="115" s="1"/>
  <c r="U16" i="103"/>
  <c r="P11" i="95"/>
  <c r="P70" i="95" s="1"/>
  <c r="F41" i="103"/>
  <c r="F29" i="103"/>
  <c r="G29" i="103"/>
  <c r="G53" i="103"/>
  <c r="F53" i="103"/>
  <c r="G41" i="103"/>
  <c r="G39" i="115"/>
  <c r="G30" i="90"/>
  <c r="F42" i="90"/>
  <c r="G42" i="90"/>
  <c r="E12" i="95"/>
  <c r="E71" i="95" s="1"/>
  <c r="F30" i="90"/>
  <c r="F54" i="90"/>
  <c r="G54" i="90"/>
  <c r="U16" i="102"/>
  <c r="O11" i="95"/>
  <c r="O70" i="95" s="1"/>
  <c r="F53" i="102"/>
  <c r="F41" i="102"/>
  <c r="G41" i="102"/>
  <c r="F29" i="102"/>
  <c r="G29" i="102"/>
  <c r="G53" i="102"/>
  <c r="G51" i="115"/>
  <c r="U16" i="117"/>
  <c r="F29" i="117"/>
  <c r="F53" i="117"/>
  <c r="F41" i="117"/>
  <c r="G53" i="117"/>
  <c r="G29" i="117"/>
  <c r="G41" i="117"/>
  <c r="U16" i="116"/>
  <c r="F29" i="116"/>
  <c r="F41" i="116"/>
  <c r="F53" i="116"/>
  <c r="G41" i="116"/>
  <c r="G53" i="116"/>
  <c r="G29" i="116"/>
  <c r="F30" i="121"/>
  <c r="F42" i="121"/>
  <c r="F54" i="121"/>
  <c r="G42" i="121"/>
  <c r="G54" i="121"/>
  <c r="G30" i="121"/>
  <c r="U15" i="119"/>
  <c r="F28" i="119"/>
  <c r="F40" i="119"/>
  <c r="F52" i="119"/>
  <c r="G40" i="119"/>
  <c r="G52" i="119"/>
  <c r="G28" i="119"/>
  <c r="G27" i="115"/>
  <c r="M16" i="118"/>
  <c r="G30" i="109"/>
  <c r="G54" i="109"/>
  <c r="F54" i="109"/>
  <c r="X12" i="95"/>
  <c r="X71" i="95" s="1"/>
  <c r="G42" i="109"/>
  <c r="F42" i="109"/>
  <c r="F30" i="109"/>
  <c r="U15" i="106"/>
  <c r="G40" i="106"/>
  <c r="G52" i="106"/>
  <c r="F40" i="106"/>
  <c r="S10" i="95"/>
  <c r="S69" i="95" s="1"/>
  <c r="F52" i="106"/>
  <c r="F28" i="106"/>
  <c r="G28" i="106"/>
  <c r="E28" i="118"/>
  <c r="E40" i="118"/>
  <c r="E52" i="118"/>
  <c r="F29" i="118"/>
  <c r="F53" i="118"/>
  <c r="F41" i="118"/>
  <c r="G53" i="118"/>
  <c r="G41" i="118"/>
  <c r="G29" i="118"/>
  <c r="M60" i="95"/>
  <c r="M48" i="95"/>
  <c r="M36" i="95"/>
  <c r="J52" i="95"/>
  <c r="G46" i="96"/>
  <c r="F46" i="96"/>
  <c r="H16" i="96"/>
  <c r="H13" i="96"/>
  <c r="J40" i="95"/>
  <c r="G34" i="96"/>
  <c r="F34" i="96"/>
  <c r="E47" i="96"/>
  <c r="F47" i="96" s="1"/>
  <c r="J17" i="95"/>
  <c r="E35" i="96"/>
  <c r="F35" i="96" s="1"/>
  <c r="E23" i="96"/>
  <c r="F23" i="96" s="1"/>
  <c r="J5" i="95"/>
  <c r="J26" i="32" s="1"/>
  <c r="R10" i="96"/>
  <c r="N10" i="96"/>
  <c r="J28" i="95"/>
  <c r="J35" i="32" s="1"/>
  <c r="G22" i="96"/>
  <c r="F22" i="96"/>
  <c r="J20" i="95"/>
  <c r="E26" i="96"/>
  <c r="E38" i="96"/>
  <c r="E50" i="96"/>
  <c r="H15" i="96"/>
  <c r="I15" i="96" s="1"/>
  <c r="J15" i="96" s="1"/>
  <c r="K15" i="96" s="1"/>
  <c r="T15" i="96" s="1"/>
  <c r="W15" i="96" s="1"/>
  <c r="H11" i="96"/>
  <c r="R31" i="97"/>
  <c r="R30" i="97"/>
  <c r="S29" i="97"/>
  <c r="S30" i="97"/>
  <c r="L11" i="95"/>
  <c r="L70" i="95" s="1"/>
  <c r="I67" i="95"/>
  <c r="Y60" i="95"/>
  <c r="G54" i="110"/>
  <c r="Y33" i="95"/>
  <c r="Y68" i="95" s="1"/>
  <c r="G27" i="110"/>
  <c r="Y48" i="95"/>
  <c r="G42" i="110"/>
  <c r="Y36" i="95"/>
  <c r="Y71" i="95" s="1"/>
  <c r="G30" i="110"/>
  <c r="Y57" i="95"/>
  <c r="G51" i="110"/>
  <c r="Y45" i="95"/>
  <c r="G39" i="110"/>
  <c r="H46" i="95"/>
  <c r="F30" i="110"/>
  <c r="N15" i="112"/>
  <c r="R15" i="112"/>
  <c r="H58" i="95"/>
  <c r="E29" i="110"/>
  <c r="G29" i="110" s="1"/>
  <c r="E41" i="110"/>
  <c r="G41" i="110" s="1"/>
  <c r="Y23" i="95"/>
  <c r="E53" i="110"/>
  <c r="G53" i="110" s="1"/>
  <c r="E52" i="89"/>
  <c r="G52" i="89" s="1"/>
  <c r="E40" i="89"/>
  <c r="E28" i="89"/>
  <c r="G28" i="89" s="1"/>
  <c r="L22" i="95"/>
  <c r="F43" i="95"/>
  <c r="F37" i="91"/>
  <c r="F31" i="95"/>
  <c r="F66" i="95" s="1"/>
  <c r="F25" i="91"/>
  <c r="F54" i="110"/>
  <c r="F27" i="110"/>
  <c r="H34" i="95"/>
  <c r="F55" i="95"/>
  <c r="F49" i="91"/>
  <c r="J14" i="92"/>
  <c r="F51" i="110"/>
  <c r="F42" i="110"/>
  <c r="F39" i="110"/>
  <c r="F53" i="104" l="1"/>
  <c r="G41" i="104"/>
  <c r="Q11" i="95"/>
  <c r="Q70" i="95" s="1"/>
  <c r="G53" i="104"/>
  <c r="F29" i="104"/>
  <c r="U16" i="104"/>
  <c r="F30" i="104" s="1"/>
  <c r="F41" i="104"/>
  <c r="F29" i="108"/>
  <c r="G29" i="108"/>
  <c r="F53" i="108"/>
  <c r="G53" i="108"/>
  <c r="W11" i="95"/>
  <c r="W70" i="95" s="1"/>
  <c r="F41" i="108"/>
  <c r="U16" i="108"/>
  <c r="G41" i="108"/>
  <c r="G28" i="93"/>
  <c r="F40" i="93"/>
  <c r="F52" i="93"/>
  <c r="G52" i="93"/>
  <c r="U15" i="93"/>
  <c r="H10" i="95"/>
  <c r="H69" i="95" s="1"/>
  <c r="F28" i="93"/>
  <c r="G40" i="93"/>
  <c r="F54" i="107"/>
  <c r="F30" i="107"/>
  <c r="G30" i="107"/>
  <c r="G54" i="107"/>
  <c r="F42" i="107"/>
  <c r="G42" i="107"/>
  <c r="V12" i="95"/>
  <c r="V71" i="95" s="1"/>
  <c r="G53" i="120"/>
  <c r="G41" i="87"/>
  <c r="G53" i="87"/>
  <c r="F54" i="105"/>
  <c r="F30" i="105"/>
  <c r="F42" i="105"/>
  <c r="R12" i="95"/>
  <c r="R71" i="95" s="1"/>
  <c r="G42" i="105"/>
  <c r="G54" i="105"/>
  <c r="G30" i="105"/>
  <c r="U16" i="87"/>
  <c r="G54" i="87" s="1"/>
  <c r="G29" i="87"/>
  <c r="C11" i="95"/>
  <c r="C70" i="95" s="1"/>
  <c r="F29" i="87"/>
  <c r="F53" i="87"/>
  <c r="G29" i="120"/>
  <c r="S14" i="92"/>
  <c r="V14" i="92" s="1"/>
  <c r="T14" i="92"/>
  <c r="W14" i="92" s="1"/>
  <c r="S15" i="96"/>
  <c r="V15" i="96" s="1"/>
  <c r="U15" i="91"/>
  <c r="F53" i="91" s="1"/>
  <c r="F40" i="91"/>
  <c r="V15" i="97"/>
  <c r="J31" i="32"/>
  <c r="V11" i="97"/>
  <c r="J27" i="32"/>
  <c r="G28" i="91"/>
  <c r="F52" i="91"/>
  <c r="F10" i="95"/>
  <c r="F69" i="95" s="1"/>
  <c r="G40" i="91"/>
  <c r="G52" i="91"/>
  <c r="F28" i="91"/>
  <c r="S26" i="97"/>
  <c r="G42" i="80"/>
  <c r="F30" i="80"/>
  <c r="B12" i="95"/>
  <c r="B71" i="95" s="1"/>
  <c r="G30" i="80"/>
  <c r="F42" i="80"/>
  <c r="G54" i="80"/>
  <c r="G24" i="95"/>
  <c r="F41" i="120"/>
  <c r="E30" i="92"/>
  <c r="G36" i="95" s="1"/>
  <c r="L59" i="95"/>
  <c r="G41" i="89"/>
  <c r="E42" i="92"/>
  <c r="G48" i="95" s="1"/>
  <c r="E54" i="92"/>
  <c r="G60" i="95" s="1"/>
  <c r="G53" i="89"/>
  <c r="F53" i="94"/>
  <c r="G54" i="100"/>
  <c r="U16" i="118"/>
  <c r="G53" i="94"/>
  <c r="G29" i="94"/>
  <c r="F41" i="94"/>
  <c r="U16" i="94"/>
  <c r="G54" i="94" s="1"/>
  <c r="G41" i="94"/>
  <c r="I11" i="95"/>
  <c r="I70" i="95" s="1"/>
  <c r="F29" i="94"/>
  <c r="G30" i="100"/>
  <c r="G29" i="89"/>
  <c r="F42" i="100"/>
  <c r="U11" i="96"/>
  <c r="U12" i="96" s="1"/>
  <c r="L47" i="95"/>
  <c r="G42" i="100"/>
  <c r="F30" i="100"/>
  <c r="F54" i="100"/>
  <c r="M12" i="95"/>
  <c r="M71" i="95" s="1"/>
  <c r="G40" i="115"/>
  <c r="F54" i="112"/>
  <c r="F54" i="120"/>
  <c r="F42" i="112"/>
  <c r="G42" i="112"/>
  <c r="G54" i="120"/>
  <c r="G30" i="120"/>
  <c r="F30" i="120"/>
  <c r="F30" i="112"/>
  <c r="G54" i="112"/>
  <c r="G42" i="120"/>
  <c r="G30" i="112"/>
  <c r="AA12" i="95"/>
  <c r="AA71" i="95" s="1"/>
  <c r="F42" i="120"/>
  <c r="G40" i="118"/>
  <c r="F40" i="118"/>
  <c r="G28" i="118"/>
  <c r="F28" i="118"/>
  <c r="U16" i="106"/>
  <c r="F41" i="106"/>
  <c r="F29" i="106"/>
  <c r="S11" i="95"/>
  <c r="S70" i="95" s="1"/>
  <c r="G41" i="106"/>
  <c r="G29" i="106"/>
  <c r="G53" i="106"/>
  <c r="F53" i="106"/>
  <c r="F30" i="117"/>
  <c r="F42" i="117"/>
  <c r="F54" i="117"/>
  <c r="G30" i="117"/>
  <c r="G54" i="117"/>
  <c r="G42" i="117"/>
  <c r="N16" i="118"/>
  <c r="R16" i="118"/>
  <c r="F30" i="116"/>
  <c r="F42" i="116"/>
  <c r="F54" i="116"/>
  <c r="G54" i="116"/>
  <c r="G30" i="116"/>
  <c r="G42" i="116"/>
  <c r="U15" i="115"/>
  <c r="F28" i="115"/>
  <c r="F52" i="115"/>
  <c r="F40" i="115"/>
  <c r="G54" i="103"/>
  <c r="F30" i="103"/>
  <c r="F54" i="103"/>
  <c r="G42" i="103"/>
  <c r="G30" i="103"/>
  <c r="F42" i="103"/>
  <c r="P12" i="95"/>
  <c r="P71" i="95" s="1"/>
  <c r="G52" i="118"/>
  <c r="F52" i="118"/>
  <c r="U16" i="119"/>
  <c r="F29" i="119"/>
  <c r="F41" i="119"/>
  <c r="F53" i="119"/>
  <c r="G29" i="119"/>
  <c r="G41" i="119"/>
  <c r="G53" i="119"/>
  <c r="G54" i="102"/>
  <c r="F54" i="102"/>
  <c r="G30" i="102"/>
  <c r="O12" i="95"/>
  <c r="O71" i="95" s="1"/>
  <c r="F30" i="102"/>
  <c r="G42" i="102"/>
  <c r="F42" i="102"/>
  <c r="G28" i="115"/>
  <c r="L15" i="96"/>
  <c r="J32" i="95"/>
  <c r="V10" i="97"/>
  <c r="I16" i="96"/>
  <c r="J16" i="96" s="1"/>
  <c r="K16" i="96" s="1"/>
  <c r="L16" i="96" s="1"/>
  <c r="G23" i="96"/>
  <c r="J29" i="95"/>
  <c r="R11" i="96"/>
  <c r="N11" i="96"/>
  <c r="V19" i="97"/>
  <c r="V29" i="97" s="1"/>
  <c r="J63" i="95"/>
  <c r="J41" i="95"/>
  <c r="G35" i="96"/>
  <c r="J56" i="95"/>
  <c r="J44" i="95"/>
  <c r="E24" i="96"/>
  <c r="E48" i="96"/>
  <c r="J18" i="95"/>
  <c r="E36" i="96"/>
  <c r="J53" i="95"/>
  <c r="G47" i="96"/>
  <c r="I13" i="96"/>
  <c r="F40" i="89"/>
  <c r="G40" i="89"/>
  <c r="AA11" i="95"/>
  <c r="L58" i="95"/>
  <c r="F52" i="89"/>
  <c r="L46" i="95"/>
  <c r="F28" i="89"/>
  <c r="Y59" i="95"/>
  <c r="F53" i="110"/>
  <c r="Y47" i="95"/>
  <c r="F41" i="110"/>
  <c r="F29" i="110"/>
  <c r="Y35" i="95"/>
  <c r="Y70" i="95" s="1"/>
  <c r="K14" i="92"/>
  <c r="AA23" i="95"/>
  <c r="E29" i="112"/>
  <c r="E41" i="112"/>
  <c r="G41" i="112" s="1"/>
  <c r="E53" i="112"/>
  <c r="G54" i="104" l="1"/>
  <c r="Q12" i="95"/>
  <c r="Q71" i="95" s="1"/>
  <c r="F42" i="104"/>
  <c r="G30" i="104"/>
  <c r="F54" i="104"/>
  <c r="G42" i="104"/>
  <c r="F54" i="108"/>
  <c r="G42" i="108"/>
  <c r="G54" i="108"/>
  <c r="G30" i="108"/>
  <c r="W12" i="95"/>
  <c r="W71" i="95" s="1"/>
  <c r="F30" i="108"/>
  <c r="F42" i="108"/>
  <c r="H11" i="95"/>
  <c r="H70" i="95" s="1"/>
  <c r="G29" i="93"/>
  <c r="F53" i="93"/>
  <c r="F29" i="93"/>
  <c r="F41" i="93"/>
  <c r="G53" i="93"/>
  <c r="U16" i="93"/>
  <c r="G41" i="93"/>
  <c r="F42" i="87"/>
  <c r="F30" i="87"/>
  <c r="C12" i="95"/>
  <c r="C71" i="95" s="1"/>
  <c r="G42" i="87"/>
  <c r="G30" i="87"/>
  <c r="F54" i="87"/>
  <c r="G29" i="91"/>
  <c r="T16" i="96"/>
  <c r="W16" i="96" s="1"/>
  <c r="S16" i="96"/>
  <c r="V16" i="96" s="1"/>
  <c r="F11" i="95"/>
  <c r="F70" i="95" s="1"/>
  <c r="U16" i="91"/>
  <c r="G54" i="91" s="1"/>
  <c r="G41" i="91"/>
  <c r="F29" i="91"/>
  <c r="T13" i="96"/>
  <c r="W13" i="96" s="1"/>
  <c r="S13" i="96"/>
  <c r="V13" i="96" s="1"/>
  <c r="F41" i="91"/>
  <c r="G53" i="91"/>
  <c r="V20" i="97"/>
  <c r="V30" i="97" s="1"/>
  <c r="J36" i="32"/>
  <c r="V24" i="97"/>
  <c r="J40" i="32"/>
  <c r="V16" i="97"/>
  <c r="J32" i="32"/>
  <c r="F30" i="94"/>
  <c r="G30" i="94"/>
  <c r="G42" i="94"/>
  <c r="F50" i="96"/>
  <c r="F54" i="94"/>
  <c r="F42" i="94"/>
  <c r="I12" i="95"/>
  <c r="I71" i="95" s="1"/>
  <c r="G38" i="96"/>
  <c r="F26" i="96"/>
  <c r="J8" i="95"/>
  <c r="J67" i="95" s="1"/>
  <c r="F38" i="96"/>
  <c r="G26" i="96"/>
  <c r="G50" i="96"/>
  <c r="N15" i="96"/>
  <c r="R15" i="96"/>
  <c r="E29" i="96" s="1"/>
  <c r="F30" i="119"/>
  <c r="F54" i="119"/>
  <c r="F42" i="119"/>
  <c r="G30" i="119"/>
  <c r="G42" i="119"/>
  <c r="G54" i="119"/>
  <c r="E30" i="118"/>
  <c r="E42" i="118"/>
  <c r="E54" i="118"/>
  <c r="G30" i="106"/>
  <c r="G54" i="106"/>
  <c r="F54" i="106"/>
  <c r="F42" i="106"/>
  <c r="F30" i="106"/>
  <c r="G42" i="106"/>
  <c r="S12" i="95"/>
  <c r="S71" i="95" s="1"/>
  <c r="U16" i="115"/>
  <c r="F53" i="115"/>
  <c r="F29" i="115"/>
  <c r="F41" i="115"/>
  <c r="G41" i="115"/>
  <c r="G53" i="115"/>
  <c r="G29" i="115"/>
  <c r="U14" i="92"/>
  <c r="U15" i="92" s="1"/>
  <c r="J13" i="96"/>
  <c r="M16" i="96"/>
  <c r="G24" i="96"/>
  <c r="J30" i="95"/>
  <c r="J37" i="32" s="1"/>
  <c r="F24" i="96"/>
  <c r="J42" i="95"/>
  <c r="G36" i="96"/>
  <c r="F36" i="96"/>
  <c r="J64" i="95"/>
  <c r="E25" i="96"/>
  <c r="F25" i="96" s="1"/>
  <c r="E37" i="96"/>
  <c r="F37" i="96" s="1"/>
  <c r="J19" i="95"/>
  <c r="E49" i="96"/>
  <c r="J7" i="95"/>
  <c r="G48" i="96"/>
  <c r="J54" i="95"/>
  <c r="F48" i="96"/>
  <c r="F53" i="112"/>
  <c r="G53" i="112"/>
  <c r="F29" i="112"/>
  <c r="G29" i="112"/>
  <c r="F41" i="112"/>
  <c r="AA47" i="95"/>
  <c r="AA59" i="95"/>
  <c r="AA35" i="95"/>
  <c r="AA70" i="95" s="1"/>
  <c r="R14" i="92"/>
  <c r="N14" i="92"/>
  <c r="F30" i="93" l="1"/>
  <c r="F54" i="93"/>
  <c r="F42" i="93"/>
  <c r="G42" i="93"/>
  <c r="G54" i="93"/>
  <c r="G30" i="93"/>
  <c r="H12" i="95"/>
  <c r="H71" i="95" s="1"/>
  <c r="G42" i="91"/>
  <c r="F42" i="91"/>
  <c r="G30" i="91"/>
  <c r="F30" i="91"/>
  <c r="F12" i="95"/>
  <c r="F71" i="95" s="1"/>
  <c r="F54" i="91"/>
  <c r="V25" i="97"/>
  <c r="J41" i="32"/>
  <c r="E41" i="96"/>
  <c r="J47" i="95" s="1"/>
  <c r="G10" i="95"/>
  <c r="J23" i="95"/>
  <c r="E53" i="96"/>
  <c r="J59" i="95" s="1"/>
  <c r="U13" i="96"/>
  <c r="U14" i="96" s="1"/>
  <c r="F52" i="96" s="1"/>
  <c r="U16" i="92"/>
  <c r="G11" i="95"/>
  <c r="G70" i="95" s="1"/>
  <c r="G29" i="92"/>
  <c r="G53" i="92"/>
  <c r="F41" i="92"/>
  <c r="G41" i="92"/>
  <c r="F29" i="92"/>
  <c r="F53" i="92"/>
  <c r="F54" i="115"/>
  <c r="F42" i="115"/>
  <c r="F30" i="115"/>
  <c r="G54" i="115"/>
  <c r="G30" i="115"/>
  <c r="G42" i="115"/>
  <c r="G54" i="118"/>
  <c r="F54" i="118"/>
  <c r="G30" i="118"/>
  <c r="F30" i="118"/>
  <c r="G42" i="118"/>
  <c r="F42" i="118"/>
  <c r="J35" i="95"/>
  <c r="J55" i="95"/>
  <c r="G49" i="96"/>
  <c r="N13" i="96"/>
  <c r="R13" i="96"/>
  <c r="N16" i="96"/>
  <c r="R16" i="96"/>
  <c r="J43" i="95"/>
  <c r="G37" i="96"/>
  <c r="J31" i="95"/>
  <c r="J66" i="95" s="1"/>
  <c r="G25" i="96"/>
  <c r="V21" i="97"/>
  <c r="V31" i="97" s="1"/>
  <c r="J65" i="95"/>
  <c r="F49" i="96"/>
  <c r="E52" i="92"/>
  <c r="G52" i="92" s="1"/>
  <c r="G22" i="95"/>
  <c r="E28" i="92"/>
  <c r="G28" i="92" s="1"/>
  <c r="E40" i="92"/>
  <c r="G40" i="92" s="1"/>
  <c r="V26" i="97" l="1"/>
  <c r="AG4" i="97" s="1"/>
  <c r="J42" i="32"/>
  <c r="J9" i="95"/>
  <c r="J10" i="95"/>
  <c r="J69" i="95" s="1"/>
  <c r="F40" i="96"/>
  <c r="G52" i="96"/>
  <c r="U15" i="96"/>
  <c r="F41" i="96" s="1"/>
  <c r="G28" i="96"/>
  <c r="G40" i="96"/>
  <c r="F28" i="96"/>
  <c r="F42" i="92"/>
  <c r="F54" i="92"/>
  <c r="F30" i="92"/>
  <c r="G54" i="92"/>
  <c r="G12" i="95"/>
  <c r="G71" i="95" s="1"/>
  <c r="G42" i="92"/>
  <c r="G30" i="92"/>
  <c r="E30" i="96"/>
  <c r="J24" i="95"/>
  <c r="E54" i="96"/>
  <c r="E42" i="96"/>
  <c r="E39" i="96"/>
  <c r="E51" i="96"/>
  <c r="E27" i="96"/>
  <c r="J21" i="95"/>
  <c r="G58" i="95"/>
  <c r="F52" i="92"/>
  <c r="G34" i="95"/>
  <c r="G69" i="95" s="1"/>
  <c r="F28" i="92"/>
  <c r="G46" i="95"/>
  <c r="F40" i="92"/>
  <c r="J11" i="95" l="1"/>
  <c r="J70" i="95" s="1"/>
  <c r="F53" i="96"/>
  <c r="U16" i="96"/>
  <c r="F29" i="96"/>
  <c r="G41" i="96"/>
  <c r="G29" i="96"/>
  <c r="G53" i="96"/>
  <c r="J33" i="95"/>
  <c r="J68" i="95" s="1"/>
  <c r="G27" i="96"/>
  <c r="F27" i="96"/>
  <c r="J48" i="95"/>
  <c r="J57" i="95"/>
  <c r="G51" i="96"/>
  <c r="F51" i="96"/>
  <c r="J60" i="95"/>
  <c r="J45" i="95"/>
  <c r="G39" i="96"/>
  <c r="F39" i="96"/>
  <c r="J36" i="95"/>
  <c r="F54" i="96" l="1"/>
  <c r="F42" i="96"/>
  <c r="G30" i="96"/>
  <c r="F30" i="96"/>
  <c r="G54" i="96"/>
  <c r="G42" i="96"/>
  <c r="J12" i="95"/>
  <c r="J71" i="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ABBA0AEA-C645-461D-8E2B-EBD03D088C9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80199B2D-3758-4AD6-BE45-D5461EFC696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2FB24B5B-4692-4E8A-98E3-69A6F6C9AAB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B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B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B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C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C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C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D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D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D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E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E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E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F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F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F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0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0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0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1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1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1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2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2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2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3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3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3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3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95EACF68-8FCE-2649-9875-8A6366E8899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AB996A7A-03D0-2F4C-8655-B679C3D344F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ACB897B5-D8E8-8244-9BDA-388259AB78C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1486D084-830C-294A-8605-0357DFD07AF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B99D6C07-57A8-C54A-B250-55A22A60F70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B545E746-209E-EA41-8478-E318F360BED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CAFD163F-D992-F94B-820E-69B20B2993D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19CEDECF-AF05-DD4C-BC75-87C245AE8F0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EA564C93-3A5F-134A-827F-D982219BD90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B0025033-2935-124B-A05B-4358520D3F5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65814B3F-9815-CB40-B8D4-691C0F38C3C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B0A71C60-15D9-7143-9FBC-093DBDB98EB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931BE853-7099-3741-B4DC-23BECE06FEF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45272ECC-631A-3440-BE81-11FC3D0AC27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E6AA93F5-04A9-9F48-898F-EE982FBBAA2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77B0A6DE-4D2A-7644-A8D0-3A14F433BD2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EB79175A-104B-444A-A1A7-844534A9473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51704A3E-E6EF-824A-8D62-D83607F14C4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82FFC967-6D1B-DC4C-ADD1-EE04F1E92A7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BB8DB328-8EE6-4749-93B1-564932F5CC7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3F34B5BB-D652-784F-A919-21313E1BE67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sharedStrings.xml><?xml version="1.0" encoding="utf-8"?>
<sst xmlns="http://schemas.openxmlformats.org/spreadsheetml/2006/main" count="1970" uniqueCount="210">
  <si>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</si>
  <si>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</si>
  <si>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</si>
  <si>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</si>
  <si>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</si>
  <si>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</si>
  <si>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</si>
  <si>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</si>
  <si>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</si>
  <si>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</si>
  <si>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</si>
  <si>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</si>
  <si>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</si>
  <si>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</si>
  <si>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</si>
  <si>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</si>
  <si>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</si>
  <si>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</si>
  <si>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</si>
  <si>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</si>
  <si>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</si>
  <si>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</si>
  <si>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</si>
  <si>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</si>
  <si>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</si>
  <si>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</si>
  <si>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</si>
  <si>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</si>
  <si>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</si>
  <si>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</si>
  <si>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</si>
  <si>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</si>
  <si>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</si>
  <si>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</si>
  <si>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</si>
  <si>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</si>
  <si>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</si>
  <si>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</si>
  <si>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</si>
  <si>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</si>
  <si>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</si>
  <si>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</si>
  <si>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</si>
  <si>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</si>
  <si>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</si>
  <si>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Total ER</t>
  </si>
  <si>
    <t>Return</t>
  </si>
  <si>
    <t>EV</t>
  </si>
  <si>
    <t>Edge</t>
  </si>
  <si>
    <t>Rules</t>
  </si>
  <si>
    <t>Hit</t>
  </si>
  <si>
    <t>Options</t>
  </si>
  <si>
    <t>Rules!$B$4*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</si>
  <si>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</si>
  <si>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</si>
  <si>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</si>
  <si>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</si>
  <si>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</si>
  <si>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</si>
  <si>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</si>
  <si>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</si>
  <si>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</si>
  <si>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</si>
  <si>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</si>
  <si>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</si>
  <si>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</si>
  <si>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</si>
  <si>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</si>
  <si>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</si>
  <si>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</si>
  <si>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</si>
  <si>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</si>
  <si>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</si>
  <si>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</si>
  <si>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</si>
  <si>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</si>
  <si>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</si>
  <si>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</si>
  <si>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Hit After Split Ace</t>
  </si>
  <si>
    <t>Max :5</t>
  </si>
  <si>
    <t>Max :100</t>
  </si>
  <si>
    <t>Min :0</t>
  </si>
  <si>
    <t>Pay Instantly</t>
  </si>
  <si>
    <t>Normal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</si>
  <si>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</si>
  <si>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</si>
  <si>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</si>
  <si>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</si>
  <si>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</si>
  <si>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</si>
  <si>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</si>
  <si>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</si>
  <si>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</si>
  <si>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</si>
  <si>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</si>
  <si>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</si>
  <si>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</si>
  <si>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</si>
  <si>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</si>
  <si>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</si>
  <si>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</si>
  <si>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</si>
  <si>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</si>
  <si>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</si>
  <si>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</si>
  <si>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</si>
  <si>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</si>
  <si>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</si>
  <si>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</si>
  <si>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</si>
  <si>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</si>
  <si>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</si>
  <si>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</si>
  <si>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</si>
  <si>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</si>
  <si>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</si>
  <si>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</si>
  <si>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</si>
  <si>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</si>
  <si>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Blackjack Rules Expected Value</t>
  </si>
  <si>
    <t>Dealer on Soft 17</t>
  </si>
  <si>
    <t>No of 10 in Deck</t>
  </si>
  <si>
    <t>Wining</t>
  </si>
  <si>
    <t>Losing</t>
  </si>
  <si>
    <t>Win:</t>
  </si>
  <si>
    <t>Lose:</t>
  </si>
  <si>
    <t>EV:</t>
  </si>
  <si>
    <t>Strategy 1</t>
  </si>
  <si>
    <t>Strategy 2</t>
  </si>
  <si>
    <t>ER</t>
  </si>
  <si>
    <t>Blackjack Final EV</t>
  </si>
  <si>
    <t>Blackjack Hand Probabilities</t>
  </si>
  <si>
    <t>Level</t>
  </si>
  <si>
    <t>Check</t>
  </si>
  <si>
    <t>EL</t>
  </si>
  <si>
    <t>Total Requirement</t>
  </si>
  <si>
    <t>Level Requirement</t>
  </si>
  <si>
    <t>Level Bet</t>
  </si>
  <si>
    <t>Strategy 3</t>
  </si>
  <si>
    <t>1x2</t>
  </si>
  <si>
    <t>1x3</t>
  </si>
  <si>
    <t>1x4</t>
  </si>
  <si>
    <t>1x5</t>
  </si>
  <si>
    <t>1x6</t>
  </si>
  <si>
    <t>1x7</t>
  </si>
  <si>
    <t>1x8</t>
  </si>
  <si>
    <t>1x9</t>
  </si>
  <si>
    <t>1x10</t>
  </si>
  <si>
    <t>BYE</t>
  </si>
  <si>
    <t>ROI/BYE</t>
  </si>
  <si>
    <t>Expected Return on Each Situations</t>
  </si>
  <si>
    <t>Bet Your Edge Bankroll</t>
  </si>
  <si>
    <t>Bet Your Edge +1 Bankroll</t>
  </si>
  <si>
    <t>Risk</t>
  </si>
  <si>
    <t>Bet Your Edge x2 Bankroll</t>
  </si>
  <si>
    <t>Bet Your Edge ROI</t>
  </si>
  <si>
    <t>2x3</t>
  </si>
  <si>
    <t>2x4</t>
  </si>
  <si>
    <t>2x5</t>
  </si>
  <si>
    <t>2x6</t>
  </si>
  <si>
    <t>2x7</t>
  </si>
  <si>
    <t>2x8</t>
  </si>
  <si>
    <t>2x9</t>
  </si>
  <si>
    <t>2x10</t>
  </si>
  <si>
    <t>Bet Your Edge + 1 Bankroll</t>
  </si>
  <si>
    <t>Bet Your Edge x 2 Bankroll</t>
  </si>
  <si>
    <t>Bet your Edge Bankroll</t>
  </si>
  <si>
    <t>3x4</t>
  </si>
  <si>
    <t>3x5</t>
  </si>
  <si>
    <t>3x6</t>
  </si>
  <si>
    <t>3x7</t>
  </si>
  <si>
    <t>3x8</t>
  </si>
  <si>
    <t>3x9</t>
  </si>
  <si>
    <t>3x10</t>
  </si>
  <si>
    <t>Bet your Edge ROI</t>
  </si>
  <si>
    <t>Strategy Evs</t>
  </si>
  <si>
    <t>Strategy Edges</t>
  </si>
  <si>
    <t>Rsik</t>
  </si>
  <si>
    <t>Method 2</t>
  </si>
  <si>
    <t>Total EL</t>
  </si>
  <si>
    <t>Average</t>
  </si>
  <si>
    <t>Sum</t>
  </si>
  <si>
    <t>Method 1 (Wrong)</t>
  </si>
  <si>
    <t>Suggested</t>
  </si>
  <si>
    <t>Soft 17</t>
  </si>
  <si>
    <t>Surrender Allow</t>
  </si>
  <si>
    <t>Split Up to</t>
  </si>
  <si>
    <t>Strategy #1</t>
  </si>
  <si>
    <t>General Win</t>
  </si>
  <si>
    <t>General Lose</t>
  </si>
  <si>
    <t>General EV</t>
  </si>
  <si>
    <t>Casino Name</t>
  </si>
  <si>
    <t>Version Date</t>
  </si>
  <si>
    <t>Best Methods</t>
  </si>
  <si>
    <t>Bankroll</t>
  </si>
  <si>
    <t>Calculation Method</t>
  </si>
  <si>
    <t>Separate Case</t>
  </si>
  <si>
    <t>Recursive Case</t>
  </si>
  <si>
    <t>Expected Return</t>
  </si>
  <si>
    <t>Expected lose</t>
  </si>
  <si>
    <t>Loss</t>
  </si>
  <si>
    <t>Blackjack Hand Expected Return/Loss</t>
  </si>
  <si>
    <t>20191206</t>
  </si>
  <si>
    <t>Strategy Bet Your Edge ROI</t>
  </si>
  <si>
    <t>Strategy Return</t>
  </si>
  <si>
    <t>Strategy Bet your Edge Bankroll</t>
  </si>
  <si>
    <t>PAIR SUMMARY</t>
  </si>
  <si>
    <t>SPLIT SUMMARY</t>
  </si>
  <si>
    <t>2, 3, 4, 5 = Hands to Split</t>
  </si>
  <si>
    <t>1x5x2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</si>
</sst>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%"/>
    <numFmt numFmtId="165" formatCode="0.0000%"/>
    <numFmt numFmtId="166" formatCode="_(* #,##0.0000_);_(* \(#,##0.0000\);_(* &quot;-&quot;??_);_(@_)"/>
    <numFmt numFmtId="167" formatCode="_(* #,##0.0000_);_(* \(#,##0.0000\);_(* &quot;-&quot;????_);_(@_)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7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8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394">
    <xf numFmtId="0" fontId="0" fillId="0" borderId="0" xfId="0"/>
    <xf numFmtId="0" fontId="0" fillId="0" borderId="1" xfId="0" applyBorder="1"/>
    <xf numFmtId="0" fontId="0" fillId="0" borderId="3" xfId="0" applyBorder="1"/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10" fillId="3" borderId="5" xfId="0" applyFont="1" applyFill="1" applyBorder="1" applyAlignment="1">
      <alignment horizontal="center"/>
    </xf>
    <xf numFmtId="164" fontId="8" fillId="3" borderId="3" xfId="1" applyNumberFormat="1" applyFont="1" applyFill="1" applyBorder="1"/>
    <xf numFmtId="164" fontId="8" fillId="3" borderId="1" xfId="1" applyNumberFormat="1" applyFont="1" applyFill="1" applyBorder="1"/>
    <xf numFmtId="164" fontId="8" fillId="3" borderId="16" xfId="1" applyNumberFormat="1" applyFont="1" applyFill="1" applyBorder="1"/>
    <xf numFmtId="0" fontId="10" fillId="2" borderId="7" xfId="0" applyFont="1" applyFill="1" applyBorder="1" applyAlignment="1">
      <alignment horizontal="center"/>
    </xf>
    <xf numFmtId="164" fontId="8" fillId="2" borderId="8" xfId="1" applyNumberFormat="1" applyFont="1" applyFill="1" applyBorder="1"/>
    <xf numFmtId="164" fontId="8" fillId="2" borderId="9" xfId="1" applyNumberFormat="1" applyFont="1" applyFill="1" applyBorder="1"/>
    <xf numFmtId="164" fontId="8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11" fillId="4" borderId="1" xfId="18" applyFont="1" applyFill="1" applyBorder="1" applyAlignment="1">
      <alignment horizontal="center" vertical="center"/>
    </xf>
    <xf numFmtId="0" fontId="4" fillId="0" borderId="0" xfId="18"/>
    <xf numFmtId="0" fontId="4" fillId="0" borderId="1" xfId="18" applyBorder="1" applyAlignment="1">
      <alignment horizontal="center" vertical="center"/>
    </xf>
    <xf numFmtId="0" fontId="13" fillId="4" borderId="1" xfId="18" applyFont="1" applyFill="1" applyBorder="1" applyAlignment="1">
      <alignment horizontal="center" vertical="center"/>
    </xf>
    <xf numFmtId="0" fontId="4" fillId="0" borderId="0" xfId="18" applyAlignment="1">
      <alignment horizontal="center" vertical="center"/>
    </xf>
    <xf numFmtId="0" fontId="11" fillId="4" borderId="24" xfId="18" applyFont="1" applyFill="1" applyBorder="1"/>
    <xf numFmtId="0" fontId="11" fillId="4" borderId="25" xfId="18" applyFont="1" applyFill="1" applyBorder="1"/>
    <xf numFmtId="0" fontId="4" fillId="0" borderId="9" xfId="18" applyBorder="1"/>
    <xf numFmtId="0" fontId="12" fillId="0" borderId="0" xfId="18" applyFont="1"/>
    <xf numFmtId="165" fontId="0" fillId="0" borderId="0" xfId="19" applyNumberFormat="1" applyFont="1"/>
    <xf numFmtId="0" fontId="11" fillId="4" borderId="26" xfId="18" applyFont="1" applyFill="1" applyBorder="1" applyAlignment="1">
      <alignment horizontal="center" vertical="center"/>
    </xf>
    <xf numFmtId="0" fontId="11" fillId="4" borderId="27" xfId="18" applyFont="1" applyFill="1" applyBorder="1" applyAlignment="1">
      <alignment horizontal="center" vertical="center"/>
    </xf>
    <xf numFmtId="0" fontId="11" fillId="4" borderId="28" xfId="18" applyFont="1" applyFill="1" applyBorder="1" applyAlignment="1">
      <alignment horizontal="center" vertical="center"/>
    </xf>
    <xf numFmtId="0" fontId="11" fillId="4" borderId="19" xfId="18" applyFont="1" applyFill="1" applyBorder="1" applyAlignment="1">
      <alignment horizontal="center" vertical="center"/>
    </xf>
    <xf numFmtId="0" fontId="4" fillId="0" borderId="14" xfId="18" applyBorder="1" applyAlignment="1">
      <alignment horizontal="center" vertical="center"/>
    </xf>
    <xf numFmtId="0" fontId="13" fillId="4" borderId="14" xfId="18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23" xfId="18" applyFont="1" applyBorder="1"/>
    <xf numFmtId="0" fontId="15" fillId="7" borderId="17" xfId="18" applyFont="1" applyFill="1" applyBorder="1"/>
    <xf numFmtId="0" fontId="9" fillId="0" borderId="1" xfId="0" applyFont="1" applyBorder="1"/>
    <xf numFmtId="164" fontId="8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8" fillId="2" borderId="27" xfId="1" applyNumberFormat="1" applyFont="1" applyFill="1" applyBorder="1"/>
    <xf numFmtId="164" fontId="8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64" fontId="10" fillId="3" borderId="27" xfId="1" applyNumberFormat="1" applyFont="1" applyFill="1" applyBorder="1" applyAlignment="1">
      <alignment horizontal="center"/>
    </xf>
    <xf numFmtId="164" fontId="10" fillId="2" borderId="27" xfId="1" applyNumberFormat="1" applyFont="1" applyFill="1" applyBorder="1" applyAlignment="1">
      <alignment horizontal="center"/>
    </xf>
    <xf numFmtId="164" fontId="8" fillId="2" borderId="16" xfId="1" applyNumberFormat="1" applyFont="1" applyFill="1" applyBorder="1"/>
    <xf numFmtId="164" fontId="8" fillId="3" borderId="5" xfId="1" applyNumberFormat="1" applyFont="1" applyFill="1" applyBorder="1"/>
    <xf numFmtId="10" fontId="0" fillId="0" borderId="0" xfId="0" applyNumberFormat="1"/>
    <xf numFmtId="0" fontId="11" fillId="4" borderId="35" xfId="18" applyFont="1" applyFill="1" applyBorder="1" applyAlignment="1">
      <alignment horizontal="center" vertical="center"/>
    </xf>
    <xf numFmtId="0" fontId="4" fillId="0" borderId="22" xfId="18" applyBorder="1" applyAlignment="1">
      <alignment horizontal="center" vertical="center"/>
    </xf>
    <xf numFmtId="0" fontId="4" fillId="0" borderId="5" xfId="18" applyBorder="1" applyAlignment="1">
      <alignment horizontal="center" vertical="center"/>
    </xf>
    <xf numFmtId="0" fontId="4" fillId="0" borderId="6" xfId="18" applyBorder="1" applyAlignment="1">
      <alignment horizontal="center" vertical="center"/>
    </xf>
    <xf numFmtId="0" fontId="4" fillId="0" borderId="28" xfId="18" applyBorder="1"/>
    <xf numFmtId="0" fontId="4" fillId="0" borderId="23" xfId="18" applyBorder="1"/>
    <xf numFmtId="0" fontId="4" fillId="0" borderId="1" xfId="18" applyBorder="1"/>
    <xf numFmtId="0" fontId="11" fillId="4" borderId="47" xfId="18" applyFont="1" applyFill="1" applyBorder="1" applyAlignment="1">
      <alignment horizontal="center" vertical="center"/>
    </xf>
    <xf numFmtId="10" fontId="4" fillId="0" borderId="48" xfId="1" applyNumberFormat="1" applyFont="1" applyBorder="1" applyAlignment="1">
      <alignment horizontal="center" vertical="center"/>
    </xf>
    <xf numFmtId="10" fontId="4" fillId="0" borderId="0" xfId="18" applyNumberFormat="1"/>
    <xf numFmtId="0" fontId="4" fillId="0" borderId="34" xfId="18" applyBorder="1"/>
    <xf numFmtId="0" fontId="11" fillId="4" borderId="49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3" fillId="4" borderId="22" xfId="18" applyFont="1" applyFill="1" applyBorder="1" applyAlignment="1">
      <alignment horizontal="center" vertical="center"/>
    </xf>
    <xf numFmtId="0" fontId="13" fillId="4" borderId="23" xfId="18" applyFont="1" applyFill="1" applyBorder="1" applyAlignment="1">
      <alignment horizontal="center" vertical="center"/>
    </xf>
    <xf numFmtId="0" fontId="4" fillId="0" borderId="26" xfId="18" applyBorder="1" applyAlignment="1">
      <alignment horizontal="center" vertical="center"/>
    </xf>
    <xf numFmtId="0" fontId="4" fillId="0" borderId="27" xfId="18" applyBorder="1" applyAlignment="1">
      <alignment horizontal="center" vertical="center"/>
    </xf>
    <xf numFmtId="0" fontId="4" fillId="0" borderId="28" xfId="18" applyBorder="1" applyAlignment="1">
      <alignment horizontal="center" vertical="center"/>
    </xf>
    <xf numFmtId="10" fontId="4" fillId="0" borderId="29" xfId="1" applyNumberFormat="1" applyFont="1" applyBorder="1" applyAlignment="1">
      <alignment horizontal="center" vertical="center"/>
    </xf>
    <xf numFmtId="10" fontId="4" fillId="0" borderId="16" xfId="1" applyNumberFormat="1" applyFont="1" applyBorder="1" applyAlignment="1">
      <alignment horizontal="center" vertical="center"/>
    </xf>
    <xf numFmtId="10" fontId="4" fillId="0" borderId="17" xfId="1" applyNumberFormat="1" applyFont="1" applyBorder="1" applyAlignment="1">
      <alignment horizontal="center" vertical="center"/>
    </xf>
    <xf numFmtId="0" fontId="11" fillId="4" borderId="33" xfId="18" applyFont="1" applyFill="1" applyBorder="1" applyAlignment="1">
      <alignment horizontal="center" vertical="center"/>
    </xf>
    <xf numFmtId="10" fontId="4" fillId="0" borderId="47" xfId="1" applyNumberFormat="1" applyFont="1" applyBorder="1" applyAlignment="1">
      <alignment horizontal="center" vertical="center"/>
    </xf>
    <xf numFmtId="10" fontId="4" fillId="0" borderId="50" xfId="1" applyNumberFormat="1" applyFont="1" applyBorder="1" applyAlignment="1">
      <alignment horizontal="center" vertical="center"/>
    </xf>
    <xf numFmtId="0" fontId="4" fillId="0" borderId="4" xfId="18" applyBorder="1" applyAlignment="1">
      <alignment horizontal="center" vertical="center"/>
    </xf>
    <xf numFmtId="10" fontId="15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2" xfId="0" applyBorder="1"/>
    <xf numFmtId="0" fontId="0" fillId="0" borderId="10" xfId="0" applyBorder="1"/>
    <xf numFmtId="0" fontId="0" fillId="0" borderId="11" xfId="0" applyBorder="1"/>
    <xf numFmtId="0" fontId="0" fillId="0" borderId="30" xfId="0" applyBorder="1"/>
    <xf numFmtId="0" fontId="0" fillId="0" borderId="53" xfId="0" applyBorder="1"/>
    <xf numFmtId="0" fontId="0" fillId="0" borderId="51" xfId="0" applyBorder="1"/>
    <xf numFmtId="0" fontId="0" fillId="0" borderId="50" xfId="0" applyBorder="1"/>
    <xf numFmtId="0" fontId="0" fillId="0" borderId="36" xfId="0" applyBorder="1"/>
    <xf numFmtId="0" fontId="0" fillId="0" borderId="2" xfId="0" applyBorder="1"/>
    <xf numFmtId="0" fontId="0" fillId="0" borderId="40" xfId="0" applyBorder="1"/>
    <xf numFmtId="0" fontId="0" fillId="0" borderId="42" xfId="0" applyBorder="1"/>
    <xf numFmtId="0" fontId="0" fillId="0" borderId="44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11" fillId="4" borderId="26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0" fillId="0" borderId="37" xfId="0" applyBorder="1"/>
    <xf numFmtId="0" fontId="12" fillId="0" borderId="28" xfId="18" applyFont="1" applyBorder="1"/>
    <xf numFmtId="0" fontId="12" fillId="0" borderId="17" xfId="18" applyFont="1" applyBorder="1"/>
    <xf numFmtId="0" fontId="0" fillId="0" borderId="38" xfId="0" applyBorder="1"/>
    <xf numFmtId="0" fontId="0" fillId="0" borderId="39" xfId="0" applyBorder="1"/>
    <xf numFmtId="0" fontId="0" fillId="0" borderId="48" xfId="0" applyBorder="1"/>
    <xf numFmtId="0" fontId="0" fillId="8" borderId="1" xfId="0" applyFill="1" applyBorder="1"/>
    <xf numFmtId="0" fontId="0" fillId="0" borderId="58" xfId="0" applyBorder="1"/>
    <xf numFmtId="0" fontId="0" fillId="7" borderId="32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10" fontId="4" fillId="0" borderId="0" xfId="1" applyNumberFormat="1" applyFont="1"/>
    <xf numFmtId="0" fontId="9" fillId="0" borderId="56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61" xfId="0" applyFont="1" applyBorder="1" applyAlignment="1">
      <alignment horizontal="center"/>
    </xf>
    <xf numFmtId="0" fontId="0" fillId="0" borderId="62" xfId="0" applyBorder="1"/>
    <xf numFmtId="0" fontId="0" fillId="0" borderId="9" xfId="0" applyBorder="1"/>
    <xf numFmtId="0" fontId="0" fillId="0" borderId="12" xfId="0" applyBorder="1"/>
    <xf numFmtId="0" fontId="0" fillId="0" borderId="57" xfId="0" applyBorder="1"/>
    <xf numFmtId="0" fontId="11" fillId="4" borderId="59" xfId="18" applyFont="1" applyFill="1" applyBorder="1" applyAlignment="1">
      <alignment horizontal="left" vertical="center"/>
    </xf>
    <xf numFmtId="0" fontId="11" fillId="4" borderId="60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63" xfId="0" applyBorder="1"/>
    <xf numFmtId="0" fontId="0" fillId="0" borderId="64" xfId="0" applyBorder="1"/>
    <xf numFmtId="0" fontId="0" fillId="0" borderId="15" xfId="0" applyBorder="1"/>
    <xf numFmtId="0" fontId="0" fillId="0" borderId="55" xfId="0" applyBorder="1"/>
    <xf numFmtId="0" fontId="0" fillId="7" borderId="0" xfId="0" applyFill="1" applyAlignment="1" applyProtection="1">
      <alignment horizontal="left"/>
      <protection locked="0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11" fillId="4" borderId="30" xfId="18" applyFont="1" applyFill="1" applyBorder="1" applyAlignment="1">
      <alignment horizontal="left" vertical="center"/>
    </xf>
    <xf numFmtId="0" fontId="11" fillId="4" borderId="9" xfId="18" applyFont="1" applyFill="1" applyBorder="1" applyAlignment="1">
      <alignment horizontal="left" vertical="center"/>
    </xf>
    <xf numFmtId="0" fontId="12" fillId="0" borderId="14" xfId="18" applyFont="1" applyBorder="1"/>
    <xf numFmtId="0" fontId="4" fillId="0" borderId="23" xfId="18" applyBorder="1" applyAlignment="1">
      <alignment horizontal="center" vertical="center"/>
    </xf>
    <xf numFmtId="0" fontId="11" fillId="4" borderId="4" xfId="18" applyFont="1" applyFill="1" applyBorder="1" applyAlignment="1">
      <alignment horizontal="center" vertical="center"/>
    </xf>
    <xf numFmtId="0" fontId="11" fillId="4" borderId="3" xfId="18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0" xfId="0" applyFill="1"/>
    <xf numFmtId="0" fontId="0" fillId="0" borderId="54" xfId="0" applyBorder="1"/>
    <xf numFmtId="0" fontId="0" fillId="0" borderId="52" xfId="0" applyBorder="1"/>
    <xf numFmtId="0" fontId="0" fillId="0" borderId="66" xfId="0" applyBorder="1"/>
    <xf numFmtId="0" fontId="0" fillId="0" borderId="67" xfId="0" applyBorder="1"/>
    <xf numFmtId="0" fontId="10" fillId="5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7" borderId="0" xfId="0" applyFill="1" applyProtection="1">
      <protection locked="0"/>
    </xf>
    <xf numFmtId="0" fontId="10" fillId="5" borderId="22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166" fontId="0" fillId="0" borderId="0" xfId="20" applyNumberFormat="1" applyFont="1"/>
    <xf numFmtId="166" fontId="0" fillId="0" borderId="54" xfId="20" applyNumberFormat="1" applyFont="1" applyBorder="1" applyAlignment="1">
      <alignment horizontal="center"/>
    </xf>
    <xf numFmtId="166" fontId="0" fillId="0" borderId="40" xfId="20" applyNumberFormat="1" applyFont="1" applyBorder="1" applyAlignment="1">
      <alignment horizontal="center"/>
    </xf>
    <xf numFmtId="166" fontId="0" fillId="0" borderId="38" xfId="20" applyNumberFormat="1" applyFont="1" applyBorder="1" applyAlignment="1">
      <alignment horizontal="center"/>
    </xf>
    <xf numFmtId="166" fontId="0" fillId="0" borderId="26" xfId="20" applyNumberFormat="1" applyFont="1" applyBorder="1"/>
    <xf numFmtId="166" fontId="0" fillId="0" borderId="19" xfId="20" applyNumberFormat="1" applyFont="1" applyBorder="1"/>
    <xf numFmtId="166" fontId="0" fillId="0" borderId="29" xfId="20" applyNumberFormat="1" applyFont="1" applyBorder="1"/>
    <xf numFmtId="166" fontId="0" fillId="0" borderId="51" xfId="20" applyNumberFormat="1" applyFont="1" applyBorder="1"/>
    <xf numFmtId="166" fontId="0" fillId="0" borderId="30" xfId="20" applyNumberFormat="1" applyFont="1" applyBorder="1"/>
    <xf numFmtId="166" fontId="0" fillId="0" borderId="53" xfId="20" applyNumberFormat="1" applyFont="1" applyBorder="1"/>
    <xf numFmtId="0" fontId="4" fillId="0" borderId="19" xfId="18" applyBorder="1"/>
    <xf numFmtId="0" fontId="4" fillId="0" borderId="29" xfId="18" applyBorder="1"/>
    <xf numFmtId="0" fontId="4" fillId="0" borderId="16" xfId="18" applyBorder="1"/>
    <xf numFmtId="0" fontId="4" fillId="0" borderId="3" xfId="18" applyBorder="1"/>
    <xf numFmtId="0" fontId="4" fillId="0" borderId="13" xfId="18" applyBorder="1"/>
    <xf numFmtId="0" fontId="4" fillId="0" borderId="20" xfId="18" applyBorder="1"/>
    <xf numFmtId="0" fontId="1" fillId="0" borderId="5" xfId="18" applyFont="1" applyBorder="1"/>
    <xf numFmtId="0" fontId="4" fillId="0" borderId="46" xfId="18" applyBorder="1"/>
    <xf numFmtId="0" fontId="4" fillId="0" borderId="68" xfId="18" applyBorder="1"/>
    <xf numFmtId="0" fontId="4" fillId="0" borderId="24" xfId="18" applyBorder="1"/>
    <xf numFmtId="0" fontId="4" fillId="0" borderId="65" xfId="18" applyBorder="1"/>
    <xf numFmtId="0" fontId="4" fillId="0" borderId="11" xfId="18" applyBorder="1"/>
    <xf numFmtId="0" fontId="4" fillId="0" borderId="32" xfId="18" applyBorder="1"/>
    <xf numFmtId="0" fontId="1" fillId="0" borderId="11" xfId="18" applyFont="1" applyBorder="1"/>
    <xf numFmtId="0" fontId="4" fillId="0" borderId="21" xfId="18" applyBorder="1"/>
    <xf numFmtId="0" fontId="4" fillId="0" borderId="10" xfId="18" applyBorder="1"/>
    <xf numFmtId="0" fontId="1" fillId="0" borderId="2" xfId="18" applyFont="1" applyBorder="1"/>
    <xf numFmtId="0" fontId="4" fillId="0" borderId="27" xfId="18" applyBorder="1"/>
    <xf numFmtId="0" fontId="4" fillId="0" borderId="17" xfId="18" applyBorder="1"/>
    <xf numFmtId="0" fontId="1" fillId="0" borderId="6" xfId="18" applyFont="1" applyBorder="1"/>
    <xf numFmtId="0" fontId="4" fillId="0" borderId="7" xfId="18" applyBorder="1"/>
    <xf numFmtId="0" fontId="4" fillId="0" borderId="8" xfId="18" applyBorder="1"/>
    <xf numFmtId="0" fontId="4" fillId="0" borderId="15" xfId="18" applyBorder="1"/>
    <xf numFmtId="0" fontId="4" fillId="0" borderId="2" xfId="18" applyBorder="1"/>
    <xf numFmtId="0" fontId="4" fillId="0" borderId="12" xfId="18" applyBorder="1"/>
    <xf numFmtId="0" fontId="4" fillId="0" borderId="60" xfId="18" applyBorder="1"/>
    <xf numFmtId="0" fontId="4" fillId="0" borderId="22" xfId="18" applyBorder="1"/>
    <xf numFmtId="0" fontId="4" fillId="0" borderId="64" xfId="18" applyBorder="1"/>
    <xf numFmtId="0" fontId="4" fillId="0" borderId="69" xfId="18" applyBorder="1"/>
    <xf numFmtId="10" fontId="4" fillId="0" borderId="34" xfId="1" applyNumberFormat="1" applyFont="1" applyBorder="1"/>
    <xf numFmtId="0" fontId="1" fillId="0" borderId="21" xfId="18" applyFont="1" applyBorder="1"/>
    <xf numFmtId="0" fontId="1" fillId="0" borderId="10" xfId="18" applyFont="1" applyBorder="1"/>
    <xf numFmtId="0" fontId="1" fillId="0" borderId="7" xfId="18" applyFont="1" applyBorder="1"/>
    <xf numFmtId="0" fontId="1" fillId="0" borderId="46" xfId="18" applyFont="1" applyBorder="1"/>
    <xf numFmtId="0" fontId="4" fillId="0" borderId="41" xfId="18" applyBorder="1"/>
    <xf numFmtId="0" fontId="15" fillId="0" borderId="38" xfId="18" applyFont="1" applyBorder="1"/>
    <xf numFmtId="0" fontId="15" fillId="0" borderId="39" xfId="18" applyFont="1" applyBorder="1"/>
    <xf numFmtId="0" fontId="15" fillId="0" borderId="40" xfId="18" applyFont="1" applyBorder="1"/>
    <xf numFmtId="0" fontId="21" fillId="0" borderId="26" xfId="18" applyFont="1" applyBorder="1"/>
    <xf numFmtId="10" fontId="21" fillId="0" borderId="27" xfId="1" applyNumberFormat="1" applyFont="1" applyBorder="1"/>
    <xf numFmtId="2" fontId="21" fillId="0" borderId="27" xfId="18" applyNumberFormat="1" applyFont="1" applyBorder="1"/>
    <xf numFmtId="0" fontId="21" fillId="0" borderId="28" xfId="18" applyFont="1" applyBorder="1"/>
    <xf numFmtId="0" fontId="21" fillId="0" borderId="35" xfId="18" applyFont="1" applyBorder="1"/>
    <xf numFmtId="10" fontId="21" fillId="0" borderId="22" xfId="1" applyNumberFormat="1" applyFont="1" applyBorder="1"/>
    <xf numFmtId="2" fontId="21" fillId="0" borderId="22" xfId="18" applyNumberFormat="1" applyFont="1" applyBorder="1"/>
    <xf numFmtId="0" fontId="21" fillId="0" borderId="23" xfId="18" applyFont="1" applyBorder="1"/>
    <xf numFmtId="0" fontId="21" fillId="0" borderId="4" xfId="18" applyFont="1" applyBorder="1"/>
    <xf numFmtId="10" fontId="21" fillId="0" borderId="5" xfId="1" applyNumberFormat="1" applyFont="1" applyBorder="1"/>
    <xf numFmtId="2" fontId="21" fillId="0" borderId="5" xfId="18" applyNumberFormat="1" applyFont="1" applyBorder="1"/>
    <xf numFmtId="0" fontId="21" fillId="0" borderId="6" xfId="18" applyFont="1" applyBorder="1"/>
    <xf numFmtId="0" fontId="21" fillId="0" borderId="42" xfId="18" applyFont="1" applyBorder="1"/>
    <xf numFmtId="10" fontId="21" fillId="0" borderId="44" xfId="1" applyNumberFormat="1" applyFont="1" applyBorder="1"/>
    <xf numFmtId="0" fontId="21" fillId="0" borderId="44" xfId="18" applyFont="1" applyBorder="1"/>
    <xf numFmtId="0" fontId="21" fillId="0" borderId="45" xfId="18" applyFont="1" applyBorder="1"/>
    <xf numFmtId="0" fontId="17" fillId="0" borderId="0" xfId="0" applyFont="1" applyAlignment="1">
      <alignment horizontal="center"/>
    </xf>
    <xf numFmtId="0" fontId="17" fillId="0" borderId="58" xfId="0" applyFont="1" applyBorder="1" applyAlignment="1" applyProtection="1">
      <alignment horizontal="center"/>
      <protection locked="0"/>
    </xf>
    <xf numFmtId="0" fontId="10" fillId="5" borderId="24" xfId="0" applyFont="1" applyFill="1" applyBorder="1"/>
    <xf numFmtId="0" fontId="10" fillId="5" borderId="25" xfId="0" applyFont="1" applyFill="1" applyBorder="1"/>
    <xf numFmtId="0" fontId="10" fillId="5" borderId="9" xfId="0" applyFont="1" applyFill="1" applyBorder="1"/>
    <xf numFmtId="0" fontId="17" fillId="0" borderId="71" xfId="0" applyFont="1" applyBorder="1" applyAlignment="1">
      <alignment horizontal="center"/>
    </xf>
    <xf numFmtId="0" fontId="0" fillId="0" borderId="46" xfId="0" applyBorder="1"/>
    <xf numFmtId="0" fontId="0" fillId="0" borderId="68" xfId="0" applyBorder="1"/>
    <xf numFmtId="0" fontId="0" fillId="0" borderId="24" xfId="0" applyBorder="1"/>
    <xf numFmtId="0" fontId="0" fillId="0" borderId="31" xfId="0" applyBorder="1"/>
    <xf numFmtId="0" fontId="0" fillId="0" borderId="65" xfId="0" applyBorder="1"/>
    <xf numFmtId="166" fontId="0" fillId="0" borderId="32" xfId="20" applyNumberFormat="1" applyFont="1" applyBorder="1"/>
    <xf numFmtId="166" fontId="0" fillId="0" borderId="11" xfId="20" applyNumberFormat="1" applyFont="1" applyBorder="1"/>
    <xf numFmtId="166" fontId="0" fillId="0" borderId="12" xfId="20" applyNumberFormat="1" applyFont="1" applyBorder="1"/>
    <xf numFmtId="166" fontId="0" fillId="0" borderId="55" xfId="20" applyNumberFormat="1" applyFont="1" applyBorder="1" applyAlignment="1">
      <alignment horizontal="center"/>
    </xf>
    <xf numFmtId="0" fontId="12" fillId="9" borderId="23" xfId="18" applyFont="1" applyFill="1" applyBorder="1"/>
    <xf numFmtId="10" fontId="12" fillId="9" borderId="6" xfId="1" applyNumberFormat="1" applyFont="1" applyFill="1" applyBorder="1"/>
    <xf numFmtId="0" fontId="12" fillId="9" borderId="22" xfId="18" applyFont="1" applyFill="1" applyBorder="1"/>
    <xf numFmtId="10" fontId="12" fillId="9" borderId="5" xfId="1" applyNumberFormat="1" applyFont="1" applyFill="1" applyBorder="1"/>
    <xf numFmtId="0" fontId="12" fillId="10" borderId="5" xfId="18" applyFont="1" applyFill="1" applyBorder="1"/>
    <xf numFmtId="0" fontId="12" fillId="10" borderId="0" xfId="18" applyFont="1" applyFill="1" applyBorder="1"/>
    <xf numFmtId="0" fontId="12" fillId="10" borderId="3" xfId="18" applyFont="1" applyFill="1" applyBorder="1"/>
    <xf numFmtId="0" fontId="1" fillId="0" borderId="72" xfId="18" applyFont="1" applyBorder="1"/>
    <xf numFmtId="0" fontId="12" fillId="10" borderId="4" xfId="18" applyFont="1" applyFill="1" applyBorder="1"/>
    <xf numFmtId="0" fontId="4" fillId="0" borderId="5" xfId="18" applyBorder="1"/>
    <xf numFmtId="0" fontId="0" fillId="0" borderId="28" xfId="0" applyNumberFormat="1" applyBorder="1"/>
    <xf numFmtId="0" fontId="0" fillId="0" borderId="14" xfId="0" applyNumberFormat="1" applyBorder="1"/>
    <xf numFmtId="0" fontId="0" fillId="0" borderId="17" xfId="0" applyNumberFormat="1" applyBorder="1"/>
    <xf numFmtId="0" fontId="0" fillId="0" borderId="1" xfId="0" applyNumberFormat="1" applyBorder="1"/>
    <xf numFmtId="0" fontId="0" fillId="0" borderId="32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3" xfId="0" applyBorder="1"/>
    <xf numFmtId="0" fontId="0" fillId="0" borderId="32" xfId="20" applyNumberFormat="1" applyFont="1" applyBorder="1"/>
    <xf numFmtId="0" fontId="0" fillId="0" borderId="11" xfId="20" applyNumberFormat="1" applyFont="1" applyBorder="1"/>
    <xf numFmtId="0" fontId="0" fillId="0" borderId="26" xfId="20" applyNumberFormat="1" applyFont="1" applyBorder="1"/>
    <xf numFmtId="0" fontId="0" fillId="0" borderId="26" xfId="0" applyNumberFormat="1" applyBorder="1"/>
    <xf numFmtId="0" fontId="0" fillId="0" borderId="19" xfId="20" applyNumberFormat="1" applyFont="1" applyBorder="1"/>
    <xf numFmtId="0" fontId="0" fillId="0" borderId="19" xfId="0" applyNumberFormat="1" applyBorder="1"/>
    <xf numFmtId="0" fontId="0" fillId="0" borderId="29" xfId="20" applyNumberFormat="1" applyFont="1" applyBorder="1"/>
    <xf numFmtId="0" fontId="0" fillId="0" borderId="29" xfId="0" applyNumberFormat="1" applyBorder="1"/>
    <xf numFmtId="0" fontId="0" fillId="0" borderId="12" xfId="20" applyNumberFormat="1" applyFont="1" applyBorder="1"/>
    <xf numFmtId="0" fontId="0" fillId="0" borderId="0" xfId="0" applyAlignment="1">
      <alignment horizontal="center"/>
    </xf>
    <xf numFmtId="0" fontId="11" fillId="4" borderId="51" xfId="18" applyFont="1" applyFill="1" applyBorder="1" applyAlignment="1">
      <alignment horizontal="left" vertical="center"/>
    </xf>
    <xf numFmtId="0" fontId="11" fillId="4" borderId="71" xfId="18" applyFont="1" applyFill="1" applyBorder="1" applyAlignment="1">
      <alignment horizontal="left" vertical="center"/>
    </xf>
    <xf numFmtId="16" fontId="0" fillId="8" borderId="1" xfId="0" applyNumberFormat="1" applyFill="1" applyBorder="1"/>
    <xf numFmtId="49" fontId="0" fillId="7" borderId="12" xfId="0" applyNumberFormat="1" applyFill="1" applyBorder="1" applyAlignment="1" applyProtection="1">
      <alignment horizontal="left"/>
      <protection locked="0"/>
    </xf>
    <xf numFmtId="49" fontId="0" fillId="7" borderId="55" xfId="0" applyNumberFormat="1" applyFill="1" applyBorder="1" applyAlignment="1" applyProtection="1">
      <alignment horizontal="center"/>
      <protection locked="0"/>
    </xf>
    <xf numFmtId="0" fontId="0" fillId="0" borderId="74" xfId="0" applyBorder="1"/>
    <xf numFmtId="10" fontId="0" fillId="0" borderId="1" xfId="1" applyNumberFormat="1" applyFont="1" applyBorder="1"/>
    <xf numFmtId="10" fontId="0" fillId="0" borderId="22" xfId="1" applyNumberFormat="1" applyFont="1" applyBorder="1"/>
    <xf numFmtId="10" fontId="0" fillId="0" borderId="1" xfId="0" applyNumberFormat="1" applyBorder="1"/>
    <xf numFmtId="167" fontId="0" fillId="0" borderId="26" xfId="0" applyNumberFormat="1" applyBorder="1"/>
    <xf numFmtId="0" fontId="1" fillId="0" borderId="32" xfId="18" applyFont="1" applyBorder="1"/>
    <xf numFmtId="0" fontId="1" fillId="0" borderId="12" xfId="18" applyFont="1" applyBorder="1"/>
    <xf numFmtId="0" fontId="4" fillId="0" borderId="71" xfId="18" applyBorder="1"/>
    <xf numFmtId="0" fontId="4" fillId="0" borderId="25" xfId="18" applyBorder="1"/>
    <xf numFmtId="0" fontId="4" fillId="0" borderId="76" xfId="18" applyBorder="1"/>
    <xf numFmtId="0" fontId="4" fillId="0" borderId="77" xfId="18" applyBorder="1"/>
    <xf numFmtId="0" fontId="4" fillId="0" borderId="66" xfId="18" applyBorder="1"/>
    <xf numFmtId="0" fontId="4" fillId="0" borderId="67" xfId="18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3" fillId="2" borderId="1" xfId="0" applyFont="1" applyFill="1" applyBorder="1" applyAlignment="1" applyProtection="1">
      <alignment horizontal="center"/>
      <protection locked="0"/>
    </xf>
    <xf numFmtId="0" fontId="22" fillId="2" borderId="1" xfId="0" applyFont="1" applyFill="1" applyBorder="1" applyAlignment="1" applyProtection="1">
      <alignment horizontal="center"/>
      <protection locked="0"/>
    </xf>
    <xf numFmtId="0" fontId="9" fillId="0" borderId="2" xfId="0" applyFont="1" applyBorder="1"/>
    <xf numFmtId="0" fontId="9" fillId="0" borderId="7" xfId="0" applyFont="1" applyBorder="1"/>
    <xf numFmtId="0" fontId="9" fillId="0" borderId="5" xfId="0" applyFont="1" applyBorder="1"/>
    <xf numFmtId="0" fontId="9" fillId="0" borderId="6" xfId="0" applyFont="1" applyBorder="1"/>
    <xf numFmtId="0" fontId="0" fillId="0" borderId="77" xfId="0" applyBorder="1"/>
    <xf numFmtId="0" fontId="0" fillId="0" borderId="72" xfId="0" applyBorder="1"/>
    <xf numFmtId="0" fontId="8" fillId="5" borderId="2" xfId="0" applyFont="1" applyFill="1" applyBorder="1"/>
    <xf numFmtId="0" fontId="8" fillId="5" borderId="7" xfId="0" applyFont="1" applyFill="1" applyBorder="1"/>
    <xf numFmtId="0" fontId="8" fillId="5" borderId="5" xfId="0" applyFont="1" applyFill="1" applyBorder="1"/>
    <xf numFmtId="0" fontId="8" fillId="5" borderId="6" xfId="0" applyFont="1" applyFill="1" applyBorder="1"/>
    <xf numFmtId="0" fontId="8" fillId="5" borderId="10" xfId="0" applyFont="1" applyFill="1" applyBorder="1"/>
    <xf numFmtId="0" fontId="8" fillId="5" borderId="8" xfId="0" applyFont="1" applyFill="1" applyBorder="1"/>
    <xf numFmtId="0" fontId="8" fillId="5" borderId="11" xfId="0" applyFont="1" applyFill="1" applyBorder="1"/>
    <xf numFmtId="0" fontId="8" fillId="5" borderId="9" xfId="0" applyFont="1" applyFill="1" applyBorder="1"/>
    <xf numFmtId="0" fontId="8" fillId="5" borderId="12" xfId="0" applyFont="1" applyFill="1" applyBorder="1"/>
    <xf numFmtId="0" fontId="8" fillId="5" borderId="15" xfId="0" applyFont="1" applyFill="1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3" xfId="0" applyBorder="1" applyAlignment="1">
      <alignment horizontal="center"/>
    </xf>
    <xf numFmtId="0" fontId="18" fillId="7" borderId="33" xfId="0" applyFont="1" applyFill="1" applyBorder="1" applyAlignment="1" applyProtection="1">
      <alignment horizontal="center"/>
      <protection locked="0"/>
    </xf>
    <xf numFmtId="0" fontId="18" fillId="7" borderId="18" xfId="0" applyFont="1" applyFill="1" applyBorder="1" applyAlignment="1" applyProtection="1">
      <alignment horizontal="center"/>
      <protection locked="0"/>
    </xf>
    <xf numFmtId="0" fontId="18" fillId="7" borderId="34" xfId="0" applyFont="1" applyFill="1" applyBorder="1" applyAlignment="1" applyProtection="1">
      <alignment horizontal="center"/>
      <protection locked="0"/>
    </xf>
    <xf numFmtId="0" fontId="10" fillId="5" borderId="24" xfId="0" applyFont="1" applyFill="1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0" fillId="5" borderId="68" xfId="0" applyFont="1" applyFill="1" applyBorder="1" applyAlignment="1">
      <alignment horizontal="center"/>
    </xf>
    <xf numFmtId="0" fontId="10" fillId="5" borderId="71" xfId="0" applyFont="1" applyFill="1" applyBorder="1" applyAlignment="1">
      <alignment horizontal="center"/>
    </xf>
    <xf numFmtId="49" fontId="0" fillId="7" borderId="33" xfId="0" applyNumberFormat="1" applyFill="1" applyBorder="1" applyAlignment="1" applyProtection="1">
      <alignment horizontal="center"/>
      <protection locked="0"/>
    </xf>
    <xf numFmtId="49" fontId="0" fillId="7" borderId="34" xfId="0" applyNumberFormat="1" applyFill="1" applyBorder="1" applyAlignment="1" applyProtection="1">
      <alignment horizontal="center"/>
      <protection locked="0"/>
    </xf>
    <xf numFmtId="0" fontId="17" fillId="5" borderId="54" xfId="0" applyFont="1" applyFill="1" applyBorder="1" applyAlignment="1">
      <alignment horizontal="center"/>
    </xf>
    <xf numFmtId="0" fontId="17" fillId="5" borderId="37" xfId="0" applyFont="1" applyFill="1" applyBorder="1" applyAlignment="1">
      <alignment horizontal="center"/>
    </xf>
    <xf numFmtId="0" fontId="17" fillId="5" borderId="75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0" fillId="5" borderId="33" xfId="0" applyFont="1" applyFill="1" applyBorder="1" applyAlignment="1">
      <alignment horizontal="center"/>
    </xf>
    <xf numFmtId="0" fontId="10" fillId="5" borderId="18" xfId="0" applyFont="1" applyFill="1" applyBorder="1" applyAlignment="1">
      <alignment horizontal="center"/>
    </xf>
    <xf numFmtId="0" fontId="10" fillId="5" borderId="3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8" fillId="0" borderId="33" xfId="18" applyFont="1" applyBorder="1" applyAlignment="1">
      <alignment horizontal="center"/>
    </xf>
    <xf numFmtId="0" fontId="18" fillId="0" borderId="18" xfId="18" applyFont="1" applyBorder="1" applyAlignment="1">
      <alignment horizontal="center"/>
    </xf>
    <xf numFmtId="0" fontId="18" fillId="0" borderId="34" xfId="18" applyFont="1" applyBorder="1" applyAlignment="1">
      <alignment horizontal="center"/>
    </xf>
    <xf numFmtId="0" fontId="1" fillId="0" borderId="4" xfId="18" applyFont="1" applyBorder="1" applyAlignment="1">
      <alignment horizontal="center"/>
    </xf>
    <xf numFmtId="0" fontId="1" fillId="0" borderId="5" xfId="18" applyFont="1" applyBorder="1" applyAlignment="1">
      <alignment horizontal="center"/>
    </xf>
    <xf numFmtId="0" fontId="1" fillId="0" borderId="6" xfId="18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3" xfId="18" applyFont="1" applyBorder="1" applyAlignment="1">
      <alignment horizontal="center"/>
    </xf>
    <xf numFmtId="0" fontId="14" fillId="0" borderId="18" xfId="18" applyFont="1" applyBorder="1" applyAlignment="1">
      <alignment horizontal="center"/>
    </xf>
    <xf numFmtId="0" fontId="14" fillId="0" borderId="34" xfId="18" applyFont="1" applyBorder="1" applyAlignment="1">
      <alignment horizontal="center"/>
    </xf>
    <xf numFmtId="0" fontId="11" fillId="4" borderId="24" xfId="18" applyFont="1" applyFill="1" applyBorder="1" applyAlignment="1">
      <alignment horizontal="left" vertical="center"/>
    </xf>
    <xf numFmtId="0" fontId="11" fillId="4" borderId="25" xfId="18" applyFont="1" applyFill="1" applyBorder="1" applyAlignment="1">
      <alignment horizontal="left" vertical="center"/>
    </xf>
    <xf numFmtId="0" fontId="12" fillId="0" borderId="32" xfId="18" applyFont="1" applyBorder="1" applyAlignment="1">
      <alignment horizontal="center" vertical="center"/>
    </xf>
    <xf numFmtId="0" fontId="12" fillId="0" borderId="11" xfId="18" applyFont="1" applyBorder="1" applyAlignment="1">
      <alignment horizontal="center" vertical="center"/>
    </xf>
    <xf numFmtId="0" fontId="12" fillId="0" borderId="12" xfId="18" applyFont="1" applyBorder="1" applyAlignment="1">
      <alignment horizontal="center" vertical="center"/>
    </xf>
    <xf numFmtId="0" fontId="11" fillId="4" borderId="26" xfId="18" applyFont="1" applyFill="1" applyBorder="1" applyAlignment="1">
      <alignment horizontal="left" vertical="center"/>
    </xf>
    <xf numFmtId="0" fontId="11" fillId="4" borderId="27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11" fillId="4" borderId="1" xfId="18" applyFont="1" applyFill="1" applyBorder="1" applyAlignment="1">
      <alignment horizontal="left" vertical="center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21" fillId="0" borderId="4" xfId="18" applyFont="1" applyBorder="1" applyAlignment="1">
      <alignment horizontal="center"/>
    </xf>
    <xf numFmtId="0" fontId="21" fillId="0" borderId="46" xfId="18" applyFont="1" applyBorder="1" applyAlignment="1">
      <alignment horizontal="center"/>
    </xf>
    <xf numFmtId="0" fontId="21" fillId="0" borderId="42" xfId="18" applyFont="1" applyBorder="1" applyAlignment="1">
      <alignment horizontal="center"/>
    </xf>
    <xf numFmtId="0" fontId="21" fillId="0" borderId="43" xfId="18" applyFont="1" applyBorder="1" applyAlignment="1">
      <alignment horizontal="center"/>
    </xf>
    <xf numFmtId="0" fontId="21" fillId="0" borderId="33" xfId="18" applyFont="1" applyBorder="1" applyAlignment="1">
      <alignment horizontal="center"/>
    </xf>
    <xf numFmtId="0" fontId="21" fillId="0" borderId="18" xfId="18" applyFont="1" applyBorder="1" applyAlignment="1">
      <alignment horizontal="center"/>
    </xf>
    <xf numFmtId="0" fontId="21" fillId="0" borderId="34" xfId="18" applyFont="1" applyBorder="1" applyAlignment="1">
      <alignment horizontal="center"/>
    </xf>
    <xf numFmtId="0" fontId="12" fillId="10" borderId="36" xfId="18" applyFont="1" applyFill="1" applyBorder="1" applyAlignment="1">
      <alignment horizontal="center"/>
    </xf>
    <xf numFmtId="0" fontId="12" fillId="10" borderId="37" xfId="18" applyFont="1" applyFill="1" applyBorder="1" applyAlignment="1">
      <alignment horizontal="center"/>
    </xf>
    <xf numFmtId="0" fontId="12" fillId="10" borderId="70" xfId="18" applyFont="1" applyFill="1" applyBorder="1" applyAlignment="1">
      <alignment horizontal="center"/>
    </xf>
    <xf numFmtId="0" fontId="21" fillId="0" borderId="36" xfId="18" applyFont="1" applyBorder="1" applyAlignment="1">
      <alignment horizontal="center"/>
    </xf>
    <xf numFmtId="0" fontId="21" fillId="0" borderId="37" xfId="18" applyFont="1" applyBorder="1" applyAlignment="1">
      <alignment horizontal="center"/>
    </xf>
    <xf numFmtId="0" fontId="21" fillId="0" borderId="26" xfId="18" applyFont="1" applyBorder="1" applyAlignment="1">
      <alignment horizontal="left"/>
    </xf>
    <xf numFmtId="0" fontId="21" fillId="0" borderId="31" xfId="18" applyFont="1" applyBorder="1" applyAlignment="1">
      <alignment horizontal="left"/>
    </xf>
    <xf numFmtId="0" fontId="21" fillId="0" borderId="35" xfId="18" applyFont="1" applyBorder="1" applyAlignment="1">
      <alignment horizontal="left"/>
    </xf>
    <xf numFmtId="0" fontId="21" fillId="0" borderId="41" xfId="18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5" borderId="0" xfId="0" applyFont="1" applyFill="1" applyAlignment="1">
      <alignment horizontal="center"/>
    </xf>
    <xf numFmtId="0" fontId="22" fillId="2" borderId="1" xfId="0" applyFont="1" applyFill="1" applyBorder="1" applyAlignment="1" applyProtection="1">
      <alignment horizontal="center"/>
      <protection locked="0"/>
    </xf>
    <xf numFmtId="0" fontId="23" fillId="2" borderId="1" xfId="0" applyFont="1" applyFill="1" applyBorder="1" applyAlignment="1" applyProtection="1">
      <alignment horizontal="center"/>
      <protection locked="0"/>
    </xf>
    <xf numFmtId="49" fontId="17" fillId="5" borderId="71" xfId="0" applyNumberFormat="1" applyFont="1" applyFill="1" applyBorder="1" applyAlignment="1">
      <alignment horizontal="center"/>
    </xf>
    <xf numFmtId="10" fontId="22" fillId="2" borderId="1" xfId="1" applyNumberFormat="1" applyFont="1" applyFill="1" applyBorder="1" applyAlignment="1" applyProtection="1">
      <alignment horizontal="center"/>
      <protection locked="0"/>
    </xf>
    <xf numFmtId="10" fontId="23" fillId="2" borderId="1" xfId="1" applyNumberFormat="1" applyFont="1" applyFill="1" applyBorder="1" applyAlignment="1" applyProtection="1">
      <alignment horizontal="center"/>
      <protection locked="0"/>
    </xf>
    <xf numFmtId="0" fontId="10" fillId="5" borderId="9" xfId="0" applyFont="1" applyFill="1" applyBorder="1" applyAlignment="1">
      <alignment horizontal="center"/>
    </xf>
    <xf numFmtId="10" fontId="9" fillId="0" borderId="1" xfId="1" applyNumberFormat="1" applyFont="1" applyBorder="1"/>
  </cellXfs>
  <cellStyles count="28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Normal" xfId="0" builtinId="0"/>
    <cellStyle name="Normal 2" xfId="18" xr:uid="{00000000-0005-0000-0000-000016000000}"/>
    <cellStyle name="Normal 2 2" xfId="26" xr:uid="{0E70685A-EF51-412E-B335-C96BFAAE989E}"/>
    <cellStyle name="Percent" xfId="1" builtinId="5"/>
    <cellStyle name="Percent 2" xfId="19" xr:uid="{00000000-0005-0000-0000-000018000000}"/>
    <cellStyle name="Percent 2 2" xfId="27" xr:uid="{3BA3BC36-525B-4F60-BA24-633D986E099F}"/>
    <cellStyle name="Percent 3" xfId="25" xr:uid="{7B833B04-084D-4732-A84D-CE437AB9CCEC}"/>
  </cellStyles>
  <dxfs count="769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Analysis!$R$7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Analysis!$R$8:$R$17</c:f>
              <c:numCache>
                <c:formatCode>_(* #,##0.0000_);_(* \(#,##0.0000\);_(* "-"??_);_(@_)</c:formatCode>
                <c:ptCount val="10"/>
                <c:pt idx="0">
                  <c:v>-0.16487793385839528</c:v>
                </c:pt>
                <c:pt idx="1">
                  <c:v>0.10349666740520241</c:v>
                </c:pt>
                <c:pt idx="2">
                  <c:v>0.2305813586775286</c:v>
                </c:pt>
                <c:pt idx="3">
                  <c:v>0.30156182367343237</c:v>
                </c:pt>
                <c:pt idx="4">
                  <c:v>0.34488901700061914</c:v>
                </c:pt>
                <c:pt idx="5">
                  <c:v>0.37278357907724902</c:v>
                </c:pt>
                <c:pt idx="6">
                  <c:v>0.39136301594389827</c:v>
                </c:pt>
                <c:pt idx="7">
                  <c:v>0.40401960390265956</c:v>
                </c:pt>
                <c:pt idx="8">
                  <c:v>0.4127741375787769</c:v>
                </c:pt>
                <c:pt idx="9">
                  <c:v>0.41889378085346818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6-754B-84BC-7D0C1DEB8F92}"/>
            </c:ext>
          </c:extLst>
        </c:ser>
        <c:ser>
          <c:idx val="1"/>
          <c:order val="1"/>
          <c:tx>
            <c:strRef>
              <c:f>Analysis!$S$7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Analysis!$S$8:$S$17</c:f>
              <c:numCache>
                <c:formatCode>General</c:formatCode>
                <c:ptCount val="10"/>
                <c:pt idx="0">
                  <c:v>24.296118177793115</c:v>
                </c:pt>
                <c:pt idx="1">
                  <c:v>50.802481565929902</c:v>
                </c:pt>
                <c:pt idx="2">
                  <c:v>79.402100641230433</c:v>
                </c:pt>
                <c:pt idx="3">
                  <c:v>109.9432930640485</c:v>
                </c:pt>
                <c:pt idx="4">
                  <c:v>142.24974113224658</c:v>
                </c:pt>
                <c:pt idx="5">
                  <c:v>176.13100881903597</c:v>
                </c:pt>
                <c:pt idx="6">
                  <c:v>211.39242453239112</c:v>
                </c:pt>
                <c:pt idx="7">
                  <c:v>247.84351959330644</c:v>
                </c:pt>
                <c:pt idx="8">
                  <c:v>285.30456122054471</c:v>
                </c:pt>
                <c:pt idx="9">
                  <c:v>323.61105050189718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754B-84BC-7D0C1DEB8F92}"/>
            </c:ext>
          </c:extLst>
        </c:ser>
        <c:ser>
          <c:idx val="2"/>
          <c:order val="2"/>
          <c:tx>
            <c:strRef>
              <c:f>Analysis!$T$7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Analysis!$T$8:$T$17</c:f>
              <c:numCache>
                <c:formatCode>General</c:formatCode>
                <c:ptCount val="10"/>
                <c:pt idx="0">
                  <c:v>-24.328216931055266</c:v>
                </c:pt>
                <c:pt idx="1">
                  <c:v>-50.86959913215825</c:v>
                </c:pt>
                <c:pt idx="2">
                  <c:v>-79.50700251972512</c:v>
                </c:pt>
                <c:pt idx="3">
                  <c:v>-110.08854435938164</c:v>
                </c:pt>
                <c:pt idx="4">
                  <c:v>-142.43767400731724</c:v>
                </c:pt>
                <c:pt idx="5">
                  <c:v>-176.36370384268233</c:v>
                </c:pt>
                <c:pt idx="6">
                  <c:v>-211.6717050835845</c:v>
                </c:pt>
                <c:pt idx="7">
                  <c:v>-248.17095741381885</c:v>
                </c:pt>
                <c:pt idx="8">
                  <c:v>-285.68149059865232</c:v>
                </c:pt>
                <c:pt idx="9">
                  <c:v>-324.03858839856662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6-754B-84BC-7D0C1DEB8F92}"/>
            </c:ext>
          </c:extLst>
        </c:ser>
        <c:ser>
          <c:idx val="3"/>
          <c:order val="3"/>
          <c:tx>
            <c:strRef>
              <c:f>Analysis!$U$7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Analysis!$U$8:$U$17</c:f>
              <c:numCache>
                <c:formatCode>_(* #,##0.0000_);_(* \(#,##0.0000\);_(* "-"??_);_(@_)</c:formatCode>
                <c:ptCount val="10"/>
                <c:pt idx="0">
                  <c:v>-3.2098753262150836E-2</c:v>
                </c:pt>
                <c:pt idx="1">
                  <c:v>-6.7117566228347414E-2</c:v>
                </c:pt>
                <c:pt idx="2">
                  <c:v>-0.10490187849468668</c:v>
                </c:pt>
                <c:pt idx="3">
                  <c:v>-0.1452512953331393</c:v>
                </c:pt>
                <c:pt idx="4">
                  <c:v>-0.1879328750706577</c:v>
                </c:pt>
                <c:pt idx="5">
                  <c:v>-0.23269502364635741</c:v>
                </c:pt>
                <c:pt idx="6">
                  <c:v>-0.27928055119338069</c:v>
                </c:pt>
                <c:pt idx="7">
                  <c:v>-0.3274378205124151</c:v>
                </c:pt>
                <c:pt idx="8">
                  <c:v>-0.37692937810760441</c:v>
                </c:pt>
                <c:pt idx="9">
                  <c:v>-0.42753789666943476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F-FC44-ACD8-F3249BA2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963424"/>
        <c:axId val="-1985960080"/>
      </c:lineChart>
      <c:catAx>
        <c:axId val="-198596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60080"/>
        <c:crosses val="autoZero"/>
        <c:auto val="1"/>
        <c:lblAlgn val="ctr"/>
        <c:lblOffset val="100"/>
        <c:noMultiLvlLbl val="0"/>
      </c:catAx>
      <c:valAx>
        <c:axId val="-19859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'1x7'!$E$20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'1x7'!$E$21:$E$30</c:f>
              <c:numCache>
                <c:formatCode>General</c:formatCode>
                <c:ptCount val="10"/>
                <c:pt idx="0">
                  <c:v>17.886207216380015</c:v>
                </c:pt>
                <c:pt idx="1">
                  <c:v>73.199099715667103</c:v>
                </c:pt>
                <c:pt idx="2">
                  <c:v>442.23182372364596</c:v>
                </c:pt>
                <c:pt idx="3">
                  <c:v>2922.3534247328007</c:v>
                </c:pt>
                <c:pt idx="4">
                  <c:v>19969.416320109773</c:v>
                </c:pt>
                <c:pt idx="5">
                  <c:v>138350.00406993867</c:v>
                </c:pt>
                <c:pt idx="6">
                  <c:v>964128.2159177314</c:v>
                </c:pt>
                <c:pt idx="7">
                  <c:v>6735766.7984890873</c:v>
                </c:pt>
                <c:pt idx="8">
                  <c:v>47110301.787479885</c:v>
                </c:pt>
                <c:pt idx="9">
                  <c:v>329649621.48816758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13312"/>
        <c:axId val="-1985084080"/>
      </c:lineChart>
      <c:catAx>
        <c:axId val="-19850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84080"/>
        <c:crosses val="autoZero"/>
        <c:auto val="1"/>
        <c:lblAlgn val="ctr"/>
        <c:lblOffset val="100"/>
        <c:noMultiLvlLbl val="0"/>
      </c:catAx>
      <c:valAx>
        <c:axId val="-1985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'1x8'!$E$20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'1x8'!$E$21:$E$30</c:f>
              <c:numCache>
                <c:formatCode>General</c:formatCode>
                <c:ptCount val="10"/>
                <c:pt idx="0">
                  <c:v>19.801019363227333</c:v>
                </c:pt>
                <c:pt idx="1">
                  <c:v>92.852400472282028</c:v>
                </c:pt>
                <c:pt idx="2">
                  <c:v>642.45806440858394</c:v>
                </c:pt>
                <c:pt idx="3">
                  <c:v>4864.3204257031821</c:v>
                </c:pt>
                <c:pt idx="4">
                  <c:v>38055.219298771401</c:v>
                </c:pt>
                <c:pt idx="5">
                  <c:v>301628.07427573309</c:v>
                </c:pt>
                <c:pt idx="6">
                  <c:v>2403621.410706549</c:v>
                </c:pt>
                <c:pt idx="7">
                  <c:v>19197262.007297784</c:v>
                </c:pt>
                <c:pt idx="8">
                  <c:v>153470742.49510032</c:v>
                </c:pt>
                <c:pt idx="9">
                  <c:v>1227401860.441427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141840"/>
        <c:axId val="-1936138816"/>
      </c:lineChart>
      <c:catAx>
        <c:axId val="-19361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38816"/>
        <c:crosses val="autoZero"/>
        <c:auto val="1"/>
        <c:lblAlgn val="ctr"/>
        <c:lblOffset val="100"/>
        <c:noMultiLvlLbl val="0"/>
      </c:catAx>
      <c:valAx>
        <c:axId val="-193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'1x9'!$E$20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'1x9'!$E$21:$E$30</c:f>
              <c:numCache>
                <c:formatCode>General</c:formatCode>
                <c:ptCount val="10"/>
                <c:pt idx="0">
                  <c:v>21.803691609148775</c:v>
                </c:pt>
                <c:pt idx="1">
                  <c:v>115.02108541593785</c:v>
                </c:pt>
                <c:pt idx="2">
                  <c:v>896.55985744365751</c:v>
                </c:pt>
                <c:pt idx="3">
                  <c:v>7650.2250705881852</c:v>
                </c:pt>
                <c:pt idx="4">
                  <c:v>67411.520193773948</c:v>
                </c:pt>
                <c:pt idx="5">
                  <c:v>601502.98889823339</c:v>
                </c:pt>
                <c:pt idx="6">
                  <c:v>5394364.5273143854</c:v>
                </c:pt>
                <c:pt idx="7">
                  <c:v>48478056.968708187</c:v>
                </c:pt>
                <c:pt idx="8">
                  <c:v>436036796.70327842</c:v>
                </c:pt>
                <c:pt idx="9">
                  <c:v>3923338292.2689018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5917904"/>
        <c:axId val="-1925931872"/>
      </c:lineChart>
      <c:catAx>
        <c:axId val="-19259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931872"/>
        <c:crosses val="autoZero"/>
        <c:auto val="1"/>
        <c:lblAlgn val="ctr"/>
        <c:lblOffset val="100"/>
        <c:noMultiLvlLbl val="0"/>
      </c:catAx>
      <c:valAx>
        <c:axId val="-19259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9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'1x10'!$E$20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'1x10'!$E$21:$E$30</c:f>
              <c:numCache>
                <c:formatCode>General</c:formatCode>
                <c:ptCount val="10"/>
                <c:pt idx="0">
                  <c:v>23.872400252936831</c:v>
                </c:pt>
                <c:pt idx="1">
                  <c:v>139.71500480850676</c:v>
                </c:pt>
                <c:pt idx="2">
                  <c:v>1211.0880972162724</c:v>
                </c:pt>
                <c:pt idx="3">
                  <c:v>11496.394766828658</c:v>
                </c:pt>
                <c:pt idx="4">
                  <c:v>112650.02478932917</c:v>
                </c:pt>
                <c:pt idx="5">
                  <c:v>1117348.4486301232</c:v>
                </c:pt>
                <c:pt idx="6">
                  <c:v>11136545.944877809</c:v>
                </c:pt>
                <c:pt idx="7">
                  <c:v>111215093.31439769</c:v>
                </c:pt>
                <c:pt idx="8">
                  <c:v>1111536655.7048845</c:v>
                </c:pt>
                <c:pt idx="9">
                  <c:v>11112853396.612623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214848"/>
        <c:axId val="1993849392"/>
      </c:lineChart>
      <c:catAx>
        <c:axId val="-19322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49392"/>
        <c:crosses val="autoZero"/>
        <c:auto val="1"/>
        <c:lblAlgn val="ctr"/>
        <c:lblOffset val="100"/>
        <c:noMultiLvlLbl val="0"/>
      </c:catAx>
      <c:valAx>
        <c:axId val="19938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2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'2x3'!$U$6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'2x3'!$U$7:$U$16</c:f>
              <c:numCache>
                <c:formatCode>General</c:formatCode>
                <c:ptCount val="10"/>
                <c:pt idx="0">
                  <c:v>-29.402966041934938</c:v>
                </c:pt>
                <c:pt idx="1">
                  <c:v>-91.294537279466766</c:v>
                </c:pt>
                <c:pt idx="2">
                  <c:v>-188.52490711687793</c:v>
                </c:pt>
                <c:pt idx="3">
                  <c:v>-323.64940983822305</c:v>
                </c:pt>
                <c:pt idx="4">
                  <c:v>-498.89558352681763</c:v>
                </c:pt>
                <c:pt idx="5">
                  <c:v>-716.15530059264165</c:v>
                </c:pt>
                <c:pt idx="6">
                  <c:v>-976.99750675254268</c:v>
                </c:pt>
                <c:pt idx="7">
                  <c:v>-1282.6955915514172</c:v>
                </c:pt>
                <c:pt idx="8">
                  <c:v>-1634.2632983814783</c:v>
                </c:pt>
                <c:pt idx="9">
                  <c:v>-2032.4939355445135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52000"/>
        <c:axId val="-2106348976"/>
      </c:lineChart>
      <c:catAx>
        <c:axId val="-21063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48976"/>
        <c:crosses val="autoZero"/>
        <c:auto val="1"/>
        <c:lblAlgn val="ctr"/>
        <c:lblOffset val="100"/>
        <c:noMultiLvlLbl val="0"/>
      </c:catAx>
      <c:valAx>
        <c:axId val="-21063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'2x4'!$U$7:$U$16</c:f>
              <c:numCache>
                <c:formatCode>General</c:formatCode>
                <c:ptCount val="10"/>
                <c:pt idx="0">
                  <c:v>-25.418863287670092</c:v>
                </c:pt>
                <c:pt idx="1">
                  <c:v>-78.097595124710267</c:v>
                </c:pt>
                <c:pt idx="2">
                  <c:v>-159.82075783930975</c:v>
                </c:pt>
                <c:pt idx="3">
                  <c:v>-272.29730854753711</c:v>
                </c:pt>
                <c:pt idx="4">
                  <c:v>-417.14451033260519</c:v>
                </c:pt>
                <c:pt idx="5">
                  <c:v>-595.8753580928319</c:v>
                </c:pt>
                <c:pt idx="6">
                  <c:v>-809.88971105053383</c:v>
                </c:pt>
                <c:pt idx="7">
                  <c:v>-1060.4690883463825</c:v>
                </c:pt>
                <c:pt idx="8">
                  <c:v>-1348.7748835382051</c:v>
                </c:pt>
                <c:pt idx="9">
                  <c:v>-1675.8496018603892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360432"/>
        <c:axId val="-1933357408"/>
      </c:lineChart>
      <c:catAx>
        <c:axId val="-19333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57408"/>
        <c:crosses val="autoZero"/>
        <c:auto val="1"/>
        <c:lblAlgn val="ctr"/>
        <c:lblOffset val="100"/>
        <c:noMultiLvlLbl val="0"/>
      </c:catAx>
      <c:valAx>
        <c:axId val="-19333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'2x5'!$U$7:$U$16</c:f>
              <c:numCache>
                <c:formatCode>General</c:formatCode>
                <c:ptCount val="10"/>
                <c:pt idx="0">
                  <c:v>-20.226938345537036</c:v>
                </c:pt>
                <c:pt idx="1">
                  <c:v>-61.635921125080841</c:v>
                </c:pt>
                <c:pt idx="2">
                  <c:v>-125.17083061851477</c:v>
                </c:pt>
                <c:pt idx="3">
                  <c:v>-211.76009820733228</c:v>
                </c:pt>
                <c:pt idx="4">
                  <c:v>-322.31272947534546</c:v>
                </c:pt>
                <c:pt idx="5">
                  <c:v>-457.71463952380998</c:v>
                </c:pt>
                <c:pt idx="6">
                  <c:v>-618.82534700650342</c:v>
                </c:pt>
                <c:pt idx="7">
                  <c:v>-806.47506477870195</c:v>
                </c:pt>
                <c:pt idx="8">
                  <c:v>-1021.4622138418539</c:v>
                </c:pt>
                <c:pt idx="9">
                  <c:v>-1264.5513759426344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283616"/>
        <c:axId val="-1933280592"/>
      </c:lineChart>
      <c:catAx>
        <c:axId val="-19332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80592"/>
        <c:crosses val="autoZero"/>
        <c:auto val="1"/>
        <c:lblAlgn val="ctr"/>
        <c:lblOffset val="100"/>
        <c:noMultiLvlLbl val="0"/>
      </c:catAx>
      <c:valAx>
        <c:axId val="-19332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'2x6'!$U$7:$U$16</c:f>
              <c:numCache>
                <c:formatCode>General</c:formatCode>
                <c:ptCount val="10"/>
                <c:pt idx="0">
                  <c:v>-14.670573575183084</c:v>
                </c:pt>
                <c:pt idx="1">
                  <c:v>-44.43157016823568</c:v>
                </c:pt>
                <c:pt idx="2">
                  <c:v>-89.701143784272574</c:v>
                </c:pt>
                <c:pt idx="3">
                  <c:v>-150.89508848456711</c:v>
                </c:pt>
                <c:pt idx="4">
                  <c:v>-228.42618736431569</c:v>
                </c:pt>
                <c:pt idx="5">
                  <c:v>-322.70357860690473</c:v>
                </c:pt>
                <c:pt idx="6">
                  <c:v>-434.13214201857039</c:v>
                </c:pt>
                <c:pt idx="7">
                  <c:v>-563.11190922387732</c:v>
                </c:pt>
                <c:pt idx="8">
                  <c:v>-710.03750044799222</c:v>
                </c:pt>
                <c:pt idx="9">
                  <c:v>-875.29759053070734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206736"/>
        <c:axId val="-1933203712"/>
      </c:lineChart>
      <c:catAx>
        <c:axId val="-19332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03712"/>
        <c:crosses val="autoZero"/>
        <c:auto val="1"/>
        <c:lblAlgn val="ctr"/>
        <c:lblOffset val="100"/>
        <c:noMultiLvlLbl val="0"/>
      </c:catAx>
      <c:valAx>
        <c:axId val="-1933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'2x7'!$U$7:$U$16</c:f>
              <c:numCache>
                <c:formatCode>General</c:formatCode>
                <c:ptCount val="10"/>
                <c:pt idx="0">
                  <c:v>-9.1828911223317675</c:v>
                </c:pt>
                <c:pt idx="1">
                  <c:v>-27.687671076130613</c:v>
                </c:pt>
                <c:pt idx="2">
                  <c:v>-55.653187383959192</c:v>
                </c:pt>
                <c:pt idx="3">
                  <c:v>-93.218077631576051</c:v>
                </c:pt>
                <c:pt idx="4">
                  <c:v>-140.52071004092645</c:v>
                </c:pt>
                <c:pt idx="5">
                  <c:v>-197.69912445702843</c:v>
                </c:pt>
                <c:pt idx="6">
                  <c:v>-264.89097383818705</c:v>
                </c:pt>
                <c:pt idx="7">
                  <c:v>-342.23346633745643</c:v>
                </c:pt>
                <c:pt idx="8">
                  <c:v>-429.86330806150829</c:v>
                </c:pt>
                <c:pt idx="9">
                  <c:v>-527.91664659104742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130400"/>
        <c:axId val="-1933127376"/>
      </c:lineChart>
      <c:catAx>
        <c:axId val="-1933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127376"/>
        <c:crosses val="autoZero"/>
        <c:auto val="1"/>
        <c:lblAlgn val="ctr"/>
        <c:lblOffset val="100"/>
        <c:noMultiLvlLbl val="0"/>
      </c:catAx>
      <c:valAx>
        <c:axId val="-1933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'2x8'!$U$7:$U$16</c:f>
              <c:numCache>
                <c:formatCode>General</c:formatCode>
                <c:ptCount val="10"/>
                <c:pt idx="0">
                  <c:v>-3.9815062475910565</c:v>
                </c:pt>
                <c:pt idx="1">
                  <c:v>-11.966154186138425</c:v>
                </c:pt>
                <c:pt idx="2">
                  <c:v>-23.97557633637976</c:v>
                </c:pt>
                <c:pt idx="3">
                  <c:v>-40.031401128163026</c:v>
                </c:pt>
                <c:pt idx="4">
                  <c:v>-60.155251732974676</c:v>
                </c:pt>
                <c:pt idx="5">
                  <c:v>-84.368744897481776</c:v>
                </c:pt>
                <c:pt idx="6">
                  <c:v>-112.69348977831103</c:v>
                </c:pt>
                <c:pt idx="7">
                  <c:v>-145.15108677829474</c:v>
                </c:pt>
                <c:pt idx="8">
                  <c:v>-181.7631263843987</c:v>
                </c:pt>
                <c:pt idx="9">
                  <c:v>-222.55118800756239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053296"/>
        <c:axId val="-1933050272"/>
      </c:lineChart>
      <c:catAx>
        <c:axId val="-19330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050272"/>
        <c:crosses val="autoZero"/>
        <c:auto val="1"/>
        <c:lblAlgn val="ctr"/>
        <c:lblOffset val="100"/>
        <c:noMultiLvlLbl val="0"/>
      </c:catAx>
      <c:valAx>
        <c:axId val="-1933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0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Analysis!$R$23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Analysis!$R$24:$R$33</c:f>
              <c:numCache>
                <c:formatCode>_(* #,##0.0000_);_(* \(#,##0.0000\);_(* "-"??_);_(@_)</c:formatCode>
                <c:ptCount val="10"/>
                <c:pt idx="0">
                  <c:v>-0.53922279156809605</c:v>
                </c:pt>
                <c:pt idx="1">
                  <c:v>-0.32102878586419042</c:v>
                </c:pt>
                <c:pt idx="2">
                  <c:v>-0.19916114131057272</c:v>
                </c:pt>
                <c:pt idx="3">
                  <c:v>-0.12477189919715198</c:v>
                </c:pt>
                <c:pt idx="4">
                  <c:v>-7.6879220890103239E-2</c:v>
                </c:pt>
                <c:pt idx="5">
                  <c:v>-4.4979849588409615E-2</c:v>
                </c:pt>
                <c:pt idx="6">
                  <c:v>-2.3249524734818949E-2</c:v>
                </c:pt>
                <c:pt idx="7">
                  <c:v>-8.2187074763620527E-3</c:v>
                </c:pt>
                <c:pt idx="8">
                  <c:v>2.2882187805746135E-3</c:v>
                </c:pt>
                <c:pt idx="9">
                  <c:v>9.6870468034781498E-3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Analysis!$S$23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Analysis!$S$24:$S$33</c:f>
              <c:numCache>
                <c:formatCode>General</c:formatCode>
                <c:ptCount val="10"/>
                <c:pt idx="0">
                  <c:v>45.509254863023195</c:v>
                </c:pt>
                <c:pt idx="1">
                  <c:v>94.612458287215034</c:v>
                </c:pt>
                <c:pt idx="2">
                  <c:v>147.04918411934969</c:v>
                </c:pt>
                <c:pt idx="3">
                  <c:v>202.51670930662871</c:v>
                </c:pt>
                <c:pt idx="4">
                  <c:v>260.6880707892268</c:v>
                </c:pt>
                <c:pt idx="5">
                  <c:v>321.22903338873232</c:v>
                </c:pt>
                <c:pt idx="6">
                  <c:v>383.81257798413787</c:v>
                </c:pt>
                <c:pt idx="7">
                  <c:v>448.13011811155195</c:v>
                </c:pt>
                <c:pt idx="8">
                  <c:v>513.89922261243453</c:v>
                </c:pt>
                <c:pt idx="9">
                  <c:v>580.86806806931088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Analysis!$T$23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Analysis!$T$24:$T$33</c:f>
              <c:numCache>
                <c:formatCode>General</c:formatCode>
                <c:ptCount val="10"/>
                <c:pt idx="0">
                  <c:v>-45.569379296576855</c:v>
                </c:pt>
                <c:pt idx="1">
                  <c:v>-94.737455290105089</c:v>
                </c:pt>
                <c:pt idx="2">
                  <c:v>-147.24345776602473</c:v>
                </c:pt>
                <c:pt idx="3">
                  <c:v>-202.78426372976443</c:v>
                </c:pt>
                <c:pt idx="4">
                  <c:v>-261.03247815510377</c:v>
                </c:pt>
                <c:pt idx="5">
                  <c:v>-321.65342428969569</c:v>
                </c:pt>
                <c:pt idx="6">
                  <c:v>-384.3196509720724</c:v>
                </c:pt>
                <c:pt idx="7">
                  <c:v>-448.72216405013938</c:v>
                </c:pt>
                <c:pt idx="8">
                  <c:v>-514.57815923216685</c:v>
                </c:pt>
                <c:pt idx="9">
                  <c:v>-581.63548040482806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Analysis!$U$23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Analysis!$U$24:$U$33</c:f>
              <c:numCache>
                <c:formatCode>_(* #,##0.0000_);_(* \(#,##0.0000\);_(* "-"??_);_(@_)</c:formatCode>
                <c:ptCount val="10"/>
                <c:pt idx="0">
                  <c:v>-6.0124433553660594E-2</c:v>
                </c:pt>
                <c:pt idx="1">
                  <c:v>-0.12499700289005489</c:v>
                </c:pt>
                <c:pt idx="2">
                  <c:v>-0.19427364667504321</c:v>
                </c:pt>
                <c:pt idx="3">
                  <c:v>-0.26755442313572075</c:v>
                </c:pt>
                <c:pt idx="4">
                  <c:v>-0.34440736587697529</c:v>
                </c:pt>
                <c:pt idx="5">
                  <c:v>-0.42439090096337395</c:v>
                </c:pt>
                <c:pt idx="6">
                  <c:v>-0.50707298793452082</c:v>
                </c:pt>
                <c:pt idx="7">
                  <c:v>-0.59204593858743237</c:v>
                </c:pt>
                <c:pt idx="8">
                  <c:v>-0.67893661973232611</c:v>
                </c:pt>
                <c:pt idx="9">
                  <c:v>-0.76741233551717869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900160"/>
        <c:axId val="-1985896816"/>
      </c:lineChart>
      <c:catAx>
        <c:axId val="-198590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96816"/>
        <c:crosses val="autoZero"/>
        <c:auto val="1"/>
        <c:lblAlgn val="ctr"/>
        <c:lblOffset val="100"/>
        <c:noMultiLvlLbl val="0"/>
      </c:catAx>
      <c:valAx>
        <c:axId val="-19858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'2x9'!$U$7:$U$16</c:f>
              <c:numCache>
                <c:formatCode>General</c:formatCode>
                <c:ptCount val="10"/>
                <c:pt idx="0">
                  <c:v>0.83722232040031486</c:v>
                </c:pt>
                <c:pt idx="1">
                  <c:v>2.5103868757769305</c:v>
                </c:pt>
                <c:pt idx="2">
                  <c:v>5.018213594110648</c:v>
                </c:pt>
                <c:pt idx="3">
                  <c:v>8.3594224221490094</c:v>
                </c:pt>
                <c:pt idx="4">
                  <c:v>12.532733330767087</c:v>
                </c:pt>
                <c:pt idx="5">
                  <c:v>17.536866320328727</c:v>
                </c:pt>
                <c:pt idx="6">
                  <c:v>23.370541426048021</c:v>
                </c:pt>
                <c:pt idx="7">
                  <c:v>30.032478723348049</c:v>
                </c:pt>
                <c:pt idx="8">
                  <c:v>37.521398333220532</c:v>
                </c:pt>
                <c:pt idx="9">
                  <c:v>45.836020427585481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976928"/>
        <c:axId val="-1932973904"/>
      </c:lineChart>
      <c:catAx>
        <c:axId val="-19329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973904"/>
        <c:crosses val="autoZero"/>
        <c:auto val="1"/>
        <c:lblAlgn val="ctr"/>
        <c:lblOffset val="100"/>
        <c:noMultiLvlLbl val="0"/>
      </c:catAx>
      <c:valAx>
        <c:axId val="-19329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9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'2x10'!$U$7:$U$16</c:f>
              <c:numCache>
                <c:formatCode>General</c:formatCode>
                <c:ptCount val="10"/>
                <c:pt idx="0">
                  <c:v>5.2469069738806411</c:v>
                </c:pt>
                <c:pt idx="1">
                  <c:v>15.706509060255257</c:v>
                </c:pt>
                <c:pt idx="2">
                  <c:v>31.344600817940091</c:v>
                </c:pt>
                <c:pt idx="3">
                  <c:v>52.12698579162543</c:v>
                </c:pt>
                <c:pt idx="4">
                  <c:v>78.019479075140453</c:v>
                </c:pt>
                <c:pt idx="5">
                  <c:v>108.9879098716217</c:v>
                </c:pt>
                <c:pt idx="6">
                  <c:v>144.99812404990666</c:v>
                </c:pt>
                <c:pt idx="7">
                  <c:v>186.01598669646478</c:v>
                </c:pt>
                <c:pt idx="8">
                  <c:v>232.00738466219013</c:v>
                </c:pt>
                <c:pt idx="9">
                  <c:v>282.93822910337644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389504"/>
        <c:axId val="-1935929568"/>
      </c:lineChart>
      <c:catAx>
        <c:axId val="-19853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9568"/>
        <c:crosses val="autoZero"/>
        <c:auto val="1"/>
        <c:lblAlgn val="ctr"/>
        <c:lblOffset val="100"/>
        <c:noMultiLvlLbl val="0"/>
      </c:catAx>
      <c:valAx>
        <c:axId val="-19359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'3x4'!$U$7:$U$16</c:f>
              <c:numCache>
                <c:formatCode>General</c:formatCode>
                <c:ptCount val="10"/>
                <c:pt idx="0">
                  <c:v>-111.88655361215598</c:v>
                </c:pt>
                <c:pt idx="1">
                  <c:v>-352.64765343339309</c:v>
                </c:pt>
                <c:pt idx="2">
                  <c:v>-734.6000802472588</c:v>
                </c:pt>
                <c:pt idx="3">
                  <c:v>-1265.8136838531966</c:v>
                </c:pt>
                <c:pt idx="4">
                  <c:v>-1951.1610446044592</c:v>
                </c:pt>
                <c:pt idx="5">
                  <c:v>-2793.4027112921867</c:v>
                </c:pt>
                <c:pt idx="6">
                  <c:v>-3794.0283217443184</c:v>
                </c:pt>
                <c:pt idx="7">
                  <c:v>-4953.8125037397085</c:v>
                </c:pt>
                <c:pt idx="8">
                  <c:v>-6273.1468597313024</c:v>
                </c:pt>
                <c:pt idx="9">
                  <c:v>-7752.2250961451064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6-E343-B621-93D8E870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556384"/>
        <c:axId val="-1985155968"/>
      </c:lineChart>
      <c:catAx>
        <c:axId val="-19855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55968"/>
        <c:crosses val="autoZero"/>
        <c:auto val="1"/>
        <c:lblAlgn val="ctr"/>
        <c:lblOffset val="100"/>
        <c:noMultiLvlLbl val="0"/>
      </c:catAx>
      <c:valAx>
        <c:axId val="-19851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5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'3x5'!$U$7:$U$16</c:f>
              <c:numCache>
                <c:formatCode>General</c:formatCode>
                <c:ptCount val="10"/>
                <c:pt idx="0">
                  <c:v>-128.50689874460556</c:v>
                </c:pt>
                <c:pt idx="1">
                  <c:v>-404.40053539342659</c:v>
                </c:pt>
                <c:pt idx="2">
                  <c:v>-842.2753031812249</c:v>
                </c:pt>
                <c:pt idx="3">
                  <c:v>-1452.4953695936752</c:v>
                </c:pt>
                <c:pt idx="4">
                  <c:v>-2241.9163011457645</c:v>
                </c:pt>
                <c:pt idx="5">
                  <c:v>-3214.8190568533637</c:v>
                </c:pt>
                <c:pt idx="6">
                  <c:v>-4373.7573768159973</c:v>
                </c:pt>
                <c:pt idx="7">
                  <c:v>-5720.2009079814998</c:v>
                </c:pt>
                <c:pt idx="8">
                  <c:v>-7254.9719486743816</c:v>
                </c:pt>
                <c:pt idx="9">
                  <c:v>-8978.52052114461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6-48B2-A1FA-8D12D664B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479808"/>
        <c:axId val="-1985476784"/>
      </c:lineChart>
      <c:catAx>
        <c:axId val="-19854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76784"/>
        <c:crosses val="autoZero"/>
        <c:auto val="1"/>
        <c:lblAlgn val="ctr"/>
        <c:lblOffset val="100"/>
        <c:noMultiLvlLbl val="0"/>
      </c:catAx>
      <c:valAx>
        <c:axId val="-19854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'3x6'!$U$7:$U$16</c:f>
              <c:numCache>
                <c:formatCode>General</c:formatCode>
                <c:ptCount val="10"/>
                <c:pt idx="0">
                  <c:v>-145.25585823333381</c:v>
                </c:pt>
                <c:pt idx="1">
                  <c:v>-456.41641216205323</c:v>
                </c:pt>
                <c:pt idx="2">
                  <c:v>-950.08444859067231</c:v>
                </c:pt>
                <c:pt idx="3">
                  <c:v>-1638.6584026143748</c:v>
                </c:pt>
                <c:pt idx="4">
                  <c:v>-2530.828398801536</c:v>
                </c:pt>
                <c:pt idx="5">
                  <c:v>-3632.3722806794758</c:v>
                </c:pt>
                <c:pt idx="6">
                  <c:v>-4946.9698301047893</c:v>
                </c:pt>
                <c:pt idx="7">
                  <c:v>-6476.8848893387194</c:v>
                </c:pt>
                <c:pt idx="8">
                  <c:v>-8223.4721699080292</c:v>
                </c:pt>
                <c:pt idx="9">
                  <c:v>-10187.524592333695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536-BE92-0DAB3951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075952"/>
        <c:axId val="-1936072928"/>
      </c:lineChart>
      <c:catAx>
        <c:axId val="-193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2928"/>
        <c:crosses val="autoZero"/>
        <c:auto val="1"/>
        <c:lblAlgn val="ctr"/>
        <c:lblOffset val="100"/>
        <c:noMultiLvlLbl val="0"/>
      </c:catAx>
      <c:valAx>
        <c:axId val="-19360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'3x7'!$U$7:$U$16</c:f>
              <c:numCache>
                <c:formatCode>General</c:formatCode>
                <c:ptCount val="10"/>
                <c:pt idx="0">
                  <c:v>-162.64756345022539</c:v>
                </c:pt>
                <c:pt idx="1">
                  <c:v>-510.41760588629774</c:v>
                </c:pt>
                <c:pt idx="2">
                  <c:v>-1061.8432523775357</c:v>
                </c:pt>
                <c:pt idx="3">
                  <c:v>-1831.222990574071</c:v>
                </c:pt>
                <c:pt idx="4">
                  <c:v>-2828.966607579322</c:v>
                </c:pt>
                <c:pt idx="5">
                  <c:v>-4062.2892327071941</c:v>
                </c:pt>
                <c:pt idx="6">
                  <c:v>-5535.9917804377092</c:v>
                </c:pt>
                <c:pt idx="7">
                  <c:v>-7253.1638074708835</c:v>
                </c:pt>
                <c:pt idx="8">
                  <c:v>-9215.740323415017</c:v>
                </c:pt>
                <c:pt idx="9">
                  <c:v>-11424.906872931648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B-4F91-A004-6AB09417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5999136"/>
        <c:axId val="-1935996112"/>
      </c:lineChart>
      <c:catAx>
        <c:axId val="-19359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96112"/>
        <c:crosses val="autoZero"/>
        <c:auto val="1"/>
        <c:lblAlgn val="ctr"/>
        <c:lblOffset val="100"/>
        <c:noMultiLvlLbl val="0"/>
      </c:catAx>
      <c:valAx>
        <c:axId val="-19359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'3x8'!$U$7:$U$16</c:f>
              <c:numCache>
                <c:formatCode>General</c:formatCode>
                <c:ptCount val="10"/>
                <c:pt idx="0">
                  <c:v>-180.90211489815184</c:v>
                </c:pt>
                <c:pt idx="1">
                  <c:v>-567.14114004884664</c:v>
                </c:pt>
                <c:pt idx="2">
                  <c:v>-1179.2056499678229</c:v>
                </c:pt>
                <c:pt idx="3">
                  <c:v>-2033.2497735066572</c:v>
                </c:pt>
                <c:pt idx="4">
                  <c:v>-3141.3380494996763</c:v>
                </c:pt>
                <c:pt idx="5">
                  <c:v>-4512.0712700645336</c:v>
                </c:pt>
                <c:pt idx="6">
                  <c:v>-6151.345811190251</c:v>
                </c:pt>
                <c:pt idx="7">
                  <c:v>-8063.075117787479</c:v>
                </c:pt>
                <c:pt idx="8">
                  <c:v>-10249.788321245438</c:v>
                </c:pt>
                <c:pt idx="9">
                  <c:v>-12713.084682530656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F-4969-9C31-BD0E9832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388176"/>
        <c:axId val="-1985314560"/>
      </c:lineChart>
      <c:catAx>
        <c:axId val="-19853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14560"/>
        <c:crosses val="autoZero"/>
        <c:auto val="1"/>
        <c:lblAlgn val="ctr"/>
        <c:lblOffset val="100"/>
        <c:noMultiLvlLbl val="0"/>
      </c:catAx>
      <c:valAx>
        <c:axId val="-19853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'3x9'!$U$7:$U$16</c:f>
              <c:numCache>
                <c:formatCode>General</c:formatCode>
                <c:ptCount val="10"/>
                <c:pt idx="0">
                  <c:v>-200.07496505653273</c:v>
                </c:pt>
                <c:pt idx="1">
                  <c:v>-626.7782949553399</c:v>
                </c:pt>
                <c:pt idx="2">
                  <c:v>-1302.6279064463079</c:v>
                </c:pt>
                <c:pt idx="3">
                  <c:v>-2245.6419242236593</c:v>
                </c:pt>
                <c:pt idx="4">
                  <c:v>-3469.513594844791</c:v>
                </c:pt>
                <c:pt idx="5">
                  <c:v>-4984.1955192317155</c:v>
                </c:pt>
                <c:pt idx="6">
                  <c:v>-6796.6530182589504</c:v>
                </c:pt>
                <c:pt idx="7">
                  <c:v>-8911.6090482550517</c:v>
                </c:pt>
                <c:pt idx="8">
                  <c:v>-11332.183306603103</c:v>
                </c:pt>
                <c:pt idx="9">
                  <c:v>-14060.392451814154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6-4C82-88E2-BE300815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48272"/>
        <c:axId val="-1985145248"/>
      </c:lineChart>
      <c:catAx>
        <c:axId val="-19851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45248"/>
        <c:crosses val="autoZero"/>
        <c:auto val="1"/>
        <c:lblAlgn val="ctr"/>
        <c:lblOffset val="100"/>
        <c:noMultiLvlLbl val="0"/>
      </c:catAx>
      <c:valAx>
        <c:axId val="-19851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'3x10'!$U$7:$U$16</c:f>
              <c:numCache>
                <c:formatCode>General</c:formatCode>
                <c:ptCount val="10"/>
                <c:pt idx="0">
                  <c:v>-220.1309577147839</c:v>
                </c:pt>
                <c:pt idx="1">
                  <c:v>-689.2229850047496</c:v>
                </c:pt>
                <c:pt idx="2">
                  <c:v>-1431.9152454546115</c:v>
                </c:pt>
                <c:pt idx="3">
                  <c:v>-2468.1249332815623</c:v>
                </c:pt>
                <c:pt idx="4">
                  <c:v>-3813.1723140495242</c:v>
                </c:pt>
                <c:pt idx="5">
                  <c:v>-5478.3433211176016</c:v>
                </c:pt>
                <c:pt idx="6">
                  <c:v>-7471.6509007930499</c:v>
                </c:pt>
                <c:pt idx="7">
                  <c:v>-9798.6104149369676</c:v>
                </c:pt>
                <c:pt idx="8">
                  <c:v>-12462.921254246745</c:v>
                </c:pt>
                <c:pt idx="9">
                  <c:v>-15467.012159387166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2-42CD-8E23-47038D1C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'4x4'!$U$7:$U$16</c:f>
              <c:numCache>
                <c:formatCode>General</c:formatCode>
                <c:ptCount val="10"/>
                <c:pt idx="0">
                  <c:v>-200.06148051431794</c:v>
                </c:pt>
                <c:pt idx="1">
                  <c:v>-629.33730536437383</c:v>
                </c:pt>
                <c:pt idx="2">
                  <c:v>-1302.2251789609518</c:v>
                </c:pt>
                <c:pt idx="3">
                  <c:v>-2224.7023687748106</c:v>
                </c:pt>
                <c:pt idx="4">
                  <c:v>-3398.9776209944935</c:v>
                </c:pt>
                <c:pt idx="5">
                  <c:v>-4825.8070282427016</c:v>
                </c:pt>
                <c:pt idx="6">
                  <c:v>-6505.4365449700927</c:v>
                </c:pt>
                <c:pt idx="7">
                  <c:v>-8437.9434106261724</c:v>
                </c:pt>
                <c:pt idx="8">
                  <c:v>-10623.351274600929</c:v>
                </c:pt>
                <c:pt idx="9">
                  <c:v>-13061.667241984804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1-C347-9EA6-F9A0D5BA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Analysis!$R$23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Analysis!$R$24:$R$33</c:f>
              <c:numCache>
                <c:formatCode>_(* #,##0.0000_);_(* \(#,##0.0000\);_(* "-"??_);_(@_)</c:formatCode>
                <c:ptCount val="10"/>
                <c:pt idx="0">
                  <c:v>-0.53922279156809605</c:v>
                </c:pt>
                <c:pt idx="1">
                  <c:v>-0.32102878586419042</c:v>
                </c:pt>
                <c:pt idx="2">
                  <c:v>-0.19916114131057272</c:v>
                </c:pt>
                <c:pt idx="3">
                  <c:v>-0.12477189919715198</c:v>
                </c:pt>
                <c:pt idx="4">
                  <c:v>-7.6879220890103239E-2</c:v>
                </c:pt>
                <c:pt idx="5">
                  <c:v>-4.4979849588409615E-2</c:v>
                </c:pt>
                <c:pt idx="6">
                  <c:v>-2.3249524734818949E-2</c:v>
                </c:pt>
                <c:pt idx="7">
                  <c:v>-8.2187074763620527E-3</c:v>
                </c:pt>
                <c:pt idx="8">
                  <c:v>2.2882187805746135E-3</c:v>
                </c:pt>
                <c:pt idx="9">
                  <c:v>9.6870468034781498E-3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Analysis!$S$23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Analysis!$S$24:$S$33</c:f>
              <c:numCache>
                <c:formatCode>General</c:formatCode>
                <c:ptCount val="10"/>
                <c:pt idx="0">
                  <c:v>45.509254863023195</c:v>
                </c:pt>
                <c:pt idx="1">
                  <c:v>94.612458287215034</c:v>
                </c:pt>
                <c:pt idx="2">
                  <c:v>147.04918411934969</c:v>
                </c:pt>
                <c:pt idx="3">
                  <c:v>202.51670930662871</c:v>
                </c:pt>
                <c:pt idx="4">
                  <c:v>260.6880707892268</c:v>
                </c:pt>
                <c:pt idx="5">
                  <c:v>321.22903338873232</c:v>
                </c:pt>
                <c:pt idx="6">
                  <c:v>383.81257798413787</c:v>
                </c:pt>
                <c:pt idx="7">
                  <c:v>448.13011811155195</c:v>
                </c:pt>
                <c:pt idx="8">
                  <c:v>513.89922261243453</c:v>
                </c:pt>
                <c:pt idx="9">
                  <c:v>580.86806806931088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Analysis!$T$23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Analysis!$T$24:$T$33</c:f>
              <c:numCache>
                <c:formatCode>General</c:formatCode>
                <c:ptCount val="10"/>
                <c:pt idx="0">
                  <c:v>-45.569379296576855</c:v>
                </c:pt>
                <c:pt idx="1">
                  <c:v>-94.737455290105089</c:v>
                </c:pt>
                <c:pt idx="2">
                  <c:v>-147.24345776602473</c:v>
                </c:pt>
                <c:pt idx="3">
                  <c:v>-202.78426372976443</c:v>
                </c:pt>
                <c:pt idx="4">
                  <c:v>-261.03247815510377</c:v>
                </c:pt>
                <c:pt idx="5">
                  <c:v>-321.65342428969569</c:v>
                </c:pt>
                <c:pt idx="6">
                  <c:v>-384.3196509720724</c:v>
                </c:pt>
                <c:pt idx="7">
                  <c:v>-448.72216405013938</c:v>
                </c:pt>
                <c:pt idx="8">
                  <c:v>-514.57815923216685</c:v>
                </c:pt>
                <c:pt idx="9">
                  <c:v>-581.63548040482806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Analysis!$U$23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Analysis!$U$24:$U$33</c:f>
              <c:numCache>
                <c:formatCode>_(* #,##0.0000_);_(* \(#,##0.0000\);_(* "-"??_);_(@_)</c:formatCode>
                <c:ptCount val="10"/>
                <c:pt idx="0">
                  <c:v>-6.0124433553660594E-2</c:v>
                </c:pt>
                <c:pt idx="1">
                  <c:v>-0.12499700289005489</c:v>
                </c:pt>
                <c:pt idx="2">
                  <c:v>-0.19427364667504321</c:v>
                </c:pt>
                <c:pt idx="3">
                  <c:v>-0.26755442313572075</c:v>
                </c:pt>
                <c:pt idx="4">
                  <c:v>-0.34440736587697529</c:v>
                </c:pt>
                <c:pt idx="5">
                  <c:v>-0.42439090096337395</c:v>
                </c:pt>
                <c:pt idx="6">
                  <c:v>-0.50707298793452082</c:v>
                </c:pt>
                <c:pt idx="7">
                  <c:v>-0.59204593858743237</c:v>
                </c:pt>
                <c:pt idx="8">
                  <c:v>-0.67893661973232611</c:v>
                </c:pt>
                <c:pt idx="9">
                  <c:v>-0.76741233551717869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849824"/>
        <c:axId val="-1985846480"/>
      </c:lineChart>
      <c:catAx>
        <c:axId val="-198584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46480"/>
        <c:crosses val="autoZero"/>
        <c:auto val="1"/>
        <c:lblAlgn val="ctr"/>
        <c:lblOffset val="100"/>
        <c:noMultiLvlLbl val="0"/>
      </c:catAx>
      <c:valAx>
        <c:axId val="-19858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'4x5'!$U$7:$U$16</c:f>
              <c:numCache>
                <c:formatCode>General</c:formatCode>
                <c:ptCount val="10"/>
                <c:pt idx="0">
                  <c:v>-240.89736074742009</c:v>
                </c:pt>
                <c:pt idx="1">
                  <c:v>-758.821303550165</c:v>
                </c:pt>
                <c:pt idx="2">
                  <c:v>-1573.1581919282389</c:v>
                </c:pt>
                <c:pt idx="3">
                  <c:v>-2692.7624882701975</c:v>
                </c:pt>
                <c:pt idx="4">
                  <c:v>-4121.2501956412052</c:v>
                </c:pt>
                <c:pt idx="5">
                  <c:v>-5859.9903811272698</c:v>
                </c:pt>
                <c:pt idx="6">
                  <c:v>-7909.4753811679766</c:v>
                </c:pt>
                <c:pt idx="7">
                  <c:v>-10269.875998011987</c:v>
                </c:pt>
                <c:pt idx="8">
                  <c:v>-12941.249968224103</c:v>
                </c:pt>
                <c:pt idx="9">
                  <c:v>-15923.616433072197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E-4144-8538-D1A3E4F0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'4x6'!$U$7:$U$16</c:f>
              <c:numCache>
                <c:formatCode>General</c:formatCode>
                <c:ptCount val="10"/>
                <c:pt idx="0">
                  <c:v>-282.28492549119312</c:v>
                </c:pt>
                <c:pt idx="1">
                  <c:v>-889.80373353141056</c:v>
                </c:pt>
                <c:pt idx="2">
                  <c:v>-1846.866958123001</c:v>
                </c:pt>
                <c:pt idx="3">
                  <c:v>-3165.2916084571771</c:v>
                </c:pt>
                <c:pt idx="4">
                  <c:v>-4850.2321320218907</c:v>
                </c:pt>
                <c:pt idx="5">
                  <c:v>-6903.7748020134222</c:v>
                </c:pt>
                <c:pt idx="6">
                  <c:v>-9326.7215309543863</c:v>
                </c:pt>
                <c:pt idx="7">
                  <c:v>-12119.369541921198</c:v>
                </c:pt>
                <c:pt idx="8">
                  <c:v>-15281.826128580651</c:v>
                </c:pt>
                <c:pt idx="9">
                  <c:v>-18814.129263974777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4-4E41-A1E7-1256B3C7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'4x7'!$U$7:$U$16</c:f>
              <c:numCache>
                <c:formatCode>General</c:formatCode>
                <c:ptCount val="10"/>
                <c:pt idx="0">
                  <c:v>-324.69738958690175</c:v>
                </c:pt>
                <c:pt idx="1">
                  <c:v>-1023.8609602067296</c:v>
                </c:pt>
                <c:pt idx="2">
                  <c:v>-2126.6812959784938</c:v>
                </c:pt>
                <c:pt idx="3">
                  <c:v>-3647.953610937981</c:v>
                </c:pt>
                <c:pt idx="4">
                  <c:v>-5594.425496377803</c:v>
                </c:pt>
                <c:pt idx="5">
                  <c:v>-7968.9547951983959</c:v>
                </c:pt>
                <c:pt idx="6">
                  <c:v>-10772.690942092999</c:v>
                </c:pt>
                <c:pt idx="7">
                  <c:v>-14006.07960247442</c:v>
                </c:pt>
                <c:pt idx="8">
                  <c:v>-17669.289019852691</c:v>
                </c:pt>
                <c:pt idx="9">
                  <c:v>-21762.381448163782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8-184C-8865-AEE66559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'4x8'!$U$7:$U$16</c:f>
              <c:numCache>
                <c:formatCode>General</c:formatCode>
                <c:ptCount val="10"/>
                <c:pt idx="0">
                  <c:v>-368.30651756107471</c:v>
                </c:pt>
                <c:pt idx="1">
                  <c:v>-1161.5940846697913</c:v>
                </c:pt>
                <c:pt idx="2">
                  <c:v>-2413.9177848922518</c:v>
                </c:pt>
                <c:pt idx="3">
                  <c:v>-4143.0399473456418</c:v>
                </c:pt>
                <c:pt idx="4">
                  <c:v>-6357.3137230848042</c:v>
                </c:pt>
                <c:pt idx="5">
                  <c:v>-9060.389578407603</c:v>
                </c:pt>
                <c:pt idx="6">
                  <c:v>-12253.782534852677</c:v>
                </c:pt>
                <c:pt idx="7">
                  <c:v>-15938.098619817996</c:v>
                </c:pt>
                <c:pt idx="8">
                  <c:v>-20113.573815839529</c:v>
                </c:pt>
                <c:pt idx="9">
                  <c:v>-24780.298173639465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8-5546-9734-F1DB0791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'4x9'!$U$7:$U$16</c:f>
              <c:numCache>
                <c:formatCode>General</c:formatCode>
                <c:ptCount val="10"/>
                <c:pt idx="0">
                  <c:v>-413.1162781671718</c:v>
                </c:pt>
                <c:pt idx="1">
                  <c:v>-1303.0538527779786</c:v>
                </c:pt>
                <c:pt idx="2">
                  <c:v>-2708.7376359652608</c:v>
                </c:pt>
                <c:pt idx="3">
                  <c:v>-4650.8775696116627</c:v>
                </c:pt>
                <c:pt idx="4">
                  <c:v>-7139.4233801935898</c:v>
                </c:pt>
                <c:pt idx="5">
                  <c:v>-10178.81947808133</c:v>
                </c:pt>
                <c:pt idx="6">
                  <c:v>-13770.951307603775</c:v>
                </c:pt>
                <c:pt idx="7">
                  <c:v>-17916.589715911075</c:v>
                </c:pt>
                <c:pt idx="8">
                  <c:v>-22616.041445713214</c:v>
                </c:pt>
                <c:pt idx="9">
                  <c:v>-27869.42610033758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D-8C4F-A8D7-9A508093E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'4x10'!$U$7:$U$16</c:f>
              <c:numCache>
                <c:formatCode>General</c:formatCode>
                <c:ptCount val="10"/>
                <c:pt idx="0">
                  <c:v>-459.04168009590239</c:v>
                </c:pt>
                <c:pt idx="1">
                  <c:v>-1447.9958703044267</c:v>
                </c:pt>
                <c:pt idx="2">
                  <c:v>-3010.6743795604725</c:v>
                </c:pt>
                <c:pt idx="3">
                  <c:v>-5170.7141086958536</c:v>
                </c:pt>
                <c:pt idx="4">
                  <c:v>-7939.6427730700816</c:v>
                </c:pt>
                <c:pt idx="5">
                  <c:v>-11322.689582687261</c:v>
                </c:pt>
                <c:pt idx="6">
                  <c:v>-15322.107476165278</c:v>
                </c:pt>
                <c:pt idx="7">
                  <c:v>-19938.831830451199</c:v>
                </c:pt>
                <c:pt idx="8">
                  <c:v>-25173.240593256342</c:v>
                </c:pt>
                <c:pt idx="9">
                  <c:v>-31025.483387927154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9-A248-A885-3AD9B5ED6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'1x1'!$E$20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'1x1'!$E$21:$E$30</c:f>
              <c:numCache>
                <c:formatCode>General</c:formatCode>
                <c:ptCount val="10"/>
                <c:pt idx="0">
                  <c:v>-12.130185969686469</c:v>
                </c:pt>
                <c:pt idx="1">
                  <c:v>57.972881160600551</c:v>
                </c:pt>
                <c:pt idx="2">
                  <c:v>60.716096393460866</c:v>
                </c:pt>
                <c:pt idx="3">
                  <c:v>99.482088397527505</c:v>
                </c:pt>
                <c:pt idx="4">
                  <c:v>179.76797446086459</c:v>
                </c:pt>
                <c:pt idx="5">
                  <c:v>337.99772058599717</c:v>
                </c:pt>
                <c:pt idx="6">
                  <c:v>649.01380470864626</c:v>
                </c:pt>
                <c:pt idx="7">
                  <c:v>1262.3149844057425</c:v>
                </c:pt>
                <c:pt idx="8">
                  <c:v>2475.9303138388941</c:v>
                </c:pt>
                <c:pt idx="9">
                  <c:v>4884.2930917508756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B-4FEE-9433-32F50168A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173168"/>
        <c:axId val="-2139170176"/>
      </c:lineChart>
      <c:catAx>
        <c:axId val="-21391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0176"/>
        <c:crosses val="autoZero"/>
        <c:auto val="1"/>
        <c:lblAlgn val="ctr"/>
        <c:lblOffset val="100"/>
        <c:noMultiLvlLbl val="0"/>
      </c:catAx>
      <c:valAx>
        <c:axId val="-21391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'1x2'!$E$20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'1x2'!$E$21:$E$30</c:f>
              <c:numCache>
                <c:formatCode>General</c:formatCode>
                <c:ptCount val="10"/>
                <c:pt idx="0">
                  <c:v>19.324293720200185</c:v>
                </c:pt>
                <c:pt idx="1">
                  <c:v>12.872935064013314</c:v>
                </c:pt>
                <c:pt idx="2">
                  <c:v>21.754328035626429</c:v>
                </c:pt>
                <c:pt idx="3">
                  <c:v>40.158502549563657</c:v>
                </c:pt>
                <c:pt idx="4">
                  <c:v>76.200829754790092</c:v>
                </c:pt>
                <c:pt idx="5">
                  <c:v>146.63921781616352</c:v>
                </c:pt>
                <c:pt idx="6">
                  <c:v>284.8053302597084</c:v>
                </c:pt>
                <c:pt idx="7">
                  <c:v>556.87510166851575</c:v>
                </c:pt>
                <c:pt idx="8">
                  <c:v>1094.3645364175704</c:v>
                </c:pt>
                <c:pt idx="9">
                  <c:v>2158.9471299276556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173168"/>
        <c:axId val="-2139170176"/>
      </c:lineChart>
      <c:catAx>
        <c:axId val="-21391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0176"/>
        <c:crosses val="autoZero"/>
        <c:auto val="1"/>
        <c:lblAlgn val="ctr"/>
        <c:lblOffset val="100"/>
        <c:noMultiLvlLbl val="0"/>
      </c:catAx>
      <c:valAx>
        <c:axId val="-21391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'1x3'!$E$20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'1x3'!$E$21:$E$30</c:f>
              <c:numCache>
                <c:formatCode>General</c:formatCode>
                <c:ptCount val="10"/>
                <c:pt idx="0">
                  <c:v>13.010592084313043</c:v>
                </c:pt>
                <c:pt idx="1">
                  <c:v>19.601349693264769</c:v>
                </c:pt>
                <c:pt idx="2">
                  <c:v>49.760906026657103</c:v>
                </c:pt>
                <c:pt idx="3">
                  <c:v>137.40181472614159</c:v>
                </c:pt>
                <c:pt idx="4">
                  <c:v>392.92995067782346</c:v>
                </c:pt>
                <c:pt idx="5">
                  <c:v>1145.276150486972</c:v>
                </c:pt>
                <c:pt idx="6">
                  <c:v>3375.7784355079102</c:v>
                </c:pt>
                <c:pt idx="7">
                  <c:v>10017.976239317131</c:v>
                </c:pt>
                <c:pt idx="8">
                  <c:v>29852.771920704199</c:v>
                </c:pt>
                <c:pt idx="9">
                  <c:v>89185.875411423549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1669328"/>
        <c:axId val="-1931666304"/>
      </c:lineChart>
      <c:catAx>
        <c:axId val="-19316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6304"/>
        <c:crosses val="autoZero"/>
        <c:auto val="1"/>
        <c:lblAlgn val="ctr"/>
        <c:lblOffset val="100"/>
        <c:noMultiLvlLbl val="0"/>
      </c:catAx>
      <c:valAx>
        <c:axId val="-19316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'1x4'!$E$20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'1x4'!$E$21:$E$30</c:f>
              <c:numCache>
                <c:formatCode>General</c:formatCode>
                <c:ptCount val="10"/>
                <c:pt idx="0">
                  <c:v>13.264278453003666</c:v>
                </c:pt>
                <c:pt idx="1">
                  <c:v>29.224490073717853</c:v>
                </c:pt>
                <c:pt idx="2">
                  <c:v>99.544234720744342</c:v>
                </c:pt>
                <c:pt idx="3">
                  <c:v>369.7360494627352</c:v>
                </c:pt>
                <c:pt idx="4">
                  <c:v>1424.1648862069767</c:v>
                </c:pt>
                <c:pt idx="5">
                  <c:v>5585.1957001701703</c:v>
                </c:pt>
                <c:pt idx="6">
                  <c:v>22108.342024797112</c:v>
                </c:pt>
                <c:pt idx="7">
                  <c:v>87942.445868023322</c:v>
                </c:pt>
                <c:pt idx="8">
                  <c:v>350725.6230387385</c:v>
                </c:pt>
                <c:pt idx="9">
                  <c:v>1400672.7735594029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501168"/>
        <c:axId val="-1932439824"/>
      </c:lineChart>
      <c:catAx>
        <c:axId val="-1932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439824"/>
        <c:crosses val="autoZero"/>
        <c:auto val="1"/>
        <c:lblAlgn val="ctr"/>
        <c:lblOffset val="100"/>
        <c:noMultiLvlLbl val="0"/>
      </c:catAx>
      <c:valAx>
        <c:axId val="-19324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'1x5'!$E$20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'1x5'!$E$21:$E$30</c:f>
              <c:numCache>
                <c:formatCode>General</c:formatCode>
                <c:ptCount val="10"/>
                <c:pt idx="0">
                  <c:v>14.497417295231017</c:v>
                </c:pt>
                <c:pt idx="1">
                  <c:v>41.390841832085741</c:v>
                </c:pt>
                <c:pt idx="2">
                  <c:v>177.27114953382926</c:v>
                </c:pt>
                <c:pt idx="3">
                  <c:v>829.24067667895474</c:v>
                </c:pt>
                <c:pt idx="4">
                  <c:v>4019.609260583065</c:v>
                </c:pt>
                <c:pt idx="5">
                  <c:v>19803.144828038829</c:v>
                </c:pt>
                <c:pt idx="6">
                  <c:v>98313.329241406565</c:v>
                </c:pt>
                <c:pt idx="7">
                  <c:v>489875.28023423679</c:v>
                </c:pt>
                <c:pt idx="8">
                  <c:v>2445280.8263910944</c:v>
                </c:pt>
                <c:pt idx="9">
                  <c:v>12216458.480485626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681792"/>
        <c:axId val="-1985261776"/>
      </c:lineChart>
      <c:catAx>
        <c:axId val="-19856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261776"/>
        <c:crosses val="autoZero"/>
        <c:auto val="1"/>
        <c:lblAlgn val="ctr"/>
        <c:lblOffset val="100"/>
        <c:noMultiLvlLbl val="0"/>
      </c:catAx>
      <c:valAx>
        <c:axId val="-19852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6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'1x6'!$E$20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'1x6'!$E$21:$E$30</c:f>
              <c:numCache>
                <c:formatCode>General</c:formatCode>
                <c:ptCount val="10"/>
                <c:pt idx="0">
                  <c:v>16.095129551714152</c:v>
                </c:pt>
                <c:pt idx="1">
                  <c:v>56.049019814389204</c:v>
                </c:pt>
                <c:pt idx="2">
                  <c:v>289.34164940812542</c:v>
                </c:pt>
                <c:pt idx="3">
                  <c:v>1632.860457368419</c:v>
                </c:pt>
                <c:pt idx="4">
                  <c:v>9538.1734928833921</c:v>
                </c:pt>
                <c:pt idx="5">
                  <c:v>56547.081269042334</c:v>
                </c:pt>
                <c:pt idx="6">
                  <c:v>337448.35276319046</c:v>
                </c:pt>
                <c:pt idx="7">
                  <c:v>2019707.6820000994</c:v>
                </c:pt>
                <c:pt idx="8">
                  <c:v>12104646.402811985</c:v>
                </c:pt>
                <c:pt idx="9">
                  <c:v>72590672.781921431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61568"/>
        <c:axId val="-1985235936"/>
      </c:lineChart>
      <c:catAx>
        <c:axId val="-19850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235936"/>
        <c:crosses val="autoZero"/>
        <c:auto val="1"/>
        <c:lblAlgn val="ctr"/>
        <c:lblOffset val="100"/>
        <c:noMultiLvlLbl val="0"/>
      </c:catAx>
      <c:valAx>
        <c:axId val="-19852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403225</xdr:colOff>
      <xdr:row>4</xdr:row>
      <xdr:rowOff>180975</xdr:rowOff>
    </xdr:from>
    <xdr:to>
      <xdr:col>29</xdr:col>
      <xdr:colOff>171450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339725</xdr:colOff>
      <xdr:row>20</xdr:row>
      <xdr:rowOff>196850</xdr:rowOff>
    </xdr:from>
    <xdr:to>
      <xdr:col>28</xdr:col>
      <xdr:colOff>631825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187325</xdr:colOff>
      <xdr:row>36</xdr:row>
      <xdr:rowOff>63500</xdr:rowOff>
    </xdr:from>
    <xdr:to>
      <xdr:col>29</xdr:col>
      <xdr:colOff>479425</xdr:colOff>
      <xdr:row>47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18</xdr:row>
      <xdr:rowOff>111125</xdr:rowOff>
    </xdr:from>
    <xdr:to>
      <xdr:col>12</xdr:col>
      <xdr:colOff>209550</xdr:colOff>
      <xdr:row>32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16</xdr:row>
      <xdr:rowOff>47625</xdr:rowOff>
    </xdr:from>
    <xdr:to>
      <xdr:col>12</xdr:col>
      <xdr:colOff>171450</xdr:colOff>
      <xdr:row>30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19</xdr:row>
      <xdr:rowOff>34925</xdr:rowOff>
    </xdr:from>
    <xdr:to>
      <xdr:col>12</xdr:col>
      <xdr:colOff>187325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18</xdr:row>
      <xdr:rowOff>123825</xdr:rowOff>
    </xdr:from>
    <xdr:to>
      <xdr:col>12</xdr:col>
      <xdr:colOff>212725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9525</xdr:rowOff>
    </xdr:from>
    <xdr:to>
      <xdr:col>12</xdr:col>
      <xdr:colOff>200025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18</xdr:row>
      <xdr:rowOff>212725</xdr:rowOff>
    </xdr:from>
    <xdr:to>
      <xdr:col>12</xdr:col>
      <xdr:colOff>149225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18</xdr:row>
      <xdr:rowOff>200025</xdr:rowOff>
    </xdr:from>
    <xdr:to>
      <xdr:col>12</xdr:col>
      <xdr:colOff>288925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19</xdr:row>
      <xdr:rowOff>22225</xdr:rowOff>
    </xdr:from>
    <xdr:to>
      <xdr:col>12</xdr:col>
      <xdr:colOff>187325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19</xdr:row>
      <xdr:rowOff>60325</xdr:rowOff>
    </xdr:from>
    <xdr:to>
      <xdr:col>12</xdr:col>
      <xdr:colOff>276225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19</xdr:row>
      <xdr:rowOff>73025</xdr:rowOff>
    </xdr:from>
    <xdr:to>
      <xdr:col>12</xdr:col>
      <xdr:colOff>288925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422275</xdr:colOff>
      <xdr:row>18</xdr:row>
      <xdr:rowOff>57150</xdr:rowOff>
    </xdr:from>
    <xdr:to>
      <xdr:col>12</xdr:col>
      <xdr:colOff>571500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9E2E1-79FF-497B-ADD2-1DD41F8FA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19</xdr:row>
      <xdr:rowOff>85725</xdr:rowOff>
    </xdr:from>
    <xdr:to>
      <xdr:col>12</xdr:col>
      <xdr:colOff>288925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19</xdr:row>
      <xdr:rowOff>73025</xdr:rowOff>
    </xdr:from>
    <xdr:to>
      <xdr:col>12</xdr:col>
      <xdr:colOff>212725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19</xdr:row>
      <xdr:rowOff>85725</xdr:rowOff>
    </xdr:from>
    <xdr:to>
      <xdr:col>12</xdr:col>
      <xdr:colOff>250825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22225</xdr:rowOff>
    </xdr:from>
    <xdr:to>
      <xdr:col>12</xdr:col>
      <xdr:colOff>200025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85725</xdr:rowOff>
    </xdr:from>
    <xdr:to>
      <xdr:col>12</xdr:col>
      <xdr:colOff>200025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19</xdr:row>
      <xdr:rowOff>47625</xdr:rowOff>
    </xdr:from>
    <xdr:to>
      <xdr:col>12</xdr:col>
      <xdr:colOff>149225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E7FF7-B687-8541-B657-8E9F795F7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9D68E-FFEC-B841-998B-F5763A87F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8540C-3F12-C64F-ABC6-92C3DB5E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422275</xdr:colOff>
      <xdr:row>18</xdr:row>
      <xdr:rowOff>57150</xdr:rowOff>
    </xdr:from>
    <xdr:to>
      <xdr:col>12</xdr:col>
      <xdr:colOff>571500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A0CE6-9544-0944-BE56-C64B4C0BC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3C6FB-7E55-304E-9639-C7C997F1D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F22FF-4884-BB42-B54F-40B1F580F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5CD6F-7D81-4548-B549-CA8332187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19</xdr:row>
      <xdr:rowOff>57150</xdr:rowOff>
    </xdr:from>
    <xdr:to>
      <xdr:col>12</xdr:col>
      <xdr:colOff>127000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16</xdr:row>
      <xdr:rowOff>152400</xdr:rowOff>
    </xdr:from>
    <xdr:to>
      <xdr:col>12</xdr:col>
      <xdr:colOff>180975</xdr:colOff>
      <xdr:row>30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18</xdr:row>
      <xdr:rowOff>161925</xdr:rowOff>
    </xdr:from>
    <xdr:to>
      <xdr:col>13</xdr:col>
      <xdr:colOff>180975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17</xdr:row>
      <xdr:rowOff>200025</xdr:rowOff>
    </xdr:from>
    <xdr:to>
      <xdr:col>12</xdr:col>
      <xdr:colOff>187325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19</xdr:row>
      <xdr:rowOff>9525</xdr:rowOff>
    </xdr:from>
    <xdr:to>
      <xdr:col>12</xdr:col>
      <xdr:colOff>466725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16</xdr:row>
      <xdr:rowOff>190500</xdr:rowOff>
    </xdr:from>
    <xdr:to>
      <xdr:col>12</xdr:col>
      <xdr:colOff>247650</xdr:colOff>
      <xdr:row>30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4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7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8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0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1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5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7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18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9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0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21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22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2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24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25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26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27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28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29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3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2.bin"/><Relationship Id="rId4" Type="http://schemas.openxmlformats.org/officeDocument/2006/relationships/comments" Target="../comments31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3.bin"/><Relationship Id="rId4" Type="http://schemas.openxmlformats.org/officeDocument/2006/relationships/comments" Target="../comments32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42"/>
  <sheetViews>
    <sheetView tabSelected="1" zoomScale="70" zoomScaleNormal="70" zoomScalePageLayoutView="80" workbookViewId="0">
      <selection activeCell="B6" sqref="B6"/>
    </sheetView>
  </sheetViews>
  <sheetFormatPr baseColWidth="10" defaultColWidth="11" defaultRowHeight="16"/>
  <cols>
    <col min="1" max="1" width="16.83203125" bestFit="1" customWidth="1"/>
    <col min="2" max="2" width="15.33203125" bestFit="1" customWidth="1"/>
    <col min="3" max="3" width="13.5" bestFit="1" customWidth="1"/>
    <col min="4" max="10" width="13.83203125" customWidth="1"/>
    <col min="11" max="22" width="4.6640625" customWidth="1"/>
  </cols>
  <sheetData>
    <row r="1" spans="1:22" ht="25" thickBot="1">
      <c r="A1" s="319" t="s">
        <v>119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1"/>
    </row>
    <row r="2" spans="1:22" ht="22" thickBot="1">
      <c r="A2" s="328" t="s">
        <v>49</v>
      </c>
      <c r="B2" s="329"/>
      <c r="C2" s="329"/>
      <c r="D2" s="330" t="s">
        <v>51</v>
      </c>
      <c r="E2" s="330"/>
      <c r="F2" s="330"/>
      <c r="G2" s="330"/>
      <c r="H2" s="330"/>
      <c r="I2" s="330"/>
      <c r="J2" s="330"/>
      <c r="L2" s="334" t="s">
        <v>23</v>
      </c>
      <c r="M2" s="334"/>
      <c r="N2" s="334"/>
      <c r="O2" s="334"/>
      <c r="P2" s="334"/>
      <c r="Q2" s="334"/>
      <c r="R2" s="334"/>
      <c r="S2" s="334"/>
      <c r="T2" s="334"/>
      <c r="U2" s="334"/>
      <c r="V2" s="334"/>
    </row>
    <row r="3" spans="1:22" ht="17" thickBot="1">
      <c r="A3" s="273" t="s">
        <v>62</v>
      </c>
      <c r="B3" s="120" t="s">
        <v>60</v>
      </c>
      <c r="C3" s="128"/>
      <c r="D3" s="275" t="s">
        <v>60</v>
      </c>
      <c r="E3" s="118" t="s">
        <v>61</v>
      </c>
      <c r="F3" s="118" t="s">
        <v>84</v>
      </c>
      <c r="G3" s="118"/>
      <c r="H3" s="118"/>
      <c r="I3" s="118"/>
      <c r="J3" s="118"/>
      <c r="K3" s="1"/>
      <c r="L3" s="48" t="s">
        <v>9</v>
      </c>
      <c r="M3" s="48" t="s">
        <v>22</v>
      </c>
      <c r="N3" s="48">
        <v>2</v>
      </c>
      <c r="O3" s="48">
        <v>3</v>
      </c>
      <c r="P3" s="48">
        <v>4</v>
      </c>
      <c r="Q3" s="48">
        <v>5</v>
      </c>
      <c r="R3" s="48">
        <v>6</v>
      </c>
      <c r="S3" s="48">
        <v>7</v>
      </c>
      <c r="T3" s="48">
        <v>8</v>
      </c>
      <c r="U3" s="48">
        <v>9</v>
      </c>
      <c r="V3" s="48">
        <v>10</v>
      </c>
    </row>
    <row r="4" spans="1:22" ht="17" thickBot="1">
      <c r="A4" s="273" t="s">
        <v>120</v>
      </c>
      <c r="B4" s="121" t="s">
        <v>50</v>
      </c>
      <c r="C4" s="128"/>
      <c r="D4" s="118" t="s">
        <v>50</v>
      </c>
      <c r="E4" s="118" t="s">
        <v>6</v>
      </c>
      <c r="F4" s="118"/>
      <c r="G4" s="118"/>
      <c r="H4" s="118"/>
      <c r="I4" s="118"/>
      <c r="J4" s="118"/>
      <c r="K4" s="1"/>
      <c r="L4" s="48" t="s">
        <v>20</v>
      </c>
      <c r="M4" s="49" t="str">
        <f>Summary!C3</f>
        <v>H</v>
      </c>
      <c r="N4" s="49" t="str">
        <f>Summary!D3</f>
        <v>H</v>
      </c>
      <c r="O4" s="49" t="str">
        <f>Summary!E3</f>
        <v>H</v>
      </c>
      <c r="P4" s="49" t="str">
        <f>Summary!F3</f>
        <v>H</v>
      </c>
      <c r="Q4" s="49" t="str">
        <f>Summary!G3</f>
        <v>H</v>
      </c>
      <c r="R4" s="49" t="str">
        <f>Summary!H3</f>
        <v>H</v>
      </c>
      <c r="S4" s="49" t="str">
        <f>Summary!I3</f>
        <v>H</v>
      </c>
      <c r="T4" s="49" t="str">
        <f>Summary!J3</f>
        <v>H</v>
      </c>
      <c r="U4" s="49" t="str">
        <f>Summary!K3</f>
        <v>H</v>
      </c>
      <c r="V4" s="49" t="str">
        <f>Summary!L3</f>
        <v>H</v>
      </c>
    </row>
    <row r="5" spans="1:22" ht="17" thickBot="1">
      <c r="A5" s="273" t="s">
        <v>121</v>
      </c>
      <c r="B5" s="121">
        <v>4</v>
      </c>
      <c r="C5" s="128" t="str">
        <f>"True Count: " &amp; B5-4</f>
        <v>True Count: 0</v>
      </c>
      <c r="D5" s="118" t="s">
        <v>81</v>
      </c>
      <c r="E5" s="118" t="s">
        <v>80</v>
      </c>
      <c r="F5" s="118"/>
      <c r="G5" s="118"/>
      <c r="H5" s="118"/>
      <c r="I5" s="118"/>
      <c r="J5" s="118"/>
      <c r="K5" s="1"/>
      <c r="L5" s="48">
        <v>9</v>
      </c>
      <c r="M5" s="49" t="str">
        <f>Summary!C4</f>
        <v>H</v>
      </c>
      <c r="N5" s="49" t="str">
        <f>Summary!D4</f>
        <v>H</v>
      </c>
      <c r="O5" s="49" t="str">
        <f>Summary!E4</f>
        <v>D</v>
      </c>
      <c r="P5" s="49" t="str">
        <f>Summary!F4</f>
        <v>D</v>
      </c>
      <c r="Q5" s="49" t="str">
        <f>Summary!G4</f>
        <v>D</v>
      </c>
      <c r="R5" s="49" t="str">
        <f>Summary!H4</f>
        <v>D</v>
      </c>
      <c r="S5" s="49" t="str">
        <f>Summary!I4</f>
        <v>H</v>
      </c>
      <c r="T5" s="49" t="str">
        <f>Summary!J4</f>
        <v>H</v>
      </c>
      <c r="U5" s="49" t="str">
        <f>Summary!K4</f>
        <v>H</v>
      </c>
      <c r="V5" s="49" t="str">
        <f>Summary!L4</f>
        <v>H</v>
      </c>
    </row>
    <row r="6" spans="1:22" ht="17" thickBot="1">
      <c r="A6" s="273" t="s">
        <v>53</v>
      </c>
      <c r="B6" s="121" t="s">
        <v>54</v>
      </c>
      <c r="C6" s="128"/>
      <c r="D6" s="118" t="s">
        <v>73</v>
      </c>
      <c r="E6" s="118" t="s">
        <v>54</v>
      </c>
      <c r="F6" s="118"/>
      <c r="G6" s="118"/>
      <c r="H6" s="118"/>
      <c r="I6" s="118"/>
      <c r="J6" s="118"/>
      <c r="K6" s="1"/>
      <c r="L6" s="48">
        <v>10</v>
      </c>
      <c r="M6" s="49" t="str">
        <f>Summary!C5</f>
        <v>H</v>
      </c>
      <c r="N6" s="49" t="str">
        <f>Summary!D5</f>
        <v>D</v>
      </c>
      <c r="O6" s="49" t="str">
        <f>Summary!E5</f>
        <v>D</v>
      </c>
      <c r="P6" s="49" t="str">
        <f>Summary!F5</f>
        <v>D</v>
      </c>
      <c r="Q6" s="49" t="str">
        <f>Summary!G5</f>
        <v>D</v>
      </c>
      <c r="R6" s="49" t="str">
        <f>Summary!H5</f>
        <v>D</v>
      </c>
      <c r="S6" s="49" t="str">
        <f>Summary!I5</f>
        <v>D</v>
      </c>
      <c r="T6" s="49" t="str">
        <f>Summary!J5</f>
        <v>D</v>
      </c>
      <c r="U6" s="49" t="str">
        <f>Summary!K5</f>
        <v>D</v>
      </c>
      <c r="V6" s="49" t="str">
        <f>Summary!L5</f>
        <v>H</v>
      </c>
    </row>
    <row r="7" spans="1:22" ht="17" thickBot="1">
      <c r="A7" s="273" t="s">
        <v>59</v>
      </c>
      <c r="B7" s="121" t="s">
        <v>56</v>
      </c>
      <c r="C7" s="128"/>
      <c r="D7" s="118" t="s">
        <v>55</v>
      </c>
      <c r="E7" s="118" t="s">
        <v>56</v>
      </c>
      <c r="F7" s="118"/>
      <c r="G7" s="118"/>
      <c r="H7" s="118"/>
      <c r="I7" s="118"/>
      <c r="J7" s="118"/>
      <c r="K7" s="1"/>
      <c r="L7" s="48">
        <v>11</v>
      </c>
      <c r="M7" s="49" t="str">
        <f>Summary!C6</f>
        <v>H</v>
      </c>
      <c r="N7" s="49" t="str">
        <f>Summary!D6</f>
        <v>D</v>
      </c>
      <c r="O7" s="49" t="str">
        <f>Summary!E6</f>
        <v>D</v>
      </c>
      <c r="P7" s="49" t="str">
        <f>Summary!F6</f>
        <v>D</v>
      </c>
      <c r="Q7" s="49" t="str">
        <f>Summary!G6</f>
        <v>D</v>
      </c>
      <c r="R7" s="49" t="str">
        <f>Summary!H6</f>
        <v>D</v>
      </c>
      <c r="S7" s="49" t="str">
        <f>Summary!I6</f>
        <v>D</v>
      </c>
      <c r="T7" s="49" t="str">
        <f>Summary!J6</f>
        <v>D</v>
      </c>
      <c r="U7" s="49" t="str">
        <f>Summary!K6</f>
        <v>D</v>
      </c>
      <c r="V7" s="49" t="str">
        <f>Summary!L6</f>
        <v>H</v>
      </c>
    </row>
    <row r="8" spans="1:22" ht="17" thickBot="1">
      <c r="A8" s="273" t="s">
        <v>57</v>
      </c>
      <c r="B8" s="121" t="s">
        <v>56</v>
      </c>
      <c r="C8" s="128"/>
      <c r="D8" s="118" t="s">
        <v>55</v>
      </c>
      <c r="E8" s="118" t="s">
        <v>56</v>
      </c>
      <c r="F8" s="118"/>
      <c r="G8" s="118"/>
      <c r="H8" s="118"/>
      <c r="I8" s="118"/>
      <c r="J8" s="118"/>
      <c r="K8" s="1"/>
      <c r="L8" s="48">
        <v>12</v>
      </c>
      <c r="M8" s="49" t="str">
        <f>Summary!C7</f>
        <v>H</v>
      </c>
      <c r="N8" s="49" t="str">
        <f>Summary!D7</f>
        <v>H</v>
      </c>
      <c r="O8" s="49" t="str">
        <f>Summary!E7</f>
        <v>H</v>
      </c>
      <c r="P8" s="49" t="str">
        <f>Summary!F7</f>
        <v>S</v>
      </c>
      <c r="Q8" s="49" t="str">
        <f>Summary!G7</f>
        <v>S</v>
      </c>
      <c r="R8" s="49" t="str">
        <f>Summary!H7</f>
        <v>S</v>
      </c>
      <c r="S8" s="49" t="str">
        <f>Summary!I7</f>
        <v>H</v>
      </c>
      <c r="T8" s="49" t="str">
        <f>Summary!J7</f>
        <v>H</v>
      </c>
      <c r="U8" s="49" t="str">
        <f>Summary!K7</f>
        <v>H</v>
      </c>
      <c r="V8" s="49" t="str">
        <f>Summary!L7</f>
        <v>H</v>
      </c>
    </row>
    <row r="9" spans="1:22" ht="17" thickBot="1">
      <c r="A9" s="273" t="s">
        <v>72</v>
      </c>
      <c r="B9" s="121" t="s">
        <v>56</v>
      </c>
      <c r="C9" s="128"/>
      <c r="D9" s="118" t="s">
        <v>55</v>
      </c>
      <c r="E9" s="118" t="s">
        <v>56</v>
      </c>
      <c r="F9" s="118"/>
      <c r="G9" s="118"/>
      <c r="H9" s="118"/>
      <c r="I9" s="118"/>
      <c r="J9" s="118"/>
      <c r="K9" s="1"/>
      <c r="L9" s="48">
        <v>13</v>
      </c>
      <c r="M9" s="49" t="str">
        <f>Summary!C8</f>
        <v>H</v>
      </c>
      <c r="N9" s="49" t="str">
        <f>Summary!D8</f>
        <v>S</v>
      </c>
      <c r="O9" s="49" t="str">
        <f>Summary!E8</f>
        <v>S</v>
      </c>
      <c r="P9" s="49" t="str">
        <f>Summary!F8</f>
        <v>S</v>
      </c>
      <c r="Q9" s="49" t="str">
        <f>Summary!G8</f>
        <v>S</v>
      </c>
      <c r="R9" s="49" t="str">
        <f>Summary!H8</f>
        <v>S</v>
      </c>
      <c r="S9" s="49" t="str">
        <f>Summary!I8</f>
        <v>H</v>
      </c>
      <c r="T9" s="49" t="str">
        <f>Summary!J8</f>
        <v>H</v>
      </c>
      <c r="U9" s="49" t="str">
        <f>Summary!K8</f>
        <v>H</v>
      </c>
      <c r="V9" s="49" t="str">
        <f>Summary!L8</f>
        <v>H</v>
      </c>
    </row>
    <row r="10" spans="1:22" ht="17" thickBot="1">
      <c r="A10" s="273" t="s">
        <v>49</v>
      </c>
      <c r="B10" s="121" t="s">
        <v>63</v>
      </c>
      <c r="C10" s="128"/>
      <c r="D10" s="118" t="s">
        <v>64</v>
      </c>
      <c r="E10" s="118" t="s">
        <v>63</v>
      </c>
      <c r="F10" s="118"/>
      <c r="G10" s="118"/>
      <c r="H10" s="118"/>
      <c r="I10" s="118"/>
      <c r="J10" s="118"/>
      <c r="K10" s="1"/>
      <c r="L10" s="48">
        <v>14</v>
      </c>
      <c r="M10" s="49" t="str">
        <f>Summary!C9</f>
        <v>H</v>
      </c>
      <c r="N10" s="49" t="str">
        <f>Summary!D9</f>
        <v>S</v>
      </c>
      <c r="O10" s="49" t="str">
        <f>Summary!E9</f>
        <v>S</v>
      </c>
      <c r="P10" s="49" t="str">
        <f>Summary!F9</f>
        <v>S</v>
      </c>
      <c r="Q10" s="49" t="str">
        <f>Summary!G9</f>
        <v>S</v>
      </c>
      <c r="R10" s="49" t="str">
        <f>Summary!H9</f>
        <v>S</v>
      </c>
      <c r="S10" s="49" t="str">
        <f>Summary!I9</f>
        <v>H</v>
      </c>
      <c r="T10" s="49" t="str">
        <f>Summary!J9</f>
        <v>H</v>
      </c>
      <c r="U10" s="49" t="str">
        <f>Summary!K9</f>
        <v>H</v>
      </c>
      <c r="V10" s="49" t="str">
        <f>Summary!L9</f>
        <v>H</v>
      </c>
    </row>
    <row r="11" spans="1:22" ht="17" thickBot="1">
      <c r="A11" s="273" t="s">
        <v>70</v>
      </c>
      <c r="B11" s="121">
        <v>2</v>
      </c>
      <c r="C11" s="128" t="s">
        <v>71</v>
      </c>
      <c r="D11" s="118" t="s">
        <v>58</v>
      </c>
      <c r="E11" s="118" t="s">
        <v>79</v>
      </c>
      <c r="F11" s="118"/>
      <c r="G11" s="118"/>
      <c r="H11" s="118"/>
      <c r="I11" s="118"/>
      <c r="J11" s="118"/>
      <c r="K11" s="1"/>
      <c r="L11" s="48">
        <v>15</v>
      </c>
      <c r="M11" s="49" t="str">
        <f>Summary!C10</f>
        <v>H</v>
      </c>
      <c r="N11" s="49" t="str">
        <f>Summary!D10</f>
        <v>S</v>
      </c>
      <c r="O11" s="49" t="str">
        <f>Summary!E10</f>
        <v>S</v>
      </c>
      <c r="P11" s="49" t="str">
        <f>Summary!F10</f>
        <v>S</v>
      </c>
      <c r="Q11" s="49" t="str">
        <f>Summary!G10</f>
        <v>S</v>
      </c>
      <c r="R11" s="49" t="str">
        <f>Summary!H10</f>
        <v>S</v>
      </c>
      <c r="S11" s="49" t="str">
        <f>Summary!I10</f>
        <v>H</v>
      </c>
      <c r="T11" s="49" t="str">
        <f>Summary!J10</f>
        <v>H</v>
      </c>
      <c r="U11" s="49" t="str">
        <f>Summary!K10</f>
        <v>H</v>
      </c>
      <c r="V11" s="49" t="str">
        <f>Summary!L10</f>
        <v>H</v>
      </c>
    </row>
    <row r="12" spans="1:22" ht="17" thickBot="1">
      <c r="A12" s="273" t="s">
        <v>78</v>
      </c>
      <c r="B12" s="121" t="s">
        <v>56</v>
      </c>
      <c r="C12" s="128"/>
      <c r="D12" s="118" t="s">
        <v>55</v>
      </c>
      <c r="E12" s="118" t="s">
        <v>56</v>
      </c>
      <c r="F12" s="118"/>
      <c r="G12" s="118"/>
      <c r="H12" s="118"/>
      <c r="I12" s="118"/>
      <c r="J12" s="118"/>
      <c r="K12" s="1"/>
      <c r="L12" s="48">
        <v>16</v>
      </c>
      <c r="M12" s="49" t="str">
        <f>Summary!C11</f>
        <v>S</v>
      </c>
      <c r="N12" s="49" t="str">
        <f>Summary!D11</f>
        <v>S</v>
      </c>
      <c r="O12" s="49" t="str">
        <f>Summary!E11</f>
        <v>S</v>
      </c>
      <c r="P12" s="49" t="str">
        <f>Summary!F11</f>
        <v>S</v>
      </c>
      <c r="Q12" s="49" t="str">
        <f>Summary!G11</f>
        <v>S</v>
      </c>
      <c r="R12" s="49" t="str">
        <f>Summary!H11</f>
        <v>S</v>
      </c>
      <c r="S12" s="49" t="str">
        <f>Summary!I11</f>
        <v>H</v>
      </c>
      <c r="T12" s="49" t="str">
        <f>Summary!J11</f>
        <v>H</v>
      </c>
      <c r="U12" s="49" t="str">
        <f>Summary!K11</f>
        <v>H</v>
      </c>
      <c r="V12" s="49" t="str">
        <f>Summary!L11</f>
        <v>H</v>
      </c>
    </row>
    <row r="13" spans="1:22" ht="17" thickBot="1">
      <c r="A13" s="273" t="s">
        <v>86</v>
      </c>
      <c r="B13" s="121" t="s">
        <v>83</v>
      </c>
      <c r="C13" s="128"/>
      <c r="D13" s="118" t="s">
        <v>82</v>
      </c>
      <c r="E13" s="118" t="s">
        <v>83</v>
      </c>
      <c r="F13" s="118"/>
      <c r="G13" s="118"/>
      <c r="H13" s="118"/>
      <c r="I13" s="118"/>
      <c r="J13" s="118"/>
      <c r="K13" s="1"/>
      <c r="L13" s="48" t="s">
        <v>21</v>
      </c>
      <c r="M13" s="49" t="str">
        <f>Summary!C12</f>
        <v>S</v>
      </c>
      <c r="N13" s="49" t="str">
        <f>Summary!D12</f>
        <v>S</v>
      </c>
      <c r="O13" s="49" t="str">
        <f>Summary!E12</f>
        <v>S</v>
      </c>
      <c r="P13" s="49" t="str">
        <f>Summary!F12</f>
        <v>S</v>
      </c>
      <c r="Q13" s="49" t="str">
        <f>Summary!G12</f>
        <v>S</v>
      </c>
      <c r="R13" s="49" t="str">
        <f>Summary!H12</f>
        <v>S</v>
      </c>
      <c r="S13" s="49" t="str">
        <f>Summary!I12</f>
        <v>S</v>
      </c>
      <c r="T13" s="49" t="str">
        <f>Summary!J12</f>
        <v>S</v>
      </c>
      <c r="U13" s="49" t="str">
        <f>Summary!K12</f>
        <v>S</v>
      </c>
      <c r="V13" s="49" t="str">
        <f>Summary!L12</f>
        <v>S</v>
      </c>
    </row>
    <row r="14" spans="1:22" ht="17" thickBot="1">
      <c r="A14" s="273" t="s">
        <v>87</v>
      </c>
      <c r="B14" s="121" t="s">
        <v>88</v>
      </c>
      <c r="C14" s="128"/>
      <c r="D14" s="118" t="s">
        <v>88</v>
      </c>
      <c r="E14" s="118" t="s">
        <v>89</v>
      </c>
      <c r="F14" s="118"/>
      <c r="G14" s="118"/>
      <c r="H14" s="118"/>
      <c r="I14" s="118"/>
      <c r="J14" s="118"/>
      <c r="K14" s="1"/>
      <c r="L14" s="48" t="s">
        <v>4</v>
      </c>
      <c r="M14" s="48" t="s">
        <v>22</v>
      </c>
      <c r="N14" s="48">
        <v>2</v>
      </c>
      <c r="O14" s="48">
        <v>3</v>
      </c>
      <c r="P14" s="48">
        <v>4</v>
      </c>
      <c r="Q14" s="48">
        <v>5</v>
      </c>
      <c r="R14" s="48">
        <v>6</v>
      </c>
      <c r="S14" s="48">
        <v>7</v>
      </c>
      <c r="T14" s="48">
        <v>8</v>
      </c>
      <c r="U14" s="48">
        <v>9</v>
      </c>
      <c r="V14" s="48">
        <v>10</v>
      </c>
    </row>
    <row r="15" spans="1:22" ht="17" thickBot="1">
      <c r="A15" s="273" t="s">
        <v>112</v>
      </c>
      <c r="B15" s="121" t="s">
        <v>83</v>
      </c>
      <c r="C15" s="128"/>
      <c r="D15" s="118" t="s">
        <v>82</v>
      </c>
      <c r="E15" s="118" t="s">
        <v>113</v>
      </c>
      <c r="F15" s="118" t="s">
        <v>83</v>
      </c>
      <c r="G15" s="118"/>
      <c r="H15" s="118"/>
      <c r="I15" s="118"/>
      <c r="J15" s="118"/>
      <c r="K15" s="1"/>
      <c r="L15" s="48">
        <v>13</v>
      </c>
      <c r="M15" s="49" t="str">
        <f>Summary!C14</f>
        <v>H</v>
      </c>
      <c r="N15" s="49" t="str">
        <f>Summary!D14</f>
        <v>H</v>
      </c>
      <c r="O15" s="49" t="str">
        <f>Summary!E14</f>
        <v>H</v>
      </c>
      <c r="P15" s="49" t="str">
        <f>Summary!F14</f>
        <v>H</v>
      </c>
      <c r="Q15" s="49" t="str">
        <f>Summary!G14</f>
        <v>H</v>
      </c>
      <c r="R15" s="49" t="str">
        <f>Summary!H14</f>
        <v>H</v>
      </c>
      <c r="S15" s="49" t="str">
        <f>Summary!I14</f>
        <v>H</v>
      </c>
      <c r="T15" s="49" t="str">
        <f>Summary!J14</f>
        <v>H</v>
      </c>
      <c r="U15" s="49" t="str">
        <f>Summary!K14</f>
        <v>H</v>
      </c>
      <c r="V15" s="49" t="str">
        <f>Summary!L14</f>
        <v>H</v>
      </c>
    </row>
    <row r="16" spans="1:22" ht="17" thickBot="1">
      <c r="A16" s="273" t="s">
        <v>111</v>
      </c>
      <c r="B16" s="121" t="s">
        <v>83</v>
      </c>
      <c r="C16" s="128"/>
      <c r="D16" s="118" t="s">
        <v>82</v>
      </c>
      <c r="E16" s="118" t="s">
        <v>113</v>
      </c>
      <c r="F16" s="118" t="s">
        <v>83</v>
      </c>
      <c r="G16" s="118"/>
      <c r="H16" s="118"/>
      <c r="I16" s="118"/>
      <c r="J16" s="118"/>
      <c r="K16" s="1"/>
      <c r="L16" s="48">
        <v>14</v>
      </c>
      <c r="M16" s="49" t="str">
        <f>Summary!C15</f>
        <v>H</v>
      </c>
      <c r="N16" s="49" t="str">
        <f>Summary!D15</f>
        <v>H</v>
      </c>
      <c r="O16" s="49" t="str">
        <f>Summary!E15</f>
        <v>H</v>
      </c>
      <c r="P16" s="49" t="str">
        <f>Summary!F15</f>
        <v>H</v>
      </c>
      <c r="Q16" s="49" t="str">
        <f>Summary!G15</f>
        <v>H</v>
      </c>
      <c r="R16" s="49" t="str">
        <f>Summary!H15</f>
        <v>H</v>
      </c>
      <c r="S16" s="49" t="str">
        <f>Summary!I15</f>
        <v>H</v>
      </c>
      <c r="T16" s="49" t="str">
        <f>Summary!J15</f>
        <v>H</v>
      </c>
      <c r="U16" s="49" t="str">
        <f>Summary!K15</f>
        <v>H</v>
      </c>
      <c r="V16" s="49" t="str">
        <f>Summary!L15</f>
        <v>H</v>
      </c>
    </row>
    <row r="17" spans="1:22">
      <c r="A17" s="273" t="s">
        <v>85</v>
      </c>
      <c r="B17" s="121">
        <v>2</v>
      </c>
      <c r="C17" s="128" t="s">
        <v>71</v>
      </c>
      <c r="D17" s="118" t="s">
        <v>58</v>
      </c>
      <c r="E17" s="118" t="s">
        <v>79</v>
      </c>
      <c r="F17" s="118"/>
      <c r="G17" s="118"/>
      <c r="H17" s="118"/>
      <c r="I17" s="118"/>
      <c r="J17" s="118"/>
      <c r="K17" s="1"/>
      <c r="L17" s="48">
        <v>15</v>
      </c>
      <c r="M17" s="49" t="str">
        <f>Summary!C16</f>
        <v>H</v>
      </c>
      <c r="N17" s="49" t="str">
        <f>Summary!D16</f>
        <v>H</v>
      </c>
      <c r="O17" s="49" t="str">
        <f>Summary!E16</f>
        <v>H</v>
      </c>
      <c r="P17" s="49" t="str">
        <f>Summary!F16</f>
        <v>H</v>
      </c>
      <c r="Q17" s="49" t="str">
        <f>Summary!G16</f>
        <v>H</v>
      </c>
      <c r="R17" s="49" t="str">
        <f>Summary!H16</f>
        <v>H</v>
      </c>
      <c r="S17" s="49" t="str">
        <f>Summary!I16</f>
        <v>H</v>
      </c>
      <c r="T17" s="49" t="str">
        <f>Summary!J16</f>
        <v>H</v>
      </c>
      <c r="U17" s="49" t="str">
        <f>Summary!K16</f>
        <v>H</v>
      </c>
      <c r="V17" s="49" t="str">
        <f>Summary!L16</f>
        <v>H</v>
      </c>
    </row>
    <row r="18" spans="1:22" ht="17" thickBot="1">
      <c r="A18" s="274" t="s">
        <v>192</v>
      </c>
      <c r="B18" s="276" t="s">
        <v>202</v>
      </c>
      <c r="C18" s="119"/>
      <c r="D18" s="118"/>
      <c r="E18" s="118"/>
      <c r="F18" s="118"/>
      <c r="G18" s="118"/>
      <c r="H18" s="118"/>
      <c r="I18" s="118"/>
      <c r="J18" s="118"/>
      <c r="K18" s="128"/>
      <c r="L18" s="48">
        <v>16</v>
      </c>
      <c r="M18" s="49" t="str">
        <f>Summary!C17</f>
        <v>H</v>
      </c>
      <c r="N18" s="49" t="str">
        <f>Summary!D17</f>
        <v>H</v>
      </c>
      <c r="O18" s="49" t="str">
        <f>Summary!E17</f>
        <v>H</v>
      </c>
      <c r="P18" s="49" t="str">
        <f>Summary!F17</f>
        <v>H</v>
      </c>
      <c r="Q18" s="49" t="str">
        <f>Summary!G17</f>
        <v>H</v>
      </c>
      <c r="R18" s="49" t="str">
        <f>Summary!H17</f>
        <v>H</v>
      </c>
      <c r="S18" s="49" t="str">
        <f>Summary!I17</f>
        <v>H</v>
      </c>
      <c r="T18" s="49" t="str">
        <f>Summary!J17</f>
        <v>H</v>
      </c>
      <c r="U18" s="49" t="str">
        <f>Summary!K17</f>
        <v>H</v>
      </c>
      <c r="V18" s="49" t="str">
        <f>Summary!L17</f>
        <v>H</v>
      </c>
    </row>
    <row r="19" spans="1:22" ht="17" thickBot="1">
      <c r="A19" s="274" t="s">
        <v>191</v>
      </c>
      <c r="B19" s="326" t="s">
        <v>193</v>
      </c>
      <c r="C19" s="327"/>
      <c r="D19" s="118"/>
      <c r="E19" s="118"/>
      <c r="F19" s="118"/>
      <c r="G19" s="118"/>
      <c r="H19" s="118"/>
      <c r="I19" s="118"/>
      <c r="J19" s="118"/>
      <c r="K19" s="128"/>
      <c r="L19" s="48">
        <v>17</v>
      </c>
      <c r="M19" s="49" t="str">
        <f>Summary!C18</f>
        <v>H</v>
      </c>
      <c r="N19" s="49" t="str">
        <f>Summary!D18</f>
        <v>H</v>
      </c>
      <c r="O19" s="49" t="str">
        <f>Summary!E18</f>
        <v>H</v>
      </c>
      <c r="P19" s="49" t="str">
        <f>Summary!F18</f>
        <v>H</v>
      </c>
      <c r="Q19" s="49" t="str">
        <f>Summary!G18</f>
        <v>H</v>
      </c>
      <c r="R19" s="49" t="str">
        <f>Summary!H18</f>
        <v>H</v>
      </c>
      <c r="S19" s="49" t="str">
        <f>Summary!I18</f>
        <v>H</v>
      </c>
      <c r="T19" s="49" t="str">
        <f>Summary!J18</f>
        <v>H</v>
      </c>
      <c r="U19" s="49" t="str">
        <f>Summary!K18</f>
        <v>H</v>
      </c>
      <c r="V19" s="49" t="str">
        <f>Summary!L18</f>
        <v>H</v>
      </c>
    </row>
    <row r="20" spans="1:22">
      <c r="A20" s="274" t="s">
        <v>195</v>
      </c>
      <c r="B20" s="277" t="s">
        <v>196</v>
      </c>
      <c r="C20" s="278"/>
      <c r="D20" s="118" t="s">
        <v>196</v>
      </c>
      <c r="E20" s="118" t="s">
        <v>197</v>
      </c>
      <c r="F20" s="118"/>
      <c r="G20" s="118"/>
      <c r="H20" s="118"/>
      <c r="I20" s="118"/>
      <c r="J20" s="118"/>
      <c r="K20" s="128"/>
      <c r="L20" s="48">
        <v>18</v>
      </c>
      <c r="M20" s="49" t="str">
        <f>Summary!C19</f>
        <v>S</v>
      </c>
      <c r="N20" s="49" t="str">
        <f>Summary!D19</f>
        <v>S</v>
      </c>
      <c r="O20" s="49" t="str">
        <f>Summary!E19</f>
        <v>S</v>
      </c>
      <c r="P20" s="49" t="str">
        <f>Summary!F19</f>
        <v>S</v>
      </c>
      <c r="Q20" s="49" t="str">
        <f>Summary!G19</f>
        <v>S</v>
      </c>
      <c r="R20" s="49" t="str">
        <f>Summary!H19</f>
        <v>S</v>
      </c>
      <c r="S20" s="49" t="str">
        <f>Summary!I19</f>
        <v>S</v>
      </c>
      <c r="T20" s="49" t="str">
        <f>Summary!J19</f>
        <v>S</v>
      </c>
      <c r="U20" s="49" t="str">
        <f>Summary!K19</f>
        <v>H</v>
      </c>
      <c r="V20" s="49" t="str">
        <f>Summary!L19</f>
        <v>H</v>
      </c>
    </row>
    <row r="21" spans="1:22">
      <c r="A21" s="48" t="s">
        <v>40</v>
      </c>
      <c r="B21" s="1">
        <f>'WL Prob'!P15</f>
        <v>0.41756103307080233</v>
      </c>
      <c r="C21" s="280">
        <f>'WL Prob'!P15</f>
        <v>0.41756103307080233</v>
      </c>
      <c r="D21" s="48" t="s">
        <v>41</v>
      </c>
      <c r="E21" s="1">
        <f>'WL Prob'!R15</f>
        <v>0.58243896692919761</v>
      </c>
      <c r="F21" s="279">
        <f>'WL Prob'!R15</f>
        <v>0.58243896692919761</v>
      </c>
      <c r="G21" s="48" t="s">
        <v>48</v>
      </c>
      <c r="H21" s="1">
        <f>B21-E21</f>
        <v>-0.16487793385839528</v>
      </c>
      <c r="I21" s="281">
        <f>C21-F21</f>
        <v>-0.16487793385839528</v>
      </c>
      <c r="J21" s="1"/>
      <c r="L21" s="48">
        <v>19</v>
      </c>
      <c r="M21" s="49" t="str">
        <f>Summary!C20</f>
        <v>S</v>
      </c>
      <c r="N21" s="49" t="str">
        <f>Summary!D20</f>
        <v>S</v>
      </c>
      <c r="O21" s="49" t="str">
        <f>Summary!E20</f>
        <v>S</v>
      </c>
      <c r="P21" s="49" t="str">
        <f>Summary!F20</f>
        <v>S</v>
      </c>
      <c r="Q21" s="49" t="str">
        <f>Summary!G20</f>
        <v>S</v>
      </c>
      <c r="R21" s="49" t="str">
        <f>Summary!H20</f>
        <v>D</v>
      </c>
      <c r="S21" s="49" t="str">
        <f>Summary!I20</f>
        <v>S</v>
      </c>
      <c r="T21" s="49" t="str">
        <f>Summary!J20</f>
        <v>S</v>
      </c>
      <c r="U21" s="49" t="str">
        <f>Summary!K20</f>
        <v>S</v>
      </c>
      <c r="V21" s="49" t="str">
        <f>Summary!L20</f>
        <v>S</v>
      </c>
    </row>
    <row r="22" spans="1:22">
      <c r="A22" s="48" t="s">
        <v>67</v>
      </c>
      <c r="B22" s="52">
        <f>IF(Rules!$B$16=Rules!$D$16,EV!H46+'5 Cards'!G122,EV!H46)</f>
        <v>-3.2098753262151766E-2</v>
      </c>
      <c r="C22" s="393">
        <f>B22</f>
        <v>-3.2098753262151766E-2</v>
      </c>
      <c r="D22" s="1"/>
      <c r="E22" s="1"/>
      <c r="F22" s="1"/>
      <c r="G22" s="1"/>
      <c r="H22" s="1"/>
      <c r="I22" s="1"/>
      <c r="J22" s="1"/>
      <c r="L22" s="48" t="s">
        <v>10</v>
      </c>
      <c r="M22" s="48" t="s">
        <v>22</v>
      </c>
      <c r="N22" s="48">
        <v>2</v>
      </c>
      <c r="O22" s="48">
        <v>3</v>
      </c>
      <c r="P22" s="48">
        <v>4</v>
      </c>
      <c r="Q22" s="48">
        <v>5</v>
      </c>
      <c r="R22" s="48">
        <v>6</v>
      </c>
      <c r="S22" s="48">
        <v>7</v>
      </c>
      <c r="T22" s="48">
        <v>8</v>
      </c>
      <c r="U22" s="48">
        <v>9</v>
      </c>
      <c r="V22" s="48">
        <v>10</v>
      </c>
    </row>
    <row r="23" spans="1:22">
      <c r="A23" s="324" t="str">
        <f>Final!M6</f>
        <v>Strategy Evs</v>
      </c>
      <c r="B23" s="325"/>
      <c r="C23" s="325"/>
      <c r="D23" s="325"/>
      <c r="E23" s="325"/>
      <c r="F23" s="325"/>
      <c r="G23" s="325"/>
      <c r="H23" s="325"/>
      <c r="I23" s="325"/>
      <c r="J23" s="325"/>
      <c r="L23" s="48" t="s">
        <v>22</v>
      </c>
      <c r="M23" s="49">
        <f>Summary!C22</f>
        <v>2</v>
      </c>
      <c r="N23" s="49">
        <f>Summary!D22</f>
        <v>2</v>
      </c>
      <c r="O23" s="49">
        <f>Summary!E22</f>
        <v>2</v>
      </c>
      <c r="P23" s="49">
        <f>Summary!F22</f>
        <v>2</v>
      </c>
      <c r="Q23" s="49">
        <f>Summary!G22</f>
        <v>2</v>
      </c>
      <c r="R23" s="49">
        <f>Summary!H22</f>
        <v>2</v>
      </c>
      <c r="S23" s="49">
        <f>Summary!I22</f>
        <v>2</v>
      </c>
      <c r="T23" s="49">
        <f>Summary!J22</f>
        <v>2</v>
      </c>
      <c r="U23" s="49">
        <f>Summary!K22</f>
        <v>2</v>
      </c>
      <c r="V23" s="49">
        <f>Summary!L22</f>
        <v>2</v>
      </c>
    </row>
    <row r="24" spans="1:22">
      <c r="A24" s="161" t="str">
        <f>Final!M7</f>
        <v>Level</v>
      </c>
      <c r="B24" s="161" t="str">
        <f>Final!N7</f>
        <v>1x2</v>
      </c>
      <c r="C24" s="161" t="str">
        <f>Final!O7</f>
        <v>1x3</v>
      </c>
      <c r="D24" s="161" t="str">
        <f>Final!P7</f>
        <v>1x4</v>
      </c>
      <c r="E24" s="161" t="str">
        <f>Final!Q7</f>
        <v>1x5</v>
      </c>
      <c r="F24" s="161" t="str">
        <f>Final!R7</f>
        <v>1x6</v>
      </c>
      <c r="G24" s="161" t="str">
        <f>Final!S7</f>
        <v>1x7</v>
      </c>
      <c r="H24" s="161" t="str">
        <f>Final!T7</f>
        <v>1x8</v>
      </c>
      <c r="I24" s="161" t="str">
        <f>Final!U7</f>
        <v>1x9</v>
      </c>
      <c r="J24" s="161" t="str">
        <f>Final!V7</f>
        <v>1x10</v>
      </c>
      <c r="L24" s="48">
        <v>2</v>
      </c>
      <c r="M24" s="49" t="str">
        <f>Summary!C23</f>
        <v>H</v>
      </c>
      <c r="N24" s="49" t="str">
        <f>Summary!D23</f>
        <v>H</v>
      </c>
      <c r="O24" s="49" t="str">
        <f>Summary!E23</f>
        <v>H</v>
      </c>
      <c r="P24" s="49">
        <f>Summary!F23</f>
        <v>2</v>
      </c>
      <c r="Q24" s="49">
        <f>Summary!G23</f>
        <v>2</v>
      </c>
      <c r="R24" s="49">
        <f>Summary!H23</f>
        <v>2</v>
      </c>
      <c r="S24" s="49">
        <f>Summary!I23</f>
        <v>2</v>
      </c>
      <c r="T24" s="49" t="str">
        <f>Summary!J23</f>
        <v>H</v>
      </c>
      <c r="U24" s="49" t="str">
        <f>Summary!K23</f>
        <v>H</v>
      </c>
      <c r="V24" s="49" t="str">
        <f>Summary!L23</f>
        <v>H</v>
      </c>
    </row>
    <row r="25" spans="1:22">
      <c r="A25" s="161">
        <f>Final!M9</f>
        <v>2</v>
      </c>
      <c r="B25" s="1">
        <f>'Strategy Summary'!B4</f>
        <v>15.286783414657251</v>
      </c>
      <c r="C25" s="1">
        <f>'Strategy Summary'!C4</f>
        <v>51.4093003427543</v>
      </c>
      <c r="D25" s="1">
        <f>'Strategy Summary'!D4</f>
        <v>90.904543917036051</v>
      </c>
      <c r="E25" s="1">
        <f>'Strategy Summary'!E4</f>
        <v>132.42263194909086</v>
      </c>
      <c r="F25" s="1">
        <f>'Strategy Summary'!F4</f>
        <v>175.37220027785145</v>
      </c>
      <c r="G25" s="1">
        <f>'Strategy Summary'!G4</f>
        <v>219.39380250773456</v>
      </c>
      <c r="H25" s="1">
        <f>'Strategy Summary'!H4</f>
        <v>264.22995693617253</v>
      </c>
      <c r="I25" s="1">
        <f>'Strategy Summary'!I4</f>
        <v>309.68411157138462</v>
      </c>
      <c r="J25" s="1">
        <f>'Strategy Summary'!J4</f>
        <v>355.60369384309513</v>
      </c>
      <c r="L25" s="48">
        <v>3</v>
      </c>
      <c r="M25" s="49" t="str">
        <f>Summary!C24</f>
        <v>H</v>
      </c>
      <c r="N25" s="49" t="str">
        <f>Summary!D24</f>
        <v>H</v>
      </c>
      <c r="O25" s="49" t="str">
        <f>Summary!E24</f>
        <v>H</v>
      </c>
      <c r="P25" s="49">
        <f>Summary!F24</f>
        <v>2</v>
      </c>
      <c r="Q25" s="49">
        <f>Summary!G24</f>
        <v>2</v>
      </c>
      <c r="R25" s="49">
        <f>Summary!H24</f>
        <v>2</v>
      </c>
      <c r="S25" s="49">
        <f>Summary!I24</f>
        <v>2</v>
      </c>
      <c r="T25" s="49" t="str">
        <f>Summary!J24</f>
        <v>H</v>
      </c>
      <c r="U25" s="49" t="str">
        <f>Summary!K24</f>
        <v>H</v>
      </c>
      <c r="V25" s="49" t="str">
        <f>Summary!L24</f>
        <v>H</v>
      </c>
    </row>
    <row r="26" spans="1:22">
      <c r="A26" s="161">
        <f>Final!M10</f>
        <v>3</v>
      </c>
      <c r="B26" s="1">
        <f>'Strategy Summary'!B5</f>
        <v>29.78872863760872</v>
      </c>
      <c r="C26" s="1">
        <f>'Strategy Summary'!C5</f>
        <v>96.370317081478845</v>
      </c>
      <c r="D26" s="1">
        <f>'Strategy Summary'!D5</f>
        <v>166.39598358538626</v>
      </c>
      <c r="E26" s="1">
        <f>'Strategy Summary'!E5</f>
        <v>238.79614056998457</v>
      </c>
      <c r="F26" s="1">
        <f>'Strategy Summary'!F5</f>
        <v>313.19264204392778</v>
      </c>
      <c r="G26" s="1">
        <f>'Strategy Summary'!G5</f>
        <v>389.28080075403585</v>
      </c>
      <c r="H26" s="1">
        <f>'Strategy Summary'!H5</f>
        <v>466.77273529881228</v>
      </c>
      <c r="I26" s="1">
        <f>'Strategy Summary'!I5</f>
        <v>545.40452760763719</v>
      </c>
      <c r="J26" s="1">
        <f>'Strategy Summary'!J5</f>
        <v>624.94483411005308</v>
      </c>
      <c r="L26" s="48">
        <v>4</v>
      </c>
      <c r="M26" s="49" t="str">
        <f>Summary!C25</f>
        <v>H</v>
      </c>
      <c r="N26" s="49" t="str">
        <f>Summary!D25</f>
        <v>H</v>
      </c>
      <c r="O26" s="49" t="str">
        <f>Summary!E25</f>
        <v>H</v>
      </c>
      <c r="P26" s="49" t="str">
        <f>Summary!F25</f>
        <v>H</v>
      </c>
      <c r="Q26" s="49" t="str">
        <f>Summary!G25</f>
        <v>H</v>
      </c>
      <c r="R26" s="49" t="str">
        <f>Summary!H25</f>
        <v>H</v>
      </c>
      <c r="S26" s="49" t="str">
        <f>Summary!I25</f>
        <v>H</v>
      </c>
      <c r="T26" s="49" t="str">
        <f>Summary!J25</f>
        <v>H</v>
      </c>
      <c r="U26" s="49" t="str">
        <f>Summary!K25</f>
        <v>H</v>
      </c>
      <c r="V26" s="49" t="str">
        <f>Summary!L25</f>
        <v>H</v>
      </c>
    </row>
    <row r="27" spans="1:22">
      <c r="A27" s="161">
        <f>Final!M11</f>
        <v>4</v>
      </c>
      <c r="B27" s="1">
        <f>'Strategy Summary'!B6</f>
        <v>48.356838456842276</v>
      </c>
      <c r="C27" s="1">
        <f>'Strategy Summary'!C6</f>
        <v>150.51230253268989</v>
      </c>
      <c r="D27" s="1">
        <f>'Strategy Summary'!D6</f>
        <v>254.09939661306657</v>
      </c>
      <c r="E27" s="1">
        <f>'Strategy Summary'!E6</f>
        <v>359.77675997213851</v>
      </c>
      <c r="F27" s="1">
        <f>'Strategy Summary'!F6</f>
        <v>467.88551751905885</v>
      </c>
      <c r="G27" s="1">
        <f>'Strategy Summary'!G6</f>
        <v>578.35228623456032</v>
      </c>
      <c r="H27" s="1">
        <f>'Strategy Summary'!H6</f>
        <v>690.91920680020598</v>
      </c>
      <c r="I27" s="1">
        <f>'Strategy Summary'!I6</f>
        <v>805.27047367810155</v>
      </c>
      <c r="J27" s="1">
        <f>'Strategy Summary'!J6</f>
        <v>921.09276876959689</v>
      </c>
      <c r="L27" s="48">
        <v>5</v>
      </c>
      <c r="M27" s="49" t="str">
        <f>Summary!C26</f>
        <v>H</v>
      </c>
      <c r="N27" s="49" t="str">
        <f>Summary!D26</f>
        <v>D</v>
      </c>
      <c r="O27" s="49" t="str">
        <f>Summary!E26</f>
        <v>D</v>
      </c>
      <c r="P27" s="49" t="str">
        <f>Summary!F26</f>
        <v>D</v>
      </c>
      <c r="Q27" s="49" t="str">
        <f>Summary!G26</f>
        <v>D</v>
      </c>
      <c r="R27" s="49" t="str">
        <f>Summary!H26</f>
        <v>D</v>
      </c>
      <c r="S27" s="49" t="str">
        <f>Summary!I26</f>
        <v>D</v>
      </c>
      <c r="T27" s="49" t="str">
        <f>Summary!J26</f>
        <v>D</v>
      </c>
      <c r="U27" s="49" t="str">
        <f>Summary!K26</f>
        <v>D</v>
      </c>
      <c r="V27" s="49" t="str">
        <f>Summary!L26</f>
        <v>H</v>
      </c>
    </row>
    <row r="28" spans="1:22">
      <c r="A28" s="324" t="str">
        <f>Final!M12</f>
        <v>Strategy Edges</v>
      </c>
      <c r="B28" s="325"/>
      <c r="C28" s="325"/>
      <c r="D28" s="325"/>
      <c r="E28" s="325"/>
      <c r="F28" s="325"/>
      <c r="G28" s="325"/>
      <c r="H28" s="325"/>
      <c r="I28" s="325"/>
      <c r="J28" s="325"/>
      <c r="L28" s="48">
        <v>6</v>
      </c>
      <c r="M28" s="49" t="str">
        <f>Summary!C27</f>
        <v>H</v>
      </c>
      <c r="N28" s="49" t="str">
        <f>Summary!D27</f>
        <v>H</v>
      </c>
      <c r="O28" s="49">
        <f>Summary!E27</f>
        <v>2</v>
      </c>
      <c r="P28" s="49">
        <f>Summary!F27</f>
        <v>2</v>
      </c>
      <c r="Q28" s="49">
        <f>Summary!G27</f>
        <v>2</v>
      </c>
      <c r="R28" s="49">
        <f>Summary!H27</f>
        <v>2</v>
      </c>
      <c r="S28" s="49" t="str">
        <f>Summary!I27</f>
        <v>H</v>
      </c>
      <c r="T28" s="49" t="str">
        <f>Summary!J27</f>
        <v>H</v>
      </c>
      <c r="U28" s="49" t="str">
        <f>Summary!K27</f>
        <v>H</v>
      </c>
      <c r="V28" s="49" t="str">
        <f>Summary!L27</f>
        <v>H</v>
      </c>
    </row>
    <row r="29" spans="1:22">
      <c r="A29" s="161" t="str">
        <f>Final!M13</f>
        <v>Level</v>
      </c>
      <c r="B29" s="161" t="str">
        <f>Final!N13</f>
        <v>1x2</v>
      </c>
      <c r="C29" s="161" t="str">
        <f>Final!O13</f>
        <v>1x3</v>
      </c>
      <c r="D29" s="161" t="str">
        <f>Final!P13</f>
        <v>1x4</v>
      </c>
      <c r="E29" s="161" t="str">
        <f>Final!Q13</f>
        <v>1x5</v>
      </c>
      <c r="F29" s="161" t="str">
        <f>Final!R13</f>
        <v>1x6</v>
      </c>
      <c r="G29" s="161" t="str">
        <f>Final!S13</f>
        <v>1x7</v>
      </c>
      <c r="H29" s="161" t="str">
        <f>Final!T13</f>
        <v>1x8</v>
      </c>
      <c r="I29" s="161" t="str">
        <f>Final!U13</f>
        <v>1x9</v>
      </c>
      <c r="J29" s="161" t="str">
        <f>Final!V13</f>
        <v>1x10</v>
      </c>
      <c r="L29" s="48">
        <v>7</v>
      </c>
      <c r="M29" s="49" t="str">
        <f>Summary!C28</f>
        <v>H</v>
      </c>
      <c r="N29" s="49">
        <f>Summary!D28</f>
        <v>2</v>
      </c>
      <c r="O29" s="49">
        <f>Summary!E28</f>
        <v>2</v>
      </c>
      <c r="P29" s="49">
        <f>Summary!F28</f>
        <v>2</v>
      </c>
      <c r="Q29" s="49">
        <f>Summary!G28</f>
        <v>2</v>
      </c>
      <c r="R29" s="49">
        <f>Summary!H28</f>
        <v>2</v>
      </c>
      <c r="S29" s="49">
        <f>Summary!I28</f>
        <v>2</v>
      </c>
      <c r="T29" s="49" t="str">
        <f>Summary!J28</f>
        <v>H</v>
      </c>
      <c r="U29" s="49" t="str">
        <f>Summary!K28</f>
        <v>H</v>
      </c>
      <c r="V29" s="49" t="str">
        <f>Summary!L28</f>
        <v>H</v>
      </c>
    </row>
    <row r="30" spans="1:22">
      <c r="A30" s="161">
        <f>Final!M14</f>
        <v>2</v>
      </c>
      <c r="B30" s="1">
        <f>'Strategy Summary'!B16</f>
        <v>0.4660941712331933</v>
      </c>
      <c r="C30" s="1">
        <f>'Strategy Summary'!C16</f>
        <v>0.61220274051451296</v>
      </c>
      <c r="D30" s="1">
        <f>'Strategy Summary'!D16</f>
        <v>0.68435753539413802</v>
      </c>
      <c r="E30" s="1">
        <f>'Strategy Summary'!E16</f>
        <v>0.72479801502235497</v>
      </c>
      <c r="F30" s="1">
        <f>'Strategy Summary'!F16</f>
        <v>0.7493440588093484</v>
      </c>
      <c r="G30" s="1">
        <f>'Strategy Summary'!G16</f>
        <v>0.76503673156534857</v>
      </c>
      <c r="H30" s="1">
        <f>'Strategy Summary'!H16</f>
        <v>0.77542421772383996</v>
      </c>
      <c r="I30" s="1">
        <f>'Strategy Summary'!I16</f>
        <v>0.78246522952329212</v>
      </c>
      <c r="J30" s="1">
        <f>'Strategy Summary'!J16</f>
        <v>0.78731701115972397</v>
      </c>
      <c r="L30" s="48">
        <v>8</v>
      </c>
      <c r="M30" s="49" t="str">
        <f>Summary!C29</f>
        <v>S</v>
      </c>
      <c r="N30" s="49">
        <f>Summary!D29</f>
        <v>2</v>
      </c>
      <c r="O30" s="49">
        <f>Summary!E29</f>
        <v>2</v>
      </c>
      <c r="P30" s="49">
        <f>Summary!F29</f>
        <v>2</v>
      </c>
      <c r="Q30" s="49">
        <f>Summary!G29</f>
        <v>2</v>
      </c>
      <c r="R30" s="49">
        <f>Summary!H29</f>
        <v>2</v>
      </c>
      <c r="S30" s="49">
        <f>Summary!I29</f>
        <v>2</v>
      </c>
      <c r="T30" s="49">
        <f>Summary!J29</f>
        <v>2</v>
      </c>
      <c r="U30" s="49">
        <f>Summary!K29</f>
        <v>2</v>
      </c>
      <c r="V30" s="49" t="str">
        <f>Summary!L29</f>
        <v>H</v>
      </c>
    </row>
    <row r="31" spans="1:22">
      <c r="A31" s="161">
        <f>Final!M15</f>
        <v>3</v>
      </c>
      <c r="B31" s="1">
        <f>'Strategy Summary'!B17</f>
        <v>0.64355010079247721</v>
      </c>
      <c r="C31" s="1">
        <f>'Strategy Summary'!C17</f>
        <v>0.78374778745201212</v>
      </c>
      <c r="D31" s="1">
        <f>'Strategy Summary'!D17</f>
        <v>0.84384595688187025</v>
      </c>
      <c r="E31" s="1">
        <f>'Strategy Summary'!E17</f>
        <v>0.87436675628044491</v>
      </c>
      <c r="F31" s="1">
        <f>'Strategy Summary'!F17</f>
        <v>0.89167944030098123</v>
      </c>
      <c r="G31" s="1">
        <f>'Strategy Summary'!G17</f>
        <v>0.90224171711653689</v>
      </c>
      <c r="H31" s="1">
        <f>'Strategy Summary'!H17</f>
        <v>0.90900874680062171</v>
      </c>
      <c r="I31" s="1">
        <f>'Strategy Summary'!I17</f>
        <v>0.91349171301869092</v>
      </c>
      <c r="J31" s="1">
        <f>'Strategy Summary'!J17</f>
        <v>0.91653117766690384</v>
      </c>
      <c r="L31" s="48">
        <v>9</v>
      </c>
      <c r="M31" s="49" t="str">
        <f>Summary!C30</f>
        <v>S</v>
      </c>
      <c r="N31" s="49">
        <f>Summary!D30</f>
        <v>2</v>
      </c>
      <c r="O31" s="49">
        <f>Summary!E30</f>
        <v>2</v>
      </c>
      <c r="P31" s="49">
        <f>Summary!F30</f>
        <v>2</v>
      </c>
      <c r="Q31" s="49">
        <f>Summary!G30</f>
        <v>2</v>
      </c>
      <c r="R31" s="49">
        <f>Summary!H30</f>
        <v>2</v>
      </c>
      <c r="S31" s="49" t="str">
        <f>Summary!I30</f>
        <v>S</v>
      </c>
      <c r="T31" s="49">
        <f>Summary!J30</f>
        <v>2</v>
      </c>
      <c r="U31" s="49">
        <f>Summary!K30</f>
        <v>2</v>
      </c>
      <c r="V31" s="49" t="str">
        <f>Summary!L30</f>
        <v>S</v>
      </c>
    </row>
    <row r="32" spans="1:22">
      <c r="A32" s="161">
        <f>Final!M16</f>
        <v>4</v>
      </c>
      <c r="B32" s="1">
        <f>'Strategy Summary'!B18</f>
        <v>0.74703980714853535</v>
      </c>
      <c r="C32" s="1">
        <f>'Strategy Summary'!C18</f>
        <v>0.87335091053327418</v>
      </c>
      <c r="D32" s="1">
        <f>'Strategy Summary'!D18</f>
        <v>0.91957492512308503</v>
      </c>
      <c r="E32" s="1">
        <f>'Strategy Summary'!E18</f>
        <v>0.9406195594792095</v>
      </c>
      <c r="F32" s="1">
        <f>'Strategy Summary'!F18</f>
        <v>0.95170410489607082</v>
      </c>
      <c r="G32" s="1">
        <f>'Strategy Summary'!G18</f>
        <v>0.95813188654825765</v>
      </c>
      <c r="H32" s="1">
        <f>'Strategy Summary'!H18</f>
        <v>0.96210767186938828</v>
      </c>
      <c r="I32" s="1">
        <f>'Strategy Summary'!I18</f>
        <v>0.96467750058399149</v>
      </c>
      <c r="J32" s="1">
        <f>'Strategy Summary'!J18</f>
        <v>0.96638991834696308</v>
      </c>
      <c r="L32" s="48">
        <v>10</v>
      </c>
      <c r="M32" s="49" t="str">
        <f>Summary!C31</f>
        <v>S</v>
      </c>
      <c r="N32" s="49" t="str">
        <f>Summary!D31</f>
        <v>S</v>
      </c>
      <c r="O32" s="49" t="str">
        <f>Summary!E31</f>
        <v>S</v>
      </c>
      <c r="P32" s="49" t="str">
        <f>Summary!F31</f>
        <v>S</v>
      </c>
      <c r="Q32" s="49" t="str">
        <f>Summary!G31</f>
        <v>S</v>
      </c>
      <c r="R32" s="49" t="str">
        <f>Summary!H31</f>
        <v>S</v>
      </c>
      <c r="S32" s="49" t="str">
        <f>Summary!I31</f>
        <v>S</v>
      </c>
      <c r="T32" s="49" t="str">
        <f>Summary!J31</f>
        <v>S</v>
      </c>
      <c r="U32" s="49" t="str">
        <f>Summary!K31</f>
        <v>S</v>
      </c>
      <c r="V32" s="49" t="str">
        <f>Summary!L31</f>
        <v>S</v>
      </c>
    </row>
    <row r="33" spans="1:22">
      <c r="A33" s="322" t="str">
        <f>Final!M17</f>
        <v>Strategy Bet your Edge Bankroll</v>
      </c>
      <c r="B33" s="323"/>
      <c r="C33" s="323"/>
      <c r="D33" s="323"/>
      <c r="E33" s="323"/>
      <c r="F33" s="323"/>
      <c r="G33" s="323"/>
      <c r="H33" s="323"/>
      <c r="I33" s="323"/>
      <c r="J33" s="323"/>
      <c r="L33" s="331" t="str">
        <f>Summary!B32</f>
        <v>EV = -0.0320987532621518</v>
      </c>
      <c r="M33" s="331"/>
      <c r="N33" s="331"/>
      <c r="O33" s="331"/>
      <c r="P33" s="331"/>
      <c r="Q33" s="331"/>
      <c r="R33" s="331"/>
      <c r="S33" s="331"/>
      <c r="T33" s="331"/>
      <c r="U33" s="331"/>
      <c r="V33" s="331"/>
    </row>
    <row r="34" spans="1:22">
      <c r="A34" s="161" t="str">
        <f>Final!M18</f>
        <v>Level</v>
      </c>
      <c r="B34" s="161" t="str">
        <f>Final!N18</f>
        <v>1x2</v>
      </c>
      <c r="C34" s="161" t="str">
        <f>Final!O18</f>
        <v>1x3</v>
      </c>
      <c r="D34" s="161" t="str">
        <f>Final!P18</f>
        <v>1x4</v>
      </c>
      <c r="E34" s="161" t="str">
        <f>Final!Q18</f>
        <v>1x5</v>
      </c>
      <c r="F34" s="161" t="str">
        <f>Final!R18</f>
        <v>1x6</v>
      </c>
      <c r="G34" s="161" t="str">
        <f>Final!S18</f>
        <v>1x7</v>
      </c>
      <c r="H34" s="161" t="str">
        <f>Final!T18</f>
        <v>1x8</v>
      </c>
      <c r="I34" s="161" t="str">
        <f>Final!U18</f>
        <v>1x9</v>
      </c>
      <c r="J34" s="161" t="str">
        <f>Final!V18</f>
        <v>1x10</v>
      </c>
      <c r="L34" s="331" t="str">
        <f>Summary!B33</f>
        <v>EV = -3.20987532621518 %</v>
      </c>
      <c r="M34" s="331"/>
      <c r="N34" s="331"/>
      <c r="O34" s="331"/>
      <c r="P34" s="331"/>
      <c r="Q34" s="331"/>
      <c r="R34" s="331"/>
      <c r="S34" s="331"/>
      <c r="T34" s="331"/>
      <c r="U34" s="331"/>
      <c r="V34" s="331"/>
    </row>
    <row r="35" spans="1:22">
      <c r="A35" s="161">
        <f>Final!M19</f>
        <v>2</v>
      </c>
      <c r="B35" s="1">
        <f>'Strategy Summary'!B28</f>
        <v>12.872935064013314</v>
      </c>
      <c r="C35" s="1">
        <f>'Strategy Summary'!C28</f>
        <v>19.601349693264769</v>
      </c>
      <c r="D35" s="1">
        <f>'Strategy Summary'!D28</f>
        <v>29.224490073717853</v>
      </c>
      <c r="E35" s="1">
        <f>'Strategy Summary'!E28</f>
        <v>41.390841832085741</v>
      </c>
      <c r="F35" s="1">
        <f>'Strategy Summary'!F28</f>
        <v>56.049019814389204</v>
      </c>
      <c r="G35" s="1">
        <f>'Strategy Summary'!G28</f>
        <v>73.199099715667103</v>
      </c>
      <c r="H35" s="1">
        <f>'Strategy Summary'!H28</f>
        <v>92.852400472282028</v>
      </c>
      <c r="I35" s="1">
        <f>'Strategy Summary'!I28</f>
        <v>115.02108541593785</v>
      </c>
      <c r="J35" s="1">
        <f>'Strategy Summary'!J28</f>
        <v>139.71500480850676</v>
      </c>
      <c r="L35" s="335" t="s">
        <v>24</v>
      </c>
      <c r="M35" s="335"/>
      <c r="N35" s="335"/>
      <c r="O35" s="335"/>
      <c r="P35" s="335"/>
      <c r="Q35" s="335"/>
      <c r="R35" s="335"/>
      <c r="S35" s="335"/>
      <c r="T35" s="335"/>
      <c r="U35" s="335"/>
      <c r="V35" s="335"/>
    </row>
    <row r="36" spans="1:22">
      <c r="A36" s="161">
        <f>Final!M20</f>
        <v>3</v>
      </c>
      <c r="B36" s="1">
        <f>'Strategy Summary'!B29</f>
        <v>21.754328035626429</v>
      </c>
      <c r="C36" s="1">
        <f>'Strategy Summary'!C29</f>
        <v>49.760906026657103</v>
      </c>
      <c r="D36" s="1">
        <f>'Strategy Summary'!D29</f>
        <v>99.544234720744342</v>
      </c>
      <c r="E36" s="1">
        <f>'Strategy Summary'!E29</f>
        <v>177.27114953382926</v>
      </c>
      <c r="F36" s="1">
        <f>'Strategy Summary'!F29</f>
        <v>289.34164940812542</v>
      </c>
      <c r="G36" s="1">
        <f>'Strategy Summary'!G29</f>
        <v>442.23182372364596</v>
      </c>
      <c r="H36" s="1">
        <f>'Strategy Summary'!H29</f>
        <v>642.45806440858394</v>
      </c>
      <c r="I36" s="1">
        <f>'Strategy Summary'!I29</f>
        <v>896.55985744365751</v>
      </c>
      <c r="J36" s="1">
        <f>'Strategy Summary'!J29</f>
        <v>1211.0880972162724</v>
      </c>
      <c r="L36" s="336" t="s">
        <v>25</v>
      </c>
      <c r="M36" s="336"/>
      <c r="N36" s="336"/>
      <c r="O36" s="336"/>
      <c r="P36" s="336"/>
      <c r="Q36" s="336"/>
      <c r="R36" s="336"/>
      <c r="S36" s="336"/>
      <c r="T36" s="336"/>
      <c r="U36" s="336"/>
      <c r="V36" s="336"/>
    </row>
    <row r="37" spans="1:22">
      <c r="A37" s="161">
        <f>Final!M21</f>
        <v>4</v>
      </c>
      <c r="B37" s="1">
        <f>'Strategy Summary'!B30</f>
        <v>40.158502549563657</v>
      </c>
      <c r="C37" s="1">
        <f>'Strategy Summary'!C30</f>
        <v>137.40181472614159</v>
      </c>
      <c r="D37" s="1">
        <f>'Strategy Summary'!D30</f>
        <v>369.7360494627352</v>
      </c>
      <c r="E37" s="1">
        <f>'Strategy Summary'!E30</f>
        <v>829.24067667895474</v>
      </c>
      <c r="F37" s="1">
        <f>'Strategy Summary'!F30</f>
        <v>1632.860457368419</v>
      </c>
      <c r="G37" s="1">
        <f>'Strategy Summary'!G30</f>
        <v>2922.3534247328007</v>
      </c>
      <c r="H37" s="1">
        <f>'Strategy Summary'!H30</f>
        <v>4864.3204257031821</v>
      </c>
      <c r="I37" s="1">
        <f>'Strategy Summary'!I30</f>
        <v>7650.2250705881852</v>
      </c>
      <c r="J37" s="1">
        <f>'Strategy Summary'!J30</f>
        <v>11496.394766828658</v>
      </c>
      <c r="L37" s="332" t="s">
        <v>26</v>
      </c>
      <c r="M37" s="332"/>
      <c r="N37" s="332"/>
      <c r="O37" s="332"/>
      <c r="P37" s="332"/>
      <c r="Q37" s="332"/>
      <c r="R37" s="332"/>
      <c r="S37" s="332"/>
      <c r="T37" s="332"/>
      <c r="U37" s="332"/>
      <c r="V37" s="332"/>
    </row>
    <row r="38" spans="1:22">
      <c r="A38" s="322" t="str">
        <f>Final!M22</f>
        <v>Strategy Bet Your Edge ROI</v>
      </c>
      <c r="B38" s="323"/>
      <c r="C38" s="323"/>
      <c r="D38" s="323"/>
      <c r="E38" s="323"/>
      <c r="F38" s="323"/>
      <c r="G38" s="323"/>
      <c r="H38" s="323"/>
      <c r="I38" s="323"/>
      <c r="J38" s="323"/>
      <c r="L38" s="333" t="str">
        <f>Summary!B37</f>
        <v>2, 3, 4, 5 = Hands to Split</v>
      </c>
      <c r="M38" s="333"/>
      <c r="N38" s="333"/>
      <c r="O38" s="333"/>
      <c r="P38" s="333"/>
      <c r="Q38" s="333"/>
      <c r="R38" s="333"/>
      <c r="S38" s="333"/>
      <c r="T38" s="333"/>
      <c r="U38" s="333"/>
      <c r="V38" s="333"/>
    </row>
    <row r="39" spans="1:22">
      <c r="A39" s="161" t="str">
        <f>Final!M23</f>
        <v>Level</v>
      </c>
      <c r="B39" s="161" t="str">
        <f>Final!N23</f>
        <v>1x2</v>
      </c>
      <c r="C39" s="161" t="str">
        <f>Final!O23</f>
        <v>1x3</v>
      </c>
      <c r="D39" s="161" t="str">
        <f>Final!P23</f>
        <v>1x4</v>
      </c>
      <c r="E39" s="161" t="str">
        <f>Final!Q23</f>
        <v>1x5</v>
      </c>
      <c r="F39" s="161" t="str">
        <f>Final!R23</f>
        <v>1x6</v>
      </c>
      <c r="G39" s="161" t="str">
        <f>Final!S23</f>
        <v>1x7</v>
      </c>
      <c r="H39" s="161" t="str">
        <f>Final!T23</f>
        <v>1x8</v>
      </c>
      <c r="I39" s="161" t="str">
        <f>Final!U23</f>
        <v>1x9</v>
      </c>
      <c r="J39" s="161" t="str">
        <f>Final!V23</f>
        <v>1x10</v>
      </c>
      <c r="L39" s="331" t="s">
        <v>27</v>
      </c>
      <c r="M39" s="331"/>
      <c r="N39" s="331"/>
      <c r="O39" s="331"/>
      <c r="P39" s="331"/>
      <c r="Q39" s="331"/>
      <c r="R39" s="331"/>
      <c r="S39" s="331"/>
      <c r="T39" s="331"/>
      <c r="U39" s="331"/>
      <c r="V39" s="331"/>
    </row>
    <row r="40" spans="1:22">
      <c r="A40" s="161">
        <f>Final!M24</f>
        <v>2</v>
      </c>
      <c r="B40" s="1">
        <f>'Strategy Summary'!B63</f>
        <v>1.1875134410793327</v>
      </c>
      <c r="C40" s="1">
        <f>'Strategy Summary'!C63</f>
        <v>2.6227428798139893</v>
      </c>
      <c r="D40" s="1">
        <f>'Strategy Summary'!D63</f>
        <v>3.1105604815595487</v>
      </c>
      <c r="E40" s="1">
        <f>'Strategy Summary'!E63</f>
        <v>3.1993220260245647</v>
      </c>
      <c r="F40" s="1">
        <f>'Strategy Summary'!F63</f>
        <v>3.1289075323459796</v>
      </c>
      <c r="G40" s="1">
        <f>'Strategy Summary'!G63</f>
        <v>2.9972199570751936</v>
      </c>
      <c r="H40" s="1">
        <f>'Strategy Summary'!H63</f>
        <v>2.8456987174504933</v>
      </c>
      <c r="I40" s="1">
        <f>'Strategy Summary'!I63</f>
        <v>2.6924116604491144</v>
      </c>
      <c r="J40" s="1">
        <f>'Strategy Summary'!J63</f>
        <v>2.545207612671847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spans="1:22">
      <c r="A41" s="161">
        <f>Final!M25</f>
        <v>3</v>
      </c>
      <c r="B41" s="1">
        <f>'Strategy Summary'!B64</f>
        <v>1.3693242369437746</v>
      </c>
      <c r="C41" s="1">
        <f>'Strategy Summary'!C64</f>
        <v>1.9366672509912279</v>
      </c>
      <c r="D41" s="1">
        <f>'Strategy Summary'!D64</f>
        <v>1.6715783094036933</v>
      </c>
      <c r="E41" s="1">
        <f>'Strategy Summary'!E64</f>
        <v>1.3470671409191393</v>
      </c>
      <c r="F41" s="1">
        <f>'Strategy Summary'!F64</f>
        <v>1.0824319370702133</v>
      </c>
      <c r="G41" s="1">
        <f>'Strategy Summary'!G64</f>
        <v>0.88026410554591927</v>
      </c>
      <c r="H41" s="1">
        <f>'Strategy Summary'!H64</f>
        <v>0.72654195060731452</v>
      </c>
      <c r="I41" s="1">
        <f>'Strategy Summary'!I64</f>
        <v>0.60833030062570259</v>
      </c>
      <c r="J41" s="1">
        <f>'Strategy Summary'!J64</f>
        <v>0.51601930160696829</v>
      </c>
    </row>
    <row r="42" spans="1:22">
      <c r="A42" s="161">
        <f>Final!M26</f>
        <v>4</v>
      </c>
      <c r="B42" s="1">
        <f>'Strategy Summary'!B65</f>
        <v>1.2041494425037444</v>
      </c>
      <c r="C42" s="1">
        <f>'Strategy Summary'!C65</f>
        <v>1.0954171371948696</v>
      </c>
      <c r="D42" s="1">
        <f>'Strategy Summary'!D65</f>
        <v>0.68724539298318177</v>
      </c>
      <c r="E42" s="1">
        <f>'Strategy Summary'!E65</f>
        <v>0.43386289419980795</v>
      </c>
      <c r="F42" s="1">
        <f>'Strategy Summary'!F65</f>
        <v>0.28654347982259382</v>
      </c>
      <c r="G42" s="1">
        <f>'Strategy Summary'!G65</f>
        <v>0.19790634539264901</v>
      </c>
      <c r="H42" s="1">
        <f>'Strategy Summary'!H65</f>
        <v>0.14203817724452791</v>
      </c>
      <c r="I42" s="1">
        <f>'Strategy Summary'!I65</f>
        <v>0.10526101732274767</v>
      </c>
      <c r="J42" s="1">
        <f>'Strategy Summary'!J65</f>
        <v>8.0120140918202409E-2</v>
      </c>
    </row>
  </sheetData>
  <sheetProtection sheet="1" objects="1" scenarios="1"/>
  <mergeCells count="16">
    <mergeCell ref="L39:V39"/>
    <mergeCell ref="L37:V37"/>
    <mergeCell ref="L38:V38"/>
    <mergeCell ref="L2:V2"/>
    <mergeCell ref="L33:V33"/>
    <mergeCell ref="L35:V35"/>
    <mergeCell ref="L36:V36"/>
    <mergeCell ref="L34:V34"/>
    <mergeCell ref="A1:V1"/>
    <mergeCell ref="A38:J38"/>
    <mergeCell ref="A33:J33"/>
    <mergeCell ref="A23:J23"/>
    <mergeCell ref="A28:J28"/>
    <mergeCell ref="B19:C19"/>
    <mergeCell ref="A2:C2"/>
    <mergeCell ref="D2:J2"/>
  </mergeCells>
  <phoneticPr fontId="16" type="noConversion"/>
  <conditionalFormatting sqref="M23:V32 M4:V13 M15:V21 A24">
    <cfRule type="containsText" dxfId="768" priority="77" operator="containsText" text="S">
      <formula>NOT(ISERROR(SEARCH("S",A4)))</formula>
    </cfRule>
    <cfRule type="containsText" dxfId="767" priority="78" operator="containsText" text="H">
      <formula>NOT(ISERROR(SEARCH("H",A4)))</formula>
    </cfRule>
  </conditionalFormatting>
  <conditionalFormatting sqref="M23:V32 M4:V13 M15:V21 A24">
    <cfRule type="containsText" dxfId="766" priority="76" operator="containsText" text="D">
      <formula>NOT(ISERROR(SEARCH("D",A4)))</formula>
    </cfRule>
  </conditionalFormatting>
  <conditionalFormatting sqref="M23:V32 M4:V13 M15:V21 A24">
    <cfRule type="containsText" dxfId="765" priority="75" operator="containsText" text="R">
      <formula>NOT(ISERROR(SEARCH("R",A4)))</formula>
    </cfRule>
  </conditionalFormatting>
  <conditionalFormatting sqref="M23:V32 M4:V13 M15:V21 A24">
    <cfRule type="cellIs" dxfId="764" priority="74" operator="between">
      <formula>2</formula>
      <formula>5</formula>
    </cfRule>
  </conditionalFormatting>
  <conditionalFormatting sqref="A39:A42">
    <cfRule type="containsText" dxfId="763" priority="72" operator="containsText" text="S">
      <formula>NOT(ISERROR(SEARCH("S",A39)))</formula>
    </cfRule>
    <cfRule type="containsText" dxfId="762" priority="73" operator="containsText" text="H">
      <formula>NOT(ISERROR(SEARCH("H",A39)))</formula>
    </cfRule>
  </conditionalFormatting>
  <conditionalFormatting sqref="A39:A42">
    <cfRule type="containsText" dxfId="761" priority="71" operator="containsText" text="D">
      <formula>NOT(ISERROR(SEARCH("D",A39)))</formula>
    </cfRule>
  </conditionalFormatting>
  <conditionalFormatting sqref="A39:A42">
    <cfRule type="containsText" dxfId="760" priority="70" operator="containsText" text="R">
      <formula>NOT(ISERROR(SEARCH("R",A39)))</formula>
    </cfRule>
  </conditionalFormatting>
  <conditionalFormatting sqref="A39:A42">
    <cfRule type="containsText" dxfId="759" priority="69" operator="containsText" text="P">
      <formula>NOT(ISERROR(SEARCH("P",A39)))</formula>
    </cfRule>
  </conditionalFormatting>
  <conditionalFormatting sqref="B39:J39">
    <cfRule type="containsText" dxfId="758" priority="67" operator="containsText" text="S">
      <formula>NOT(ISERROR(SEARCH("S",B39)))</formula>
    </cfRule>
    <cfRule type="containsText" dxfId="757" priority="68" operator="containsText" text="H">
      <formula>NOT(ISERROR(SEARCH("H",B39)))</formula>
    </cfRule>
  </conditionalFormatting>
  <conditionalFormatting sqref="B39:J39">
    <cfRule type="containsText" dxfId="756" priority="66" operator="containsText" text="D">
      <formula>NOT(ISERROR(SEARCH("D",B39)))</formula>
    </cfRule>
  </conditionalFormatting>
  <conditionalFormatting sqref="B39:J39">
    <cfRule type="containsText" dxfId="755" priority="65" operator="containsText" text="R">
      <formula>NOT(ISERROR(SEARCH("R",B39)))</formula>
    </cfRule>
  </conditionalFormatting>
  <conditionalFormatting sqref="B39:J39">
    <cfRule type="containsText" dxfId="754" priority="64" operator="containsText" text="P">
      <formula>NOT(ISERROR(SEARCH("P",B39)))</formula>
    </cfRule>
  </conditionalFormatting>
  <conditionalFormatting sqref="B40:J42">
    <cfRule type="colorScale" priority="62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753" priority="63" operator="equal">
      <formula>MAX($B$40:$J$42)</formula>
    </cfRule>
  </conditionalFormatting>
  <conditionalFormatting sqref="B24:J24">
    <cfRule type="containsText" dxfId="752" priority="55" operator="containsText" text="S">
      <formula>NOT(ISERROR(SEARCH("S",B24)))</formula>
    </cfRule>
    <cfRule type="containsText" dxfId="751" priority="56" operator="containsText" text="H">
      <formula>NOT(ISERROR(SEARCH("H",B24)))</formula>
    </cfRule>
  </conditionalFormatting>
  <conditionalFormatting sqref="B24:J24">
    <cfRule type="containsText" dxfId="750" priority="54" operator="containsText" text="D">
      <formula>NOT(ISERROR(SEARCH("D",B24)))</formula>
    </cfRule>
  </conditionalFormatting>
  <conditionalFormatting sqref="B24:J24">
    <cfRule type="containsText" dxfId="749" priority="53" operator="containsText" text="R">
      <formula>NOT(ISERROR(SEARCH("R",B24)))</formula>
    </cfRule>
  </conditionalFormatting>
  <conditionalFormatting sqref="B24:J24">
    <cfRule type="containsText" dxfId="748" priority="52" operator="containsText" text="P">
      <formula>NOT(ISERROR(SEARCH("P",B24)))</formula>
    </cfRule>
  </conditionalFormatting>
  <conditionalFormatting sqref="A34:A37">
    <cfRule type="containsText" dxfId="747" priority="29" operator="containsText" text="S">
      <formula>NOT(ISERROR(SEARCH("S",A34)))</formula>
    </cfRule>
    <cfRule type="containsText" dxfId="746" priority="30" operator="containsText" text="H">
      <formula>NOT(ISERROR(SEARCH("H",A34)))</formula>
    </cfRule>
  </conditionalFormatting>
  <conditionalFormatting sqref="A34:A37">
    <cfRule type="containsText" dxfId="745" priority="28" operator="containsText" text="D">
      <formula>NOT(ISERROR(SEARCH("D",A34)))</formula>
    </cfRule>
  </conditionalFormatting>
  <conditionalFormatting sqref="A34:A37">
    <cfRule type="containsText" dxfId="744" priority="27" operator="containsText" text="R">
      <formula>NOT(ISERROR(SEARCH("R",A34)))</formula>
    </cfRule>
  </conditionalFormatting>
  <conditionalFormatting sqref="A34:A37">
    <cfRule type="containsText" dxfId="743" priority="26" operator="containsText" text="P">
      <formula>NOT(ISERROR(SEARCH("P",A34)))</formula>
    </cfRule>
  </conditionalFormatting>
  <conditionalFormatting sqref="B34:J34">
    <cfRule type="containsText" dxfId="742" priority="24" operator="containsText" text="S">
      <formula>NOT(ISERROR(SEARCH("S",B34)))</formula>
    </cfRule>
    <cfRule type="containsText" dxfId="741" priority="25" operator="containsText" text="H">
      <formula>NOT(ISERROR(SEARCH("H",B34)))</formula>
    </cfRule>
  </conditionalFormatting>
  <conditionalFormatting sqref="B34:J34">
    <cfRule type="containsText" dxfId="740" priority="23" operator="containsText" text="D">
      <formula>NOT(ISERROR(SEARCH("D",B34)))</formula>
    </cfRule>
  </conditionalFormatting>
  <conditionalFormatting sqref="B34:J34">
    <cfRule type="containsText" dxfId="739" priority="22" operator="containsText" text="R">
      <formula>NOT(ISERROR(SEARCH("R",B34)))</formula>
    </cfRule>
  </conditionalFormatting>
  <conditionalFormatting sqref="B34:J34">
    <cfRule type="containsText" dxfId="738" priority="21" operator="containsText" text="P">
      <formula>NOT(ISERROR(SEARCH("P",B34)))</formula>
    </cfRule>
  </conditionalFormatting>
  <conditionalFormatting sqref="B35:J37">
    <cfRule type="colorScale" priority="19">
      <colorScale>
        <cfvo type="num" val="0"/>
        <cfvo type="num" val="0"/>
        <cfvo type="max"/>
        <color rgb="FF00B050"/>
        <color rgb="FFFFEB84"/>
        <color rgb="FFFF0000"/>
      </colorScale>
    </cfRule>
    <cfRule type="cellIs" dxfId="737" priority="20" operator="equal">
      <formula>MAX($Q$29:$Y$31)</formula>
    </cfRule>
  </conditionalFormatting>
  <conditionalFormatting sqref="A29:A32">
    <cfRule type="containsText" dxfId="736" priority="17" operator="containsText" text="S">
      <formula>NOT(ISERROR(SEARCH("S",A29)))</formula>
    </cfRule>
    <cfRule type="containsText" dxfId="735" priority="18" operator="containsText" text="H">
      <formula>NOT(ISERROR(SEARCH("H",A29)))</formula>
    </cfRule>
  </conditionalFormatting>
  <conditionalFormatting sqref="A29:A32">
    <cfRule type="containsText" dxfId="734" priority="16" operator="containsText" text="D">
      <formula>NOT(ISERROR(SEARCH("D",A29)))</formula>
    </cfRule>
  </conditionalFormatting>
  <conditionalFormatting sqref="A29:A32">
    <cfRule type="containsText" dxfId="733" priority="15" operator="containsText" text="R">
      <formula>NOT(ISERROR(SEARCH("R",A29)))</formula>
    </cfRule>
  </conditionalFormatting>
  <conditionalFormatting sqref="A29:A32">
    <cfRule type="containsText" dxfId="732" priority="14" operator="containsText" text="P">
      <formula>NOT(ISERROR(SEARCH("P",A29)))</formula>
    </cfRule>
  </conditionalFormatting>
  <conditionalFormatting sqref="B29:J29">
    <cfRule type="containsText" dxfId="731" priority="12" operator="containsText" text="S">
      <formula>NOT(ISERROR(SEARCH("S",B29)))</formula>
    </cfRule>
    <cfRule type="containsText" dxfId="730" priority="13" operator="containsText" text="H">
      <formula>NOT(ISERROR(SEARCH("H",B29)))</formula>
    </cfRule>
  </conditionalFormatting>
  <conditionalFormatting sqref="B29:J29">
    <cfRule type="containsText" dxfId="729" priority="11" operator="containsText" text="D">
      <formula>NOT(ISERROR(SEARCH("D",B29)))</formula>
    </cfRule>
  </conditionalFormatting>
  <conditionalFormatting sqref="B29:J29">
    <cfRule type="containsText" dxfId="728" priority="10" operator="containsText" text="R">
      <formula>NOT(ISERROR(SEARCH("R",B29)))</formula>
    </cfRule>
  </conditionalFormatting>
  <conditionalFormatting sqref="B29:J29">
    <cfRule type="containsText" dxfId="727" priority="9" operator="containsText" text="P">
      <formula>NOT(ISERROR(SEARCH("P",B29)))</formula>
    </cfRule>
  </conditionalFormatting>
  <conditionalFormatting sqref="B30:J32">
    <cfRule type="colorScale" priority="8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25:J27">
    <cfRule type="colorScale" priority="384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A25:A27">
    <cfRule type="containsText" dxfId="726" priority="6" operator="containsText" text="S">
      <formula>NOT(ISERROR(SEARCH("S",A25)))</formula>
    </cfRule>
    <cfRule type="containsText" dxfId="725" priority="7" operator="containsText" text="H">
      <formula>NOT(ISERROR(SEARCH("H",A25)))</formula>
    </cfRule>
  </conditionalFormatting>
  <conditionalFormatting sqref="A25:A27">
    <cfRule type="containsText" dxfId="724" priority="5" operator="containsText" text="D">
      <formula>NOT(ISERROR(SEARCH("D",A25)))</formula>
    </cfRule>
  </conditionalFormatting>
  <conditionalFormatting sqref="A25:A27">
    <cfRule type="containsText" dxfId="723" priority="4" operator="containsText" text="R">
      <formula>NOT(ISERROR(SEARCH("R",A25)))</formula>
    </cfRule>
  </conditionalFormatting>
  <conditionalFormatting sqref="A25:A27">
    <cfRule type="containsText" dxfId="722" priority="3" operator="containsText" text="P">
      <formula>NOT(ISERROR(SEARCH("P",A25)))</formula>
    </cfRule>
  </conditionalFormatting>
  <conditionalFormatting sqref="B22:C22">
    <cfRule type="cellIs" dxfId="1" priority="2" operator="lessThan">
      <formula>0</formula>
    </cfRule>
    <cfRule type="cellIs" dxfId="0" priority="1" operator="greaterThan">
      <formula>0</formula>
    </cfRule>
  </conditionalFormatting>
  <dataValidations count="16">
    <dataValidation type="whole" allowBlank="1" showInputMessage="1" showErrorMessage="1" sqref="B5" xr:uid="{00000000-0002-0000-0000-000002000000}">
      <formula1>0</formula1>
      <formula2>100</formula2>
    </dataValidation>
    <dataValidation type="whole" allowBlank="1" showInputMessage="1" showErrorMessage="1" sqref="B17" xr:uid="{00000000-0002-0000-0000-000007000000}">
      <formula1>2</formula1>
      <formula2>5</formula2>
    </dataValidation>
    <dataValidation type="textLength" operator="greaterThan" allowBlank="1" showInputMessage="1" showErrorMessage="1" sqref="B18:B19" xr:uid="{DB7CC3A3-DC58-B24B-8A55-F7465E4C5F5A}">
      <formula1>0</formula1>
    </dataValidation>
    <dataValidation type="whole" showInputMessage="1" showErrorMessage="1" sqref="B11" xr:uid="{1A2EE8F2-7D63-6246-A7A7-BF8BCA55D295}">
      <formula1>2</formula1>
      <formula2>5</formula2>
    </dataValidation>
    <dataValidation type="list" allowBlank="1" showInputMessage="1" showErrorMessage="1" sqref="B4" xr:uid="{00000000-0002-0000-0000-000000000000}">
      <formula1>$D$4:$E$4</formula1>
    </dataValidation>
    <dataValidation type="list" allowBlank="1" showInputMessage="1" showErrorMessage="1" sqref="B3" xr:uid="{00000000-0002-0000-0000-000001000000}">
      <formula1>$D$3:$F$3</formula1>
    </dataValidation>
    <dataValidation type="list" allowBlank="1" showInputMessage="1" showErrorMessage="1" sqref="B6" xr:uid="{00000000-0002-0000-0000-000003000000}">
      <formula1>$D$6:$E$6</formula1>
    </dataValidation>
    <dataValidation type="list" allowBlank="1" showInputMessage="1" showErrorMessage="1" sqref="B8:B9" xr:uid="{00000000-0002-0000-0000-000004000000}">
      <formula1>$D$8:$E$8</formula1>
    </dataValidation>
    <dataValidation type="list" allowBlank="1" showInputMessage="1" showErrorMessage="1" sqref="B7" xr:uid="{00000000-0002-0000-0000-000005000000}">
      <formula1>$D$7:$E$7</formula1>
    </dataValidation>
    <dataValidation type="list" allowBlank="1" showInputMessage="1" showErrorMessage="1" sqref="B10" xr:uid="{00000000-0002-0000-0000-000006000000}">
      <formula1>$D$10:$E$10</formula1>
    </dataValidation>
    <dataValidation type="list" allowBlank="1" showInputMessage="1" showErrorMessage="1" sqref="B12" xr:uid="{00000000-0002-0000-0000-000008000000}">
      <formula1>$D$12:$E$12</formula1>
    </dataValidation>
    <dataValidation type="list" allowBlank="1" showInputMessage="1" showErrorMessage="1" sqref="B13" xr:uid="{00000000-0002-0000-0000-000009000000}">
      <formula1>$D$13:$E$13</formula1>
    </dataValidation>
    <dataValidation type="list" allowBlank="1" showInputMessage="1" showErrorMessage="1" sqref="B14" xr:uid="{00000000-0002-0000-0000-00000A000000}">
      <formula1>$D$14:$E$14</formula1>
    </dataValidation>
    <dataValidation type="list" allowBlank="1" showInputMessage="1" showErrorMessage="1" sqref="B16" xr:uid="{00000000-0002-0000-0000-00000B000000}">
      <formula1>$D$16:$F$16</formula1>
    </dataValidation>
    <dataValidation type="list" allowBlank="1" showInputMessage="1" showErrorMessage="1" sqref="B15" xr:uid="{00000000-0002-0000-0000-00000C000000}">
      <formula1>$D$15:$F$15</formula1>
    </dataValidation>
    <dataValidation type="list" operator="greaterThan" allowBlank="1" showInputMessage="1" showErrorMessage="1" sqref="B20" xr:uid="{91D4D8A0-A14C-1C4D-B99A-420B714A263C}">
      <formula1>$D$20:$E$20</formula1>
    </dataValidation>
  </dataValidations>
  <pageMargins left="0.7" right="0.7" top="0.75" bottom="0.75" header="0.3" footer="0.3"/>
  <pageSetup paperSize="9"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89"/>
  <sheetViews>
    <sheetView workbookViewId="0">
      <selection activeCell="P11" sqref="P11:X11"/>
    </sheetView>
  </sheetViews>
  <sheetFormatPr baseColWidth="10" defaultColWidth="8.83203125" defaultRowHeight="16"/>
  <cols>
    <col min="14" max="14" width="3.83203125" style="291" customWidth="1"/>
    <col min="15" max="24" width="3.83203125" customWidth="1"/>
  </cols>
  <sheetData>
    <row r="1" spans="1:24" ht="17" thickBot="1">
      <c r="A1" s="344" t="s">
        <v>74</v>
      </c>
      <c r="B1" s="345"/>
      <c r="C1" s="345"/>
      <c r="D1" s="345"/>
      <c r="E1" s="345"/>
      <c r="F1" s="345"/>
      <c r="G1" s="345"/>
      <c r="H1" s="345"/>
      <c r="I1" s="345"/>
      <c r="J1" s="345"/>
      <c r="K1" s="346"/>
      <c r="N1" s="315"/>
      <c r="O1" s="314">
        <v>1</v>
      </c>
      <c r="P1" s="148">
        <v>2</v>
      </c>
      <c r="Q1" s="148">
        <v>3</v>
      </c>
      <c r="R1" s="148">
        <v>4</v>
      </c>
      <c r="S1" s="148">
        <v>5</v>
      </c>
      <c r="T1" s="148">
        <v>6</v>
      </c>
      <c r="U1" s="148">
        <v>7</v>
      </c>
      <c r="V1" s="148">
        <v>8</v>
      </c>
      <c r="W1" s="148">
        <v>9</v>
      </c>
      <c r="X1" s="150">
        <v>10</v>
      </c>
    </row>
    <row r="2" spans="1:24" ht="17" thickBot="1">
      <c r="A2" s="103" t="s">
        <v>7</v>
      </c>
      <c r="B2" s="115">
        <v>1</v>
      </c>
      <c r="C2" s="116">
        <v>2</v>
      </c>
      <c r="D2" s="116">
        <v>3</v>
      </c>
      <c r="E2" s="116">
        <v>4</v>
      </c>
      <c r="F2" s="116">
        <v>5</v>
      </c>
      <c r="G2" s="116">
        <v>6</v>
      </c>
      <c r="H2" s="116">
        <v>7</v>
      </c>
      <c r="I2" s="116">
        <v>8</v>
      </c>
      <c r="J2" s="116">
        <v>9</v>
      </c>
      <c r="K2" s="104">
        <v>10</v>
      </c>
      <c r="N2" s="316">
        <v>1</v>
      </c>
      <c r="O2" s="54">
        <f>IF(B68=HSDR!B35,HSDR!O35,IF(B68=B42,2,IF(B68=B29,3,IF(B68=B16,4,IF(B68=B3,5)))))</f>
        <v>2</v>
      </c>
      <c r="P2" s="54">
        <f>IF(C68=HSDR!C35,HSDR!P35,IF(C68=C42,2,IF(C68=C29,3,IF(C68=C16,4,IF(C68=C3,5)))))</f>
        <v>2</v>
      </c>
      <c r="Q2" s="54">
        <f>IF(D68=HSDR!D35,HSDR!Q35,IF(D68=D42,2,IF(D68=D29,3,IF(D68=D16,4,IF(D68=D3,5)))))</f>
        <v>2</v>
      </c>
      <c r="R2" s="54">
        <f>IF(E68=HSDR!E35,HSDR!R35,IF(E68=E42,2,IF(E68=E29,3,IF(E68=E16,4,IF(E68=E3,5)))))</f>
        <v>2</v>
      </c>
      <c r="S2" s="54">
        <f>IF(F68=HSDR!F35,HSDR!S35,IF(F68=F42,2,IF(F68=F29,3,IF(F68=F16,4,IF(F68=F3,5)))))</f>
        <v>2</v>
      </c>
      <c r="T2" s="54">
        <f>IF(G68=HSDR!G35,HSDR!T35,IF(G68=G42,2,IF(G68=G29,3,IF(G68=G16,4,IF(G68=G3,5)))))</f>
        <v>2</v>
      </c>
      <c r="U2" s="54">
        <f>IF(H68=HSDR!H35,HSDR!U35,IF(H68=H42,2,IF(H68=H29,3,IF(H68=H16,4,IF(H68=H3,5)))))</f>
        <v>2</v>
      </c>
      <c r="V2" s="54">
        <f>IF(I68=HSDR!I35,HSDR!V35,IF(I68=I42,2,IF(I68=I29,3,IF(I68=I16,4,IF(I68=I3,5)))))</f>
        <v>2</v>
      </c>
      <c r="W2" s="54">
        <f>IF(J68=HSDR!J35,HSDR!W35,IF(J68=J42,2,IF(J68=J29,3,IF(J68=J16,4,IF(J68=J3,5)))))</f>
        <v>2</v>
      </c>
      <c r="X2" s="54">
        <f>IF(K68=HSDR!K35,HSDR!X35,IF(K68=K42,2,IF(K68=K29,3,IF(K68=K16,4,IF(K68=K3,5)))))</f>
        <v>2</v>
      </c>
    </row>
    <row r="3" spans="1:24">
      <c r="A3" s="262">
        <v>1</v>
      </c>
      <c r="B3" s="107">
        <f>(IF(Rules!$B$12=Rules!$E$12,SUM(Stand!B35:B43)+Rules!$B$5*Stand!B44,SUM(HSD!B35:B43)+Rules!$B$5*HSD!B44)/(9+Rules!$B$5))+B16</f>
        <v>-0.29539287757191135</v>
      </c>
      <c r="C3" s="108">
        <f>(IF(Rules!$B$12=Rules!$E$12,SUM(Stand!C35:C43)+Rules!$B$5*Stand!C44,SUM(HSD!C35:C43)+Rules!$B$5*HSD!C44)/(9+Rules!$B$5))+C16</f>
        <v>1.1753037000445585</v>
      </c>
      <c r="D3" s="108">
        <f>(IF(Rules!$B$12=Rules!$E$12,SUM(Stand!D35:D43)+Rules!$B$5*Stand!D44,SUM(HSD!D35:D43)+Rules!$B$5*HSD!D44)/(9+Rules!$B$5))+D16</f>
        <v>1.2933195993489564</v>
      </c>
      <c r="E3" s="108">
        <f>(IF(Rules!$B$12=Rules!$E$12,SUM(Stand!E35:E43)+Rules!$B$5*Stand!E44,SUM(HSD!E35:E43)+Rules!$B$5*HSD!E44)/(9+Rules!$B$5))+E16</f>
        <v>1.4140163092638245</v>
      </c>
      <c r="F3" s="108">
        <f>(IF(Rules!$B$12=Rules!$E$12,SUM(Stand!F35:F43)+Rules!$B$5*Stand!F44,SUM(HSD!F35:F43)+Rules!$B$5*HSD!F44)/(9+Rules!$B$5))+F16</f>
        <v>1.5362251052112919</v>
      </c>
      <c r="G3" s="108">
        <f>(IF(Rules!$B$12=Rules!$E$12,SUM(Stand!G35:G43)+Rules!$B$5*Stand!G44,SUM(HSD!G35:G43)+Rules!$B$5*HSD!G44)/(9+Rules!$B$5))+G16</f>
        <v>1.6616585229723135</v>
      </c>
      <c r="H3" s="108">
        <f>(IF(Rules!$B$12=Rules!$E$12,SUM(Stand!H35:H43)+Rules!$B$5*Stand!H44,SUM(HSD!H35:H43)+Rules!$B$5*HSD!H44)/(9+Rules!$B$5))+H16</f>
        <v>1.1572223721607271</v>
      </c>
      <c r="I3" s="108">
        <f>(IF(Rules!$B$12=Rules!$E$12,SUM(Stand!I35:I43)+Rules!$B$5*Stand!I44,SUM(HSD!I35:I43)+Rules!$B$5*HSD!I44)/(9+Rules!$B$5))+I16</f>
        <v>0.87673147717578781</v>
      </c>
      <c r="J3" s="108">
        <f>(IF(Rules!$B$12=Rules!$E$12,SUM(Stand!J35:J43)+Rules!$B$5*Stand!J44,SUM(HSD!J35:J43)+Rules!$B$5*HSD!J44)/(9+Rules!$B$5))+J16</f>
        <v>0.5694585578811372</v>
      </c>
      <c r="K3" s="57">
        <f>(IF(Rules!$B$12=Rules!$E$12,SUM(Stand!K35:K43)+Rules!$B$5*Stand!K44,SUM(HSD!K35:K43)+Rules!$B$5*HSD!K44)/(9+Rules!$B$5))+K16</f>
        <v>0.14839410467660932</v>
      </c>
      <c r="N3" s="317">
        <v>2</v>
      </c>
      <c r="O3" s="58" t="str">
        <f>IF(B69=HSDR!B4,HSDR!O4,IF(B69=B43,2,IF(B69=B30,3,IF(B69=B17,4,IF(B69=B4,5)))))</f>
        <v>H</v>
      </c>
      <c r="P3" s="292" t="str">
        <f>IF(C69=HSDR!C4,HSDR!P4,IF(C69=C43,2,IF(C69=C30,3,IF(C69=C17,4,IF(C69=C4,5)))))</f>
        <v>H</v>
      </c>
      <c r="Q3" s="292" t="str">
        <f>IF(D69=HSDR!D4,HSDR!Q4,IF(D69=D43,2,IF(D69=D30,3,IF(D69=D17,4,IF(D69=D4,5)))))</f>
        <v>H</v>
      </c>
      <c r="R3" s="292">
        <f>IF(E69=HSDR!E4,HSDR!R4,IF(E69=E43,2,IF(E69=E30,3,IF(E69=E17,4,IF(E69=E4,5)))))</f>
        <v>2</v>
      </c>
      <c r="S3" s="292">
        <f>IF(F69=HSDR!F4,HSDR!S4,IF(F69=F43,2,IF(F69=F30,3,IF(F69=F17,4,IF(F69=F4,5)))))</f>
        <v>2</v>
      </c>
      <c r="T3" s="292">
        <f>IF(G69=HSDR!G4,HSDR!T4,IF(G69=G43,2,IF(G69=G30,3,IF(G69=G17,4,IF(G69=G4,5)))))</f>
        <v>2</v>
      </c>
      <c r="U3" s="292">
        <f>IF(H69=HSDR!H4,HSDR!U4,IF(H69=H43,2,IF(H69=H30,3,IF(H69=H17,4,IF(H69=H4,5)))))</f>
        <v>2</v>
      </c>
      <c r="V3" s="292" t="str">
        <f>IF(I69=HSDR!I4,HSDR!V4,IF(I69=I43,2,IF(I69=I30,3,IF(I69=I17,4,IF(I69=I4,5)))))</f>
        <v>H</v>
      </c>
      <c r="W3" s="292" t="str">
        <f>IF(J69=HSDR!J4,HSDR!W4,IF(J69=J43,2,IF(J69=J30,3,IF(J69=J17,4,IF(J69=J4,5)))))</f>
        <v>H</v>
      </c>
      <c r="X3" s="311" t="str">
        <f>IF(K69=HSDR!K4,HSDR!X4,IF(K69=K43,2,IF(K69=K30,3,IF(K69=K17,4,IF(K69=K4,5)))))</f>
        <v>H</v>
      </c>
    </row>
    <row r="4" spans="1:24">
      <c r="A4" s="98">
        <v>2</v>
      </c>
      <c r="B4" s="93">
        <f>(IF(Rules!$B$9=Rules!$D$9,SUM(HSD!B4:B11)+Rules!$B$5*HSD!B12+HSD!B36,SUM(HS!B4:B11)+Rules!$B$5*HS!B12+HS!B36)/(9+Rules!$B$5))+B17</f>
        <v>-1.7228418596267081</v>
      </c>
      <c r="C4" s="1">
        <f>(IF(Rules!$B$9=Rules!$D$9,SUM(HSD!C4:C11)+Rules!$B$5*HSD!C12+HSD!C36,SUM(HS!C4:C11)+Rules!$B$5*HS!C12+HS!C36)/(9+Rules!$B$5))+C17</f>
        <v>-0.38018069824816281</v>
      </c>
      <c r="D4" s="1">
        <f>(IF(Rules!$B$9=Rules!$D$9,SUM(HSD!D4:D11)+Rules!$B$5*HSD!D12+HSD!D36,SUM(HS!D4:D11)+Rules!$B$5*HS!D12+HS!D36)/(9+Rules!$B$5))+D17</f>
        <v>-0.24943642164853935</v>
      </c>
      <c r="E4" s="1">
        <f>(IF(Rules!$B$9=Rules!$D$9,SUM(HSD!E4:E11)+Rules!$B$5*HSD!E12+HSD!E36,SUM(HS!E4:E11)+Rules!$B$5*HS!E12+HS!E36)/(9+Rules!$B$5))+E17</f>
        <v>-0.10080104848353545</v>
      </c>
      <c r="F4" s="1">
        <f>(IF(Rules!$B$9=Rules!$D$9,SUM(HSD!F4:F11)+Rules!$B$5*HSD!F12+HSD!F36,SUM(HS!F4:F11)+Rules!$B$5*HS!F12+HS!F36)/(9+Rules!$B$5))+F17</f>
        <v>7.3321019147742653E-2</v>
      </c>
      <c r="G4" s="1">
        <f>(IF(Rules!$B$9=Rules!$D$9,SUM(HSD!G4:G11)+Rules!$B$5*HSD!G12+HSD!G36,SUM(HS!G4:G11)+Rules!$B$5*HS!G12+HS!G36)/(9+Rules!$B$5))+G17</f>
        <v>0.2551382101412325</v>
      </c>
      <c r="H4" s="1">
        <f>(IF(Rules!$B$9=Rules!$D$9,SUM(HSD!H4:H11)+Rules!$B$5*HSD!H12+HSD!H36,SUM(HS!H4:H11)+Rules!$B$5*HS!H12+HS!H36)/(9+Rules!$B$5))+H17</f>
        <v>-0.13628510687931122</v>
      </c>
      <c r="I4" s="1">
        <f>(IF(Rules!$B$9=Rules!$D$9,SUM(HSD!I4:I11)+Rules!$B$5*HSD!I12+HSD!I36,SUM(HS!I4:I11)+Rules!$B$5*HS!I12+HS!I36)/(9+Rules!$B$5))+I17</f>
        <v>-0.51580863887563622</v>
      </c>
      <c r="J4" s="1">
        <f>(IF(Rules!$B$9=Rules!$D$9,SUM(HSD!J4:J11)+Rules!$B$5*HSD!J12+HSD!J36,SUM(HS!J4:J11)+Rules!$B$5*HS!J12+HS!J36)/(9+Rules!$B$5))+J17</f>
        <v>-0.95023571526754214</v>
      </c>
      <c r="K4" s="9">
        <f>(IF(Rules!$B$9=Rules!$D$9,SUM(HSD!K4:K11)+Rules!$B$5*HSD!K12+HSD!K36,SUM(HS!K4:K11)+Rules!$B$5*HS!K12+HS!K36)/(9+Rules!$B$5))+K17</f>
        <v>-1.4548186386988713</v>
      </c>
      <c r="N4" s="317">
        <v>3</v>
      </c>
      <c r="O4" s="58" t="str">
        <f>IF(B70=HSDR!B6,HSDR!O6,IF(B70=B44,2,IF(B70=B31,3,IF(B70=B18,4,IF(B70=B5,5)))))</f>
        <v>H</v>
      </c>
      <c r="P4" s="292" t="str">
        <f>IF(C70=HSDR!C6,HSDR!P6,IF(C70=C44,2,IF(C70=C31,3,IF(C70=C18,4,IF(C70=C5,5)))))</f>
        <v>H</v>
      </c>
      <c r="Q4" s="292" t="str">
        <f>IF(D70=HSDR!D6,HSDR!Q6,IF(D70=D44,2,IF(D70=D31,3,IF(D70=D18,4,IF(D70=D5,5)))))</f>
        <v>H</v>
      </c>
      <c r="R4" s="292">
        <f>IF(E70=HSDR!E6,HSDR!R6,IF(E70=E44,2,IF(E70=E31,3,IF(E70=E18,4,IF(E70=E5,5)))))</f>
        <v>2</v>
      </c>
      <c r="S4" s="292">
        <f>IF(F70=HSDR!F6,HSDR!S6,IF(F70=F44,2,IF(F70=F31,3,IF(F70=F18,4,IF(F70=F5,5)))))</f>
        <v>2</v>
      </c>
      <c r="T4" s="292">
        <f>IF(G70=HSDR!G6,HSDR!T6,IF(G70=G44,2,IF(G70=G31,3,IF(G70=G18,4,IF(G70=G5,5)))))</f>
        <v>2</v>
      </c>
      <c r="U4" s="292">
        <f>IF(H70=HSDR!H6,HSDR!U6,IF(H70=H44,2,IF(H70=H31,3,IF(H70=H18,4,IF(H70=H5,5)))))</f>
        <v>2</v>
      </c>
      <c r="V4" s="292" t="str">
        <f>IF(I70=HSDR!I6,HSDR!V6,IF(I70=I44,2,IF(I70=I31,3,IF(I70=I18,4,IF(I70=I5,5)))))</f>
        <v>H</v>
      </c>
      <c r="W4" s="292" t="str">
        <f>IF(J70=HSDR!J6,HSDR!W6,IF(J70=J44,2,IF(J70=J31,3,IF(J70=J18,4,IF(J70=J5,5)))))</f>
        <v>H</v>
      </c>
      <c r="X4" s="311" t="str">
        <f>IF(K70=HSDR!K6,HSDR!X6,IF(K70=K44,2,IF(K70=K31,3,IF(K70=K18,4,IF(K70=K5,5)))))</f>
        <v>H</v>
      </c>
    </row>
    <row r="5" spans="1:24">
      <c r="A5" s="98">
        <v>3</v>
      </c>
      <c r="B5" s="93">
        <f>(IF(Rules!$B$9=Rules!$D$9,SUM(HSD!B5:B12)+Rules!$B$5*HSD!B13+HSD!B37,SUM(HS!B5:B12)+Rules!$B$5*HS!B13+HS!B37)/(9+Rules!$B$5))+B18</f>
        <v>-1.8237232049737764</v>
      </c>
      <c r="C5" s="1">
        <f>(IF(Rules!$B$9=Rules!$D$9,SUM(HSD!C5:C12)+Rules!$B$5*HSD!C13+HSD!C37,SUM(HS!C5:C12)+Rules!$B$5*HS!C13+HS!C37)/(9+Rules!$B$5))+C18</f>
        <v>-0.49397461503663259</v>
      </c>
      <c r="D5" s="1">
        <f>(IF(Rules!$B$9=Rules!$D$9,SUM(HSD!D5:D12)+Rules!$B$5*HSD!D13+HSD!D37,SUM(HS!D5:D12)+Rules!$B$5*HS!D13+HS!D37)/(9+Rules!$B$5))+D18</f>
        <v>-0.33660659870721005</v>
      </c>
      <c r="E5" s="1">
        <f>(IF(Rules!$B$9=Rules!$D$9,SUM(HSD!E5:E12)+Rules!$B$5*HSD!E13+HSD!E37,SUM(HS!E5:E12)+Rules!$B$5*HS!E13+HS!E37)/(9+Rules!$B$5))+E18</f>
        <v>-0.17039747302989891</v>
      </c>
      <c r="F5" s="1">
        <f>(IF(Rules!$B$9=Rules!$D$9,SUM(HSD!F5:F12)+Rules!$B$5*HSD!F13+HSD!F37,SUM(HS!F5:F12)+Rules!$B$5*HS!F13+HS!F37)/(9+Rules!$B$5))+F18</f>
        <v>6.1022577066198623E-3</v>
      </c>
      <c r="G5" s="1">
        <f>(IF(Rules!$B$9=Rules!$D$9,SUM(HSD!G5:G12)+Rules!$B$5*HSD!G13+HSD!G37,SUM(HS!G5:G12)+Rules!$B$5*HS!G13+HS!G37)/(9+Rules!$B$5))+G18</f>
        <v>0.19063865332806126</v>
      </c>
      <c r="H5" s="1">
        <f>(IF(Rules!$B$9=Rules!$D$9,SUM(HSD!H5:H12)+Rules!$B$5*HSD!H13+HSD!H37,SUM(HS!H5:H12)+Rules!$B$5*HS!H13+HS!H37)/(9+Rules!$B$5))+H18</f>
        <v>-0.28718794270178333</v>
      </c>
      <c r="I5" s="1">
        <f>(IF(Rules!$B$9=Rules!$D$9,SUM(HSD!I5:I12)+Rules!$B$5*HSD!I13+HSD!I37,SUM(HS!I5:I12)+Rules!$B$5*HS!I13+HS!I37)/(9+Rules!$B$5))+I18</f>
        <v>-0.65470940325100491</v>
      </c>
      <c r="J5" s="1">
        <f>(IF(Rules!$B$9=Rules!$D$9,SUM(HSD!J5:J12)+Rules!$B$5*HSD!J13+HSD!J37,SUM(HS!J5:J12)+Rules!$B$5*HS!J13+HS!J37)/(9+Rules!$B$5))+J18</f>
        <v>-1.0753831140681216</v>
      </c>
      <c r="K5" s="9">
        <f>(IF(Rules!$B$9=Rules!$D$9,SUM(HSD!K5:K12)+Rules!$B$5*HSD!K13+HSD!K37,SUM(HS!K5:K12)+Rules!$B$5*HS!K13+HS!K37)/(9+Rules!$B$5))+K18</f>
        <v>-1.5638990064129903</v>
      </c>
      <c r="N5" s="317">
        <v>4</v>
      </c>
      <c r="O5" s="58" t="str">
        <f>IF(B71=HSDR!B8,HSDR!O8,IF(B71=B45,2,IF(B71=B32,3,IF(B71=B19,4,IF(B71=B6,5)))))</f>
        <v>H</v>
      </c>
      <c r="P5" s="292" t="str">
        <f>IF(C71=HSDR!C8,HSDR!P8,IF(C71=C45,2,IF(C71=C32,3,IF(C71=C19,4,IF(C71=C6,5)))))</f>
        <v>H</v>
      </c>
      <c r="Q5" s="292" t="str">
        <f>IF(D71=HSDR!D8,HSDR!Q8,IF(D71=D45,2,IF(D71=D32,3,IF(D71=D19,4,IF(D71=D6,5)))))</f>
        <v>H</v>
      </c>
      <c r="R5" s="292" t="str">
        <f>IF(E71=HSDR!E8,HSDR!R8,IF(E71=E45,2,IF(E71=E32,3,IF(E71=E19,4,IF(E71=E6,5)))))</f>
        <v>H</v>
      </c>
      <c r="S5" s="292" t="str">
        <f>IF(F71=HSDR!F8,HSDR!S8,IF(F71=F45,2,IF(F71=F32,3,IF(F71=F19,4,IF(F71=F6,5)))))</f>
        <v>H</v>
      </c>
      <c r="T5" s="292" t="str">
        <f>IF(G71=HSDR!G8,HSDR!T8,IF(G71=G45,2,IF(G71=G32,3,IF(G71=G19,4,IF(G71=G6,5)))))</f>
        <v>H</v>
      </c>
      <c r="U5" s="292" t="str">
        <f>IF(H71=HSDR!H8,HSDR!U8,IF(H71=H45,2,IF(H71=H32,3,IF(H71=H19,4,IF(H71=H6,5)))))</f>
        <v>H</v>
      </c>
      <c r="V5" s="292" t="str">
        <f>IF(I71=HSDR!I8,HSDR!V8,IF(I71=I45,2,IF(I71=I32,3,IF(I71=I19,4,IF(I71=I6,5)))))</f>
        <v>H</v>
      </c>
      <c r="W5" s="292" t="str">
        <f>IF(J71=HSDR!J8,HSDR!W8,IF(J71=J45,2,IF(J71=J32,3,IF(J71=J19,4,IF(J71=J6,5)))))</f>
        <v>H</v>
      </c>
      <c r="X5" s="311" t="str">
        <f>IF(K71=HSDR!K8,HSDR!X8,IF(K71=K45,2,IF(K71=K32,3,IF(K71=K19,4,IF(K71=K6,5)))))</f>
        <v>H</v>
      </c>
    </row>
    <row r="6" spans="1:24">
      <c r="A6" s="98">
        <v>4</v>
      </c>
      <c r="B6" s="93">
        <f>(IF(Rules!$B$9=Rules!$D$9,SUM(HSD!B6:B13)+Rules!$B$5*HSD!B14+HSD!B38,SUM(HS!B6:B13)+Rules!$B$5*HS!B14+HS!B38)/(9+Rules!$B$5))+B19</f>
        <v>-1.9269265330843308</v>
      </c>
      <c r="C6" s="1">
        <f>(IF(Rules!$B$9=Rules!$D$9,SUM(HSD!C6:C13)+Rules!$B$5*HSD!C14+HSD!C38,SUM(HS!C6:C13)+Rules!$B$5*HS!C14+HS!C38)/(9+Rules!$B$5))+C19</f>
        <v>-0.5642771885561858</v>
      </c>
      <c r="D6" s="1">
        <f>(IF(Rules!$B$9=Rules!$D$9,SUM(HSD!D6:D13)+Rules!$B$5*HSD!D14+HSD!D38,SUM(HS!D6:D13)+Rules!$B$5*HS!D14+HS!D38)/(9+Rules!$B$5))+D19</f>
        <v>-0.40380776266667662</v>
      </c>
      <c r="E6" s="1">
        <f>(IF(Rules!$B$9=Rules!$D$9,SUM(HSD!E6:E13)+Rules!$B$5*HSD!E14+HSD!E38,SUM(HS!E6:E13)+Rules!$B$5*HS!E14+HS!E38)/(9+Rules!$B$5))+E19</f>
        <v>-0.23480803891578098</v>
      </c>
      <c r="F6" s="1">
        <f>(IF(Rules!$B$9=Rules!$D$9,SUM(HSD!F6:F13)+Rules!$B$5*HSD!F14+HSD!F38,SUM(HS!F6:F13)+Rules!$B$5*HS!F14+HS!F38)/(9+Rules!$B$5))+F19</f>
        <v>-5.6107862190578402E-2</v>
      </c>
      <c r="G6" s="1">
        <f>(IF(Rules!$B$9=Rules!$D$9,SUM(HSD!G6:G13)+Rules!$B$5*HSD!G14+HSD!G38,SUM(HS!G6:G13)+Rules!$B$5*HS!G14+HS!G38)/(9+Rules!$B$5))+G19</f>
        <v>0.13094510172259749</v>
      </c>
      <c r="H6" s="1">
        <f>(IF(Rules!$B$9=Rules!$D$9,SUM(HSD!H6:H13)+Rules!$B$5*HSD!H14+HSD!H38,SUM(HS!H6:H13)+Rules!$B$5*HS!H14+HS!H38)/(9+Rules!$B$5))+H19</f>
        <v>-0.44139600529231859</v>
      </c>
      <c r="I6" s="1">
        <f>(IF(Rules!$B$9=Rules!$D$9,SUM(HSD!I6:I13)+Rules!$B$5*HSD!I14+HSD!I38,SUM(HS!I6:I13)+Rules!$B$5*HS!I14+HS!I38)/(9+Rules!$B$5))+I19</f>
        <v>-0.7966707633010256</v>
      </c>
      <c r="J6" s="1">
        <f>(IF(Rules!$B$9=Rules!$D$9,SUM(HSD!J6:J13)+Rules!$B$5*HSD!J14+HSD!J38,SUM(HS!J6:J13)+Rules!$B$5*HS!J14+HS!J38)/(9+Rules!$B$5))+J19</f>
        <v>-1.2033308957668274</v>
      </c>
      <c r="K6" s="9">
        <f>(IF(Rules!$B$9=Rules!$D$9,SUM(HSD!K6:K13)+Rules!$B$5*HSD!K14+HSD!K38,SUM(HS!K6:K13)+Rules!$B$5*HS!K14+HS!K38)/(9+Rules!$B$5))+K19</f>
        <v>-1.6754993218175549</v>
      </c>
      <c r="N6" s="317">
        <v>5</v>
      </c>
      <c r="O6" s="58" t="str">
        <f>IF(B72=HSDR!B10,HSDR!O10,IF(B72=B46,2,IF(B72=B33,3,IF(B72=B20,4,IF(B72=B7,5)))))</f>
        <v>H</v>
      </c>
      <c r="P6" s="292" t="str">
        <f>IF(C72=HSDR!C10,HSDR!P10,IF(C72=C46,2,IF(C72=C33,3,IF(C72=C20,4,IF(C72=C7,5)))))</f>
        <v>D</v>
      </c>
      <c r="Q6" s="292" t="str">
        <f>IF(D72=HSDR!D10,HSDR!Q10,IF(D72=D46,2,IF(D72=D33,3,IF(D72=D20,4,IF(D72=D7,5)))))</f>
        <v>D</v>
      </c>
      <c r="R6" s="292" t="str">
        <f>IF(E72=HSDR!E10,HSDR!R10,IF(E72=E46,2,IF(E72=E33,3,IF(E72=E20,4,IF(E72=E7,5)))))</f>
        <v>D</v>
      </c>
      <c r="S6" s="292" t="str">
        <f>IF(F72=HSDR!F10,HSDR!S10,IF(F72=F46,2,IF(F72=F33,3,IF(F72=F20,4,IF(F72=F7,5)))))</f>
        <v>D</v>
      </c>
      <c r="T6" s="292" t="str">
        <f>IF(G72=HSDR!G10,HSDR!T10,IF(G72=G46,2,IF(G72=G33,3,IF(G72=G20,4,IF(G72=G7,5)))))</f>
        <v>D</v>
      </c>
      <c r="U6" s="292" t="str">
        <f>IF(H72=HSDR!H10,HSDR!U10,IF(H72=H46,2,IF(H72=H33,3,IF(H72=H20,4,IF(H72=H7,5)))))</f>
        <v>D</v>
      </c>
      <c r="V6" s="292" t="str">
        <f>IF(I72=HSDR!I10,HSDR!V10,IF(I72=I46,2,IF(I72=I33,3,IF(I72=I20,4,IF(I72=I7,5)))))</f>
        <v>D</v>
      </c>
      <c r="W6" s="292" t="str">
        <f>IF(J72=HSDR!J10,HSDR!W10,IF(J72=J46,2,IF(J72=J33,3,IF(J72=J20,4,IF(J72=J7,5)))))</f>
        <v>D</v>
      </c>
      <c r="X6" s="311" t="str">
        <f>IF(K72=HSDR!K10,HSDR!X10,IF(K72=K46,2,IF(K72=K33,3,IF(K72=K20,4,IF(K72=K7,5)))))</f>
        <v>H</v>
      </c>
    </row>
    <row r="7" spans="1:24">
      <c r="A7" s="98">
        <v>5</v>
      </c>
      <c r="B7" s="93">
        <f>(IF(Rules!$B$9=Rules!$D$9,SUM(HSD!B7:B14)+Rules!$B$5*HSD!B15+HSD!B39,SUM(HS!B7:B14)+Rules!$B$5*HS!B15+HS!B39)/(9+Rules!$B$5))+B20</f>
        <v>-2.0316115105570955</v>
      </c>
      <c r="C7" s="1">
        <f>(IF(Rules!$B$9=Rules!$D$9,SUM(HSD!C7:C14)+Rules!$B$5*HSD!C15+HSD!C39,SUM(HS!C7:C14)+Rules!$B$5*HS!C15+HS!C39)/(9+Rules!$B$5))+C20</f>
        <v>-0.62927332956117521</v>
      </c>
      <c r="D7" s="1">
        <f>(IF(Rules!$B$9=Rules!$D$9,SUM(HSD!D7:D14)+Rules!$B$5*HSD!D15+HSD!D39,SUM(HS!D7:D14)+Rules!$B$5*HS!D15+HS!D39)/(9+Rules!$B$5))+D20</f>
        <v>-0.46592902656698798</v>
      </c>
      <c r="E7" s="1">
        <f>(IF(Rules!$B$9=Rules!$D$9,SUM(HSD!E7:E14)+Rules!$B$5*HSD!E15+HSD!E39,SUM(HS!E7:E14)+Rules!$B$5*HS!E15+HS!E39)/(9+Rules!$B$5))+E20</f>
        <v>-0.29434469238752325</v>
      </c>
      <c r="F7" s="1">
        <f>(IF(Rules!$B$9=Rules!$D$9,SUM(HSD!F7:F14)+Rules!$B$5*HSD!F15+HSD!F39,SUM(HS!F7:F14)+Rules!$B$5*HS!F15+HS!F39)/(9+Rules!$B$5))+F20</f>
        <v>-0.11361025299847151</v>
      </c>
      <c r="G7" s="1">
        <f>(IF(Rules!$B$9=Rules!$D$9,SUM(HSD!G7:G14)+Rules!$B$5*HSD!G15+HSD!G39,SUM(HS!G7:G14)+Rules!$B$5*HS!G15+HS!G39)/(9+Rules!$B$5))+G20</f>
        <v>7.5768097298548692E-2</v>
      </c>
      <c r="H7" s="1">
        <f>(IF(Rules!$B$9=Rules!$D$9,SUM(HSD!H7:H14)+Rules!$B$5*HSD!H15+HSD!H39,SUM(HS!H7:H14)+Rules!$B$5*HS!H15+HS!H39)/(9+Rules!$B$5))+H20</f>
        <v>-0.59723720942074254</v>
      </c>
      <c r="I7" s="1">
        <f>(IF(Rules!$B$9=Rules!$D$9,SUM(HSD!I7:I14)+Rules!$B$5*HSD!I15+HSD!I39,SUM(HS!I7:I14)+Rules!$B$5*HS!I15+HS!I39)/(9+Rules!$B$5))+I20</f>
        <v>-0.94046651951592586</v>
      </c>
      <c r="J7" s="1">
        <f>(IF(Rules!$B$9=Rules!$D$9,SUM(HSD!J7:J14)+Rules!$B$5*HSD!J15+HSD!J39,SUM(HS!J7:J14)+Rules!$B$5*HS!J15+HS!J39)/(9+Rules!$B$5))+J20</f>
        <v>-1.3330752667897949</v>
      </c>
      <c r="K7" s="9">
        <f>(IF(Rules!$B$9=Rules!$D$9,SUM(HSD!K7:K14)+Rules!$B$5*HSD!K15+HSD!K39,SUM(HS!K7:K14)+Rules!$B$5*HS!K15+HS!K39)/(9+Rules!$B$5))+K20</f>
        <v>-1.7887172629044894</v>
      </c>
      <c r="N7" s="317">
        <v>6</v>
      </c>
      <c r="O7" s="58" t="str">
        <f>IF(B73=HSDR!B12,HSDR!O12,IF(B73=B47,2,IF(B73=B34,3,IF(B73=B21,4,IF(B73=B8,5)))))</f>
        <v>H</v>
      </c>
      <c r="P7" s="292" t="str">
        <f>IF(C73=HSDR!C12,HSDR!P12,IF(C73=C47,2,IF(C73=C34,3,IF(C73=C21,4,IF(C73=C8,5)))))</f>
        <v>H</v>
      </c>
      <c r="Q7" s="292">
        <f>IF(D73=HSDR!D12,HSDR!Q12,IF(D73=D47,2,IF(D73=D34,3,IF(D73=D21,4,IF(D73=D8,5)))))</f>
        <v>2</v>
      </c>
      <c r="R7" s="292">
        <f>IF(E73=HSDR!E12,HSDR!R12,IF(E73=E47,2,IF(E73=E34,3,IF(E73=E21,4,IF(E73=E8,5)))))</f>
        <v>2</v>
      </c>
      <c r="S7" s="292">
        <f>IF(F73=HSDR!F12,HSDR!S12,IF(F73=F47,2,IF(F73=F34,3,IF(F73=F21,4,IF(F73=F8,5)))))</f>
        <v>2</v>
      </c>
      <c r="T7" s="292">
        <f>IF(G73=HSDR!G12,HSDR!T12,IF(G73=G47,2,IF(G73=G34,3,IF(G73=G21,4,IF(G73=G8,5)))))</f>
        <v>2</v>
      </c>
      <c r="U7" s="292" t="str">
        <f>IF(H73=HSDR!H12,HSDR!U12,IF(H73=H47,2,IF(H73=H34,3,IF(H73=H21,4,IF(H73=H8,5)))))</f>
        <v>H</v>
      </c>
      <c r="V7" s="292" t="str">
        <f>IF(I73=HSDR!I12,HSDR!V12,IF(I73=I47,2,IF(I73=I34,3,IF(I73=I21,4,IF(I73=I8,5)))))</f>
        <v>H</v>
      </c>
      <c r="W7" s="292" t="str">
        <f>IF(J73=HSDR!J12,HSDR!W12,IF(J73=J47,2,IF(J73=J34,3,IF(J73=J21,4,IF(J73=J8,5)))))</f>
        <v>H</v>
      </c>
      <c r="X7" s="311" t="str">
        <f>IF(K73=HSDR!K12,HSDR!X12,IF(K73=K47,2,IF(K73=K34,3,IF(K73=K21,4,IF(K73=K8,5)))))</f>
        <v>H</v>
      </c>
    </row>
    <row r="8" spans="1:24">
      <c r="A8" s="98">
        <v>6</v>
      </c>
      <c r="B8" s="93">
        <f>(IF(Rules!$B$9=Rules!$D$9,SUM(HSD!B8:B15)+Rules!$B$5*HSD!B16+HSD!B40,SUM(HS!B8:B15)+Rules!$B$5*HS!B16+HS!B40)/(9+Rules!$B$5))+B21</f>
        <v>-2.098434517355054</v>
      </c>
      <c r="C8" s="1">
        <f>(IF(Rules!$B$9=Rules!$D$9,SUM(HSD!C8:C15)+Rules!$B$5*HSD!C16+HSD!C40,SUM(HS!C8:C15)+Rules!$B$5*HS!C16+HS!C40)/(9+Rules!$B$5))+C21</f>
        <v>-0.69036514645665747</v>
      </c>
      <c r="D8" s="1">
        <f>(IF(Rules!$B$9=Rules!$D$9,SUM(HSD!D8:D15)+Rules!$B$5*HSD!D16+HSD!D40,SUM(HS!D8:D15)+Rules!$B$5*HS!D16+HS!D40)/(9+Rules!$B$5))+D21</f>
        <v>-0.52437020668748913</v>
      </c>
      <c r="E8" s="1">
        <f>(IF(Rules!$B$9=Rules!$D$9,SUM(HSD!E8:E15)+Rules!$B$5*HSD!E16+HSD!E40,SUM(HS!E8:E15)+Rules!$B$5*HS!E16+HS!E40)/(9+Rules!$B$5))+E21</f>
        <v>-0.35038886673643027</v>
      </c>
      <c r="F8" s="1">
        <f>(IF(Rules!$B$9=Rules!$D$9,SUM(HSD!F8:F15)+Rules!$B$5*HSD!F16+HSD!F40,SUM(HS!F8:F15)+Rules!$B$5*HS!F16+HS!F40)/(9+Rules!$B$5))+F21</f>
        <v>-0.16774434970082283</v>
      </c>
      <c r="G8" s="1">
        <f>(IF(Rules!$B$9=Rules!$D$9,SUM(HSD!G8:G15)+Rules!$B$5*HSD!G16+HSD!G40,SUM(HS!G8:G15)+Rules!$B$5*HS!G16+HS!G40)/(9+Rules!$B$5))+G21</f>
        <v>2.3832542696576895E-2</v>
      </c>
      <c r="H8" s="1">
        <f>(IF(Rules!$B$9=Rules!$D$9,SUM(HSD!H8:H15)+Rules!$B$5*HSD!H16+HSD!H40,SUM(HS!H8:H15)+Rules!$B$5*HS!H16+HS!H40)/(9+Rules!$B$5))+H21</f>
        <v>-0.75966353618349713</v>
      </c>
      <c r="I8" s="1">
        <f>(IF(Rules!$B$9=Rules!$D$9,SUM(HSD!I8:I15)+Rules!$B$5*HSD!I16+HSD!I40,SUM(HS!I8:I15)+Rules!$B$5*HS!I16+HS!I40)/(9+Rules!$B$5))+I21</f>
        <v>-1.0862094066039238</v>
      </c>
      <c r="J8" s="1">
        <f>(IF(Rules!$B$9=Rules!$D$9,SUM(HSD!J8:J15)+Rules!$B$5*HSD!J16+HSD!J40,SUM(HS!J8:J15)+Rules!$B$5*HS!J16+HS!J40)/(9+Rules!$B$5))+J21</f>
        <v>-1.4632035009886299</v>
      </c>
      <c r="K8" s="9">
        <f>(IF(Rules!$B$9=Rules!$D$9,SUM(HSD!K8:K15)+Rules!$B$5*HSD!K16+HSD!K40,SUM(HS!K8:K15)+Rules!$B$5*HS!K16+HS!K40)/(9+Rules!$B$5))+K21</f>
        <v>-1.9025383114644765</v>
      </c>
      <c r="N8" s="317">
        <v>7</v>
      </c>
      <c r="O8" s="58" t="str">
        <f>IF(B74=HSDR!B14,HSDR!O14,IF(B74=B48,2,IF(B74=B35,3,IF(B74=B22,4,IF(B74=B9,5)))))</f>
        <v>H</v>
      </c>
      <c r="P8" s="292">
        <f>IF(C74=HSDR!C14,HSDR!P14,IF(C74=C48,2,IF(C74=C35,3,IF(C74=C22,4,IF(C74=C9,5)))))</f>
        <v>2</v>
      </c>
      <c r="Q8" s="292">
        <f>IF(D74=HSDR!D14,HSDR!Q14,IF(D74=D48,2,IF(D74=D35,3,IF(D74=D22,4,IF(D74=D9,5)))))</f>
        <v>2</v>
      </c>
      <c r="R8" s="292">
        <f>IF(E74=HSDR!E14,HSDR!R14,IF(E74=E48,2,IF(E74=E35,3,IF(E74=E22,4,IF(E74=E9,5)))))</f>
        <v>2</v>
      </c>
      <c r="S8" s="292">
        <f>IF(F74=HSDR!F14,HSDR!S14,IF(F74=F48,2,IF(F74=F35,3,IF(F74=F22,4,IF(F74=F9,5)))))</f>
        <v>2</v>
      </c>
      <c r="T8" s="292">
        <f>IF(G74=HSDR!G14,HSDR!T14,IF(G74=G48,2,IF(G74=G35,3,IF(G74=G22,4,IF(G74=G9,5)))))</f>
        <v>2</v>
      </c>
      <c r="U8" s="292">
        <f>IF(H74=HSDR!H14,HSDR!U14,IF(H74=H48,2,IF(H74=H35,3,IF(H74=H22,4,IF(H74=H9,5)))))</f>
        <v>2</v>
      </c>
      <c r="V8" s="292" t="str">
        <f>IF(I74=HSDR!I14,HSDR!V14,IF(I74=I48,2,IF(I74=I35,3,IF(I74=I22,4,IF(I74=I9,5)))))</f>
        <v>H</v>
      </c>
      <c r="W8" s="292" t="str">
        <f>IF(J74=HSDR!J14,HSDR!W14,IF(J74=J48,2,IF(J74=J35,3,IF(J74=J22,4,IF(J74=J9,5)))))</f>
        <v>H</v>
      </c>
      <c r="X8" s="311" t="str">
        <f>IF(K74=HSDR!K14,HSDR!X14,IF(K74=K48,2,IF(K74=K35,3,IF(K74=K22,4,IF(K74=K9,5)))))</f>
        <v>H</v>
      </c>
    </row>
    <row r="9" spans="1:24">
      <c r="A9" s="98">
        <v>7</v>
      </c>
      <c r="B9" s="93">
        <f>(IF(Rules!$B$9=Rules!$D$9,SUM(HSD!B9:B16)+Rules!$B$5*HSD!B17+HSD!B41,SUM(HS!B9:B16)+Rules!$B$5*HS!B17+HS!B41)/(9+Rules!$B$5))+B22</f>
        <v>-1.9985519186284548</v>
      </c>
      <c r="C9" s="1">
        <f>(IF(Rules!$B$9=Rules!$D$9,SUM(HSD!C9:C16)+Rules!$B$5*HSD!C17+HSD!C41,SUM(HS!C9:C16)+Rules!$B$5*HS!C17+HS!C41)/(9+Rules!$B$5))+C22</f>
        <v>-0.54788742223849207</v>
      </c>
      <c r="D9" s="1">
        <f>(IF(Rules!$B$9=Rules!$D$9,SUM(HSD!D9:D16)+Rules!$B$5*HSD!D17+HSD!D41,SUM(HS!D9:D16)+Rules!$B$5*HS!D17+HS!D41)/(9+Rules!$B$5))+D22</f>
        <v>-0.38468783942475104</v>
      </c>
      <c r="E9" s="1">
        <f>(IF(Rules!$B$9=Rules!$D$9,SUM(HSD!E9:E16)+Rules!$B$5*HSD!E17+HSD!E41,SUM(HS!E9:E16)+Rules!$B$5*HS!E17+HS!E41)/(9+Rules!$B$5))+E22</f>
        <v>-0.21413183858535675</v>
      </c>
      <c r="F9" s="1">
        <f>(IF(Rules!$B$9=Rules!$D$9,SUM(HSD!F9:F16)+Rules!$B$5*HSD!F17+HSD!F41,SUM(HS!F9:F16)+Rules!$B$5*HS!F17+HS!F41)/(9+Rules!$B$5))+F22</f>
        <v>-3.5886333823127302E-2</v>
      </c>
      <c r="G9" s="1">
        <f>(IF(Rules!$B$9=Rules!$D$9,SUM(HSD!G9:G16)+Rules!$B$5*HSD!G17+HSD!G41,SUM(HS!G9:G16)+Rules!$B$5*HS!G17+HS!G41)/(9+Rules!$B$5))+G22</f>
        <v>0.15204283075980932</v>
      </c>
      <c r="H9" s="1">
        <f>(IF(Rules!$B$9=Rules!$D$9,SUM(HSD!H9:H16)+Rules!$B$5*HSD!H17+HSD!H41,SUM(HS!H9:H16)+Rules!$B$5*HS!H17+HS!H41)/(9+Rules!$B$5))+H22</f>
        <v>-0.34403899790213882</v>
      </c>
      <c r="I9" s="1">
        <f>(IF(Rules!$B$9=Rules!$D$9,SUM(HSD!I9:I16)+Rules!$B$5*HSD!I17+HSD!I41,SUM(HS!I9:I16)+Rules!$B$5*HS!I17+HS!I41)/(9+Rules!$B$5))+I22</f>
        <v>-1.0530238436217483</v>
      </c>
      <c r="J9" s="1">
        <f>(IF(Rules!$B$9=Rules!$D$9,SUM(HSD!J9:J16)+Rules!$B$5*HSD!J17+HSD!J41,SUM(HS!J9:J16)+Rules!$B$5*HS!J17+HS!J41)/(9+Rules!$B$5))+J22</f>
        <v>-1.4268272024343831</v>
      </c>
      <c r="K9" s="9">
        <f>(IF(Rules!$B$9=Rules!$D$9,SUM(HSD!K9:K16)+Rules!$B$5*HSD!K17+HSD!K41,SUM(HS!K9:K16)+Rules!$B$5*HS!K17+HS!K41)/(9+Rules!$B$5))+K22</f>
        <v>-1.8253894960697339</v>
      </c>
      <c r="N9" s="317">
        <v>8</v>
      </c>
      <c r="O9" s="58" t="str">
        <f>IF(B75=HSDR!B16,HSDR!O16,IF(B75=B49,2,IF(B75=B36,3,IF(B75=B23,4,IF(B75=B10,5)))))</f>
        <v>S</v>
      </c>
      <c r="P9" s="292">
        <f>IF(C75=HSDR!C16,HSDR!P16,IF(C75=C49,2,IF(C75=C36,3,IF(C75=C23,4,IF(C75=C10,5)))))</f>
        <v>2</v>
      </c>
      <c r="Q9" s="292">
        <f>IF(D75=HSDR!D16,HSDR!Q16,IF(D75=D49,2,IF(D75=D36,3,IF(D75=D23,4,IF(D75=D10,5)))))</f>
        <v>2</v>
      </c>
      <c r="R9" s="292">
        <f>IF(E75=HSDR!E16,HSDR!R16,IF(E75=E49,2,IF(E75=E36,3,IF(E75=E23,4,IF(E75=E10,5)))))</f>
        <v>2</v>
      </c>
      <c r="S9" s="292">
        <f>IF(F75=HSDR!F16,HSDR!S16,IF(F75=F49,2,IF(F75=F36,3,IF(F75=F23,4,IF(F75=F10,5)))))</f>
        <v>2</v>
      </c>
      <c r="T9" s="292">
        <f>IF(G75=HSDR!G16,HSDR!T16,IF(G75=G49,2,IF(G75=G36,3,IF(G75=G23,4,IF(G75=G10,5)))))</f>
        <v>2</v>
      </c>
      <c r="U9" s="292">
        <f>IF(H75=HSDR!H16,HSDR!U16,IF(H75=H49,2,IF(H75=H36,3,IF(H75=H23,4,IF(H75=H10,5)))))</f>
        <v>2</v>
      </c>
      <c r="V9" s="292">
        <f>IF(I75=HSDR!I16,HSDR!V16,IF(I75=I49,2,IF(I75=I36,3,IF(I75=I23,4,IF(I75=I10,5)))))</f>
        <v>2</v>
      </c>
      <c r="W9" s="292">
        <f>IF(J75=HSDR!J16,HSDR!W16,IF(J75=J49,2,IF(J75=J36,3,IF(J75=J23,4,IF(J75=J10,5)))))</f>
        <v>2</v>
      </c>
      <c r="X9" s="311" t="str">
        <f>IF(K75=HSDR!K16,HSDR!X16,IF(K75=K49,2,IF(K75=K36,3,IF(K75=K23,4,IF(K75=K10,5)))))</f>
        <v>H</v>
      </c>
    </row>
    <row r="10" spans="1:24">
      <c r="A10" s="98">
        <v>8</v>
      </c>
      <c r="B10" s="93">
        <f>(IF(Rules!$B$9=Rules!$D$9,SUM(HSD!B10:B17)+Rules!$B$5*HSD!B18+HSD!B42,SUM(HS!B10:B17)+Rules!$B$5*HS!B18+HS!B42)/(9+Rules!$B$5))+B23</f>
        <v>-1.651701672953503</v>
      </c>
      <c r="C10" s="1">
        <f>(IF(Rules!$B$9=Rules!$D$9,SUM(HSD!C10:C17)+Rules!$B$5*HSD!C18+HSD!C42,SUM(HS!C10:C17)+Rules!$B$5*HS!C18+HS!C42)/(9+Rules!$B$5))+C23</f>
        <v>-0.12253415144958722</v>
      </c>
      <c r="D10" s="1">
        <f>(IF(Rules!$B$9=Rules!$D$9,SUM(HSD!D10:D17)+Rules!$B$5*HSD!D18+HSD!D42,SUM(HS!D10:D17)+Rules!$B$5*HS!D18+HS!D42)/(9+Rules!$B$5))+D23</f>
        <v>2.783965437696594E-2</v>
      </c>
      <c r="E10" s="1">
        <f>(IF(Rules!$B$9=Rules!$D$9,SUM(HSD!E10:E17)+Rules!$B$5*HSD!E18+HSD!E42,SUM(HS!E10:E17)+Rules!$B$5*HS!E18+HS!E42)/(9+Rules!$B$5))+E23</f>
        <v>0.18505387547257282</v>
      </c>
      <c r="F10" s="1">
        <f>(IF(Rules!$B$9=Rules!$D$9,SUM(HSD!F10:F17)+Rules!$B$5*HSD!F18+HSD!F42,SUM(HS!F10:F17)+Rules!$B$5*HS!F18+HS!F42)/(9+Rules!$B$5))+F23</f>
        <v>0.34975316577164578</v>
      </c>
      <c r="G10" s="1">
        <f>(IF(Rules!$B$9=Rules!$D$9,SUM(HSD!G10:G17)+Rules!$B$5*HSD!G18+HSD!G42,SUM(HS!G10:G17)+Rules!$B$5*HS!G18+HS!G42)/(9+Rules!$B$5))+G23</f>
        <v>0.51929056661531536</v>
      </c>
      <c r="H10" s="1">
        <f>(IF(Rules!$B$9=Rules!$D$9,SUM(HSD!H10:H17)+Rules!$B$5*HSD!H18+HSD!H42,SUM(HS!H10:H17)+Rules!$B$5*HS!H18+HS!H42)/(9+Rules!$B$5))+H23</f>
        <v>0.41103719681871431</v>
      </c>
      <c r="I10" s="1">
        <f>(IF(Rules!$B$9=Rules!$D$9,SUM(HSD!I10:I17)+Rules!$B$5*HSD!I18+HSD!I42,SUM(HS!I10:I17)+Rules!$B$5*HS!I18+HS!I42)/(9+Rules!$B$5))+I23</f>
        <v>-0.29949137829328143</v>
      </c>
      <c r="J10" s="1">
        <f>(IF(Rules!$B$9=Rules!$D$9,SUM(HSD!J10:J17)+Rules!$B$5*HSD!J18+HSD!J42,SUM(HS!J10:J17)+Rules!$B$5*HS!J18+HS!J42)/(9+Rules!$B$5))+J23</f>
        <v>-1.0509316599910881</v>
      </c>
      <c r="K10" s="9">
        <f>(IF(Rules!$B$9=Rules!$D$9,SUM(HSD!K10:K17)+Rules!$B$5*HSD!K18+HSD!K42,SUM(HS!K10:K17)+Rules!$B$5*HS!K18+HS!K42)/(9+Rules!$B$5))+K23</f>
        <v>-1.5088869307015684</v>
      </c>
      <c r="N10" s="317">
        <v>9</v>
      </c>
      <c r="O10" s="58" t="str">
        <f>IF(B76=HSDR!B18,HSDR!O18,IF(B76=B50,2,IF(B76=B37,3,IF(B76=B24,4,IF(B76=B11,5)))))</f>
        <v>S</v>
      </c>
      <c r="P10" s="292">
        <f>IF(C76=HSDR!C18,HSDR!P18,IF(C76=C50,2,IF(C76=C37,3,IF(C76=C24,4,IF(C76=C11,5)))))</f>
        <v>2</v>
      </c>
      <c r="Q10" s="292">
        <f>IF(D76=HSDR!D18,HSDR!Q18,IF(D76=D50,2,IF(D76=D37,3,IF(D76=D24,4,IF(D76=D11,5)))))</f>
        <v>2</v>
      </c>
      <c r="R10" s="292">
        <f>IF(E76=HSDR!E18,HSDR!R18,IF(E76=E50,2,IF(E76=E37,3,IF(E76=E24,4,IF(E76=E11,5)))))</f>
        <v>2</v>
      </c>
      <c r="S10" s="292">
        <f>IF(F76=HSDR!F18,HSDR!S18,IF(F76=F50,2,IF(F76=F37,3,IF(F76=F24,4,IF(F76=F11,5)))))</f>
        <v>2</v>
      </c>
      <c r="T10" s="292">
        <f>IF(G76=HSDR!G18,HSDR!T18,IF(G76=G50,2,IF(G76=G37,3,IF(G76=G24,4,IF(G76=G11,5)))))</f>
        <v>2</v>
      </c>
      <c r="U10" s="292" t="str">
        <f>IF(H76=HSDR!H18,HSDR!U18,IF(H76=H50,2,IF(H76=H37,3,IF(H76=H24,4,IF(H76=H11,5)))))</f>
        <v>S</v>
      </c>
      <c r="V10" s="292">
        <f>IF(I76=HSDR!I18,HSDR!V18,IF(I76=I50,2,IF(I76=I37,3,IF(I76=I24,4,IF(I76=I11,5)))))</f>
        <v>2</v>
      </c>
      <c r="W10" s="292">
        <f>IF(J76=HSDR!J18,HSDR!W18,IF(J76=J50,2,IF(J76=J37,3,IF(J76=J24,4,IF(J76=J11,5)))))</f>
        <v>2</v>
      </c>
      <c r="X10" s="311" t="str">
        <f>IF(K76=HSDR!K18,HSDR!X18,IF(K76=K50,2,IF(K76=K37,3,IF(K76=K24,4,IF(K76=K11,5)))))</f>
        <v>S</v>
      </c>
    </row>
    <row r="11" spans="1:24" ht="17" thickBot="1">
      <c r="A11" s="98">
        <v>9</v>
      </c>
      <c r="B11" s="93">
        <f>(IF(Rules!$B$9=Rules!$D$9,SUM(HSD!B11:B18)+Rules!$B$5*HSD!B19+HSD!B43,SUM(HS!B11:B18)+Rules!$B$5*HS!B19+HS!B43)/(9+Rules!$B$5))+B24</f>
        <v>-1.2596238088536038</v>
      </c>
      <c r="C11" s="1">
        <f>(IF(Rules!$B$9=Rules!$D$9,SUM(HSD!C11:C18)+Rules!$B$5*HSD!C19+HSD!C43,SUM(HS!C11:C18)+Rules!$B$5*HS!C19+HS!C43)/(9+Rules!$B$5))+C24</f>
        <v>0.36116404481596609</v>
      </c>
      <c r="D11" s="1">
        <f>(IF(Rules!$B$9=Rules!$D$9,SUM(HSD!D11:D18)+Rules!$B$5*HSD!D19+HSD!D43,SUM(HS!D11:D18)+Rules!$B$5*HS!D19+HS!D43)/(9+Rules!$B$5))+D24</f>
        <v>0.49636580369071637</v>
      </c>
      <c r="E11" s="1">
        <f>(IF(Rules!$B$9=Rules!$D$9,SUM(HSD!E11:E18)+Rules!$B$5*HSD!E19+HSD!E43,SUM(HS!E11:E18)+Rules!$B$5*HS!E19+HS!E43)/(9+Rules!$B$5))+E24</f>
        <v>0.6379424779383871</v>
      </c>
      <c r="F11" s="1">
        <f>(IF(Rules!$B$9=Rules!$D$9,SUM(HSD!F11:F18)+Rules!$B$5*HSD!F19+HSD!F43,SUM(HS!F11:F18)+Rules!$B$5*HS!F19+HS!F43)/(9+Rules!$B$5))+F24</f>
        <v>0.7868072419057649</v>
      </c>
      <c r="G11" s="1">
        <f>(IF(Rules!$B$9=Rules!$D$9,SUM(HSD!G11:G18)+Rules!$B$5*HSD!G19+HSD!G43,SUM(HS!G11:G18)+Rules!$B$5*HS!G19+HS!G43)/(9+Rules!$B$5))+G24</f>
        <v>0.93651768373771438</v>
      </c>
      <c r="H11" s="1">
        <f>(IF(Rules!$B$9=Rules!$D$9,SUM(HSD!H11:H18)+Rules!$B$5*HSD!H19+HSD!H43,SUM(HS!H11:H18)+Rules!$B$5*HS!H19+HS!H43)/(9+Rules!$B$5))+H24</f>
        <v>0.8593392996847633</v>
      </c>
      <c r="I11" s="1">
        <f>(IF(Rules!$B$9=Rules!$D$9,SUM(HSD!I11:I18)+Rules!$B$5*HSD!I19+HSD!I43,SUM(HS!I11:I18)+Rules!$B$5*HS!I19+HS!I43)/(9+Rules!$B$5))+I24</f>
        <v>0.49188108717696294</v>
      </c>
      <c r="J11" s="1">
        <f>(IF(Rules!$B$9=Rules!$D$9,SUM(HSD!J11:J18)+Rules!$B$5*HSD!J19+HSD!J43,SUM(HS!J11:J18)+Rules!$B$5*HS!J19+HS!J43)/(9+Rules!$B$5))+J24</f>
        <v>-0.26089026731325843</v>
      </c>
      <c r="K11" s="9">
        <f>(IF(Rules!$B$9=Rules!$D$9,SUM(HSD!K11:K18)+Rules!$B$5*HSD!K19+HSD!K43,SUM(HS!K11:K18)+Rules!$B$5*HS!K19+HS!K43)/(9+Rules!$B$5))+K24</f>
        <v>-1.0671584517853283</v>
      </c>
      <c r="N11" s="318">
        <v>10</v>
      </c>
      <c r="O11" s="59" t="str">
        <f>IF(B77=HSDR!B20,HSDR!O20,IF(B77=B51,2,IF(B77=B38,3,IF(B77=B25,4,IF(B77=B12,5)))))</f>
        <v>S</v>
      </c>
      <c r="P11" s="312" t="str">
        <f>IF(C77=HSDR!C20,HSDR!P20,IF(C77=C51,2,IF(C77=C38,3,IF(C77=C25,4,IF(C77=C12,5)))))</f>
        <v>S</v>
      </c>
      <c r="Q11" s="312" t="str">
        <f>IF(D77=HSDR!D20,HSDR!Q20,IF(D77=D51,2,IF(D77=D38,3,IF(D77=D25,4,IF(D77=D12,5)))))</f>
        <v>S</v>
      </c>
      <c r="R11" s="312" t="str">
        <f>IF(E77=HSDR!E20,HSDR!R20,IF(E77=E51,2,IF(E77=E38,3,IF(E77=E25,4,IF(E77=E12,5)))))</f>
        <v>S</v>
      </c>
      <c r="S11" s="312" t="str">
        <f>IF(F77=HSDR!F20,HSDR!S20,IF(F77=F51,2,IF(F77=F38,3,IF(F77=F25,4,IF(F77=F12,5)))))</f>
        <v>S</v>
      </c>
      <c r="T11" s="312" t="str">
        <f>IF(G77=HSDR!G20,HSDR!T20,IF(G77=G51,2,IF(G77=G38,3,IF(G77=G25,4,IF(G77=G12,5)))))</f>
        <v>S</v>
      </c>
      <c r="U11" s="312" t="str">
        <f>IF(H77=HSDR!H20,HSDR!U20,IF(H77=H51,2,IF(H77=H38,3,IF(H77=H25,4,IF(H77=H12,5)))))</f>
        <v>S</v>
      </c>
      <c r="V11" s="312" t="str">
        <f>IF(I77=HSDR!I20,HSDR!V20,IF(I77=I51,2,IF(I77=I38,3,IF(I77=I25,4,IF(I77=I12,5)))))</f>
        <v>S</v>
      </c>
      <c r="W11" s="312" t="str">
        <f>IF(J77=HSDR!J20,HSDR!W20,IF(J77=J51,2,IF(J77=J38,3,IF(J77=J25,4,IF(J77=J12,5)))))</f>
        <v>S</v>
      </c>
      <c r="X11" s="313" t="str">
        <f>IF(K77=HSDR!K20,HSDR!X20,IF(K77=K51,2,IF(K77=K38,3,IF(K77=K25,4,IF(K77=K12,5)))))</f>
        <v>S</v>
      </c>
    </row>
    <row r="12" spans="1:24" ht="17" thickBot="1">
      <c r="A12" s="99">
        <v>10</v>
      </c>
      <c r="B12" s="94">
        <f>(IF(Rules!$B$9=Rules!$D$9,SUM(HSD!B12:B19)+Rules!$B$5*HSD!B20+HSD!B44,SUM(HS!B12:B19)+Rules!$B$5*HS!B20+HS!B44)/(9+Rules!$B$5))+B25</f>
        <v>-0.73333946315179332</v>
      </c>
      <c r="C12" s="109">
        <f>(IF(Rules!$B$9=Rules!$D$9,SUM(HSD!C12:C19)+Rules!$B$5*HSD!C20+HSD!C44,SUM(HS!C12:C19)+Rules!$B$5*HS!C20+HS!C44)/(9+Rules!$B$5))+C25</f>
        <v>0.90488062072759712</v>
      </c>
      <c r="D12" s="109">
        <f>(IF(Rules!$B$9=Rules!$D$9,SUM(HSD!D12:D19)+Rules!$B$5*HSD!D20+HSD!D44,SUM(HS!D12:D19)+Rules!$B$5*HS!D20+HS!D44)/(9+Rules!$B$5))+D25</f>
        <v>1.0235837203905576</v>
      </c>
      <c r="E12" s="109">
        <f>(IF(Rules!$B$9=Rules!$D$9,SUM(HSD!E12:E19)+Rules!$B$5*HSD!E20+HSD!E44,SUM(HS!E12:E19)+Rules!$B$5*HS!E20+HS!E44)/(9+Rules!$B$5))+E25</f>
        <v>1.1481055092954586</v>
      </c>
      <c r="F12" s="109">
        <f>(IF(Rules!$B$9=Rules!$D$9,SUM(HSD!F12:F19)+Rules!$B$5*HSD!F20+HSD!F44,SUM(HS!F12:F19)+Rules!$B$5*HS!F20+HS!F44)/(9+Rules!$B$5))+F25</f>
        <v>1.2792488353794456</v>
      </c>
      <c r="G12" s="109">
        <f>(IF(Rules!$B$9=Rules!$D$9,SUM(HSD!G12:G19)+Rules!$B$5*HSD!G20+HSD!G44,SUM(HS!G12:G19)+Rules!$B$5*HS!G20+HS!G44)/(9+Rules!$B$5))+G25</f>
        <v>1.4124042388210156</v>
      </c>
      <c r="H12" s="109">
        <f>(IF(Rules!$B$9=Rules!$D$9,SUM(HSD!H12:H19)+Rules!$B$5*HSD!H20+HSD!H44,SUM(HS!H12:H19)+Rules!$B$5*HS!H20+HS!H44)/(9+Rules!$B$5))+H25</f>
        <v>1.284543721680433</v>
      </c>
      <c r="I12" s="109">
        <f>(IF(Rules!$B$9=Rules!$D$9,SUM(HSD!I12:I19)+Rules!$B$5*HSD!I20+HSD!I44,SUM(HS!I12:I19)+Rules!$B$5*HS!I20+HS!I44)/(9+Rules!$B$5))+I25</f>
        <v>0.98976854165988049</v>
      </c>
      <c r="J12" s="109">
        <f>(IF(Rules!$B$9=Rules!$D$9,SUM(HSD!J12:J19)+Rules!$B$5*HSD!J20+HSD!J44,SUM(HS!J12:J19)+Rules!$B$5*HS!J20+HS!J44)/(9+Rules!$B$5))+J25</f>
        <v>0.58264795534641944</v>
      </c>
      <c r="K12" s="10">
        <f>(IF(Rules!$B$9=Rules!$D$9,SUM(HSD!K12:K19)+Rules!$B$5*HSD!K20+HSD!K44,SUM(HS!K12:K19)+Rules!$B$5*HS!K20+HS!K44)/(9+Rules!$B$5))+K25</f>
        <v>-0.22495130191806503</v>
      </c>
    </row>
    <row r="13" spans="1:24" ht="17" thickBot="1"/>
    <row r="14" spans="1:24" ht="17" thickBot="1">
      <c r="A14" s="344" t="s">
        <v>75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6"/>
    </row>
    <row r="15" spans="1:24" ht="17" thickBot="1">
      <c r="A15" s="102" t="s">
        <v>7</v>
      </c>
      <c r="B15" s="115">
        <v>1</v>
      </c>
      <c r="C15" s="116">
        <v>2</v>
      </c>
      <c r="D15" s="116">
        <v>3</v>
      </c>
      <c r="E15" s="116">
        <v>4</v>
      </c>
      <c r="F15" s="116">
        <v>5</v>
      </c>
      <c r="G15" s="116">
        <v>6</v>
      </c>
      <c r="H15" s="116">
        <v>7</v>
      </c>
      <c r="I15" s="116">
        <v>8</v>
      </c>
      <c r="J15" s="116">
        <v>9</v>
      </c>
      <c r="K15" s="104">
        <v>10</v>
      </c>
    </row>
    <row r="16" spans="1:24">
      <c r="A16" s="100">
        <v>1</v>
      </c>
      <c r="B16" s="107">
        <f>(IF(Rules!$B$12=Rules!$E$12,SUM(Stand!B35:B43)+Rules!$B$5*Stand!B44,SUM(HSD!B35:B43)+Rules!$B$5*HSD!B44)/(9+Rules!$B$5))+B29</f>
        <v>-0.23631430205752907</v>
      </c>
      <c r="C16" s="108">
        <f>(IF(Rules!$B$12=Rules!$E$12,SUM(Stand!C35:C43)+Rules!$B$5*Stand!C44,SUM(HSD!C35:C43)+Rules!$B$5*HSD!C44)/(9+Rules!$B$5))+C29</f>
        <v>0.94024296003564678</v>
      </c>
      <c r="D16" s="108">
        <f>(IF(Rules!$B$12=Rules!$E$12,SUM(Stand!D35:D43)+Rules!$B$5*Stand!D44,SUM(HSD!D35:D43)+Rules!$B$5*HSD!D44)/(9+Rules!$B$5))+D29</f>
        <v>1.034655679479165</v>
      </c>
      <c r="E16" s="108">
        <f>(IF(Rules!$B$12=Rules!$E$12,SUM(Stand!E35:E43)+Rules!$B$5*Stand!E44,SUM(HSD!E35:E43)+Rules!$B$5*HSD!E44)/(9+Rules!$B$5))+E29</f>
        <v>1.1312130474110595</v>
      </c>
      <c r="F16" s="108">
        <f>(IF(Rules!$B$12=Rules!$E$12,SUM(Stand!F35:F43)+Rules!$B$5*Stand!F44,SUM(HSD!F35:F43)+Rules!$B$5*HSD!F44)/(9+Rules!$B$5))+F29</f>
        <v>1.2289800841690335</v>
      </c>
      <c r="G16" s="108">
        <f>(IF(Rules!$B$12=Rules!$E$12,SUM(Stand!G35:G43)+Rules!$B$5*Stand!G44,SUM(HSD!G35:G43)+Rules!$B$5*HSD!G44)/(9+Rules!$B$5))+G29</f>
        <v>1.3293268183778508</v>
      </c>
      <c r="H16" s="108">
        <f>(IF(Rules!$B$12=Rules!$E$12,SUM(Stand!H35:H43)+Rules!$B$5*Stand!H44,SUM(HSD!H35:H43)+Rules!$B$5*HSD!H44)/(9+Rules!$B$5))+H29</f>
        <v>0.92577789772858177</v>
      </c>
      <c r="I16" s="108">
        <f>(IF(Rules!$B$12=Rules!$E$12,SUM(Stand!I35:I43)+Rules!$B$5*Stand!I44,SUM(HSD!I35:I43)+Rules!$B$5*HSD!I44)/(9+Rules!$B$5))+I29</f>
        <v>0.70138518174063025</v>
      </c>
      <c r="J16" s="108">
        <f>(IF(Rules!$B$12=Rules!$E$12,SUM(Stand!J35:J43)+Rules!$B$5*Stand!J44,SUM(HSD!J35:J43)+Rules!$B$5*HSD!J44)/(9+Rules!$B$5))+J29</f>
        <v>0.45556684630490973</v>
      </c>
      <c r="K16" s="57">
        <f>(IF(Rules!$B$12=Rules!$E$12,SUM(Stand!K35:K43)+Rules!$B$5*Stand!K44,SUM(HSD!K35:K43)+Rules!$B$5*HSD!K44)/(9+Rules!$B$5))+K29</f>
        <v>0.11871528374128747</v>
      </c>
    </row>
    <row r="17" spans="1:11">
      <c r="A17" s="98">
        <v>2</v>
      </c>
      <c r="B17" s="93">
        <f>(IF(Rules!$B$9=Rules!$D$9,SUM(HSD!B4:B11)+Rules!$B$5*HSD!B12+HSD!B36,SUM(HS!B4:B11)+Rules!$B$5*HS!B12+HS!B36)/(9+Rules!$B$5))+B30</f>
        <v>-1.3782734877013665</v>
      </c>
      <c r="C17" s="1">
        <f>(IF(Rules!$B$9=Rules!$D$9,SUM(HSD!C4:C11)+Rules!$B$5*HSD!C12+HSD!C36,SUM(HS!C4:C11)+Rules!$B$5*HS!C12+HS!C36)/(9+Rules!$B$5))+C30</f>
        <v>-0.30414455859853023</v>
      </c>
      <c r="D17" s="1">
        <f>(IF(Rules!$B$9=Rules!$D$9,SUM(HSD!D4:D11)+Rules!$B$5*HSD!D12+HSD!D36,SUM(HS!D4:D11)+Rules!$B$5*HS!D12+HS!D36)/(9+Rules!$B$5))+D30</f>
        <v>-0.19954913731883148</v>
      </c>
      <c r="E17" s="1">
        <f>(IF(Rules!$B$9=Rules!$D$9,SUM(HSD!E4:E11)+Rules!$B$5*HSD!E12+HSD!E36,SUM(HS!E4:E11)+Rules!$B$5*HS!E12+HS!E36)/(9+Rules!$B$5))+E30</f>
        <v>-8.0640838786828359E-2</v>
      </c>
      <c r="F17" s="1">
        <f>(IF(Rules!$B$9=Rules!$D$9,SUM(HSD!F4:F11)+Rules!$B$5*HSD!F12+HSD!F36,SUM(HS!F4:F11)+Rules!$B$5*HS!F12+HS!F36)/(9+Rules!$B$5))+F30</f>
        <v>5.8656815318194125E-2</v>
      </c>
      <c r="G17" s="1">
        <f>(IF(Rules!$B$9=Rules!$D$9,SUM(HSD!G4:G11)+Rules!$B$5*HSD!G12+HSD!G36,SUM(HS!G4:G11)+Rules!$B$5*HS!G12+HS!G36)/(9+Rules!$B$5))+G30</f>
        <v>0.204110568112986</v>
      </c>
      <c r="H17" s="1">
        <f>(IF(Rules!$B$9=Rules!$D$9,SUM(HSD!H4:H11)+Rules!$B$5*HSD!H12+HSD!H36,SUM(HS!H4:H11)+Rules!$B$5*HS!H12+HS!H36)/(9+Rules!$B$5))+H30</f>
        <v>-0.10902808550344899</v>
      </c>
      <c r="I17" s="1">
        <f>(IF(Rules!$B$9=Rules!$D$9,SUM(HSD!I4:I11)+Rules!$B$5*HSD!I12+HSD!I36,SUM(HS!I4:I11)+Rules!$B$5*HS!I12+HS!I36)/(9+Rules!$B$5))+I30</f>
        <v>-0.41264691110050894</v>
      </c>
      <c r="J17" s="1">
        <f>(IF(Rules!$B$9=Rules!$D$9,SUM(HSD!J4:J11)+Rules!$B$5*HSD!J12+HSD!J36,SUM(HS!J4:J11)+Rules!$B$5*HS!J12+HS!J36)/(9+Rules!$B$5))+J30</f>
        <v>-0.76018857221403369</v>
      </c>
      <c r="K17" s="9">
        <f>(IF(Rules!$B$9=Rules!$D$9,SUM(HSD!K4:K11)+Rules!$B$5*HSD!K12+HSD!K36,SUM(HS!K4:K11)+Rules!$B$5*HS!K12+HS!K36)/(9+Rules!$B$5))+K30</f>
        <v>-1.163854910959097</v>
      </c>
    </row>
    <row r="18" spans="1:11">
      <c r="A18" s="98">
        <v>3</v>
      </c>
      <c r="B18" s="93">
        <f>(IF(Rules!$B$9=Rules!$D$9,SUM(HSD!B5:B12)+Rules!$B$5*HSD!B13+HSD!B37,SUM(HS!B5:B12)+Rules!$B$5*HS!B13+HS!B37)/(9+Rules!$B$5))+B31</f>
        <v>-1.4589785639790211</v>
      </c>
      <c r="C18" s="1">
        <f>(IF(Rules!$B$9=Rules!$D$9,SUM(HSD!C5:C12)+Rules!$B$5*HSD!C13+HSD!C37,SUM(HS!C5:C12)+Rules!$B$5*HS!C13+HS!C37)/(9+Rules!$B$5))+C31</f>
        <v>-0.39517969202930608</v>
      </c>
      <c r="D18" s="1">
        <f>(IF(Rules!$B$9=Rules!$D$9,SUM(HSD!D5:D12)+Rules!$B$5*HSD!D13+HSD!D37,SUM(HS!D5:D12)+Rules!$B$5*HS!D13+HS!D37)/(9+Rules!$B$5))+D31</f>
        <v>-0.26928527896576804</v>
      </c>
      <c r="E18" s="1">
        <f>(IF(Rules!$B$9=Rules!$D$9,SUM(HSD!E5:E12)+Rules!$B$5*HSD!E13+HSD!E37,SUM(HS!E5:E12)+Rules!$B$5*HS!E13+HS!E37)/(9+Rules!$B$5))+E31</f>
        <v>-0.13631797842391913</v>
      </c>
      <c r="F18" s="1">
        <f>(IF(Rules!$B$9=Rules!$D$9,SUM(HSD!F5:F12)+Rules!$B$5*HSD!F13+HSD!F37,SUM(HS!F5:F12)+Rules!$B$5*HS!F13+HS!F37)/(9+Rules!$B$5))+F31</f>
        <v>4.8818061652958896E-3</v>
      </c>
      <c r="G18" s="1">
        <f>(IF(Rules!$B$9=Rules!$D$9,SUM(HSD!G5:G12)+Rules!$B$5*HSD!G13+HSD!G37,SUM(HS!G5:G12)+Rules!$B$5*HS!G13+HS!G37)/(9+Rules!$B$5))+G31</f>
        <v>0.15251092266244901</v>
      </c>
      <c r="H18" s="1">
        <f>(IF(Rules!$B$9=Rules!$D$9,SUM(HSD!H5:H12)+Rules!$B$5*HSD!H13+HSD!H37,SUM(HS!H5:H12)+Rules!$B$5*HS!H13+HS!H37)/(9+Rules!$B$5))+H31</f>
        <v>-0.22975035416142667</v>
      </c>
      <c r="I18" s="1">
        <f>(IF(Rules!$B$9=Rules!$D$9,SUM(HSD!I5:I12)+Rules!$B$5*HSD!I13+HSD!I37,SUM(HS!I5:I12)+Rules!$B$5*HS!I13+HS!I37)/(9+Rules!$B$5))+I31</f>
        <v>-0.52376752260080395</v>
      </c>
      <c r="J18" s="1">
        <f>(IF(Rules!$B$9=Rules!$D$9,SUM(HSD!J5:J12)+Rules!$B$5*HSD!J13+HSD!J37,SUM(HS!J5:J12)+Rules!$B$5*HS!J13+HS!J37)/(9+Rules!$B$5))+J31</f>
        <v>-0.86030649125449732</v>
      </c>
      <c r="K18" s="9">
        <f>(IF(Rules!$B$9=Rules!$D$9,SUM(HSD!K5:K12)+Rules!$B$5*HSD!K13+HSD!K37,SUM(HS!K5:K12)+Rules!$B$5*HS!K13+HS!K37)/(9+Rules!$B$5))+K31</f>
        <v>-1.2511192051303923</v>
      </c>
    </row>
    <row r="19" spans="1:11">
      <c r="A19" s="98">
        <v>4</v>
      </c>
      <c r="B19" s="93">
        <f>(IF(Rules!$B$9=Rules!$D$9,SUM(HSD!B6:B13)+Rules!$B$5*HSD!B14+HSD!B38,SUM(HS!B6:B13)+Rules!$B$5*HS!B14+HS!B38)/(9+Rules!$B$5))+B32</f>
        <v>-1.5415412264674646</v>
      </c>
      <c r="C19" s="1">
        <f>(IF(Rules!$B$9=Rules!$D$9,SUM(HSD!C6:C13)+Rules!$B$5*HSD!C14+HSD!C38,SUM(HS!C6:C13)+Rules!$B$5*HS!C14+HS!C38)/(9+Rules!$B$5))+C32</f>
        <v>-0.45142175084494868</v>
      </c>
      <c r="D19" s="1">
        <f>(IF(Rules!$B$9=Rules!$D$9,SUM(HSD!D6:D13)+Rules!$B$5*HSD!D14+HSD!D38,SUM(HS!D6:D13)+Rules!$B$5*HS!D14+HS!D38)/(9+Rules!$B$5))+D32</f>
        <v>-0.32304621013334128</v>
      </c>
      <c r="E19" s="1">
        <f>(IF(Rules!$B$9=Rules!$D$9,SUM(HSD!E6:E13)+Rules!$B$5*HSD!E14+HSD!E38,SUM(HS!E6:E13)+Rules!$B$5*HS!E14+HS!E38)/(9+Rules!$B$5))+E32</f>
        <v>-0.18784643113262478</v>
      </c>
      <c r="F19" s="1">
        <f>(IF(Rules!$B$9=Rules!$D$9,SUM(HSD!F6:F13)+Rules!$B$5*HSD!F14+HSD!F38,SUM(HS!F6:F13)+Rules!$B$5*HS!F14+HS!F38)/(9+Rules!$B$5))+F32</f>
        <v>-4.488628975246272E-2</v>
      </c>
      <c r="G19" s="1">
        <f>(IF(Rules!$B$9=Rules!$D$9,SUM(HSD!G6:G13)+Rules!$B$5*HSD!G14+HSD!G38,SUM(HS!G6:G13)+Rules!$B$5*HS!G14+HS!G38)/(9+Rules!$B$5))+G32</f>
        <v>0.10475608137807799</v>
      </c>
      <c r="H19" s="1">
        <f>(IF(Rules!$B$9=Rules!$D$9,SUM(HSD!H6:H13)+Rules!$B$5*HSD!H14+HSD!H38,SUM(HS!H6:H13)+Rules!$B$5*HS!H14+HS!H38)/(9+Rules!$B$5))+H32</f>
        <v>-0.35311680423385489</v>
      </c>
      <c r="I19" s="1">
        <f>(IF(Rules!$B$9=Rules!$D$9,SUM(HSD!I6:I13)+Rules!$B$5*HSD!I14+HSD!I38,SUM(HS!I6:I13)+Rules!$B$5*HS!I14+HS!I38)/(9+Rules!$B$5))+I32</f>
        <v>-0.63733661064082048</v>
      </c>
      <c r="J19" s="1">
        <f>(IF(Rules!$B$9=Rules!$D$9,SUM(HSD!J6:J13)+Rules!$B$5*HSD!J14+HSD!J38,SUM(HS!J6:J13)+Rules!$B$5*HS!J14+HS!J38)/(9+Rules!$B$5))+J32</f>
        <v>-0.96266471661346187</v>
      </c>
      <c r="K19" s="9">
        <f>(IF(Rules!$B$9=Rules!$D$9,SUM(HSD!K6:K13)+Rules!$B$5*HSD!K14+HSD!K38,SUM(HS!K6:K13)+Rules!$B$5*HS!K14+HS!K38)/(9+Rules!$B$5))+K32</f>
        <v>-1.3403994574540439</v>
      </c>
    </row>
    <row r="20" spans="1:11">
      <c r="A20" s="98">
        <v>5</v>
      </c>
      <c r="B20" s="93">
        <f>(IF(Rules!$B$9=Rules!$D$9,SUM(HSD!B7:B14)+Rules!$B$5*HSD!B15+HSD!B39,SUM(HS!B7:B14)+Rules!$B$5*HS!B15+HS!B39)/(9+Rules!$B$5))+B33</f>
        <v>-1.6252892084456765</v>
      </c>
      <c r="C20" s="1">
        <f>(IF(Rules!$B$9=Rules!$D$9,SUM(HSD!C7:C14)+Rules!$B$5*HSD!C15+HSD!C39,SUM(HS!C7:C14)+Rules!$B$5*HS!C15+HS!C39)/(9+Rules!$B$5))+C33</f>
        <v>-0.50341866364894017</v>
      </c>
      <c r="D20" s="1">
        <f>(IF(Rules!$B$9=Rules!$D$9,SUM(HSD!D7:D14)+Rules!$B$5*HSD!D15+HSD!D39,SUM(HS!D7:D14)+Rules!$B$5*HS!D15+HS!D39)/(9+Rules!$B$5))+D33</f>
        <v>-0.37274322125359038</v>
      </c>
      <c r="E20" s="1">
        <f>(IF(Rules!$B$9=Rules!$D$9,SUM(HSD!E7:E14)+Rules!$B$5*HSD!E15+HSD!E39,SUM(HS!E7:E14)+Rules!$B$5*HS!E15+HS!E39)/(9+Rules!$B$5))+E33</f>
        <v>-0.23547575391001863</v>
      </c>
      <c r="F20" s="1">
        <f>(IF(Rules!$B$9=Rules!$D$9,SUM(HSD!F7:F14)+Rules!$B$5*HSD!F15+HSD!F39,SUM(HS!F7:F14)+Rules!$B$5*HS!F15+HS!F39)/(9+Rules!$B$5))+F33</f>
        <v>-9.0888202398777207E-2</v>
      </c>
      <c r="G20" s="1">
        <f>(IF(Rules!$B$9=Rules!$D$9,SUM(HSD!G7:G14)+Rules!$B$5*HSD!G15+HSD!G39,SUM(HS!G7:G14)+Rules!$B$5*HS!G15+HS!G39)/(9+Rules!$B$5))+G33</f>
        <v>6.0614477838838957E-2</v>
      </c>
      <c r="H20" s="1">
        <f>(IF(Rules!$B$9=Rules!$D$9,SUM(HSD!H7:H14)+Rules!$B$5*HSD!H15+HSD!H39,SUM(HS!H7:H14)+Rules!$B$5*HS!H15+HS!H39)/(9+Rules!$B$5))+H33</f>
        <v>-0.47778976753659408</v>
      </c>
      <c r="I20" s="1">
        <f>(IF(Rules!$B$9=Rules!$D$9,SUM(HSD!I7:I14)+Rules!$B$5*HSD!I15+HSD!I39,SUM(HS!I7:I14)+Rules!$B$5*HS!I15+HS!I39)/(9+Rules!$B$5))+I33</f>
        <v>-0.75237321561274073</v>
      </c>
      <c r="J20" s="1">
        <f>(IF(Rules!$B$9=Rules!$D$9,SUM(HSD!J7:J14)+Rules!$B$5*HSD!J15+HSD!J39,SUM(HS!J7:J14)+Rules!$B$5*HS!J15+HS!J39)/(9+Rules!$B$5))+J33</f>
        <v>-1.0664602134318359</v>
      </c>
      <c r="K20" s="9">
        <f>(IF(Rules!$B$9=Rules!$D$9,SUM(HSD!K7:K14)+Rules!$B$5*HSD!K15+HSD!K39,SUM(HS!K7:K14)+Rules!$B$5*HS!K15+HS!K39)/(9+Rules!$B$5))+K33</f>
        <v>-1.4309738103235916</v>
      </c>
    </row>
    <row r="21" spans="1:11">
      <c r="A21" s="98">
        <v>6</v>
      </c>
      <c r="B21" s="93">
        <f>(IF(Rules!$B$9=Rules!$D$9,SUM(HSD!B8:B15)+Rules!$B$5*HSD!B16+HSD!B40,SUM(HS!B8:B15)+Rules!$B$5*HS!B16+HS!B40)/(9+Rules!$B$5))+B34</f>
        <v>-1.6787476138840431</v>
      </c>
      <c r="C21" s="1">
        <f>(IF(Rules!$B$9=Rules!$D$9,SUM(HSD!C8:C15)+Rules!$B$5*HSD!C16+HSD!C40,SUM(HS!C8:C15)+Rules!$B$5*HS!C16+HS!C40)/(9+Rules!$B$5))+C34</f>
        <v>-0.552292117165326</v>
      </c>
      <c r="D21" s="1">
        <f>(IF(Rules!$B$9=Rules!$D$9,SUM(HSD!D8:D15)+Rules!$B$5*HSD!D16+HSD!D40,SUM(HS!D8:D15)+Rules!$B$5*HS!D16+HS!D40)/(9+Rules!$B$5))+D34</f>
        <v>-0.41949616534999135</v>
      </c>
      <c r="E21" s="1">
        <f>(IF(Rules!$B$9=Rules!$D$9,SUM(HSD!E8:E15)+Rules!$B$5*HSD!E16+HSD!E40,SUM(HS!E8:E15)+Rules!$B$5*HS!E16+HS!E40)/(9+Rules!$B$5))+E34</f>
        <v>-0.28031109338914423</v>
      </c>
      <c r="F21" s="1">
        <f>(IF(Rules!$B$9=Rules!$D$9,SUM(HSD!F8:F15)+Rules!$B$5*HSD!F16+HSD!F40,SUM(HS!F8:F15)+Rules!$B$5*HS!F16+HS!F40)/(9+Rules!$B$5))+F34</f>
        <v>-0.13419547976065827</v>
      </c>
      <c r="G21" s="1">
        <f>(IF(Rules!$B$9=Rules!$D$9,SUM(HSD!G8:G15)+Rules!$B$5*HSD!G16+HSD!G40,SUM(HS!G8:G15)+Rules!$B$5*HS!G16+HS!G40)/(9+Rules!$B$5))+G34</f>
        <v>1.9066034157261515E-2</v>
      </c>
      <c r="H21" s="1">
        <f>(IF(Rules!$B$9=Rules!$D$9,SUM(HSD!H8:H15)+Rules!$B$5*HSD!H16+HSD!H40,SUM(HS!H8:H15)+Rules!$B$5*HS!H16+HS!H40)/(9+Rules!$B$5))+H34</f>
        <v>-0.60773082894679775</v>
      </c>
      <c r="I21" s="1">
        <f>(IF(Rules!$B$9=Rules!$D$9,SUM(HSD!I8:I15)+Rules!$B$5*HSD!I16+HSD!I40,SUM(HS!I8:I15)+Rules!$B$5*HS!I16+HS!I40)/(9+Rules!$B$5))+I34</f>
        <v>-0.86896752528313903</v>
      </c>
      <c r="J21" s="1">
        <f>(IF(Rules!$B$9=Rules!$D$9,SUM(HSD!J8:J15)+Rules!$B$5*HSD!J16+HSD!J40,SUM(HS!J8:J15)+Rules!$B$5*HS!J16+HS!J40)/(9+Rules!$B$5))+J34</f>
        <v>-1.1705628007909039</v>
      </c>
      <c r="K21" s="9">
        <f>(IF(Rules!$B$9=Rules!$D$9,SUM(HSD!K8:K15)+Rules!$B$5*HSD!K16+HSD!K40,SUM(HS!K8:K15)+Rules!$B$5*HS!K16+HS!K40)/(9+Rules!$B$5))+K34</f>
        <v>-1.5220306491715812</v>
      </c>
    </row>
    <row r="22" spans="1:11">
      <c r="A22" s="98">
        <v>7</v>
      </c>
      <c r="B22" s="93">
        <f>(IF(Rules!$B$9=Rules!$D$9,SUM(HSD!B9:B16)+Rules!$B$5*HSD!B17+HSD!B41,SUM(HS!B9:B16)+Rules!$B$5*HS!B17+HS!B41)/(9+Rules!$B$5))+B35</f>
        <v>-1.5988415349027638</v>
      </c>
      <c r="C22" s="1">
        <f>(IF(Rules!$B$9=Rules!$D$9,SUM(HSD!C9:C16)+Rules!$B$5*HSD!C17+HSD!C41,SUM(HS!C9:C16)+Rules!$B$5*HS!C17+HS!C41)/(9+Rules!$B$5))+C35</f>
        <v>-0.43830993779079369</v>
      </c>
      <c r="D22" s="1">
        <f>(IF(Rules!$B$9=Rules!$D$9,SUM(HSD!D9:D16)+Rules!$B$5*HSD!D17+HSD!D41,SUM(HS!D9:D16)+Rules!$B$5*HS!D17+HS!D41)/(9+Rules!$B$5))+D35</f>
        <v>-0.30775027153980083</v>
      </c>
      <c r="E22" s="1">
        <f>(IF(Rules!$B$9=Rules!$D$9,SUM(HSD!E9:E16)+Rules!$B$5*HSD!E17+HSD!E41,SUM(HS!E9:E16)+Rules!$B$5*HS!E17+HS!E41)/(9+Rules!$B$5))+E35</f>
        <v>-0.1713054708682854</v>
      </c>
      <c r="F22" s="1">
        <f>(IF(Rules!$B$9=Rules!$D$9,SUM(HSD!F9:F16)+Rules!$B$5*HSD!F17+HSD!F41,SUM(HS!F9:F16)+Rules!$B$5*HS!F17+HS!F41)/(9+Rules!$B$5))+F35</f>
        <v>-2.870906705850184E-2</v>
      </c>
      <c r="G22" s="1">
        <f>(IF(Rules!$B$9=Rules!$D$9,SUM(HSD!G9:G16)+Rules!$B$5*HSD!G17+HSD!G41,SUM(HS!G9:G16)+Rules!$B$5*HS!G17+HS!G41)/(9+Rules!$B$5))+G35</f>
        <v>0.12163426460784746</v>
      </c>
      <c r="H22" s="1">
        <f>(IF(Rules!$B$9=Rules!$D$9,SUM(HSD!H9:H16)+Rules!$B$5*HSD!H17+HSD!H41,SUM(HS!H9:H16)+Rules!$B$5*HS!H17+HS!H41)/(9+Rules!$B$5))+H35</f>
        <v>-0.27523119832171106</v>
      </c>
      <c r="I22" s="1">
        <f>(IF(Rules!$B$9=Rules!$D$9,SUM(HSD!I9:I16)+Rules!$B$5*HSD!I17+HSD!I41,SUM(HS!I9:I16)+Rules!$B$5*HS!I17+HS!I41)/(9+Rules!$B$5))+I35</f>
        <v>-0.84241907489739865</v>
      </c>
      <c r="J22" s="1">
        <f>(IF(Rules!$B$9=Rules!$D$9,SUM(HSD!J9:J16)+Rules!$B$5*HSD!J17+HSD!J41,SUM(HS!J9:J16)+Rules!$B$5*HS!J17+HS!J41)/(9+Rules!$B$5))+J35</f>
        <v>-1.1414617619475065</v>
      </c>
      <c r="K22" s="9">
        <f>(IF(Rules!$B$9=Rules!$D$9,SUM(HSD!K9:K16)+Rules!$B$5*HSD!K17+HSD!K41,SUM(HS!K9:K16)+Rules!$B$5*HS!K17+HS!K41)/(9+Rules!$B$5))+K35</f>
        <v>-1.4603115968557872</v>
      </c>
    </row>
    <row r="23" spans="1:11">
      <c r="A23" s="98">
        <v>8</v>
      </c>
      <c r="B23" s="93">
        <f>(IF(Rules!$B$9=Rules!$D$9,SUM(HSD!B10:B17)+Rules!$B$5*HSD!B18+HSD!B42,SUM(HS!B10:B17)+Rules!$B$5*HS!B18+HS!B42)/(9+Rules!$B$5))+B36</f>
        <v>-1.3213613383628025</v>
      </c>
      <c r="C23" s="1">
        <f>(IF(Rules!$B$9=Rules!$D$9,SUM(HSD!C10:C17)+Rules!$B$5*HSD!C18+HSD!C42,SUM(HS!C10:C17)+Rules!$B$5*HS!C18+HS!C42)/(9+Rules!$B$5))+C36</f>
        <v>-9.8027321159669778E-2</v>
      </c>
      <c r="D23" s="1">
        <f>(IF(Rules!$B$9=Rules!$D$9,SUM(HSD!D10:D17)+Rules!$B$5*HSD!D18+HSD!D42,SUM(HS!D10:D17)+Rules!$B$5*HS!D18+HS!D42)/(9+Rules!$B$5))+D36</f>
        <v>2.2271723501572752E-2</v>
      </c>
      <c r="E23" s="1">
        <f>(IF(Rules!$B$9=Rules!$D$9,SUM(HSD!E10:E17)+Rules!$B$5*HSD!E18+HSD!E42,SUM(HS!E10:E17)+Rules!$B$5*HS!E18+HS!E42)/(9+Rules!$B$5))+E36</f>
        <v>0.14804310037805826</v>
      </c>
      <c r="F23" s="1">
        <f>(IF(Rules!$B$9=Rules!$D$9,SUM(HSD!F10:F17)+Rules!$B$5*HSD!F18+HSD!F42,SUM(HS!F10:F17)+Rules!$B$5*HS!F18+HS!F42)/(9+Rules!$B$5))+F36</f>
        <v>0.27980253261731663</v>
      </c>
      <c r="G23" s="1">
        <f>(IF(Rules!$B$9=Rules!$D$9,SUM(HSD!G10:G17)+Rules!$B$5*HSD!G18+HSD!G42,SUM(HS!G10:G17)+Rules!$B$5*HS!G18+HS!G42)/(9+Rules!$B$5))+G36</f>
        <v>0.41543245329225231</v>
      </c>
      <c r="H23" s="1">
        <f>(IF(Rules!$B$9=Rules!$D$9,SUM(HSD!H10:H17)+Rules!$B$5*HSD!H18+HSD!H42,SUM(HS!H10:H17)+Rules!$B$5*HS!H18+HS!H42)/(9+Rules!$B$5))+H36</f>
        <v>0.32882975745497145</v>
      </c>
      <c r="I23" s="1">
        <f>(IF(Rules!$B$9=Rules!$D$9,SUM(HSD!I10:I17)+Rules!$B$5*HSD!I18+HSD!I42,SUM(HS!I10:I17)+Rules!$B$5*HS!I18+HS!I42)/(9+Rules!$B$5))+I36</f>
        <v>-0.23959310263462516</v>
      </c>
      <c r="J23" s="1">
        <f>(IF(Rules!$B$9=Rules!$D$9,SUM(HSD!J10:J17)+Rules!$B$5*HSD!J18+HSD!J42,SUM(HS!J10:J17)+Rules!$B$5*HS!J18+HS!J42)/(9+Rules!$B$5))+J36</f>
        <v>-0.84074532799287038</v>
      </c>
      <c r="K23" s="9">
        <f>(IF(Rules!$B$9=Rules!$D$9,SUM(HSD!K10:K17)+Rules!$B$5*HSD!K18+HSD!K42,SUM(HS!K10:K17)+Rules!$B$5*HS!K18+HS!K42)/(9+Rules!$B$5))+K36</f>
        <v>-1.2071095445612547</v>
      </c>
    </row>
    <row r="24" spans="1:11">
      <c r="A24" s="98">
        <v>9</v>
      </c>
      <c r="B24" s="93">
        <f>(IF(Rules!$B$9=Rules!$D$9,SUM(HSD!B11:B18)+Rules!$B$5*HSD!B19+HSD!B43,SUM(HS!B11:B18)+Rules!$B$5*HS!B19+HS!B43)/(9+Rules!$B$5))+B37</f>
        <v>-1.007699047082883</v>
      </c>
      <c r="C24" s="1">
        <f>(IF(Rules!$B$9=Rules!$D$9,SUM(HSD!C11:C18)+Rules!$B$5*HSD!C19+HSD!C43,SUM(HS!C11:C18)+Rules!$B$5*HS!C19+HS!C43)/(9+Rules!$B$5))+C37</f>
        <v>0.28893123585277286</v>
      </c>
      <c r="D24" s="1">
        <f>(IF(Rules!$B$9=Rules!$D$9,SUM(HSD!D11:D18)+Rules!$B$5*HSD!D19+HSD!D43,SUM(HS!D11:D18)+Rules!$B$5*HS!D19+HS!D43)/(9+Rules!$B$5))+D37</f>
        <v>0.39709264295257307</v>
      </c>
      <c r="E24" s="1">
        <f>(IF(Rules!$B$9=Rules!$D$9,SUM(HSD!E11:E18)+Rules!$B$5*HSD!E19+HSD!E43,SUM(HS!E11:E18)+Rules!$B$5*HS!E19+HS!E43)/(9+Rules!$B$5))+E37</f>
        <v>0.51035398235070972</v>
      </c>
      <c r="F24" s="1">
        <f>(IF(Rules!$B$9=Rules!$D$9,SUM(HSD!F11:F18)+Rules!$B$5*HSD!F19+HSD!F43,SUM(HS!F11:F18)+Rules!$B$5*HS!F19+HS!F43)/(9+Rules!$B$5))+F37</f>
        <v>0.62944579352461194</v>
      </c>
      <c r="G24" s="1">
        <f>(IF(Rules!$B$9=Rules!$D$9,SUM(HSD!G11:G18)+Rules!$B$5*HSD!G19+HSD!G43,SUM(HS!G11:G18)+Rules!$B$5*HS!G19+HS!G43)/(9+Rules!$B$5))+G37</f>
        <v>0.74921414699017153</v>
      </c>
      <c r="H24" s="1">
        <f>(IF(Rules!$B$9=Rules!$D$9,SUM(HSD!H11:H18)+Rules!$B$5*HSD!H19+HSD!H43,SUM(HS!H11:H18)+Rules!$B$5*HS!H19+HS!H43)/(9+Rules!$B$5))+H37</f>
        <v>0.68747143974781066</v>
      </c>
      <c r="I24" s="1">
        <f>(IF(Rules!$B$9=Rules!$D$9,SUM(HSD!I11:I18)+Rules!$B$5*HSD!I19+HSD!I43,SUM(HS!I11:I18)+Rules!$B$5*HS!I19+HS!I43)/(9+Rules!$B$5))+I37</f>
        <v>0.39350486974157034</v>
      </c>
      <c r="J24" s="1">
        <f>(IF(Rules!$B$9=Rules!$D$9,SUM(HSD!J11:J18)+Rules!$B$5*HSD!J19+HSD!J43,SUM(HS!J11:J18)+Rules!$B$5*HS!J19+HS!J43)/(9+Rules!$B$5))+J37</f>
        <v>-0.20871221385060676</v>
      </c>
      <c r="K24" s="9">
        <f>(IF(Rules!$B$9=Rules!$D$9,SUM(HSD!K11:K18)+Rules!$B$5*HSD!K19+HSD!K43,SUM(HS!K11:K18)+Rules!$B$5*HS!K19+HS!K43)/(9+Rules!$B$5))+K37</f>
        <v>-0.85372676142826265</v>
      </c>
    </row>
    <row r="25" spans="1:11" ht="17" thickBot="1">
      <c r="A25" s="99">
        <v>10</v>
      </c>
      <c r="B25" s="94">
        <f>(IF(Rules!$B$9=Rules!$D$9,SUM(HSD!B12:B19)+Rules!$B$5*HSD!B20+HSD!B44,SUM(HS!B12:B19)+Rules!$B$5*HS!B20+HS!B44)/(9+Rules!$B$5))+B38</f>
        <v>-0.5866715705214347</v>
      </c>
      <c r="C25" s="109">
        <f>(IF(Rules!$B$9=Rules!$D$9,SUM(HSD!C12:C19)+Rules!$B$5*HSD!C20+HSD!C44,SUM(HS!C12:C19)+Rules!$B$5*HS!C20+HS!C44)/(9+Rules!$B$5))+C38</f>
        <v>0.72390449658207767</v>
      </c>
      <c r="D25" s="109">
        <f>(IF(Rules!$B$9=Rules!$D$9,SUM(HSD!D12:D19)+Rules!$B$5*HSD!D20+HSD!D44,SUM(HS!D12:D19)+Rules!$B$5*HS!D20+HS!D44)/(9+Rules!$B$5))+D38</f>
        <v>0.81886697631244609</v>
      </c>
      <c r="E25" s="109">
        <f>(IF(Rules!$B$9=Rules!$D$9,SUM(HSD!E12:E19)+Rules!$B$5*HSD!E20+HSD!E44,SUM(HS!E12:E19)+Rules!$B$5*HS!E20+HS!E44)/(9+Rules!$B$5))+E38</f>
        <v>0.91848440743636695</v>
      </c>
      <c r="F25" s="109">
        <f>(IF(Rules!$B$9=Rules!$D$9,SUM(HSD!F12:F19)+Rules!$B$5*HSD!F20+HSD!F44,SUM(HS!F12:F19)+Rules!$B$5*HS!F20+HS!F44)/(9+Rules!$B$5))+F38</f>
        <v>1.0233990683035565</v>
      </c>
      <c r="G25" s="109">
        <f>(IF(Rules!$B$9=Rules!$D$9,SUM(HSD!G12:G19)+Rules!$B$5*HSD!G20+HSD!G44,SUM(HS!G12:G19)+Rules!$B$5*HS!G20+HS!G44)/(9+Rules!$B$5))+G38</f>
        <v>1.1299233910568125</v>
      </c>
      <c r="H25" s="109">
        <f>(IF(Rules!$B$9=Rules!$D$9,SUM(HSD!H12:H19)+Rules!$B$5*HSD!H20+HSD!H44,SUM(HS!H12:H19)+Rules!$B$5*HS!H20+HS!H44)/(9+Rules!$B$5))+H38</f>
        <v>1.0276349773443463</v>
      </c>
      <c r="I25" s="109">
        <f>(IF(Rules!$B$9=Rules!$D$9,SUM(HSD!I12:I19)+Rules!$B$5*HSD!I20+HSD!I44,SUM(HS!I12:I19)+Rules!$B$5*HS!I20+HS!I44)/(9+Rules!$B$5))+I38</f>
        <v>0.79181483332790437</v>
      </c>
      <c r="J25" s="109">
        <f>(IF(Rules!$B$9=Rules!$D$9,SUM(HSD!J12:J19)+Rules!$B$5*HSD!J20+HSD!J44,SUM(HS!J12:J19)+Rules!$B$5*HS!J20+HS!J44)/(9+Rules!$B$5))+J38</f>
        <v>0.4661183642771356</v>
      </c>
      <c r="K25" s="10">
        <f>(IF(Rules!$B$9=Rules!$D$9,SUM(HSD!K12:K19)+Rules!$B$5*HSD!K20+HSD!K44,SUM(HS!K12:K19)+Rules!$B$5*HS!K20+HS!K44)/(9+Rules!$B$5))+K38</f>
        <v>-0.17996104153445203</v>
      </c>
    </row>
    <row r="26" spans="1:11" ht="17" thickBot="1"/>
    <row r="27" spans="1:11" ht="17" thickBot="1">
      <c r="A27" s="344" t="s">
        <v>76</v>
      </c>
      <c r="B27" s="345"/>
      <c r="C27" s="345"/>
      <c r="D27" s="345"/>
      <c r="E27" s="345"/>
      <c r="F27" s="345"/>
      <c r="G27" s="345"/>
      <c r="H27" s="345"/>
      <c r="I27" s="345"/>
      <c r="J27" s="345"/>
      <c r="K27" s="346"/>
    </row>
    <row r="28" spans="1:11" ht="17" thickBot="1">
      <c r="A28" s="102" t="s">
        <v>7</v>
      </c>
      <c r="B28" s="115">
        <v>1</v>
      </c>
      <c r="C28" s="116">
        <v>2</v>
      </c>
      <c r="D28" s="116">
        <v>3</v>
      </c>
      <c r="E28" s="116">
        <v>4</v>
      </c>
      <c r="F28" s="116">
        <v>5</v>
      </c>
      <c r="G28" s="116">
        <v>6</v>
      </c>
      <c r="H28" s="116">
        <v>7</v>
      </c>
      <c r="I28" s="116">
        <v>8</v>
      </c>
      <c r="J28" s="116">
        <v>9</v>
      </c>
      <c r="K28" s="104">
        <v>10</v>
      </c>
    </row>
    <row r="29" spans="1:11">
      <c r="A29" s="100">
        <v>1</v>
      </c>
      <c r="B29" s="107">
        <f>(IF(Rules!$B$12=Rules!$E$12,SUM(Stand!B35:B43)+Rules!$B$5*Stand!B44,SUM(HSD!B35:B43)+Rules!$B$5*HSD!B44)/(9+Rules!$B$5))+B42</f>
        <v>-0.17723572654314679</v>
      </c>
      <c r="C29" s="108">
        <f>(IF(Rules!$B$12=Rules!$E$12,SUM(Stand!C35:C43)+Rules!$B$5*Stand!C44,SUM(HSD!C35:C43)+Rules!$B$5*HSD!C44)/(9+Rules!$B$5))+C42</f>
        <v>0.70518222002673503</v>
      </c>
      <c r="D29" s="108">
        <f>(IF(Rules!$B$12=Rules!$E$12,SUM(Stand!D35:D43)+Rules!$B$5*Stand!D44,SUM(HSD!D35:D43)+Rules!$B$5*HSD!D44)/(9+Rules!$B$5))+D42</f>
        <v>0.77599175960937372</v>
      </c>
      <c r="E29" s="108">
        <f>(IF(Rules!$B$12=Rules!$E$12,SUM(Stand!E35:E43)+Rules!$B$5*Stand!E44,SUM(HSD!E35:E43)+Rules!$B$5*HSD!E44)/(9+Rules!$B$5))+E42</f>
        <v>0.8484097855582946</v>
      </c>
      <c r="F29" s="108">
        <f>(IF(Rules!$B$12=Rules!$E$12,SUM(Stand!F35:F43)+Rules!$B$5*Stand!F44,SUM(HSD!F35:F43)+Rules!$B$5*HSD!F44)/(9+Rules!$B$5))+F42</f>
        <v>0.92173506312677511</v>
      </c>
      <c r="G29" s="108">
        <f>(IF(Rules!$B$12=Rules!$E$12,SUM(Stand!G35:G43)+Rules!$B$5*Stand!G44,SUM(HSD!G35:G43)+Rules!$B$5*HSD!G44)/(9+Rules!$B$5))+G42</f>
        <v>0.99699511378338812</v>
      </c>
      <c r="H29" s="108">
        <f>(IF(Rules!$B$12=Rules!$E$12,SUM(Stand!H35:H43)+Rules!$B$5*Stand!H44,SUM(HSD!H35:H43)+Rules!$B$5*HSD!H44)/(9+Rules!$B$5))+H42</f>
        <v>0.69433342329643633</v>
      </c>
      <c r="I29" s="108">
        <f>(IF(Rules!$B$12=Rules!$E$12,SUM(Stand!I35:I43)+Rules!$B$5*Stand!I44,SUM(HSD!I35:I43)+Rules!$B$5*HSD!I44)/(9+Rules!$B$5))+I42</f>
        <v>0.52603888630547269</v>
      </c>
      <c r="J29" s="108">
        <f>(IF(Rules!$B$12=Rules!$E$12,SUM(Stand!J35:J43)+Rules!$B$5*Stand!J44,SUM(HSD!J35:J43)+Rules!$B$5*HSD!J44)/(9+Rules!$B$5))+J42</f>
        <v>0.34167513472868227</v>
      </c>
      <c r="K29" s="57">
        <f>(IF(Rules!$B$12=Rules!$E$12,SUM(Stand!K35:K43)+Rules!$B$5*Stand!K44,SUM(HSD!K35:K43)+Rules!$B$5*HSD!K44)/(9+Rules!$B$5))+K42</f>
        <v>8.9036462805965597E-2</v>
      </c>
    </row>
    <row r="30" spans="1:11">
      <c r="A30" s="98">
        <v>2</v>
      </c>
      <c r="B30" s="93">
        <f>(IF(Rules!$B$9=Rules!$D$9,SUM(HSD!B4:B11)+Rules!$B$5*HSD!B12+HSD!B36,SUM(HS!B4:B11)+Rules!$B$5*HS!B12+HS!B36)/(9+Rules!$B$5))+B43</f>
        <v>-1.0337051157760249</v>
      </c>
      <c r="C30" s="1">
        <f>(IF(Rules!$B$9=Rules!$D$9,SUM(HSD!C4:C11)+Rules!$B$5*HSD!C12+HSD!C36,SUM(HS!C4:C11)+Rules!$B$5*HS!C12+HS!C36)/(9+Rules!$B$5))+C43</f>
        <v>-0.22810841894889766</v>
      </c>
      <c r="D30" s="1">
        <f>(IF(Rules!$B$9=Rules!$D$9,SUM(HSD!D4:D11)+Rules!$B$5*HSD!D12+HSD!D36,SUM(HS!D4:D11)+Rules!$B$5*HS!D12+HS!D36)/(9+Rules!$B$5))+D43</f>
        <v>-0.1496618529891236</v>
      </c>
      <c r="E30" s="1">
        <f>(IF(Rules!$B$9=Rules!$D$9,SUM(HSD!E4:E11)+Rules!$B$5*HSD!E12+HSD!E36,SUM(HS!E4:E11)+Rules!$B$5*HS!E12+HS!E36)/(9+Rules!$B$5))+E43</f>
        <v>-6.0480629090121266E-2</v>
      </c>
      <c r="F30" s="1">
        <f>(IF(Rules!$B$9=Rules!$D$9,SUM(HSD!F4:F11)+Rules!$B$5*HSD!F12+HSD!F36,SUM(HS!F4:F11)+Rules!$B$5*HS!F12+HS!F36)/(9+Rules!$B$5))+F43</f>
        <v>4.3992611488645597E-2</v>
      </c>
      <c r="G30" s="1">
        <f>(IF(Rules!$B$9=Rules!$D$9,SUM(HSD!G4:G11)+Rules!$B$5*HSD!G12+HSD!G36,SUM(HS!G4:G11)+Rules!$B$5*HS!G12+HS!G36)/(9+Rules!$B$5))+G43</f>
        <v>0.1530829260847395</v>
      </c>
      <c r="H30" s="1">
        <f>(IF(Rules!$B$9=Rules!$D$9,SUM(HSD!H4:H11)+Rules!$B$5*HSD!H12+HSD!H36,SUM(HS!H4:H11)+Rules!$B$5*HS!H12+HS!H36)/(9+Rules!$B$5))+H43</f>
        <v>-8.1771064127586737E-2</v>
      </c>
      <c r="I30" s="1">
        <f>(IF(Rules!$B$9=Rules!$D$9,SUM(HSD!I4:I11)+Rules!$B$5*HSD!I12+HSD!I36,SUM(HS!I4:I11)+Rules!$B$5*HS!I12+HS!I36)/(9+Rules!$B$5))+I43</f>
        <v>-0.30948518332538172</v>
      </c>
      <c r="J30" s="1">
        <f>(IF(Rules!$B$9=Rules!$D$9,SUM(HSD!J4:J11)+Rules!$B$5*HSD!J12+HSD!J36,SUM(HS!J4:J11)+Rules!$B$5*HS!J12+HS!J36)/(9+Rules!$B$5))+J43</f>
        <v>-0.57014142916052524</v>
      </c>
      <c r="K30" s="9">
        <f>(IF(Rules!$B$9=Rules!$D$9,SUM(HSD!K4:K11)+Rules!$B$5*HSD!K12+HSD!K36,SUM(HS!K4:K11)+Rules!$B$5*HS!K12+HS!K36)/(9+Rules!$B$5))+K43</f>
        <v>-0.87289118321932269</v>
      </c>
    </row>
    <row r="31" spans="1:11">
      <c r="A31" s="98">
        <v>3</v>
      </c>
      <c r="B31" s="93">
        <f>(IF(Rules!$B$9=Rules!$D$9,SUM(HSD!B5:B12)+Rules!$B$5*HSD!B13+HSD!B37,SUM(HS!B5:B12)+Rules!$B$5*HS!B13+HS!B37)/(9+Rules!$B$5))+B44</f>
        <v>-1.0942339229842659</v>
      </c>
      <c r="C31" s="1">
        <f>(IF(Rules!$B$9=Rules!$D$9,SUM(HSD!C5:C12)+Rules!$B$5*HSD!C13+HSD!C37,SUM(HS!C5:C12)+Rules!$B$5*HS!C13+HS!C37)/(9+Rules!$B$5))+C44</f>
        <v>-0.29638476902197958</v>
      </c>
      <c r="D31" s="1">
        <f>(IF(Rules!$B$9=Rules!$D$9,SUM(HSD!D5:D12)+Rules!$B$5*HSD!D13+HSD!D37,SUM(HS!D5:D12)+Rules!$B$5*HS!D13+HS!D37)/(9+Rules!$B$5))+D44</f>
        <v>-0.20196395922432603</v>
      </c>
      <c r="E31" s="1">
        <f>(IF(Rules!$B$9=Rules!$D$9,SUM(HSD!E5:E12)+Rules!$B$5*HSD!E13+HSD!E37,SUM(HS!E5:E12)+Rules!$B$5*HS!E13+HS!E37)/(9+Rules!$B$5))+E44</f>
        <v>-0.10223848381793935</v>
      </c>
      <c r="F31" s="1">
        <f>(IF(Rules!$B$9=Rules!$D$9,SUM(HSD!F5:F12)+Rules!$B$5*HSD!F13+HSD!F37,SUM(HS!F5:F12)+Rules!$B$5*HS!F13+HS!F37)/(9+Rules!$B$5))+F44</f>
        <v>3.661354623971917E-3</v>
      </c>
      <c r="G31" s="1">
        <f>(IF(Rules!$B$9=Rules!$D$9,SUM(HSD!G5:G12)+Rules!$B$5*HSD!G13+HSD!G37,SUM(HS!G5:G12)+Rules!$B$5*HS!G13+HS!G37)/(9+Rules!$B$5))+G44</f>
        <v>0.11438319199683675</v>
      </c>
      <c r="H31" s="1">
        <f>(IF(Rules!$B$9=Rules!$D$9,SUM(HSD!H5:H12)+Rules!$B$5*HSD!H13+HSD!H37,SUM(HS!H5:H12)+Rules!$B$5*HS!H13+HS!H37)/(9+Rules!$B$5))+H44</f>
        <v>-0.17231276562107001</v>
      </c>
      <c r="I31" s="1">
        <f>(IF(Rules!$B$9=Rules!$D$9,SUM(HSD!I5:I12)+Rules!$B$5*HSD!I13+HSD!I37,SUM(HS!I5:I12)+Rules!$B$5*HS!I13+HS!I37)/(9+Rules!$B$5))+I44</f>
        <v>-0.39282564195060299</v>
      </c>
      <c r="J31" s="1">
        <f>(IF(Rules!$B$9=Rules!$D$9,SUM(HSD!J5:J12)+Rules!$B$5*HSD!J13+HSD!J37,SUM(HS!J5:J12)+Rules!$B$5*HS!J13+HS!J37)/(9+Rules!$B$5))+J44</f>
        <v>-0.64522986844087304</v>
      </c>
      <c r="K31" s="9">
        <f>(IF(Rules!$B$9=Rules!$D$9,SUM(HSD!K5:K12)+Rules!$B$5*HSD!K13+HSD!K37,SUM(HS!K5:K12)+Rules!$B$5*HS!K13+HS!K37)/(9+Rules!$B$5))+K44</f>
        <v>-0.93833940384779424</v>
      </c>
    </row>
    <row r="32" spans="1:11">
      <c r="A32" s="98">
        <v>4</v>
      </c>
      <c r="B32" s="93">
        <f>(IF(Rules!$B$9=Rules!$D$9,SUM(HSD!B6:B13)+Rules!$B$5*HSD!B14+HSD!B38,SUM(HS!B6:B13)+Rules!$B$5*HS!B14+HS!B38)/(9+Rules!$B$5))+B45</f>
        <v>-1.1561559198505984</v>
      </c>
      <c r="C32" s="1">
        <f>(IF(Rules!$B$9=Rules!$D$9,SUM(HSD!C6:C13)+Rules!$B$5*HSD!C14+HSD!C38,SUM(HS!C6:C13)+Rules!$B$5*HS!C14+HS!C38)/(9+Rules!$B$5))+C45</f>
        <v>-0.33856631313371149</v>
      </c>
      <c r="D32" s="1">
        <f>(IF(Rules!$B$9=Rules!$D$9,SUM(HSD!D6:D13)+Rules!$B$5*HSD!D14+HSD!D38,SUM(HS!D6:D13)+Rules!$B$5*HS!D14+HS!D38)/(9+Rules!$B$5))+D45</f>
        <v>-0.24228465760000595</v>
      </c>
      <c r="E32" s="1">
        <f>(IF(Rules!$B$9=Rules!$D$9,SUM(HSD!E6:E13)+Rules!$B$5*HSD!E14+HSD!E38,SUM(HS!E6:E13)+Rules!$B$5*HS!E14+HS!E38)/(9+Rules!$B$5))+E45</f>
        <v>-0.14088482334946859</v>
      </c>
      <c r="F32" s="1">
        <f>(IF(Rules!$B$9=Rules!$D$9,SUM(HSD!F6:F13)+Rules!$B$5*HSD!F14+HSD!F38,SUM(HS!F6:F13)+Rules!$B$5*HS!F14+HS!F38)/(9+Rules!$B$5))+F45</f>
        <v>-3.3664717314347038E-2</v>
      </c>
      <c r="G32" s="1">
        <f>(IF(Rules!$B$9=Rules!$D$9,SUM(HSD!G6:G13)+Rules!$B$5*HSD!G14+HSD!G38,SUM(HS!G6:G13)+Rules!$B$5*HS!G14+HS!G38)/(9+Rules!$B$5))+G45</f>
        <v>7.8567061033558483E-2</v>
      </c>
      <c r="H32" s="1">
        <f>(IF(Rules!$B$9=Rules!$D$9,SUM(HSD!H6:H13)+Rules!$B$5*HSD!H14+HSD!H38,SUM(HS!H6:H13)+Rules!$B$5*HS!H14+HS!H38)/(9+Rules!$B$5))+H45</f>
        <v>-0.26483760317539118</v>
      </c>
      <c r="I32" s="1">
        <f>(IF(Rules!$B$9=Rules!$D$9,SUM(HSD!I6:I13)+Rules!$B$5*HSD!I14+HSD!I38,SUM(HS!I6:I13)+Rules!$B$5*HS!I14+HS!I38)/(9+Rules!$B$5))+I45</f>
        <v>-0.47800245798061536</v>
      </c>
      <c r="J32" s="1">
        <f>(IF(Rules!$B$9=Rules!$D$9,SUM(HSD!J6:J13)+Rules!$B$5*HSD!J14+HSD!J38,SUM(HS!J6:J13)+Rules!$B$5*HS!J14+HS!J38)/(9+Rules!$B$5))+J45</f>
        <v>-0.72199853746009635</v>
      </c>
      <c r="K32" s="9">
        <f>(IF(Rules!$B$9=Rules!$D$9,SUM(HSD!K6:K13)+Rules!$B$5*HSD!K14+HSD!K38,SUM(HS!K6:K13)+Rules!$B$5*HS!K14+HS!K38)/(9+Rules!$B$5))+K45</f>
        <v>-1.0052995930905329</v>
      </c>
    </row>
    <row r="33" spans="1:11">
      <c r="A33" s="98">
        <v>5</v>
      </c>
      <c r="B33" s="93">
        <f>(IF(Rules!$B$9=Rules!$D$9,SUM(HSD!B7:B14)+Rules!$B$5*HSD!B15+HSD!B39,SUM(HS!B7:B14)+Rules!$B$5*HS!B15+HS!B39)/(9+Rules!$B$5))+B46</f>
        <v>-1.2189669063342574</v>
      </c>
      <c r="C33" s="1">
        <f>(IF(Rules!$B$9=Rules!$D$9,SUM(HSD!C7:C14)+Rules!$B$5*HSD!C15+HSD!C39,SUM(HS!C7:C14)+Rules!$B$5*HS!C15+HS!C39)/(9+Rules!$B$5))+C46</f>
        <v>-0.37756399773670513</v>
      </c>
      <c r="D33" s="1">
        <f>(IF(Rules!$B$9=Rules!$D$9,SUM(HSD!D7:D14)+Rules!$B$5*HSD!D15+HSD!D39,SUM(HS!D7:D14)+Rules!$B$5*HS!D15+HS!D39)/(9+Rules!$B$5))+D46</f>
        <v>-0.27955741594019279</v>
      </c>
      <c r="E33" s="1">
        <f>(IF(Rules!$B$9=Rules!$D$9,SUM(HSD!E7:E14)+Rules!$B$5*HSD!E15+HSD!E39,SUM(HS!E7:E14)+Rules!$B$5*HS!E15+HS!E39)/(9+Rules!$B$5))+E46</f>
        <v>-0.17660681543251397</v>
      </c>
      <c r="F33" s="1">
        <f>(IF(Rules!$B$9=Rules!$D$9,SUM(HSD!F7:F14)+Rules!$B$5*HSD!F15+HSD!F39,SUM(HS!F7:F14)+Rules!$B$5*HS!F15+HS!F39)/(9+Rules!$B$5))+F46</f>
        <v>-6.8166151799082905E-2</v>
      </c>
      <c r="G33" s="1">
        <f>(IF(Rules!$B$9=Rules!$D$9,SUM(HSD!G7:G14)+Rules!$B$5*HSD!G15+HSD!G39,SUM(HS!G7:G14)+Rules!$B$5*HS!G15+HS!G39)/(9+Rules!$B$5))+G46</f>
        <v>4.5460858379129221E-2</v>
      </c>
      <c r="H33" s="1">
        <f>(IF(Rules!$B$9=Rules!$D$9,SUM(HSD!H7:H14)+Rules!$B$5*HSD!H15+HSD!H39,SUM(HS!H7:H14)+Rules!$B$5*HS!H15+HS!H39)/(9+Rules!$B$5))+H46</f>
        <v>-0.35834232565244556</v>
      </c>
      <c r="I33" s="1">
        <f>(IF(Rules!$B$9=Rules!$D$9,SUM(HSD!I7:I14)+Rules!$B$5*HSD!I15+HSD!I39,SUM(HS!I7:I14)+Rules!$B$5*HS!I15+HS!I39)/(9+Rules!$B$5))+I46</f>
        <v>-0.5642799117095556</v>
      </c>
      <c r="J33" s="1">
        <f>(IF(Rules!$B$9=Rules!$D$9,SUM(HSD!J7:J14)+Rules!$B$5*HSD!J15+HSD!J39,SUM(HS!J7:J14)+Rules!$B$5*HS!J15+HS!J39)/(9+Rules!$B$5))+J46</f>
        <v>-0.79984516007387696</v>
      </c>
      <c r="K33" s="9">
        <f>(IF(Rules!$B$9=Rules!$D$9,SUM(HSD!K7:K14)+Rules!$B$5*HSD!K15+HSD!K39,SUM(HS!K7:K14)+Rules!$B$5*HS!K15+HS!K39)/(9+Rules!$B$5))+K46</f>
        <v>-1.0732303577426938</v>
      </c>
    </row>
    <row r="34" spans="1:11">
      <c r="A34" s="98">
        <v>6</v>
      </c>
      <c r="B34" s="93">
        <f>(IF(Rules!$B$9=Rules!$D$9,SUM(HSD!B8:B15)+Rules!$B$5*HSD!B16+HSD!B40,SUM(HS!B8:B15)+Rules!$B$5*HS!B16+HS!B40)/(9+Rules!$B$5))+B47</f>
        <v>-1.2590607104130322</v>
      </c>
      <c r="C34" s="1">
        <f>(IF(Rules!$B$9=Rules!$D$9,SUM(HSD!C8:C15)+Rules!$B$5*HSD!C16+HSD!C40,SUM(HS!C8:C15)+Rules!$B$5*HS!C16+HS!C40)/(9+Rules!$B$5))+C47</f>
        <v>-0.41421908787399453</v>
      </c>
      <c r="D34" s="1">
        <f>(IF(Rules!$B$9=Rules!$D$9,SUM(HSD!D8:D15)+Rules!$B$5*HSD!D16+HSD!D40,SUM(HS!D8:D15)+Rules!$B$5*HS!D16+HS!D40)/(9+Rules!$B$5))+D47</f>
        <v>-0.31462212401249351</v>
      </c>
      <c r="E34" s="1">
        <f>(IF(Rules!$B$9=Rules!$D$9,SUM(HSD!E8:E15)+Rules!$B$5*HSD!E16+HSD!E40,SUM(HS!E8:E15)+Rules!$B$5*HS!E16+HS!E40)/(9+Rules!$B$5))+E47</f>
        <v>-0.21023332004185818</v>
      </c>
      <c r="F34" s="1">
        <f>(IF(Rules!$B$9=Rules!$D$9,SUM(HSD!F8:F15)+Rules!$B$5*HSD!F16+HSD!F40,SUM(HS!F8:F15)+Rules!$B$5*HS!F16+HS!F40)/(9+Rules!$B$5))+F47</f>
        <v>-0.1006466098204937</v>
      </c>
      <c r="G34" s="1">
        <f>(IF(Rules!$B$9=Rules!$D$9,SUM(HSD!G8:G15)+Rules!$B$5*HSD!G16+HSD!G40,SUM(HS!G8:G15)+Rules!$B$5*HS!G16+HS!G40)/(9+Rules!$B$5))+G47</f>
        <v>1.4299525617946136E-2</v>
      </c>
      <c r="H34" s="1">
        <f>(IF(Rules!$B$9=Rules!$D$9,SUM(HSD!H8:H15)+Rules!$B$5*HSD!H16+HSD!H40,SUM(HS!H8:H15)+Rules!$B$5*HS!H16+HS!H40)/(9+Rules!$B$5))+H47</f>
        <v>-0.45579812171009831</v>
      </c>
      <c r="I34" s="1">
        <f>(IF(Rules!$B$9=Rules!$D$9,SUM(HSD!I8:I15)+Rules!$B$5*HSD!I16+HSD!I40,SUM(HS!I8:I15)+Rules!$B$5*HS!I16+HS!I40)/(9+Rules!$B$5))+I47</f>
        <v>-0.65172564396235422</v>
      </c>
      <c r="J34" s="1">
        <f>(IF(Rules!$B$9=Rules!$D$9,SUM(HSD!J8:J15)+Rules!$B$5*HSD!J16+HSD!J40,SUM(HS!J8:J15)+Rules!$B$5*HS!J16+HS!J40)/(9+Rules!$B$5))+J47</f>
        <v>-0.87792210059317788</v>
      </c>
      <c r="K34" s="9">
        <f>(IF(Rules!$B$9=Rules!$D$9,SUM(HSD!K8:K15)+Rules!$B$5*HSD!K16+HSD!K40,SUM(HS!K8:K15)+Rules!$B$5*HS!K16+HS!K40)/(9+Rules!$B$5))+K47</f>
        <v>-1.1415229868786858</v>
      </c>
    </row>
    <row r="35" spans="1:11">
      <c r="A35" s="98">
        <v>7</v>
      </c>
      <c r="B35" s="93">
        <f>(IF(Rules!$B$9=Rules!$D$9,SUM(HSD!B9:B16)+Rules!$B$5*HSD!B17+HSD!B41,SUM(HS!B9:B16)+Rules!$B$5*HS!B17+HS!B41)/(9+Rules!$B$5))+B48</f>
        <v>-1.1991311511770728</v>
      </c>
      <c r="C35" s="1">
        <f>(IF(Rules!$B$9=Rules!$D$9,SUM(HSD!C9:C16)+Rules!$B$5*HSD!C17+HSD!C41,SUM(HS!C9:C16)+Rules!$B$5*HS!C17+HS!C41)/(9+Rules!$B$5))+C48</f>
        <v>-0.32873245334309525</v>
      </c>
      <c r="D35" s="1">
        <f>(IF(Rules!$B$9=Rules!$D$9,SUM(HSD!D9:D16)+Rules!$B$5*HSD!D17+HSD!D41,SUM(HS!D9:D16)+Rules!$B$5*HS!D17+HS!D41)/(9+Rules!$B$5))+D48</f>
        <v>-0.23081270365485063</v>
      </c>
      <c r="E35" s="1">
        <f>(IF(Rules!$B$9=Rules!$D$9,SUM(HSD!E9:E16)+Rules!$B$5*HSD!E17+HSD!E41,SUM(HS!E9:E16)+Rules!$B$5*HS!E17+HS!E41)/(9+Rules!$B$5))+E48</f>
        <v>-0.12847910315121405</v>
      </c>
      <c r="F35" s="1">
        <f>(IF(Rules!$B$9=Rules!$D$9,SUM(HSD!F9:F16)+Rules!$B$5*HSD!F17+HSD!F41,SUM(HS!F9:F16)+Rules!$B$5*HS!F17+HS!F41)/(9+Rules!$B$5))+F48</f>
        <v>-2.1531800293876378E-2</v>
      </c>
      <c r="G35" s="1">
        <f>(IF(Rules!$B$9=Rules!$D$9,SUM(HSD!G9:G16)+Rules!$B$5*HSD!G17+HSD!G41,SUM(HS!G9:G16)+Rules!$B$5*HS!G17+HS!G41)/(9+Rules!$B$5))+G48</f>
        <v>9.1225698455885601E-2</v>
      </c>
      <c r="H35" s="1">
        <f>(IF(Rules!$B$9=Rules!$D$9,SUM(HSD!H9:H16)+Rules!$B$5*HSD!H17+HSD!H41,SUM(HS!H9:H16)+Rules!$B$5*HS!H17+HS!H41)/(9+Rules!$B$5))+H48</f>
        <v>-0.20642339874128329</v>
      </c>
      <c r="I35" s="1">
        <f>(IF(Rules!$B$9=Rules!$D$9,SUM(HSD!I9:I16)+Rules!$B$5*HSD!I17+HSD!I41,SUM(HS!I9:I16)+Rules!$B$5*HS!I17+HS!I41)/(9+Rules!$B$5))+I48</f>
        <v>-0.63181430617304901</v>
      </c>
      <c r="J35" s="1">
        <f>(IF(Rules!$B$9=Rules!$D$9,SUM(HSD!J9:J16)+Rules!$B$5*HSD!J17+HSD!J41,SUM(HS!J9:J16)+Rules!$B$5*HS!J17+HS!J41)/(9+Rules!$B$5))+J48</f>
        <v>-0.85609632146062986</v>
      </c>
      <c r="K35" s="9">
        <f>(IF(Rules!$B$9=Rules!$D$9,SUM(HSD!K9:K16)+Rules!$B$5*HSD!K17+HSD!K41,SUM(HS!K9:K16)+Rules!$B$5*HS!K17+HS!K41)/(9+Rules!$B$5))+K48</f>
        <v>-1.0952336976418404</v>
      </c>
    </row>
    <row r="36" spans="1:11">
      <c r="A36" s="98">
        <v>8</v>
      </c>
      <c r="B36" s="93">
        <f>(IF(Rules!$B$9=Rules!$D$9,SUM(HSD!B10:B17)+Rules!$B$5*HSD!B18+HSD!B42,SUM(HS!B10:B17)+Rules!$B$5*HS!B18+HS!B42)/(9+Rules!$B$5))+B49</f>
        <v>-0.99102100377210189</v>
      </c>
      <c r="C36" s="1">
        <f>(IF(Rules!$B$9=Rules!$D$9,SUM(HSD!C10:C17)+Rules!$B$5*HSD!C18+HSD!C42,SUM(HS!C10:C17)+Rules!$B$5*HS!C18+HS!C42)/(9+Rules!$B$5))+C49</f>
        <v>-7.3520490869752333E-2</v>
      </c>
      <c r="D36" s="1">
        <f>(IF(Rules!$B$9=Rules!$D$9,SUM(HSD!D10:D17)+Rules!$B$5*HSD!D18+HSD!D42,SUM(HS!D10:D17)+Rules!$B$5*HS!D18+HS!D42)/(9+Rules!$B$5))+D49</f>
        <v>1.6703792626179565E-2</v>
      </c>
      <c r="E36" s="1">
        <f>(IF(Rules!$B$9=Rules!$D$9,SUM(HSD!E10:E17)+Rules!$B$5*HSD!E18+HSD!E42,SUM(HS!E10:E17)+Rules!$B$5*HS!E18+HS!E42)/(9+Rules!$B$5))+E49</f>
        <v>0.1110323252835437</v>
      </c>
      <c r="F36" s="1">
        <f>(IF(Rules!$B$9=Rules!$D$9,SUM(HSD!F10:F17)+Rules!$B$5*HSD!F18+HSD!F42,SUM(HS!F10:F17)+Rules!$B$5*HS!F18+HS!F42)/(9+Rules!$B$5))+F49</f>
        <v>0.20985189946298749</v>
      </c>
      <c r="G36" s="1">
        <f>(IF(Rules!$B$9=Rules!$D$9,SUM(HSD!G10:G17)+Rules!$B$5*HSD!G18+HSD!G42,SUM(HS!G10:G17)+Rules!$B$5*HS!G18+HS!G42)/(9+Rules!$B$5))+G49</f>
        <v>0.31157433996918926</v>
      </c>
      <c r="H36" s="1">
        <f>(IF(Rules!$B$9=Rules!$D$9,SUM(HSD!H10:H17)+Rules!$B$5*HSD!H18+HSD!H42,SUM(HS!H10:H17)+Rules!$B$5*HS!H18+HS!H42)/(9+Rules!$B$5))+H49</f>
        <v>0.24662231809122859</v>
      </c>
      <c r="I36" s="1">
        <f>(IF(Rules!$B$9=Rules!$D$9,SUM(HSD!I10:I17)+Rules!$B$5*HSD!I18+HSD!I42,SUM(HS!I10:I17)+Rules!$B$5*HS!I18+HS!I42)/(9+Rules!$B$5))+I49</f>
        <v>-0.17969482697596886</v>
      </c>
      <c r="J36" s="1">
        <f>(IF(Rules!$B$9=Rules!$D$9,SUM(HSD!J10:J17)+Rules!$B$5*HSD!J18+HSD!J42,SUM(HS!J10:J17)+Rules!$B$5*HS!J18+HS!J42)/(9+Rules!$B$5))+J49</f>
        <v>-0.63055899599465282</v>
      </c>
      <c r="K36" s="9">
        <f>(IF(Rules!$B$9=Rules!$D$9,SUM(HSD!K10:K17)+Rules!$B$5*HSD!K18+HSD!K42,SUM(HS!K10:K17)+Rules!$B$5*HS!K18+HS!K42)/(9+Rules!$B$5))+K49</f>
        <v>-0.90533215842094106</v>
      </c>
    </row>
    <row r="37" spans="1:11">
      <c r="A37" s="98">
        <v>9</v>
      </c>
      <c r="B37" s="93">
        <f>(IF(Rules!$B$9=Rules!$D$9,SUM(HSD!B11:B18)+Rules!$B$5*HSD!B19+HSD!B43,SUM(HS!B11:B18)+Rules!$B$5*HS!B19+HS!B43)/(9+Rules!$B$5))+B50</f>
        <v>-0.75577428531216229</v>
      </c>
      <c r="C37" s="1">
        <f>(IF(Rules!$B$9=Rules!$D$9,SUM(HSD!C11:C18)+Rules!$B$5*HSD!C19+HSD!C43,SUM(HS!C11:C18)+Rules!$B$5*HS!C19+HS!C43)/(9+Rules!$B$5))+C50</f>
        <v>0.21669842688957963</v>
      </c>
      <c r="D37" s="1">
        <f>(IF(Rules!$B$9=Rules!$D$9,SUM(HSD!D11:D18)+Rules!$B$5*HSD!D19+HSD!D43,SUM(HS!D11:D18)+Rules!$B$5*HS!D19+HS!D43)/(9+Rules!$B$5))+D50</f>
        <v>0.29781948221442978</v>
      </c>
      <c r="E37" s="1">
        <f>(IF(Rules!$B$9=Rules!$D$9,SUM(HSD!E11:E18)+Rules!$B$5*HSD!E19+HSD!E43,SUM(HS!E11:E18)+Rules!$B$5*HS!E19+HS!E43)/(9+Rules!$B$5))+E50</f>
        <v>0.38276548676303229</v>
      </c>
      <c r="F37" s="1">
        <f>(IF(Rules!$B$9=Rules!$D$9,SUM(HSD!F11:F18)+Rules!$B$5*HSD!F19+HSD!F43,SUM(HS!F11:F18)+Rules!$B$5*HS!F19+HS!F43)/(9+Rules!$B$5))+F50</f>
        <v>0.47208434514345898</v>
      </c>
      <c r="G37" s="1">
        <f>(IF(Rules!$B$9=Rules!$D$9,SUM(HSD!G11:G18)+Rules!$B$5*HSD!G19+HSD!G43,SUM(HS!G11:G18)+Rules!$B$5*HS!G19+HS!G43)/(9+Rules!$B$5))+G50</f>
        <v>0.56191061024262867</v>
      </c>
      <c r="H37" s="1">
        <f>(IF(Rules!$B$9=Rules!$D$9,SUM(HSD!H11:H18)+Rules!$B$5*HSD!H19+HSD!H43,SUM(HS!H11:H18)+Rules!$B$5*HS!H19+HS!H43)/(9+Rules!$B$5))+H50</f>
        <v>0.51560357981085803</v>
      </c>
      <c r="I37" s="1">
        <f>(IF(Rules!$B$9=Rules!$D$9,SUM(HSD!I11:I18)+Rules!$B$5*HSD!I19+HSD!I43,SUM(HS!I11:I18)+Rules!$B$5*HS!I19+HS!I43)/(9+Rules!$B$5))+I50</f>
        <v>0.29512865230617774</v>
      </c>
      <c r="J37" s="1">
        <f>(IF(Rules!$B$9=Rules!$D$9,SUM(HSD!J11:J18)+Rules!$B$5*HSD!J19+HSD!J43,SUM(HS!J11:J18)+Rules!$B$5*HS!J19+HS!J43)/(9+Rules!$B$5))+J50</f>
        <v>-0.15653416038795506</v>
      </c>
      <c r="K37" s="9">
        <f>(IF(Rules!$B$9=Rules!$D$9,SUM(HSD!K11:K18)+Rules!$B$5*HSD!K19+HSD!K43,SUM(HS!K11:K18)+Rules!$B$5*HS!K19+HS!K43)/(9+Rules!$B$5))+K50</f>
        <v>-0.64029507107119699</v>
      </c>
    </row>
    <row r="38" spans="1:11" ht="17" thickBot="1">
      <c r="A38" s="99">
        <v>10</v>
      </c>
      <c r="B38" s="94">
        <f>(IF(Rules!$B$9=Rules!$D$9,SUM(HSD!B12:B19)+Rules!$B$5*HSD!B20+HSD!B44,SUM(HS!B12:B19)+Rules!$B$5*HS!B20+HS!B44)/(9+Rules!$B$5))+B51</f>
        <v>-0.44000367789107603</v>
      </c>
      <c r="C38" s="109">
        <f>(IF(Rules!$B$9=Rules!$D$9,SUM(HSD!C12:C19)+Rules!$B$5*HSD!C20+HSD!C44,SUM(HS!C12:C19)+Rules!$B$5*HS!C20+HS!C44)/(9+Rules!$B$5))+C51</f>
        <v>0.54292837243655823</v>
      </c>
      <c r="D38" s="109">
        <f>(IF(Rules!$B$9=Rules!$D$9,SUM(HSD!D12:D19)+Rules!$B$5*HSD!D20+HSD!D44,SUM(HS!D12:D19)+Rules!$B$5*HS!D20+HS!D44)/(9+Rules!$B$5))+D51</f>
        <v>0.61415023223433463</v>
      </c>
      <c r="E38" s="109">
        <f>(IF(Rules!$B$9=Rules!$D$9,SUM(HSD!E12:E19)+Rules!$B$5*HSD!E20+HSD!E44,SUM(HS!E12:E19)+Rules!$B$5*HS!E20+HS!E44)/(9+Rules!$B$5))+E51</f>
        <v>0.68886330557727526</v>
      </c>
      <c r="F38" s="109">
        <f>(IF(Rules!$B$9=Rules!$D$9,SUM(HSD!F12:F19)+Rules!$B$5*HSD!F20+HSD!F44,SUM(HS!F12:F19)+Rules!$B$5*HS!F20+HS!F44)/(9+Rules!$B$5))+F51</f>
        <v>0.7675493012276674</v>
      </c>
      <c r="G38" s="109">
        <f>(IF(Rules!$B$9=Rules!$D$9,SUM(HSD!G12:G19)+Rules!$B$5*HSD!G20+HSD!G44,SUM(HS!G12:G19)+Rules!$B$5*HS!G20+HS!G44)/(9+Rules!$B$5))+G51</f>
        <v>0.84744254329260937</v>
      </c>
      <c r="H38" s="109">
        <f>(IF(Rules!$B$9=Rules!$D$9,SUM(HSD!H12:H19)+Rules!$B$5*HSD!H20+HSD!H44,SUM(HS!H12:H19)+Rules!$B$5*HS!H20+HS!H44)/(9+Rules!$B$5))+H51</f>
        <v>0.77072623300825971</v>
      </c>
      <c r="I38" s="109">
        <f>(IF(Rules!$B$9=Rules!$D$9,SUM(HSD!I12:I19)+Rules!$B$5*HSD!I20+HSD!I44,SUM(HS!I12:I19)+Rules!$B$5*HS!I20+HS!I44)/(9+Rules!$B$5))+I51</f>
        <v>0.59386112499592825</v>
      </c>
      <c r="J38" s="109">
        <f>(IF(Rules!$B$9=Rules!$D$9,SUM(HSD!J12:J19)+Rules!$B$5*HSD!J20+HSD!J44,SUM(HS!J12:J19)+Rules!$B$5*HS!J20+HS!J44)/(9+Rules!$B$5))+J51</f>
        <v>0.3495887732078517</v>
      </c>
      <c r="K38" s="10">
        <f>(IF(Rules!$B$9=Rules!$D$9,SUM(HSD!K12:K19)+Rules!$B$5*HSD!K20+HSD!K44,SUM(HS!K12:K19)+Rules!$B$5*HS!K20+HS!K44)/(9+Rules!$B$5))+K51</f>
        <v>-0.13497078115083902</v>
      </c>
    </row>
    <row r="39" spans="1:11" ht="17" thickBot="1"/>
    <row r="40" spans="1:11" ht="17" thickBot="1">
      <c r="A40" s="341" t="s">
        <v>77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3"/>
    </row>
    <row r="41" spans="1:11" ht="17" thickBot="1">
      <c r="A41" s="138" t="s">
        <v>7</v>
      </c>
      <c r="B41" s="29">
        <v>1</v>
      </c>
      <c r="C41" s="19">
        <v>2</v>
      </c>
      <c r="D41" s="19">
        <v>3</v>
      </c>
      <c r="E41" s="19">
        <v>4</v>
      </c>
      <c r="F41" s="19">
        <v>5</v>
      </c>
      <c r="G41" s="19">
        <v>6</v>
      </c>
      <c r="H41" s="19">
        <v>7</v>
      </c>
      <c r="I41" s="19">
        <v>8</v>
      </c>
      <c r="J41" s="19">
        <v>9</v>
      </c>
      <c r="K41" s="20">
        <v>10</v>
      </c>
    </row>
    <row r="42" spans="1:11">
      <c r="A42" s="95">
        <v>1</v>
      </c>
      <c r="B42" s="107">
        <f>(IF(Rules!$B$12=Rules!$E$12,SUM(Stand!B35:B43)+Rules!$B$5*Stand!B44,SUM(HSD!B35:B43)+Rules!$B$5*HSD!B44)/(9+Rules!$B$5))*2</f>
        <v>-0.11815715102876453</v>
      </c>
      <c r="C42" s="108">
        <f>(IF(Rules!$B$12=Rules!$E$12,SUM(Stand!C35:C43)+Rules!$B$5*Stand!C44,SUM(HSD!C35:C43)+Rules!$B$5*HSD!C44)/(9+Rules!$B$5))*2</f>
        <v>0.47012148001782339</v>
      </c>
      <c r="D42" s="108">
        <f>(IF(Rules!$B$12=Rules!$E$12,SUM(Stand!D35:D43)+Rules!$B$5*Stand!D44,SUM(HSD!D35:D43)+Rules!$B$5*HSD!D44)/(9+Rules!$B$5))*2</f>
        <v>0.51732783973958252</v>
      </c>
      <c r="E42" s="108">
        <f>(IF(Rules!$B$12=Rules!$E$12,SUM(Stand!E35:E43)+Rules!$B$5*Stand!E44,SUM(HSD!E35:E43)+Rules!$B$5*HSD!E44)/(9+Rules!$B$5))*2</f>
        <v>0.56560652370552977</v>
      </c>
      <c r="F42" s="108">
        <f>(IF(Rules!$B$12=Rules!$E$12,SUM(Stand!F35:F43)+Rules!$B$5*Stand!F44,SUM(HSD!F35:F43)+Rules!$B$5*HSD!F44)/(9+Rules!$B$5))*2</f>
        <v>0.61449004208451674</v>
      </c>
      <c r="G42" s="108">
        <f>(IF(Rules!$B$12=Rules!$E$12,SUM(Stand!G35:G43)+Rules!$B$5*Stand!G44,SUM(HSD!G35:G43)+Rules!$B$5*HSD!G44)/(9+Rules!$B$5))*2</f>
        <v>0.66466340918892541</v>
      </c>
      <c r="H42" s="108">
        <f>(IF(Rules!$B$12=Rules!$E$12,SUM(Stand!H35:H43)+Rules!$B$5*Stand!H44,SUM(HSD!H35:H43)+Rules!$B$5*HSD!H44)/(9+Rules!$B$5))*2</f>
        <v>0.46288894886429088</v>
      </c>
      <c r="I42" s="108">
        <f>(IF(Rules!$B$12=Rules!$E$12,SUM(Stand!I35:I43)+Rules!$B$5*Stand!I44,SUM(HSD!I35:I43)+Rules!$B$5*HSD!I44)/(9+Rules!$B$5))*2</f>
        <v>0.35069259087031512</v>
      </c>
      <c r="J42" s="108">
        <f>(IF(Rules!$B$12=Rules!$E$12,SUM(Stand!J35:J43)+Rules!$B$5*Stand!J44,SUM(HSD!J35:J43)+Rules!$B$5*HSD!J44)/(9+Rules!$B$5))*2</f>
        <v>0.22778342315245487</v>
      </c>
      <c r="K42" s="57">
        <f>(IF(Rules!$B$12=Rules!$E$12,SUM(Stand!K35:K43)+Rules!$B$5*Stand!K44,SUM(HSD!K35:K43)+Rules!$B$5*HSD!K44)/(9+Rules!$B$5))*2</f>
        <v>5.9357641870643733E-2</v>
      </c>
    </row>
    <row r="43" spans="1:11">
      <c r="A43" s="97">
        <v>2</v>
      </c>
      <c r="B43" s="93">
        <f>(IF(Rules!$B$9=Rules!$D$9,SUM(HSD!B4:B11)+Rules!$B$5*HSD!B12+HSD!B36,SUM(HS!B4:B11)+Rules!$B$5*HS!B12+HS!B36)/(9+Rules!$B$5))*2</f>
        <v>-0.68913674385068324</v>
      </c>
      <c r="C43" s="1">
        <f>(IF(Rules!$B$9=Rules!$D$9,SUM(HSD!C4:C11)+Rules!$B$5*HSD!C12+HSD!C36,SUM(HS!C4:C11)+Rules!$B$5*HS!C12+HS!C36)/(9+Rules!$B$5))*2</f>
        <v>-0.15207227929926512</v>
      </c>
      <c r="D43" s="1">
        <f>(IF(Rules!$B$9=Rules!$D$9,SUM(HSD!D4:D11)+Rules!$B$5*HSD!D12+HSD!D36,SUM(HS!D4:D11)+Rules!$B$5*HS!D12+HS!D36)/(9+Rules!$B$5))*2</f>
        <v>-9.9774568659415738E-2</v>
      </c>
      <c r="E43" s="1">
        <f>(IF(Rules!$B$9=Rules!$D$9,SUM(HSD!E4:E11)+Rules!$B$5*HSD!E12+HSD!E36,SUM(HS!E4:E11)+Rules!$B$5*HS!E12+HS!E36)/(9+Rules!$B$5))*2</f>
        <v>-4.0320419393414179E-2</v>
      </c>
      <c r="F43" s="1">
        <f>(IF(Rules!$B$9=Rules!$D$9,SUM(HSD!F4:F11)+Rules!$B$5*HSD!F12+HSD!F36,SUM(HS!F4:F11)+Rules!$B$5*HS!F12+HS!F36)/(9+Rules!$B$5))*2</f>
        <v>2.9328407659097062E-2</v>
      </c>
      <c r="G43" s="1">
        <f>(IF(Rules!$B$9=Rules!$D$9,SUM(HSD!G4:G11)+Rules!$B$5*HSD!G12+HSD!G36,SUM(HS!G4:G11)+Rules!$B$5*HS!G12+HS!G36)/(9+Rules!$B$5))*2</f>
        <v>0.102055284056493</v>
      </c>
      <c r="H43" s="1">
        <f>(IF(Rules!$B$9=Rules!$D$9,SUM(HSD!H4:H11)+Rules!$B$5*HSD!H12+HSD!H36,SUM(HS!H4:H11)+Rules!$B$5*HS!H12+HS!H36)/(9+Rules!$B$5))*2</f>
        <v>-5.4514042751724494E-2</v>
      </c>
      <c r="I43" s="1">
        <f>(IF(Rules!$B$9=Rules!$D$9,SUM(HSD!I4:I11)+Rules!$B$5*HSD!I12+HSD!I36,SUM(HS!I4:I11)+Rules!$B$5*HS!I12+HS!I36)/(9+Rules!$B$5))*2</f>
        <v>-0.20632345555025447</v>
      </c>
      <c r="J43" s="1">
        <f>(IF(Rules!$B$9=Rules!$D$9,SUM(HSD!J4:J11)+Rules!$B$5*HSD!J12+HSD!J36,SUM(HS!J4:J11)+Rules!$B$5*HS!J12+HS!J36)/(9+Rules!$B$5))*2</f>
        <v>-0.38009428610701684</v>
      </c>
      <c r="K43" s="9">
        <f>(IF(Rules!$B$9=Rules!$D$9,SUM(HSD!K4:K11)+Rules!$B$5*HSD!K12+HSD!K36,SUM(HS!K4:K11)+Rules!$B$5*HS!K12+HS!K36)/(9+Rules!$B$5))*2</f>
        <v>-0.58192745547954849</v>
      </c>
    </row>
    <row r="44" spans="1:11">
      <c r="A44" s="97">
        <v>3</v>
      </c>
      <c r="B44" s="93">
        <f>(IF(Rules!$B$9=Rules!$D$9,SUM(HSD!B5:B12)+Rules!$B$5*HSD!B13+HSD!B37,SUM(HS!B5:B12)+Rules!$B$5*HS!B13+HS!B37)/(9+Rules!$B$5))*2</f>
        <v>-0.72948928198951057</v>
      </c>
      <c r="C44" s="1">
        <f>(IF(Rules!$B$9=Rules!$D$9,SUM(HSD!C5:C12)+Rules!$B$5*HSD!C13+HSD!C37,SUM(HS!C5:C12)+Rules!$B$5*HS!C13+HS!C37)/(9+Rules!$B$5))*2</f>
        <v>-0.19758984601465304</v>
      </c>
      <c r="D44" s="1">
        <f>(IF(Rules!$B$9=Rules!$D$9,SUM(HSD!D5:D12)+Rules!$B$5*HSD!D13+HSD!D37,SUM(HS!D5:D12)+Rules!$B$5*HS!D13+HS!D37)/(9+Rules!$B$5))*2</f>
        <v>-0.13464263948288402</v>
      </c>
      <c r="E44" s="1">
        <f>(IF(Rules!$B$9=Rules!$D$9,SUM(HSD!E5:E12)+Rules!$B$5*HSD!E13+HSD!E37,SUM(HS!E5:E12)+Rules!$B$5*HS!E13+HS!E37)/(9+Rules!$B$5))*2</f>
        <v>-6.8158989211959564E-2</v>
      </c>
      <c r="F44" s="1">
        <f>(IF(Rules!$B$9=Rules!$D$9,SUM(HSD!F5:F12)+Rules!$B$5*HSD!F13+HSD!F37,SUM(HS!F5:F12)+Rules!$B$5*HS!F13+HS!F37)/(9+Rules!$B$5))*2</f>
        <v>2.4409030826479448E-3</v>
      </c>
      <c r="G44" s="1">
        <f>(IF(Rules!$B$9=Rules!$D$9,SUM(HSD!G5:G12)+Rules!$B$5*HSD!G13+HSD!G37,SUM(HS!G5:G12)+Rules!$B$5*HS!G13+HS!G37)/(9+Rules!$B$5))*2</f>
        <v>7.6255461331224503E-2</v>
      </c>
      <c r="H44" s="1">
        <f>(IF(Rules!$B$9=Rules!$D$9,SUM(HSD!H5:H12)+Rules!$B$5*HSD!H13+HSD!H37,SUM(HS!H5:H12)+Rules!$B$5*HS!H13+HS!H37)/(9+Rules!$B$5))*2</f>
        <v>-0.11487517708071333</v>
      </c>
      <c r="I44" s="1">
        <f>(IF(Rules!$B$9=Rules!$D$9,SUM(HSD!I5:I12)+Rules!$B$5*HSD!I13+HSD!I37,SUM(HS!I5:I12)+Rules!$B$5*HS!I13+HS!I37)/(9+Rules!$B$5))*2</f>
        <v>-0.26188376130040197</v>
      </c>
      <c r="J44" s="1">
        <f>(IF(Rules!$B$9=Rules!$D$9,SUM(HSD!J5:J12)+Rules!$B$5*HSD!J13+HSD!J37,SUM(HS!J5:J12)+Rules!$B$5*HS!J13+HS!J37)/(9+Rules!$B$5))*2</f>
        <v>-0.43015324562724866</v>
      </c>
      <c r="K44" s="9">
        <f>(IF(Rules!$B$9=Rules!$D$9,SUM(HSD!K5:K12)+Rules!$B$5*HSD!K13+HSD!K37,SUM(HS!K5:K12)+Rules!$B$5*HS!K13+HS!K37)/(9+Rules!$B$5))*2</f>
        <v>-0.62555960256519616</v>
      </c>
    </row>
    <row r="45" spans="1:11">
      <c r="A45" s="97">
        <v>4</v>
      </c>
      <c r="B45" s="93">
        <f>(IF(Rules!$B$9=Rules!$D$9,SUM(HSD!B6:B13)+Rules!$B$5*HSD!B14+HSD!B38,SUM(HS!B6:B13)+Rules!$B$5*HS!B14+HS!B38)/(9+Rules!$B$5))*2</f>
        <v>-0.7707706132337323</v>
      </c>
      <c r="C45" s="1">
        <f>(IF(Rules!$B$9=Rules!$D$9,SUM(HSD!C6:C13)+Rules!$B$5*HSD!C14+HSD!C38,SUM(HS!C6:C13)+Rules!$B$5*HS!C14+HS!C38)/(9+Rules!$B$5))*2</f>
        <v>-0.22571087542247434</v>
      </c>
      <c r="D45" s="1">
        <f>(IF(Rules!$B$9=Rules!$D$9,SUM(HSD!D6:D13)+Rules!$B$5*HSD!D14+HSD!D38,SUM(HS!D6:D13)+Rules!$B$5*HS!D14+HS!D38)/(9+Rules!$B$5))*2</f>
        <v>-0.16152310506667064</v>
      </c>
      <c r="E45" s="1">
        <f>(IF(Rules!$B$9=Rules!$D$9,SUM(HSD!E6:E13)+Rules!$B$5*HSD!E14+HSD!E38,SUM(HS!E6:E13)+Rules!$B$5*HS!E14+HS!E38)/(9+Rules!$B$5))*2</f>
        <v>-9.392321556631239E-2</v>
      </c>
      <c r="F45" s="1">
        <f>(IF(Rules!$B$9=Rules!$D$9,SUM(HSD!F6:F13)+Rules!$B$5*HSD!F14+HSD!F38,SUM(HS!F6:F13)+Rules!$B$5*HS!F14+HS!F38)/(9+Rules!$B$5))*2</f>
        <v>-2.244314487623136E-2</v>
      </c>
      <c r="G45" s="1">
        <f>(IF(Rules!$B$9=Rules!$D$9,SUM(HSD!G6:G13)+Rules!$B$5*HSD!G14+HSD!G38,SUM(HS!G6:G13)+Rules!$B$5*HS!G14+HS!G38)/(9+Rules!$B$5))*2</f>
        <v>5.2378040689038993E-2</v>
      </c>
      <c r="H45" s="1">
        <f>(IF(Rules!$B$9=Rules!$D$9,SUM(HSD!H6:H13)+Rules!$B$5*HSD!H14+HSD!H38,SUM(HS!H6:H13)+Rules!$B$5*HS!H14+HS!H38)/(9+Rules!$B$5))*2</f>
        <v>-0.17655840211692744</v>
      </c>
      <c r="I45" s="1">
        <f>(IF(Rules!$B$9=Rules!$D$9,SUM(HSD!I6:I13)+Rules!$B$5*HSD!I14+HSD!I38,SUM(HS!I6:I13)+Rules!$B$5*HS!I14+HS!I38)/(9+Rules!$B$5))*2</f>
        <v>-0.31866830532041024</v>
      </c>
      <c r="J45" s="1">
        <f>(IF(Rules!$B$9=Rules!$D$9,SUM(HSD!J6:J13)+Rules!$B$5*HSD!J14+HSD!J38,SUM(HS!J6:J13)+Rules!$B$5*HS!J14+HS!J38)/(9+Rules!$B$5))*2</f>
        <v>-0.48133235830673093</v>
      </c>
      <c r="K45" s="9">
        <f>(IF(Rules!$B$9=Rules!$D$9,SUM(HSD!K6:K13)+Rules!$B$5*HSD!K14+HSD!K38,SUM(HS!K6:K13)+Rules!$B$5*HS!K14+HS!K38)/(9+Rules!$B$5))*2</f>
        <v>-0.67019972872702194</v>
      </c>
    </row>
    <row r="46" spans="1:11">
      <c r="A46" s="97">
        <v>5</v>
      </c>
      <c r="B46" s="93">
        <f>(IF(Rules!$B$9=Rules!$D$9,SUM(HSD!B7:B14)+Rules!$B$5*HSD!B15+HSD!B39,SUM(HS!B7:B14)+Rules!$B$5*HS!B15+HS!B39)/(9+Rules!$B$5))*2</f>
        <v>-0.81264460422283824</v>
      </c>
      <c r="C46" s="1">
        <f>(IF(Rules!$B$9=Rules!$D$9,SUM(HSD!C7:C14)+Rules!$B$5*HSD!C15+HSD!C39,SUM(HS!C7:C14)+Rules!$B$5*HS!C15+HS!C39)/(9+Rules!$B$5))*2</f>
        <v>-0.25170933182447008</v>
      </c>
      <c r="D46" s="1">
        <f>(IF(Rules!$B$9=Rules!$D$9,SUM(HSD!D7:D14)+Rules!$B$5*HSD!D15+HSD!D39,SUM(HS!D7:D14)+Rules!$B$5*HS!D15+HS!D39)/(9+Rules!$B$5))*2</f>
        <v>-0.18637161062679519</v>
      </c>
      <c r="E46" s="1">
        <f>(IF(Rules!$B$9=Rules!$D$9,SUM(HSD!E7:E14)+Rules!$B$5*HSD!E15+HSD!E39,SUM(HS!E7:E14)+Rules!$B$5*HS!E15+HS!E39)/(9+Rules!$B$5))*2</f>
        <v>-0.11773787695500931</v>
      </c>
      <c r="F46" s="1">
        <f>(IF(Rules!$B$9=Rules!$D$9,SUM(HSD!F7:F14)+Rules!$B$5*HSD!F15+HSD!F39,SUM(HS!F7:F14)+Rules!$B$5*HS!F15+HS!F39)/(9+Rules!$B$5))*2</f>
        <v>-4.5444101199388603E-2</v>
      </c>
      <c r="G46" s="1">
        <f>(IF(Rules!$B$9=Rules!$D$9,SUM(HSD!G7:G14)+Rules!$B$5*HSD!G15+HSD!G39,SUM(HS!G7:G14)+Rules!$B$5*HS!G15+HS!G39)/(9+Rules!$B$5))*2</f>
        <v>3.0307238919419478E-2</v>
      </c>
      <c r="H46" s="1">
        <f>(IF(Rules!$B$9=Rules!$D$9,SUM(HSD!H7:H14)+Rules!$B$5*HSD!H15+HSD!H39,SUM(HS!H7:H14)+Rules!$B$5*HS!H15+HS!H39)/(9+Rules!$B$5))*2</f>
        <v>-0.23889488376829704</v>
      </c>
      <c r="I46" s="1">
        <f>(IF(Rules!$B$9=Rules!$D$9,SUM(HSD!I7:I14)+Rules!$B$5*HSD!I15+HSD!I39,SUM(HS!I7:I14)+Rules!$B$5*HS!I15+HS!I39)/(9+Rules!$B$5))*2</f>
        <v>-0.37618660780637037</v>
      </c>
      <c r="J46" s="1">
        <f>(IF(Rules!$B$9=Rules!$D$9,SUM(HSD!J7:J14)+Rules!$B$5*HSD!J15+HSD!J39,SUM(HS!J7:J14)+Rules!$B$5*HS!J15+HS!J39)/(9+Rules!$B$5))*2</f>
        <v>-0.53323010671591797</v>
      </c>
      <c r="K46" s="9">
        <f>(IF(Rules!$B$9=Rules!$D$9,SUM(HSD!K7:K14)+Rules!$B$5*HSD!K15+HSD!K39,SUM(HS!K7:K14)+Rules!$B$5*HS!K15+HS!K39)/(9+Rules!$B$5))*2</f>
        <v>-0.71548690516179581</v>
      </c>
    </row>
    <row r="47" spans="1:11">
      <c r="A47" s="97">
        <v>6</v>
      </c>
      <c r="B47" s="93">
        <f>(IF(Rules!$B$9=Rules!$D$9,SUM(HSD!B8:B15)+Rules!$B$5*HSD!B16+HSD!B40,SUM(HS!B8:B15)+Rules!$B$5*HS!B16+HS!B40)/(9+Rules!$B$5))*2</f>
        <v>-0.83937380694202157</v>
      </c>
      <c r="C47" s="1">
        <f>(IF(Rules!$B$9=Rules!$D$9,SUM(HSD!C8:C15)+Rules!$B$5*HSD!C16+HSD!C40,SUM(HS!C8:C15)+Rules!$B$5*HS!C16+HS!C40)/(9+Rules!$B$5))*2</f>
        <v>-0.276146058582663</v>
      </c>
      <c r="D47" s="1">
        <f>(IF(Rules!$B$9=Rules!$D$9,SUM(HSD!D8:D15)+Rules!$B$5*HSD!D16+HSD!D40,SUM(HS!D8:D15)+Rules!$B$5*HS!D16+HS!D40)/(9+Rules!$B$5))*2</f>
        <v>-0.20974808267499567</v>
      </c>
      <c r="E47" s="1">
        <f>(IF(Rules!$B$9=Rules!$D$9,SUM(HSD!E8:E15)+Rules!$B$5*HSD!E16+HSD!E40,SUM(HS!E8:E15)+Rules!$B$5*HS!E16+HS!E40)/(9+Rules!$B$5))*2</f>
        <v>-0.14015554669457211</v>
      </c>
      <c r="F47" s="1">
        <f>(IF(Rules!$B$9=Rules!$D$9,SUM(HSD!F8:F15)+Rules!$B$5*HSD!F16+HSD!F40,SUM(HS!F8:F15)+Rules!$B$5*HS!F16+HS!F40)/(9+Rules!$B$5))*2</f>
        <v>-6.7097739880329133E-2</v>
      </c>
      <c r="G47" s="1">
        <f>(IF(Rules!$B$9=Rules!$D$9,SUM(HSD!G8:G15)+Rules!$B$5*HSD!G16+HSD!G40,SUM(HS!G8:G15)+Rules!$B$5*HS!G16+HS!G40)/(9+Rules!$B$5))*2</f>
        <v>9.5330170786307577E-3</v>
      </c>
      <c r="H47" s="1">
        <f>(IF(Rules!$B$9=Rules!$D$9,SUM(HSD!H8:H15)+Rules!$B$5*HSD!H16+HSD!H40,SUM(HS!H8:H15)+Rules!$B$5*HS!H16+HS!H40)/(9+Rules!$B$5))*2</f>
        <v>-0.30386541447339888</v>
      </c>
      <c r="I47" s="1">
        <f>(IF(Rules!$B$9=Rules!$D$9,SUM(HSD!I8:I15)+Rules!$B$5*HSD!I16+HSD!I40,SUM(HS!I8:I15)+Rules!$B$5*HS!I16+HS!I40)/(9+Rules!$B$5))*2</f>
        <v>-0.43448376264156952</v>
      </c>
      <c r="J47" s="1">
        <f>(IF(Rules!$B$9=Rules!$D$9,SUM(HSD!J8:J15)+Rules!$B$5*HSD!J16+HSD!J40,SUM(HS!J8:J15)+Rules!$B$5*HS!J16+HS!J40)/(9+Rules!$B$5))*2</f>
        <v>-0.58528140039545196</v>
      </c>
      <c r="K47" s="9">
        <f>(IF(Rules!$B$9=Rules!$D$9,SUM(HSD!K8:K15)+Rules!$B$5*HSD!K16+HSD!K40,SUM(HS!K8:K15)+Rules!$B$5*HS!K16+HS!K40)/(9+Rules!$B$5))*2</f>
        <v>-0.76101532458579058</v>
      </c>
    </row>
    <row r="48" spans="1:11">
      <c r="A48" s="97">
        <v>7</v>
      </c>
      <c r="B48" s="93">
        <f>(IF(Rules!$B$9=Rules!$D$9,SUM(HSD!B9:B16)+Rules!$B$5*HSD!B17+HSD!B41,SUM(HS!B9:B16)+Rules!$B$5*HS!B17+HS!B41)/(9+Rules!$B$5))*2</f>
        <v>-0.79942076745138191</v>
      </c>
      <c r="C48" s="1">
        <f>(IF(Rules!$B$9=Rules!$D$9,SUM(HSD!C9:C16)+Rules!$B$5*HSD!C17+HSD!C41,SUM(HS!C9:C16)+Rules!$B$5*HS!C17+HS!C41)/(9+Rules!$B$5))*2</f>
        <v>-0.21915496889539685</v>
      </c>
      <c r="D48" s="1">
        <f>(IF(Rules!$B$9=Rules!$D$9,SUM(HSD!D9:D16)+Rules!$B$5*HSD!D17+HSD!D41,SUM(HS!D9:D16)+Rules!$B$5*HS!D17+HS!D41)/(9+Rules!$B$5))*2</f>
        <v>-0.15387513576990042</v>
      </c>
      <c r="E48" s="1">
        <f>(IF(Rules!$B$9=Rules!$D$9,SUM(HSD!E9:E16)+Rules!$B$5*HSD!E17+HSD!E41,SUM(HS!E9:E16)+Rules!$B$5*HS!E17+HS!E41)/(9+Rules!$B$5))*2</f>
        <v>-8.5652735434142702E-2</v>
      </c>
      <c r="F48" s="1">
        <f>(IF(Rules!$B$9=Rules!$D$9,SUM(HSD!F9:F16)+Rules!$B$5*HSD!F17+HSD!F41,SUM(HS!F9:F16)+Rules!$B$5*HS!F17+HS!F41)/(9+Rules!$B$5))*2</f>
        <v>-1.435453352925092E-2</v>
      </c>
      <c r="G48" s="1">
        <f>(IF(Rules!$B$9=Rules!$D$9,SUM(HSD!G9:G16)+Rules!$B$5*HSD!G17+HSD!G41,SUM(HS!G9:G16)+Rules!$B$5*HS!G17+HS!G41)/(9+Rules!$B$5))*2</f>
        <v>6.0817132303923729E-2</v>
      </c>
      <c r="H48" s="1">
        <f>(IF(Rules!$B$9=Rules!$D$9,SUM(HSD!H9:H16)+Rules!$B$5*HSD!H17+HSD!H41,SUM(HS!H9:H16)+Rules!$B$5*HS!H17+HS!H41)/(9+Rules!$B$5))*2</f>
        <v>-0.13761559916085553</v>
      </c>
      <c r="I48" s="1">
        <f>(IF(Rules!$B$9=Rules!$D$9,SUM(HSD!I9:I16)+Rules!$B$5*HSD!I17+HSD!I41,SUM(HS!I9:I16)+Rules!$B$5*HS!I17+HS!I41)/(9+Rules!$B$5))*2</f>
        <v>-0.42120953744869932</v>
      </c>
      <c r="J48" s="1">
        <f>(IF(Rules!$B$9=Rules!$D$9,SUM(HSD!J9:J16)+Rules!$B$5*HSD!J17+HSD!J41,SUM(HS!J9:J16)+Rules!$B$5*HS!J17+HS!J41)/(9+Rules!$B$5))*2</f>
        <v>-0.57073088097375324</v>
      </c>
      <c r="K48" s="9">
        <f>(IF(Rules!$B$9=Rules!$D$9,SUM(HSD!K9:K16)+Rules!$B$5*HSD!K17+HSD!K41,SUM(HS!K9:K16)+Rules!$B$5*HS!K17+HS!K41)/(9+Rules!$B$5))*2</f>
        <v>-0.73015579842789358</v>
      </c>
    </row>
    <row r="49" spans="1:11">
      <c r="A49" s="97">
        <v>8</v>
      </c>
      <c r="B49" s="93">
        <f>(IF(Rules!$B$9=Rules!$D$9,SUM(HSD!B10:B17)+Rules!$B$5*HSD!B18+HSD!B42,SUM(HS!B10:B17)+Rules!$B$5*HS!B18+HS!B42)/(9+Rules!$B$5))*2</f>
        <v>-0.66068066918140123</v>
      </c>
      <c r="C49" s="1">
        <f>(IF(Rules!$B$9=Rules!$D$9,SUM(HSD!C10:C17)+Rules!$B$5*HSD!C18+HSD!C42,SUM(HS!C10:C17)+Rules!$B$5*HS!C18+HS!C42)/(9+Rules!$B$5))*2</f>
        <v>-4.9013660579834889E-2</v>
      </c>
      <c r="D49" s="1">
        <f>(IF(Rules!$B$9=Rules!$D$9,SUM(HSD!D10:D17)+Rules!$B$5*HSD!D18+HSD!D42,SUM(HS!D10:D17)+Rules!$B$5*HS!D18+HS!D42)/(9+Rules!$B$5))*2</f>
        <v>1.1135861750786376E-2</v>
      </c>
      <c r="E49" s="1">
        <f>(IF(Rules!$B$9=Rules!$D$9,SUM(HSD!E10:E17)+Rules!$B$5*HSD!E18+HSD!E42,SUM(HS!E10:E17)+Rules!$B$5*HS!E18+HS!E42)/(9+Rules!$B$5))*2</f>
        <v>7.4021550189029131E-2</v>
      </c>
      <c r="F49" s="1">
        <f>(IF(Rules!$B$9=Rules!$D$9,SUM(HSD!F10:F17)+Rules!$B$5*HSD!F18+HSD!F42,SUM(HS!F10:F17)+Rules!$B$5*HS!F18+HS!F42)/(9+Rules!$B$5))*2</f>
        <v>0.13990126630865832</v>
      </c>
      <c r="G49" s="1">
        <f>(IF(Rules!$B$9=Rules!$D$9,SUM(HSD!G10:G17)+Rules!$B$5*HSD!G18+HSD!G42,SUM(HS!G10:G17)+Rules!$B$5*HS!G18+HS!G42)/(9+Rules!$B$5))*2</f>
        <v>0.20771622664612616</v>
      </c>
      <c r="H49" s="1">
        <f>(IF(Rules!$B$9=Rules!$D$9,SUM(HSD!H10:H17)+Rules!$B$5*HSD!H18+HSD!H42,SUM(HS!H10:H17)+Rules!$B$5*HS!H18+HS!H42)/(9+Rules!$B$5))*2</f>
        <v>0.16441487872748572</v>
      </c>
      <c r="I49" s="1">
        <f>(IF(Rules!$B$9=Rules!$D$9,SUM(HSD!I10:I17)+Rules!$B$5*HSD!I18+HSD!I42,SUM(HS!I10:I17)+Rules!$B$5*HS!I18+HS!I42)/(9+Rules!$B$5))*2</f>
        <v>-0.11979655131731258</v>
      </c>
      <c r="J49" s="1">
        <f>(IF(Rules!$B$9=Rules!$D$9,SUM(HSD!J10:J17)+Rules!$B$5*HSD!J18+HSD!J42,SUM(HS!J10:J17)+Rules!$B$5*HS!J18+HS!J42)/(9+Rules!$B$5))*2</f>
        <v>-0.42037266399643519</v>
      </c>
      <c r="K49" s="9">
        <f>(IF(Rules!$B$9=Rules!$D$9,SUM(HSD!K10:K17)+Rules!$B$5*HSD!K18+HSD!K42,SUM(HS!K10:K17)+Rules!$B$5*HS!K18+HS!K42)/(9+Rules!$B$5))*2</f>
        <v>-0.60355477228062737</v>
      </c>
    </row>
    <row r="50" spans="1:11">
      <c r="A50" s="97">
        <v>9</v>
      </c>
      <c r="B50" s="93">
        <f>(IF(Rules!$B$9=Rules!$D$9,SUM(HSD!B11:B18)+Rules!$B$5*HSD!B19+HSD!B43,SUM(HS!B11:B18)+Rules!$B$5*HS!B19+HS!B43)/(9+Rules!$B$5))*2</f>
        <v>-0.50384952354144152</v>
      </c>
      <c r="C50" s="1">
        <f>(IF(Rules!$B$9=Rules!$D$9,SUM(HSD!C11:C18)+Rules!$B$5*HSD!C19+HSD!C43,SUM(HS!C11:C18)+Rules!$B$5*HS!C19+HS!C43)/(9+Rules!$B$5))*2</f>
        <v>0.14446561792638643</v>
      </c>
      <c r="D50" s="1">
        <f>(IF(Rules!$B$9=Rules!$D$9,SUM(HSD!D11:D18)+Rules!$B$5*HSD!D19+HSD!D43,SUM(HS!D11:D18)+Rules!$B$5*HS!D19+HS!D43)/(9+Rules!$B$5))*2</f>
        <v>0.19854632147628654</v>
      </c>
      <c r="E50" s="1">
        <f>(IF(Rules!$B$9=Rules!$D$9,SUM(HSD!E11:E18)+Rules!$B$5*HSD!E19+HSD!E43,SUM(HS!E11:E18)+Rules!$B$5*HS!E19+HS!E43)/(9+Rules!$B$5))*2</f>
        <v>0.25517699117535486</v>
      </c>
      <c r="F50" s="1">
        <f>(IF(Rules!$B$9=Rules!$D$9,SUM(HSD!F11:F18)+Rules!$B$5*HSD!F19+HSD!F43,SUM(HS!F11:F18)+Rules!$B$5*HS!F19+HS!F43)/(9+Rules!$B$5))*2</f>
        <v>0.31472289676230597</v>
      </c>
      <c r="G50" s="1">
        <f>(IF(Rules!$B$9=Rules!$D$9,SUM(HSD!G11:G18)+Rules!$B$5*HSD!G19+HSD!G43,SUM(HS!G11:G18)+Rules!$B$5*HS!G19+HS!G43)/(9+Rules!$B$5))*2</f>
        <v>0.37460707349508576</v>
      </c>
      <c r="H50" s="1">
        <f>(IF(Rules!$B$9=Rules!$D$9,SUM(HSD!H11:H18)+Rules!$B$5*HSD!H19+HSD!H43,SUM(HS!H11:H18)+Rules!$B$5*HS!H19+HS!H43)/(9+Rules!$B$5))*2</f>
        <v>0.34373571987390533</v>
      </c>
      <c r="I50" s="1">
        <f>(IF(Rules!$B$9=Rules!$D$9,SUM(HSD!I11:I18)+Rules!$B$5*HSD!I19+HSD!I43,SUM(HS!I11:I18)+Rules!$B$5*HS!I19+HS!I43)/(9+Rules!$B$5))*2</f>
        <v>0.19675243487078517</v>
      </c>
      <c r="J50" s="1">
        <f>(IF(Rules!$B$9=Rules!$D$9,SUM(HSD!J11:J18)+Rules!$B$5*HSD!J19+HSD!J43,SUM(HS!J11:J18)+Rules!$B$5*HS!J19+HS!J43)/(9+Rules!$B$5))*2</f>
        <v>-0.10435610692530338</v>
      </c>
      <c r="K50" s="9">
        <f>(IF(Rules!$B$9=Rules!$D$9,SUM(HSD!K11:K18)+Rules!$B$5*HSD!K19+HSD!K43,SUM(HS!K11:K18)+Rules!$B$5*HS!K19+HS!K43)/(9+Rules!$B$5))*2</f>
        <v>-0.42686338071413132</v>
      </c>
    </row>
    <row r="51" spans="1:11" ht="17" thickBot="1">
      <c r="A51" s="129">
        <v>10</v>
      </c>
      <c r="B51" s="94">
        <f>(IF(Rules!$B$9=Rules!$D$9,SUM(HSD!B12:B19)+Rules!$B$5*HSD!B20+HSD!B44,SUM(HS!B12:B19)+Rules!$B$5*HS!B20+HS!B44)/(9+Rules!$B$5))*2</f>
        <v>-0.29333578526071735</v>
      </c>
      <c r="C51" s="109">
        <f>(IF(Rules!$B$9=Rules!$D$9,SUM(HSD!C12:C19)+Rules!$B$5*HSD!C20+HSD!C44,SUM(HS!C12:C19)+Rules!$B$5*HS!C20+HS!C44)/(9+Rules!$B$5))*2</f>
        <v>0.36195224829103884</v>
      </c>
      <c r="D51" s="109">
        <f>(IF(Rules!$B$9=Rules!$D$9,SUM(HSD!D12:D19)+Rules!$B$5*HSD!D20+HSD!D44,SUM(HS!D12:D19)+Rules!$B$5*HS!D20+HS!D44)/(9+Rules!$B$5))*2</f>
        <v>0.40943348815622305</v>
      </c>
      <c r="E51" s="109">
        <f>(IF(Rules!$B$9=Rules!$D$9,SUM(HSD!E12:E19)+Rules!$B$5*HSD!E20+HSD!E44,SUM(HS!E12:E19)+Rules!$B$5*HS!E20+HS!E44)/(9+Rules!$B$5))*2</f>
        <v>0.45924220371818347</v>
      </c>
      <c r="F51" s="109">
        <f>(IF(Rules!$B$9=Rules!$D$9,SUM(HSD!F12:F19)+Rules!$B$5*HSD!F20+HSD!F44,SUM(HS!F12:F19)+Rules!$B$5*HS!F20+HS!F44)/(9+Rules!$B$5))*2</f>
        <v>0.51169953415177827</v>
      </c>
      <c r="G51" s="109">
        <f>(IF(Rules!$B$9=Rules!$D$9,SUM(HSD!G12:G19)+Rules!$B$5*HSD!G20+HSD!G44,SUM(HS!G12:G19)+Rules!$B$5*HS!G20+HS!G44)/(9+Rules!$B$5))*2</f>
        <v>0.56496169552840625</v>
      </c>
      <c r="H51" s="109">
        <f>(IF(Rules!$B$9=Rules!$D$9,SUM(HSD!H12:H19)+Rules!$B$5*HSD!H20+HSD!H44,SUM(HS!H12:H19)+Rules!$B$5*HS!H20+HS!H44)/(9+Rules!$B$5))*2</f>
        <v>0.51381748867217314</v>
      </c>
      <c r="I51" s="109">
        <f>(IF(Rules!$B$9=Rules!$D$9,SUM(HSD!I12:I19)+Rules!$B$5*HSD!I20+HSD!I44,SUM(HS!I12:I19)+Rules!$B$5*HS!I20+HS!I44)/(9+Rules!$B$5))*2</f>
        <v>0.39590741666395218</v>
      </c>
      <c r="J51" s="109">
        <f>(IF(Rules!$B$9=Rules!$D$9,SUM(HSD!J12:J19)+Rules!$B$5*HSD!J20+HSD!J44,SUM(HS!J12:J19)+Rules!$B$5*HS!J20+HS!J44)/(9+Rules!$B$5))*2</f>
        <v>0.2330591821385678</v>
      </c>
      <c r="K51" s="10">
        <f>(IF(Rules!$B$9=Rules!$D$9,SUM(HSD!K12:K19)+Rules!$B$5*HSD!K20+HSD!K44,SUM(HS!K12:K19)+Rules!$B$5*HS!K20+HS!K44)/(9+Rules!$B$5))*2</f>
        <v>-8.9980520767226013E-2</v>
      </c>
    </row>
    <row r="52" spans="1:11" ht="17" thickBot="1"/>
    <row r="53" spans="1:11" ht="17" thickBot="1">
      <c r="A53" s="341" t="s">
        <v>207</v>
      </c>
      <c r="B53" s="342"/>
      <c r="C53" s="342"/>
      <c r="D53" s="342"/>
      <c r="E53" s="342"/>
      <c r="F53" s="342"/>
      <c r="G53" s="342"/>
      <c r="H53" s="342"/>
      <c r="I53" s="342"/>
      <c r="J53" s="342"/>
      <c r="K53" s="343"/>
    </row>
    <row r="54" spans="1:11" ht="17" thickBot="1">
      <c r="A54" s="138" t="s">
        <v>7</v>
      </c>
      <c r="B54" s="115">
        <v>1</v>
      </c>
      <c r="C54" s="116">
        <v>2</v>
      </c>
      <c r="D54" s="116">
        <v>3</v>
      </c>
      <c r="E54" s="116">
        <v>4</v>
      </c>
      <c r="F54" s="116">
        <v>5</v>
      </c>
      <c r="G54" s="116">
        <v>6</v>
      </c>
      <c r="H54" s="116">
        <v>7</v>
      </c>
      <c r="I54" s="116">
        <v>8</v>
      </c>
      <c r="J54" s="116">
        <v>9</v>
      </c>
      <c r="K54" s="104">
        <v>10</v>
      </c>
    </row>
    <row r="55" spans="1:11">
      <c r="A55" s="100">
        <v>1</v>
      </c>
      <c r="B55" s="107">
        <f>(IF(Rules!$B$17=5,MAX(Pair!B3,Pair!B16,Pair!B29,Pair!B42),IF(Rules!$B$17=4,MAX(Pair!B16,Pair!B42,Pair!B29),IF(Rules!$B$17=3,MAX(Pair!B29,Pair!B42),Pair!B42))))</f>
        <v>-0.11815715102876453</v>
      </c>
      <c r="C55" s="108">
        <f>(IF(Rules!$B$17=5,MAX(Pair!C3,Pair!C16,Pair!C29,Pair!C42),IF(Rules!$B$17=4,MAX(Pair!C16,Pair!C42,Pair!C29),IF(Rules!$B$17=3,MAX(Pair!C29,Pair!C42),Pair!C42))))</f>
        <v>0.47012148001782339</v>
      </c>
      <c r="D55" s="108">
        <f>(IF(Rules!$B$17=5,MAX(Pair!D3,Pair!D16,Pair!D29,Pair!D42),IF(Rules!$B$17=4,MAX(Pair!D16,Pair!D42,Pair!D29),IF(Rules!$B$17=3,MAX(Pair!D29,Pair!D42),Pair!D42))))</f>
        <v>0.51732783973958252</v>
      </c>
      <c r="E55" s="108">
        <f>(IF(Rules!$B$17=5,MAX(Pair!E3,Pair!E16,Pair!E29,Pair!E42),IF(Rules!$B$17=4,MAX(Pair!E16,Pair!E42,Pair!E29),IF(Rules!$B$17=3,MAX(Pair!E29,Pair!E42),Pair!E42))))</f>
        <v>0.56560652370552977</v>
      </c>
      <c r="F55" s="108">
        <f>(IF(Rules!$B$17=5,MAX(Pair!F3,Pair!F16,Pair!F29,Pair!F42),IF(Rules!$B$17=4,MAX(Pair!F16,Pair!F42,Pair!F29),IF(Rules!$B$17=3,MAX(Pair!F29,Pair!F42),Pair!F42))))</f>
        <v>0.61449004208451674</v>
      </c>
      <c r="G55" s="108">
        <f>(IF(Rules!$B$17=5,MAX(Pair!G3,Pair!G16,Pair!G29,Pair!G42),IF(Rules!$B$17=4,MAX(Pair!G16,Pair!G42,Pair!G29),IF(Rules!$B$17=3,MAX(Pair!G29,Pair!G42),Pair!G42))))</f>
        <v>0.66466340918892541</v>
      </c>
      <c r="H55" s="108">
        <f>(IF(Rules!$B$17=5,MAX(Pair!H3,Pair!H16,Pair!H29,Pair!H42),IF(Rules!$B$17=4,MAX(Pair!H16,Pair!H42,Pair!H29),IF(Rules!$B$17=3,MAX(Pair!H29,Pair!H42),Pair!H42))))</f>
        <v>0.46288894886429088</v>
      </c>
      <c r="I55" s="108">
        <f>(IF(Rules!$B$17=5,MAX(Pair!I3,Pair!I16,Pair!I29,Pair!I42),IF(Rules!$B$17=4,MAX(Pair!I16,Pair!I42,Pair!I29),IF(Rules!$B$17=3,MAX(Pair!I29,Pair!I42),Pair!I42))))</f>
        <v>0.35069259087031512</v>
      </c>
      <c r="J55" s="108">
        <f>(IF(Rules!$B$17=5,MAX(Pair!J3,Pair!J16,Pair!J29,Pair!J42),IF(Rules!$B$17=4,MAX(Pair!J16,Pair!J42,Pair!J29),IF(Rules!$B$17=3,MAX(Pair!J29,Pair!J42),Pair!J42))))</f>
        <v>0.22778342315245487</v>
      </c>
      <c r="K55" s="57">
        <f>(IF(Rules!$B$17=5,MAX(Pair!K3,Pair!K16,Pair!K29,Pair!K42),IF(Rules!$B$17=4,MAX(Pair!K16,Pair!K42,Pair!K29),IF(Rules!$B$17=3,MAX(Pair!K29,Pair!K42),Pair!K42))))</f>
        <v>5.9357641870643733E-2</v>
      </c>
    </row>
    <row r="56" spans="1:11">
      <c r="A56" s="98">
        <v>2</v>
      </c>
      <c r="B56" s="93">
        <f>(IF(Rules!$B$11=5,MAX(Pair!B4,Pair!B17,Pair!B30,Pair!B43),IF(Rules!$B$11=4,MAX(Pair!B17,Pair!B43,Pair!B30),IF(Rules!$B$11=3,MAX(Pair!B30,Pair!B43),Pair!B43))))</f>
        <v>-0.68913674385068324</v>
      </c>
      <c r="C56" s="1">
        <f>(IF(Rules!$B$11=5,MAX(Pair!C4,Pair!C17,Pair!C30,Pair!C43),IF(Rules!$B$11=4,MAX(Pair!C17,Pair!C43,Pair!C30),IF(Rules!$B$11=3,MAX(Pair!C30,Pair!C43),Pair!C43))))</f>
        <v>-0.15207227929926512</v>
      </c>
      <c r="D56" s="1">
        <f>(IF(Rules!$B$11=5,MAX(Pair!D4,Pair!D17,Pair!D30,Pair!D43),IF(Rules!$B$11=4,MAX(Pair!D17,Pair!D43,Pair!D30),IF(Rules!$B$11=3,MAX(Pair!D30,Pair!D43),Pair!D43))))</f>
        <v>-9.9774568659415738E-2</v>
      </c>
      <c r="E56" s="1">
        <f>(IF(Rules!$B$11=5,MAX(Pair!E4,Pair!E17,Pair!E30,Pair!E43),IF(Rules!$B$11=4,MAX(Pair!E17,Pair!E43,Pair!E30),IF(Rules!$B$11=3,MAX(Pair!E30,Pair!E43),Pair!E43))))</f>
        <v>-4.0320419393414179E-2</v>
      </c>
      <c r="F56" s="1">
        <f>(IF(Rules!$B$11=5,MAX(Pair!F4,Pair!F17,Pair!F30,Pair!F43),IF(Rules!$B$11=4,MAX(Pair!F17,Pair!F43,Pair!F30),IF(Rules!$B$11=3,MAX(Pair!F30,Pair!F43),Pair!F43))))</f>
        <v>2.9328407659097062E-2</v>
      </c>
      <c r="G56" s="1">
        <f>(IF(Rules!$B$11=5,MAX(Pair!G4,Pair!G17,Pair!G30,Pair!G43),IF(Rules!$B$11=4,MAX(Pair!G17,Pair!G43,Pair!G30),IF(Rules!$B$11=3,MAX(Pair!G30,Pair!G43),Pair!G43))))</f>
        <v>0.102055284056493</v>
      </c>
      <c r="H56" s="1">
        <f>(IF(Rules!$B$11=5,MAX(Pair!H4,Pair!H17,Pair!H30,Pair!H43),IF(Rules!$B$11=4,MAX(Pair!H17,Pair!H43,Pair!H30),IF(Rules!$B$11=3,MAX(Pair!H30,Pair!H43),Pair!H43))))</f>
        <v>-5.4514042751724494E-2</v>
      </c>
      <c r="I56" s="1">
        <f>(IF(Rules!$B$11=5,MAX(Pair!I4,Pair!I17,Pair!I30,Pair!I43),IF(Rules!$B$11=4,MAX(Pair!I17,Pair!I43,Pair!I30),IF(Rules!$B$11=3,MAX(Pair!I30,Pair!I43),Pair!I43))))</f>
        <v>-0.20632345555025447</v>
      </c>
      <c r="J56" s="1">
        <f>(IF(Rules!$B$11=5,MAX(Pair!J4,Pair!J17,Pair!J30,Pair!J43),IF(Rules!$B$11=4,MAX(Pair!J17,Pair!J43,Pair!J30),IF(Rules!$B$11=3,MAX(Pair!J30,Pair!J43),Pair!J43))))</f>
        <v>-0.38009428610701684</v>
      </c>
      <c r="K56" s="9">
        <f>(IF(Rules!$B$11=5,MAX(Pair!K4,Pair!K17,Pair!K30,Pair!K43),IF(Rules!$B$11=4,MAX(Pair!K17,Pair!K43,Pair!K30),IF(Rules!$B$11=3,MAX(Pair!K30,Pair!K43),Pair!K43))))</f>
        <v>-0.58192745547954849</v>
      </c>
    </row>
    <row r="57" spans="1:11">
      <c r="A57" s="98">
        <v>3</v>
      </c>
      <c r="B57" s="93">
        <f>(IF(Rules!$B$11=5,MAX(Pair!B5,Pair!B18,Pair!B31,Pair!B44),IF(Rules!$B$11=4,MAX(Pair!B18,Pair!B44,Pair!B31),IF(Rules!$B$11=3,MAX(Pair!B31,Pair!B44),Pair!B44))))</f>
        <v>-0.72948928198951057</v>
      </c>
      <c r="C57" s="1">
        <f>(IF(Rules!$B$11=5,MAX(Pair!C5,Pair!C18,Pair!C31,Pair!C44),IF(Rules!$B$11=4,MAX(Pair!C18,Pair!C44,Pair!C31),IF(Rules!$B$11=3,MAX(Pair!C31,Pair!C44),Pair!C44))))</f>
        <v>-0.19758984601465304</v>
      </c>
      <c r="D57" s="1">
        <f>(IF(Rules!$B$11=5,MAX(Pair!D5,Pair!D18,Pair!D31,Pair!D44),IF(Rules!$B$11=4,MAX(Pair!D18,Pair!D44,Pair!D31),IF(Rules!$B$11=3,MAX(Pair!D31,Pair!D44),Pair!D44))))</f>
        <v>-0.13464263948288402</v>
      </c>
      <c r="E57" s="1">
        <f>(IF(Rules!$B$11=5,MAX(Pair!E5,Pair!E18,Pair!E31,Pair!E44),IF(Rules!$B$11=4,MAX(Pair!E18,Pair!E44,Pair!E31),IF(Rules!$B$11=3,MAX(Pair!E31,Pair!E44),Pair!E44))))</f>
        <v>-6.8158989211959564E-2</v>
      </c>
      <c r="F57" s="1">
        <f>(IF(Rules!$B$11=5,MAX(Pair!F5,Pair!F18,Pair!F31,Pair!F44),IF(Rules!$B$11=4,MAX(Pair!F18,Pair!F44,Pair!F31),IF(Rules!$B$11=3,MAX(Pair!F31,Pair!F44),Pair!F44))))</f>
        <v>2.4409030826479448E-3</v>
      </c>
      <c r="G57" s="1">
        <f>(IF(Rules!$B$11=5,MAX(Pair!G5,Pair!G18,Pair!G31,Pair!G44),IF(Rules!$B$11=4,MAX(Pair!G18,Pair!G44,Pair!G31),IF(Rules!$B$11=3,MAX(Pair!G31,Pair!G44),Pair!G44))))</f>
        <v>7.6255461331224503E-2</v>
      </c>
      <c r="H57" s="1">
        <f>(IF(Rules!$B$11=5,MAX(Pair!H5,Pair!H18,Pair!H31,Pair!H44),IF(Rules!$B$11=4,MAX(Pair!H18,Pair!H44,Pair!H31),IF(Rules!$B$11=3,MAX(Pair!H31,Pair!H44),Pair!H44))))</f>
        <v>-0.11487517708071333</v>
      </c>
      <c r="I57" s="1">
        <f>(IF(Rules!$B$11=5,MAX(Pair!I5,Pair!I18,Pair!I31,Pair!I44),IF(Rules!$B$11=4,MAX(Pair!I18,Pair!I44,Pair!I31),IF(Rules!$B$11=3,MAX(Pair!I31,Pair!I44),Pair!I44))))</f>
        <v>-0.26188376130040197</v>
      </c>
      <c r="J57" s="1">
        <f>(IF(Rules!$B$11=5,MAX(Pair!J5,Pair!J18,Pair!J31,Pair!J44),IF(Rules!$B$11=4,MAX(Pair!J18,Pair!J44,Pair!J31),IF(Rules!$B$11=3,MAX(Pair!J31,Pair!J44),Pair!J44))))</f>
        <v>-0.43015324562724866</v>
      </c>
      <c r="K57" s="9">
        <f>(IF(Rules!$B$11=5,MAX(Pair!K5,Pair!K18,Pair!K31,Pair!K44),IF(Rules!$B$11=4,MAX(Pair!K18,Pair!K44,Pair!K31),IF(Rules!$B$11=3,MAX(Pair!K31,Pair!K44),Pair!K44))))</f>
        <v>-0.62555960256519616</v>
      </c>
    </row>
    <row r="58" spans="1:11">
      <c r="A58" s="98">
        <v>4</v>
      </c>
      <c r="B58" s="93">
        <f>(IF(Rules!$B$11=5,MAX(Pair!B6,Pair!B19,Pair!B32,Pair!B45),IF(Rules!$B$11=4,MAX(Pair!B19,Pair!B45,Pair!B32),IF(Rules!$B$11=3,MAX(Pair!B32,Pair!B45),Pair!B45))))</f>
        <v>-0.7707706132337323</v>
      </c>
      <c r="C58" s="1">
        <f>(IF(Rules!$B$11=5,MAX(Pair!C6,Pair!C19,Pair!C32,Pair!C45),IF(Rules!$B$11=4,MAX(Pair!C19,Pair!C45,Pair!C32),IF(Rules!$B$11=3,MAX(Pair!C32,Pair!C45),Pair!C45))))</f>
        <v>-0.22571087542247434</v>
      </c>
      <c r="D58" s="1">
        <f>(IF(Rules!$B$11=5,MAX(Pair!D6,Pair!D19,Pair!D32,Pair!D45),IF(Rules!$B$11=4,MAX(Pair!D19,Pair!D45,Pair!D32),IF(Rules!$B$11=3,MAX(Pair!D32,Pair!D45),Pair!D45))))</f>
        <v>-0.16152310506667064</v>
      </c>
      <c r="E58" s="1">
        <f>(IF(Rules!$B$11=5,MAX(Pair!E6,Pair!E19,Pair!E32,Pair!E45),IF(Rules!$B$11=4,MAX(Pair!E19,Pair!E45,Pair!E32),IF(Rules!$B$11=3,MAX(Pair!E32,Pair!E45),Pair!E45))))</f>
        <v>-9.392321556631239E-2</v>
      </c>
      <c r="F58" s="1">
        <f>(IF(Rules!$B$11=5,MAX(Pair!F6,Pair!F19,Pair!F32,Pair!F45),IF(Rules!$B$11=4,MAX(Pair!F19,Pair!F45,Pair!F32),IF(Rules!$B$11=3,MAX(Pair!F32,Pair!F45),Pair!F45))))</f>
        <v>-2.244314487623136E-2</v>
      </c>
      <c r="G58" s="1">
        <f>(IF(Rules!$B$11=5,MAX(Pair!G6,Pair!G19,Pair!G32,Pair!G45),IF(Rules!$B$11=4,MAX(Pair!G19,Pair!G45,Pair!G32),IF(Rules!$B$11=3,MAX(Pair!G32,Pair!G45),Pair!G45))))</f>
        <v>5.2378040689038993E-2</v>
      </c>
      <c r="H58" s="1">
        <f>(IF(Rules!$B$11=5,MAX(Pair!H6,Pair!H19,Pair!H32,Pair!H45),IF(Rules!$B$11=4,MAX(Pair!H19,Pair!H45,Pair!H32),IF(Rules!$B$11=3,MAX(Pair!H32,Pair!H45),Pair!H45))))</f>
        <v>-0.17655840211692744</v>
      </c>
      <c r="I58" s="1">
        <f>(IF(Rules!$B$11=5,MAX(Pair!I6,Pair!I19,Pair!I32,Pair!I45),IF(Rules!$B$11=4,MAX(Pair!I19,Pair!I45,Pair!I32),IF(Rules!$B$11=3,MAX(Pair!I32,Pair!I45),Pair!I45))))</f>
        <v>-0.31866830532041024</v>
      </c>
      <c r="J58" s="1">
        <f>(IF(Rules!$B$11=5,MAX(Pair!J6,Pair!J19,Pair!J32,Pair!J45),IF(Rules!$B$11=4,MAX(Pair!J19,Pair!J45,Pair!J32),IF(Rules!$B$11=3,MAX(Pair!J32,Pair!J45),Pair!J45))))</f>
        <v>-0.48133235830673093</v>
      </c>
      <c r="K58" s="9">
        <f>(IF(Rules!$B$11=5,MAX(Pair!K6,Pair!K19,Pair!K32,Pair!K45),IF(Rules!$B$11=4,MAX(Pair!K19,Pair!K45,Pair!K32),IF(Rules!$B$11=3,MAX(Pair!K32,Pair!K45),Pair!K45))))</f>
        <v>-0.67019972872702194</v>
      </c>
    </row>
    <row r="59" spans="1:11">
      <c r="A59" s="98">
        <v>5</v>
      </c>
      <c r="B59" s="93">
        <f>(IF(Rules!$B$11=5,MAX(Pair!B7,Pair!B20,Pair!B33,Pair!B46),IF(Rules!$B$11=4,MAX(Pair!B20,Pair!B46,Pair!B33),IF(Rules!$B$11=3,MAX(Pair!B33,Pair!B46),Pair!B46))))</f>
        <v>-0.81264460422283824</v>
      </c>
      <c r="C59" s="1">
        <f>(IF(Rules!$B$11=5,MAX(Pair!C7,Pair!C20,Pair!C33,Pair!C46),IF(Rules!$B$11=4,MAX(Pair!C20,Pair!C46,Pair!C33),IF(Rules!$B$11=3,MAX(Pair!C33,Pair!C46),Pair!C46))))</f>
        <v>-0.25170933182447008</v>
      </c>
      <c r="D59" s="1">
        <f>(IF(Rules!$B$11=5,MAX(Pair!D7,Pair!D20,Pair!D33,Pair!D46),IF(Rules!$B$11=4,MAX(Pair!D20,Pair!D46,Pair!D33),IF(Rules!$B$11=3,MAX(Pair!D33,Pair!D46),Pair!D46))))</f>
        <v>-0.18637161062679519</v>
      </c>
      <c r="E59" s="1">
        <f>(IF(Rules!$B$11=5,MAX(Pair!E7,Pair!E20,Pair!E33,Pair!E46),IF(Rules!$B$11=4,MAX(Pair!E20,Pair!E46,Pair!E33),IF(Rules!$B$11=3,MAX(Pair!E33,Pair!E46),Pair!E46))))</f>
        <v>-0.11773787695500931</v>
      </c>
      <c r="F59" s="1">
        <f>(IF(Rules!$B$11=5,MAX(Pair!F7,Pair!F20,Pair!F33,Pair!F46),IF(Rules!$B$11=4,MAX(Pair!F20,Pair!F46,Pair!F33),IF(Rules!$B$11=3,MAX(Pair!F33,Pair!F46),Pair!F46))))</f>
        <v>-4.5444101199388603E-2</v>
      </c>
      <c r="G59" s="1">
        <f>(IF(Rules!$B$11=5,MAX(Pair!G7,Pair!G20,Pair!G33,Pair!G46),IF(Rules!$B$11=4,MAX(Pair!G20,Pair!G46,Pair!G33),IF(Rules!$B$11=3,MAX(Pair!G33,Pair!G46),Pair!G46))))</f>
        <v>3.0307238919419478E-2</v>
      </c>
      <c r="H59" s="1">
        <f>(IF(Rules!$B$11=5,MAX(Pair!H7,Pair!H20,Pair!H33,Pair!H46),IF(Rules!$B$11=4,MAX(Pair!H20,Pair!H46,Pair!H33),IF(Rules!$B$11=3,MAX(Pair!H33,Pair!H46),Pair!H46))))</f>
        <v>-0.23889488376829704</v>
      </c>
      <c r="I59" s="1">
        <f>(IF(Rules!$B$11=5,MAX(Pair!I7,Pair!I20,Pair!I33,Pair!I46),IF(Rules!$B$11=4,MAX(Pair!I20,Pair!I46,Pair!I33),IF(Rules!$B$11=3,MAX(Pair!I33,Pair!I46),Pair!I46))))</f>
        <v>-0.37618660780637037</v>
      </c>
      <c r="J59" s="1">
        <f>(IF(Rules!$B$11=5,MAX(Pair!J7,Pair!J20,Pair!J33,Pair!J46),IF(Rules!$B$11=4,MAX(Pair!J20,Pair!J46,Pair!J33),IF(Rules!$B$11=3,MAX(Pair!J33,Pair!J46),Pair!J46))))</f>
        <v>-0.53323010671591797</v>
      </c>
      <c r="K59" s="9">
        <f>(IF(Rules!$B$11=5,MAX(Pair!K7,Pair!K20,Pair!K33,Pair!K46),IF(Rules!$B$11=4,MAX(Pair!K20,Pair!K46,Pair!K33),IF(Rules!$B$11=3,MAX(Pair!K33,Pair!K46),Pair!K46))))</f>
        <v>-0.71548690516179581</v>
      </c>
    </row>
    <row r="60" spans="1:11">
      <c r="A60" s="98">
        <v>6</v>
      </c>
      <c r="B60" s="93">
        <f>(IF(Rules!$B$11=5,MAX(Pair!B8,Pair!B21,Pair!B34,Pair!B47),IF(Rules!$B$11=4,MAX(Pair!B21,Pair!B47,Pair!B34),IF(Rules!$B$11=3,MAX(Pair!B34,Pair!B47),Pair!B47))))</f>
        <v>-0.83937380694202157</v>
      </c>
      <c r="C60" s="1">
        <f>(IF(Rules!$B$11=5,MAX(Pair!C8,Pair!C21,Pair!C34,Pair!C47),IF(Rules!$B$11=4,MAX(Pair!C21,Pair!C47,Pair!C34),IF(Rules!$B$11=3,MAX(Pair!C34,Pair!C47),Pair!C47))))</f>
        <v>-0.276146058582663</v>
      </c>
      <c r="D60" s="1">
        <f>(IF(Rules!$B$11=5,MAX(Pair!D8,Pair!D21,Pair!D34,Pair!D47),IF(Rules!$B$11=4,MAX(Pair!D21,Pair!D47,Pair!D34),IF(Rules!$B$11=3,MAX(Pair!D34,Pair!D47),Pair!D47))))</f>
        <v>-0.20974808267499567</v>
      </c>
      <c r="E60" s="1">
        <f>(IF(Rules!$B$11=5,MAX(Pair!E8,Pair!E21,Pair!E34,Pair!E47),IF(Rules!$B$11=4,MAX(Pair!E21,Pair!E47,Pair!E34),IF(Rules!$B$11=3,MAX(Pair!E34,Pair!E47),Pair!E47))))</f>
        <v>-0.14015554669457211</v>
      </c>
      <c r="F60" s="1">
        <f>(IF(Rules!$B$11=5,MAX(Pair!F8,Pair!F21,Pair!F34,Pair!F47),IF(Rules!$B$11=4,MAX(Pair!F21,Pair!F47,Pair!F34),IF(Rules!$B$11=3,MAX(Pair!F34,Pair!F47),Pair!F47))))</f>
        <v>-6.7097739880329133E-2</v>
      </c>
      <c r="G60" s="1">
        <f>(IF(Rules!$B$11=5,MAX(Pair!G8,Pair!G21,Pair!G34,Pair!G47),IF(Rules!$B$11=4,MAX(Pair!G21,Pair!G47,Pair!G34),IF(Rules!$B$11=3,MAX(Pair!G34,Pair!G47),Pair!G47))))</f>
        <v>9.5330170786307577E-3</v>
      </c>
      <c r="H60" s="1">
        <f>(IF(Rules!$B$11=5,MAX(Pair!H8,Pair!H21,Pair!H34,Pair!H47),IF(Rules!$B$11=4,MAX(Pair!H21,Pair!H47,Pair!H34),IF(Rules!$B$11=3,MAX(Pair!H34,Pair!H47),Pair!H47))))</f>
        <v>-0.30386541447339888</v>
      </c>
      <c r="I60" s="1">
        <f>(IF(Rules!$B$11=5,MAX(Pair!I8,Pair!I21,Pair!I34,Pair!I47),IF(Rules!$B$11=4,MAX(Pair!I21,Pair!I47,Pair!I34),IF(Rules!$B$11=3,MAX(Pair!I34,Pair!I47),Pair!I47))))</f>
        <v>-0.43448376264156952</v>
      </c>
      <c r="J60" s="1">
        <f>(IF(Rules!$B$11=5,MAX(Pair!J8,Pair!J21,Pair!J34,Pair!J47),IF(Rules!$B$11=4,MAX(Pair!J21,Pair!J47,Pair!J34),IF(Rules!$B$11=3,MAX(Pair!J34,Pair!J47),Pair!J47))))</f>
        <v>-0.58528140039545196</v>
      </c>
      <c r="K60" s="9">
        <f>(IF(Rules!$B$11=5,MAX(Pair!K8,Pair!K21,Pair!K34,Pair!K47),IF(Rules!$B$11=4,MAX(Pair!K21,Pair!K47,Pair!K34),IF(Rules!$B$11=3,MAX(Pair!K34,Pair!K47),Pair!K47))))</f>
        <v>-0.76101532458579058</v>
      </c>
    </row>
    <row r="61" spans="1:11">
      <c r="A61" s="98">
        <v>7</v>
      </c>
      <c r="B61" s="93">
        <f>(IF(Rules!$B$11=5,MAX(Pair!B9,Pair!B22,Pair!B35,Pair!B48),IF(Rules!$B$11=4,MAX(Pair!B22,Pair!B48,Pair!B35),IF(Rules!$B$11=3,MAX(Pair!B35,Pair!B48),Pair!B48))))</f>
        <v>-0.79942076745138191</v>
      </c>
      <c r="C61" s="1">
        <f>(IF(Rules!$B$11=5,MAX(Pair!C9,Pair!C22,Pair!C35,Pair!C48),IF(Rules!$B$11=4,MAX(Pair!C22,Pair!C48,Pair!C35),IF(Rules!$B$11=3,MAX(Pair!C35,Pair!C48),Pair!C48))))</f>
        <v>-0.21915496889539685</v>
      </c>
      <c r="D61" s="1">
        <f>(IF(Rules!$B$11=5,MAX(Pair!D9,Pair!D22,Pair!D35,Pair!D48),IF(Rules!$B$11=4,MAX(Pair!D22,Pair!D48,Pair!D35),IF(Rules!$B$11=3,MAX(Pair!D35,Pair!D48),Pair!D48))))</f>
        <v>-0.15387513576990042</v>
      </c>
      <c r="E61" s="1">
        <f>(IF(Rules!$B$11=5,MAX(Pair!E9,Pair!E22,Pair!E35,Pair!E48),IF(Rules!$B$11=4,MAX(Pair!E22,Pair!E48,Pair!E35),IF(Rules!$B$11=3,MAX(Pair!E35,Pair!E48),Pair!E48))))</f>
        <v>-8.5652735434142702E-2</v>
      </c>
      <c r="F61" s="1">
        <f>(IF(Rules!$B$11=5,MAX(Pair!F9,Pair!F22,Pair!F35,Pair!F48),IF(Rules!$B$11=4,MAX(Pair!F22,Pair!F48,Pair!F35),IF(Rules!$B$11=3,MAX(Pair!F35,Pair!F48),Pair!F48))))</f>
        <v>-1.435453352925092E-2</v>
      </c>
      <c r="G61" s="1">
        <f>(IF(Rules!$B$11=5,MAX(Pair!G9,Pair!G22,Pair!G35,Pair!G48),IF(Rules!$B$11=4,MAX(Pair!G22,Pair!G48,Pair!G35),IF(Rules!$B$11=3,MAX(Pair!G35,Pair!G48),Pair!G48))))</f>
        <v>6.0817132303923729E-2</v>
      </c>
      <c r="H61" s="1">
        <f>(IF(Rules!$B$11=5,MAX(Pair!H9,Pair!H22,Pair!H35,Pair!H48),IF(Rules!$B$11=4,MAX(Pair!H22,Pair!H48,Pair!H35),IF(Rules!$B$11=3,MAX(Pair!H35,Pair!H48),Pair!H48))))</f>
        <v>-0.13761559916085553</v>
      </c>
      <c r="I61" s="1">
        <f>(IF(Rules!$B$11=5,MAX(Pair!I9,Pair!I22,Pair!I35,Pair!I48),IF(Rules!$B$11=4,MAX(Pair!I22,Pair!I48,Pair!I35),IF(Rules!$B$11=3,MAX(Pair!I35,Pair!I48),Pair!I48))))</f>
        <v>-0.42120953744869932</v>
      </c>
      <c r="J61" s="1">
        <f>(IF(Rules!$B$11=5,MAX(Pair!J9,Pair!J22,Pair!J35,Pair!J48),IF(Rules!$B$11=4,MAX(Pair!J22,Pair!J48,Pair!J35),IF(Rules!$B$11=3,MAX(Pair!J35,Pair!J48),Pair!J48))))</f>
        <v>-0.57073088097375324</v>
      </c>
      <c r="K61" s="9">
        <f>(IF(Rules!$B$11=5,MAX(Pair!K9,Pair!K22,Pair!K35,Pair!K48),IF(Rules!$B$11=4,MAX(Pair!K22,Pair!K48,Pair!K35),IF(Rules!$B$11=3,MAX(Pair!K35,Pair!K48),Pair!K48))))</f>
        <v>-0.73015579842789358</v>
      </c>
    </row>
    <row r="62" spans="1:11">
      <c r="A62" s="98">
        <v>8</v>
      </c>
      <c r="B62" s="93">
        <f>(IF(Rules!$B$11=5,MAX(Pair!B10,Pair!B23,Pair!B36,Pair!B49),IF(Rules!$B$11=4,MAX(Pair!B23,Pair!B49,Pair!B36),IF(Rules!$B$11=3,MAX(Pair!B36,Pair!B49),Pair!B49))))</f>
        <v>-0.66068066918140123</v>
      </c>
      <c r="C62" s="1">
        <f>(IF(Rules!$B$11=5,MAX(Pair!C10,Pair!C23,Pair!C36,Pair!C49),IF(Rules!$B$11=4,MAX(Pair!C23,Pair!C49,Pair!C36),IF(Rules!$B$11=3,MAX(Pair!C36,Pair!C49),Pair!C49))))</f>
        <v>-4.9013660579834889E-2</v>
      </c>
      <c r="D62" s="1">
        <f>(IF(Rules!$B$11=5,MAX(Pair!D10,Pair!D23,Pair!D36,Pair!D49),IF(Rules!$B$11=4,MAX(Pair!D23,Pair!D49,Pair!D36),IF(Rules!$B$11=3,MAX(Pair!D36,Pair!D49),Pair!D49))))</f>
        <v>1.1135861750786376E-2</v>
      </c>
      <c r="E62" s="1">
        <f>(IF(Rules!$B$11=5,MAX(Pair!E10,Pair!E23,Pair!E36,Pair!E49),IF(Rules!$B$11=4,MAX(Pair!E23,Pair!E49,Pair!E36),IF(Rules!$B$11=3,MAX(Pair!E36,Pair!E49),Pair!E49))))</f>
        <v>7.4021550189029131E-2</v>
      </c>
      <c r="F62" s="1">
        <f>(IF(Rules!$B$11=5,MAX(Pair!F10,Pair!F23,Pair!F36,Pair!F49),IF(Rules!$B$11=4,MAX(Pair!F23,Pair!F49,Pair!F36),IF(Rules!$B$11=3,MAX(Pair!F36,Pair!F49),Pair!F49))))</f>
        <v>0.13990126630865832</v>
      </c>
      <c r="G62" s="1">
        <f>(IF(Rules!$B$11=5,MAX(Pair!G10,Pair!G23,Pair!G36,Pair!G49),IF(Rules!$B$11=4,MAX(Pair!G23,Pair!G49,Pair!G36),IF(Rules!$B$11=3,MAX(Pair!G36,Pair!G49),Pair!G49))))</f>
        <v>0.20771622664612616</v>
      </c>
      <c r="H62" s="1">
        <f>(IF(Rules!$B$11=5,MAX(Pair!H10,Pair!H23,Pair!H36,Pair!H49),IF(Rules!$B$11=4,MAX(Pair!H23,Pair!H49,Pair!H36),IF(Rules!$B$11=3,MAX(Pair!H36,Pair!H49),Pair!H49))))</f>
        <v>0.16441487872748572</v>
      </c>
      <c r="I62" s="1">
        <f>(IF(Rules!$B$11=5,MAX(Pair!I10,Pair!I23,Pair!I36,Pair!I49),IF(Rules!$B$11=4,MAX(Pair!I23,Pair!I49,Pair!I36),IF(Rules!$B$11=3,MAX(Pair!I36,Pair!I49),Pair!I49))))</f>
        <v>-0.11979655131731258</v>
      </c>
      <c r="J62" s="1">
        <f>(IF(Rules!$B$11=5,MAX(Pair!J10,Pair!J23,Pair!J36,Pair!J49),IF(Rules!$B$11=4,MAX(Pair!J23,Pair!J49,Pair!J36),IF(Rules!$B$11=3,MAX(Pair!J36,Pair!J49),Pair!J49))))</f>
        <v>-0.42037266399643519</v>
      </c>
      <c r="K62" s="9">
        <f>(IF(Rules!$B$11=5,MAX(Pair!K10,Pair!K23,Pair!K36,Pair!K49),IF(Rules!$B$11=4,MAX(Pair!K23,Pair!K49,Pair!K36),IF(Rules!$B$11=3,MAX(Pair!K36,Pair!K49),Pair!K49))))</f>
        <v>-0.60355477228062737</v>
      </c>
    </row>
    <row r="63" spans="1:11">
      <c r="A63" s="98">
        <v>9</v>
      </c>
      <c r="B63" s="93">
        <f>(IF(Rules!$B$11=5,MAX(Pair!B11,Pair!B24,Pair!B37,Pair!B50),IF(Rules!$B$11=4,MAX(Pair!B24,Pair!B50,Pair!B37),IF(Rules!$B$11=3,MAX(Pair!B37,Pair!B50),Pair!B50))))</f>
        <v>-0.50384952354144152</v>
      </c>
      <c r="C63" s="1">
        <f>(IF(Rules!$B$11=5,MAX(Pair!C11,Pair!C24,Pair!C37,Pair!C50),IF(Rules!$B$11=4,MAX(Pair!C24,Pair!C50,Pair!C37),IF(Rules!$B$11=3,MAX(Pair!C37,Pair!C50),Pair!C50))))</f>
        <v>0.14446561792638643</v>
      </c>
      <c r="D63" s="1">
        <f>(IF(Rules!$B$11=5,MAX(Pair!D11,Pair!D24,Pair!D37,Pair!D50),IF(Rules!$B$11=4,MAX(Pair!D24,Pair!D50,Pair!D37),IF(Rules!$B$11=3,MAX(Pair!D37,Pair!D50),Pair!D50))))</f>
        <v>0.19854632147628654</v>
      </c>
      <c r="E63" s="1">
        <f>(IF(Rules!$B$11=5,MAX(Pair!E11,Pair!E24,Pair!E37,Pair!E50),IF(Rules!$B$11=4,MAX(Pair!E24,Pair!E50,Pair!E37),IF(Rules!$B$11=3,MAX(Pair!E37,Pair!E50),Pair!E50))))</f>
        <v>0.25517699117535486</v>
      </c>
      <c r="F63" s="1">
        <f>(IF(Rules!$B$11=5,MAX(Pair!F11,Pair!F24,Pair!F37,Pair!F50),IF(Rules!$B$11=4,MAX(Pair!F24,Pair!F50,Pair!F37),IF(Rules!$B$11=3,MAX(Pair!F37,Pair!F50),Pair!F50))))</f>
        <v>0.31472289676230597</v>
      </c>
      <c r="G63" s="1">
        <f>(IF(Rules!$B$11=5,MAX(Pair!G11,Pair!G24,Pair!G37,Pair!G50),IF(Rules!$B$11=4,MAX(Pair!G24,Pair!G50,Pair!G37),IF(Rules!$B$11=3,MAX(Pair!G37,Pair!G50),Pair!G50))))</f>
        <v>0.37460707349508576</v>
      </c>
      <c r="H63" s="1">
        <f>(IF(Rules!$B$11=5,MAX(Pair!H11,Pair!H24,Pair!H37,Pair!H50),IF(Rules!$B$11=4,MAX(Pair!H24,Pair!H50,Pair!H37),IF(Rules!$B$11=3,MAX(Pair!H37,Pair!H50),Pair!H50))))</f>
        <v>0.34373571987390533</v>
      </c>
      <c r="I63" s="1">
        <f>(IF(Rules!$B$11=5,MAX(Pair!I11,Pair!I24,Pair!I37,Pair!I50),IF(Rules!$B$11=4,MAX(Pair!I24,Pair!I50,Pair!I37),IF(Rules!$B$11=3,MAX(Pair!I37,Pair!I50),Pair!I50))))</f>
        <v>0.19675243487078517</v>
      </c>
      <c r="J63" s="1">
        <f>(IF(Rules!$B$11=5,MAX(Pair!J11,Pair!J24,Pair!J37,Pair!J50),IF(Rules!$B$11=4,MAX(Pair!J24,Pair!J50,Pair!J37),IF(Rules!$B$11=3,MAX(Pair!J37,Pair!J50),Pair!J50))))</f>
        <v>-0.10435610692530338</v>
      </c>
      <c r="K63" s="9">
        <f>(IF(Rules!$B$11=5,MAX(Pair!K11,Pair!K24,Pair!K37,Pair!K50),IF(Rules!$B$11=4,MAX(Pair!K24,Pair!K50,Pair!K37),IF(Rules!$B$11=3,MAX(Pair!K37,Pair!K50),Pair!K50))))</f>
        <v>-0.42686338071413132</v>
      </c>
    </row>
    <row r="64" spans="1:11" ht="17" thickBot="1">
      <c r="A64" s="99">
        <v>10</v>
      </c>
      <c r="B64" s="94">
        <f>(IF(Rules!$B$11=5,MAX(Pair!B12,Pair!B25,Pair!B38,Pair!B51),IF(Rules!$B$11=4,MAX(Pair!B25,Pair!B51,Pair!B38),IF(Rules!$B$11=3,MAX(Pair!B38,Pair!B51),Pair!B51))))</f>
        <v>-0.29333578526071735</v>
      </c>
      <c r="C64" s="109">
        <f>(IF(Rules!$B$11=5,MAX(Pair!C12,Pair!C25,Pair!C38,Pair!C51),IF(Rules!$B$11=4,MAX(Pair!C25,Pair!C51,Pair!C38),IF(Rules!$B$11=3,MAX(Pair!C38,Pair!C51),Pair!C51))))</f>
        <v>0.36195224829103884</v>
      </c>
      <c r="D64" s="109">
        <f>(IF(Rules!$B$11=5,MAX(Pair!D12,Pair!D25,Pair!D38,Pair!D51),IF(Rules!$B$11=4,MAX(Pair!D25,Pair!D51,Pair!D38),IF(Rules!$B$11=3,MAX(Pair!D38,Pair!D51),Pair!D51))))</f>
        <v>0.40943348815622305</v>
      </c>
      <c r="E64" s="109">
        <f>(IF(Rules!$B$11=5,MAX(Pair!E12,Pair!E25,Pair!E38,Pair!E51),IF(Rules!$B$11=4,MAX(Pair!E25,Pair!E51,Pair!E38),IF(Rules!$B$11=3,MAX(Pair!E38,Pair!E51),Pair!E51))))</f>
        <v>0.45924220371818347</v>
      </c>
      <c r="F64" s="109">
        <f>(IF(Rules!$B$11=5,MAX(Pair!F12,Pair!F25,Pair!F38,Pair!F51),IF(Rules!$B$11=4,MAX(Pair!F25,Pair!F51,Pair!F38),IF(Rules!$B$11=3,MAX(Pair!F38,Pair!F51),Pair!F51))))</f>
        <v>0.51169953415177827</v>
      </c>
      <c r="G64" s="109">
        <f>(IF(Rules!$B$11=5,MAX(Pair!G12,Pair!G25,Pair!G38,Pair!G51),IF(Rules!$B$11=4,MAX(Pair!G25,Pair!G51,Pair!G38),IF(Rules!$B$11=3,MAX(Pair!G38,Pair!G51),Pair!G51))))</f>
        <v>0.56496169552840625</v>
      </c>
      <c r="H64" s="109">
        <f>(IF(Rules!$B$11=5,MAX(Pair!H12,Pair!H25,Pair!H38,Pair!H51),IF(Rules!$B$11=4,MAX(Pair!H25,Pair!H51,Pair!H38),IF(Rules!$B$11=3,MAX(Pair!H38,Pair!H51),Pair!H51))))</f>
        <v>0.51381748867217314</v>
      </c>
      <c r="I64" s="109">
        <f>(IF(Rules!$B$11=5,MAX(Pair!I12,Pair!I25,Pair!I38,Pair!I51),IF(Rules!$B$11=4,MAX(Pair!I25,Pair!I51,Pair!I38),IF(Rules!$B$11=3,MAX(Pair!I38,Pair!I51),Pair!I51))))</f>
        <v>0.39590741666395218</v>
      </c>
      <c r="J64" s="109">
        <f>(IF(Rules!$B$11=5,MAX(Pair!J12,Pair!J25,Pair!J38,Pair!J51),IF(Rules!$B$11=4,MAX(Pair!J25,Pair!J51,Pair!J38),IF(Rules!$B$11=3,MAX(Pair!J38,Pair!J51),Pair!J51))))</f>
        <v>0.2330591821385678</v>
      </c>
      <c r="K64" s="10">
        <f>(IF(Rules!$B$11=5,MAX(Pair!K12,Pair!K25,Pair!K38,Pair!K51),IF(Rules!$B$11=4,MAX(Pair!K25,Pair!K51,Pair!K38),IF(Rules!$B$11=3,MAX(Pair!K38,Pair!K51),Pair!K51))))</f>
        <v>-8.9980520767226013E-2</v>
      </c>
    </row>
    <row r="65" spans="1:11" ht="17" thickBot="1"/>
    <row r="66" spans="1:11" ht="17" thickBot="1">
      <c r="A66" s="338" t="s">
        <v>206</v>
      </c>
      <c r="B66" s="339"/>
      <c r="C66" s="339"/>
      <c r="D66" s="339"/>
      <c r="E66" s="339"/>
      <c r="F66" s="339"/>
      <c r="G66" s="339"/>
      <c r="H66" s="339"/>
      <c r="I66" s="339"/>
      <c r="J66" s="339"/>
      <c r="K66" s="340"/>
    </row>
    <row r="67" spans="1:11" ht="17" thickBot="1">
      <c r="A67" s="301" t="s">
        <v>7</v>
      </c>
      <c r="B67" s="302">
        <v>1</v>
      </c>
      <c r="C67" s="303">
        <v>2</v>
      </c>
      <c r="D67" s="303">
        <v>3</v>
      </c>
      <c r="E67" s="303">
        <v>4</v>
      </c>
      <c r="F67" s="303">
        <v>5</v>
      </c>
      <c r="G67" s="303">
        <v>6</v>
      </c>
      <c r="H67" s="303">
        <v>7</v>
      </c>
      <c r="I67" s="303">
        <v>8</v>
      </c>
      <c r="J67" s="303">
        <v>9</v>
      </c>
      <c r="K67" s="304">
        <v>10</v>
      </c>
    </row>
    <row r="68" spans="1:11">
      <c r="A68" s="305">
        <v>1</v>
      </c>
      <c r="B68" s="306">
        <f>MAX(B55,HSDR!B35)</f>
        <v>-0.11815715102876453</v>
      </c>
      <c r="C68" s="306">
        <f>MAX(C55,HSDR!C35)</f>
        <v>0.47012148001782339</v>
      </c>
      <c r="D68" s="306">
        <f>MAX(D55,HSDR!D35)</f>
        <v>0.51732783973958252</v>
      </c>
      <c r="E68" s="306">
        <f>MAX(E55,HSDR!E35)</f>
        <v>0.56560652370552977</v>
      </c>
      <c r="F68" s="306">
        <f>MAX(F55,HSDR!F35)</f>
        <v>0.61449004208451674</v>
      </c>
      <c r="G68" s="306">
        <f>MAX(G55,HSDR!G35)</f>
        <v>0.66466340918892541</v>
      </c>
      <c r="H68" s="306">
        <f>MAX(H55,HSDR!H35)</f>
        <v>0.46288894886429088</v>
      </c>
      <c r="I68" s="306">
        <f>MAX(I55,HSDR!I35)</f>
        <v>0.35069259087031512</v>
      </c>
      <c r="J68" s="306">
        <f>MAX(J55,HSDR!J35)</f>
        <v>0.22778342315245487</v>
      </c>
      <c r="K68" s="306">
        <f>MAX(K55,HSDR!K35)</f>
        <v>5.9357641870643733E-2</v>
      </c>
    </row>
    <row r="69" spans="1:11">
      <c r="A69" s="307">
        <v>2</v>
      </c>
      <c r="B69" s="308">
        <f>MAX(B56,HSDR!B4)</f>
        <v>-0.38538530661686615</v>
      </c>
      <c r="C69" s="308">
        <f>MAX(C56,HSDR!C4)</f>
        <v>-0.11285543771123717</v>
      </c>
      <c r="D69" s="308">
        <f>MAX(D56,HSDR!D4)</f>
        <v>-8.0761552533335321E-2</v>
      </c>
      <c r="E69" s="308">
        <f>MAX(E56,HSDR!E4)</f>
        <v>-4.0320419393414179E-2</v>
      </c>
      <c r="F69" s="308">
        <f>MAX(F56,HSDR!F4)</f>
        <v>2.9328407659097062E-2</v>
      </c>
      <c r="G69" s="308">
        <f>MAX(G56,HSDR!G4)</f>
        <v>0.102055284056493</v>
      </c>
      <c r="H69" s="308">
        <f>MAX(H56,HSDR!H4)</f>
        <v>-5.4514042751724494E-2</v>
      </c>
      <c r="I69" s="308">
        <f>MAX(I56,HSDR!I4)</f>
        <v>-0.15933415266020512</v>
      </c>
      <c r="J69" s="308">
        <f>MAX(J56,HSDR!J4)</f>
        <v>-0.24066617915336547</v>
      </c>
      <c r="K69" s="308">
        <f>MAX(K56,HSDR!K4)</f>
        <v>-0.33509986436351097</v>
      </c>
    </row>
    <row r="70" spans="1:11">
      <c r="A70" s="307">
        <v>3</v>
      </c>
      <c r="B70" s="308">
        <f>MAX(B57,HSDR!B6)</f>
        <v>-0.41968690347101079</v>
      </c>
      <c r="C70" s="308">
        <f>MAX(C57,HSDR!C6)</f>
        <v>-0.1380730292913315</v>
      </c>
      <c r="D70" s="308">
        <f>MAX(D57,HSDR!D6)</f>
        <v>-0.10487404133749784</v>
      </c>
      <c r="E70" s="308">
        <f>MAX(E57,HSDR!E6)</f>
        <v>-6.8158989211959564E-2</v>
      </c>
      <c r="F70" s="308">
        <f>MAX(F57,HSDR!F6)</f>
        <v>2.4409030826479448E-3</v>
      </c>
      <c r="G70" s="308">
        <f>MAX(G57,HSDR!G6)</f>
        <v>7.6255461331224503E-2</v>
      </c>
      <c r="H70" s="308">
        <f>MAX(H57,HSDR!H6)</f>
        <v>-0.11487517708071333</v>
      </c>
      <c r="I70" s="308">
        <f>MAX(I57,HSDR!I6)</f>
        <v>-0.21724188132078476</v>
      </c>
      <c r="J70" s="308">
        <f>MAX(J57,HSDR!J6)</f>
        <v>-0.29264070019772598</v>
      </c>
      <c r="K70" s="308">
        <f>MAX(K57,HSDR!K6)</f>
        <v>-0.38050766229289529</v>
      </c>
    </row>
    <row r="71" spans="1:11">
      <c r="A71" s="307">
        <v>4</v>
      </c>
      <c r="B71" s="308">
        <f>MAX(B58,HSDR!B8)</f>
        <v>-0.33034033459070061</v>
      </c>
      <c r="C71" s="308">
        <f>MAX(C58,HSDR!C8)</f>
        <v>-2.4506830289917444E-2</v>
      </c>
      <c r="D71" s="308">
        <f>MAX(D58,HSDR!D8)</f>
        <v>5.5679308753931881E-3</v>
      </c>
      <c r="E71" s="308">
        <f>MAX(E58,HSDR!E8)</f>
        <v>3.7010775094514566E-2</v>
      </c>
      <c r="F71" s="308">
        <f>MAX(F58,HSDR!F8)</f>
        <v>6.9950633154329159E-2</v>
      </c>
      <c r="G71" s="308">
        <f>MAX(G58,HSDR!G8)</f>
        <v>0.10385811332306308</v>
      </c>
      <c r="H71" s="308">
        <f>MAX(H58,HSDR!H8)</f>
        <v>8.2207439363742862E-2</v>
      </c>
      <c r="I71" s="308">
        <f>MAX(I58,HSDR!I8)</f>
        <v>-5.989827565865629E-2</v>
      </c>
      <c r="J71" s="308">
        <f>MAX(J58,HSDR!J8)</f>
        <v>-0.2101863319982176</v>
      </c>
      <c r="K71" s="308">
        <f>MAX(K58,HSDR!K8)</f>
        <v>-0.30177738614031369</v>
      </c>
    </row>
    <row r="72" spans="1:11">
      <c r="A72" s="307">
        <v>5</v>
      </c>
      <c r="B72" s="308">
        <f>MAX(B59,HSDR!B10)</f>
        <v>-0.14666789263035868</v>
      </c>
      <c r="C72" s="308">
        <f>MAX(C59,HSDR!C10)</f>
        <v>0.35690719748372668</v>
      </c>
      <c r="D72" s="308">
        <f>MAX(D59,HSDR!D10)</f>
        <v>0.40749201163237114</v>
      </c>
      <c r="E72" s="308">
        <f>MAX(E59,HSDR!E10)</f>
        <v>0.45924220371818347</v>
      </c>
      <c r="F72" s="308">
        <f>MAX(F59,HSDR!F10)</f>
        <v>0.51169953415177827</v>
      </c>
      <c r="G72" s="308">
        <f>MAX(G59,HSDR!G10)</f>
        <v>0.56496169552840625</v>
      </c>
      <c r="H72" s="308">
        <f>MAX(H59,HSDR!H10)</f>
        <v>0.39241245528243773</v>
      </c>
      <c r="I72" s="308">
        <f>MAX(I59,HSDR!I10)</f>
        <v>0.28663571688628381</v>
      </c>
      <c r="J72" s="308">
        <f>MAX(J59,HSDR!J10)</f>
        <v>0.1443283683807712</v>
      </c>
      <c r="K72" s="308">
        <f>MAX(K59,HSDR!K10)</f>
        <v>-4.4990260383613007E-2</v>
      </c>
    </row>
    <row r="73" spans="1:11">
      <c r="A73" s="307">
        <v>6</v>
      </c>
      <c r="B73" s="308">
        <f>MAX(B60,HSDR!B12)</f>
        <v>-0.46566058377683939</v>
      </c>
      <c r="C73" s="308">
        <f>MAX(C60,HSDR!C12)</f>
        <v>-0.25375147059276615</v>
      </c>
      <c r="D73" s="308">
        <f>MAX(D60,HSDR!D12)</f>
        <v>-0.20974808267499567</v>
      </c>
      <c r="E73" s="308">
        <f>MAX(E60,HSDR!E12)</f>
        <v>-0.14015554669457211</v>
      </c>
      <c r="F73" s="308">
        <f>MAX(F60,HSDR!F12)</f>
        <v>-6.7097739880329133E-2</v>
      </c>
      <c r="G73" s="308">
        <f>MAX(G60,HSDR!G12)</f>
        <v>9.5330170786307577E-3</v>
      </c>
      <c r="H73" s="308">
        <f>MAX(H60,HSDR!H12)</f>
        <v>-0.21284771451731424</v>
      </c>
      <c r="I73" s="308">
        <f>MAX(I60,HSDR!I12)</f>
        <v>-0.27157480502428616</v>
      </c>
      <c r="J73" s="308">
        <f>MAX(J60,HSDR!J12)</f>
        <v>-0.3400132806089356</v>
      </c>
      <c r="K73" s="308">
        <f>MAX(K60,HSDR!K12)</f>
        <v>-0.42069618899826788</v>
      </c>
    </row>
    <row r="74" spans="1:11">
      <c r="A74" s="307">
        <v>7</v>
      </c>
      <c r="B74" s="308">
        <f>MAX(B61,HSDR!B14)</f>
        <v>-0.53926856458309114</v>
      </c>
      <c r="C74" s="308">
        <f>MAX(C61,HSDR!C14)</f>
        <v>-0.21915496889539685</v>
      </c>
      <c r="D74" s="308">
        <f>MAX(D61,HSDR!D14)</f>
        <v>-0.15387513576990042</v>
      </c>
      <c r="E74" s="308">
        <f>MAX(E61,HSDR!E14)</f>
        <v>-8.5652735434142702E-2</v>
      </c>
      <c r="F74" s="308">
        <f>MAX(F61,HSDR!F14)</f>
        <v>-1.435453352925092E-2</v>
      </c>
      <c r="G74" s="308">
        <f>MAX(G61,HSDR!G14)</f>
        <v>6.0817132303923729E-2</v>
      </c>
      <c r="H74" s="308">
        <f>MAX(H61,HSDR!H14)</f>
        <v>-0.13761559916085553</v>
      </c>
      <c r="I74" s="308">
        <f>MAX(I61,HSDR!I14)</f>
        <v>-0.37191909208726714</v>
      </c>
      <c r="J74" s="308">
        <f>MAX(J61,HSDR!J14)</f>
        <v>-0.43092981848423528</v>
      </c>
      <c r="K74" s="308">
        <f>MAX(K61,HSDR!K14)</f>
        <v>-0.50049824459544523</v>
      </c>
    </row>
    <row r="75" spans="1:11">
      <c r="A75" s="307">
        <v>8</v>
      </c>
      <c r="B75" s="308">
        <f>MAX(B62,HSDR!B16)</f>
        <v>-0.57578184676460165</v>
      </c>
      <c r="C75" s="308">
        <f>MAX(C62,HSDR!C16)</f>
        <v>-4.9013660579834889E-2</v>
      </c>
      <c r="D75" s="308">
        <f>MAX(D62,HSDR!D16)</f>
        <v>1.1135861750786376E-2</v>
      </c>
      <c r="E75" s="308">
        <f>MAX(E62,HSDR!E16)</f>
        <v>7.4021550189029131E-2</v>
      </c>
      <c r="F75" s="308">
        <f>MAX(F62,HSDR!F16)</f>
        <v>0.13990126630865832</v>
      </c>
      <c r="G75" s="308">
        <f>MAX(G62,HSDR!G16)</f>
        <v>0.20771622664612616</v>
      </c>
      <c r="H75" s="308">
        <f>MAX(H62,HSDR!H16)</f>
        <v>0.16441487872748572</v>
      </c>
      <c r="I75" s="308">
        <f>MAX(I62,HSDR!I16)</f>
        <v>-0.11979655131731258</v>
      </c>
      <c r="J75" s="308">
        <f>MAX(J62,HSDR!J16)</f>
        <v>-0.42037266399643519</v>
      </c>
      <c r="K75" s="308">
        <f>MAX(K62,HSDR!K16)</f>
        <v>-0.56930715988076652</v>
      </c>
    </row>
    <row r="76" spans="1:11">
      <c r="A76" s="307">
        <v>9</v>
      </c>
      <c r="B76" s="308">
        <f>MAX(B63,HSDR!B18)</f>
        <v>-0.24150883119675959</v>
      </c>
      <c r="C76" s="308">
        <f>MAX(C63,HSDR!C18)</f>
        <v>0.14446561792638643</v>
      </c>
      <c r="D76" s="308">
        <f>MAX(D63,HSDR!D18)</f>
        <v>0.19854632147628654</v>
      </c>
      <c r="E76" s="308">
        <f>MAX(E63,HSDR!E18)</f>
        <v>0.25517699117535486</v>
      </c>
      <c r="F76" s="308">
        <f>MAX(F63,HSDR!F18)</f>
        <v>0.31472289676230597</v>
      </c>
      <c r="G76" s="308">
        <f>MAX(G63,HSDR!G18)</f>
        <v>0.37460707349508576</v>
      </c>
      <c r="H76" s="308">
        <f>MAX(H63,HSDR!H18)</f>
        <v>0.3995541673365518</v>
      </c>
      <c r="I76" s="308">
        <f>MAX(I63,HSDR!I18)</f>
        <v>0.19675243487078517</v>
      </c>
      <c r="J76" s="308">
        <f>MAX(J63,HSDR!J18)</f>
        <v>-0.10435610692530338</v>
      </c>
      <c r="K76" s="308">
        <f>MAX(K63,HSDR!K18)</f>
        <v>-0.24150883119675959</v>
      </c>
    </row>
    <row r="77" spans="1:11" ht="17" thickBot="1">
      <c r="A77" s="309">
        <v>10</v>
      </c>
      <c r="B77" s="310">
        <f>MAX(B64,HSDR!B20)</f>
        <v>0.20418852289369649</v>
      </c>
      <c r="C77" s="310">
        <f>MAX(C64,HSDR!C20)</f>
        <v>0.63507006739682603</v>
      </c>
      <c r="D77" s="310">
        <f>MAX(D64,HSDR!D20)</f>
        <v>0.64584804747844671</v>
      </c>
      <c r="E77" s="310">
        <f>MAX(E64,HSDR!E20)</f>
        <v>0.65694191851596806</v>
      </c>
      <c r="F77" s="310">
        <f>MAX(F64,HSDR!F20)</f>
        <v>0.66838174379512039</v>
      </c>
      <c r="G77" s="310">
        <f>MAX(G64,HSDR!G20)</f>
        <v>0.67824526128151064</v>
      </c>
      <c r="H77" s="310">
        <f>MAX(H64,HSDR!H20)</f>
        <v>0.77322722653717491</v>
      </c>
      <c r="I77" s="310">
        <f>MAX(I64,HSDR!I20)</f>
        <v>0.79181515955189841</v>
      </c>
      <c r="J77" s="310">
        <f>MAX(J64,HSDR!J20)</f>
        <v>0.75835687080859626</v>
      </c>
      <c r="K77" s="310">
        <f>MAX(K64,HSDR!K20)</f>
        <v>0.43495775366292722</v>
      </c>
    </row>
    <row r="78" spans="1:11" ht="17" thickBot="1"/>
    <row r="79" spans="1:11" ht="17" thickBot="1">
      <c r="A79" s="295" t="s">
        <v>7</v>
      </c>
      <c r="B79" s="296">
        <v>1</v>
      </c>
      <c r="C79" s="297">
        <v>2</v>
      </c>
      <c r="D79" s="297">
        <v>3</v>
      </c>
      <c r="E79" s="297">
        <v>4</v>
      </c>
      <c r="F79" s="297">
        <v>5</v>
      </c>
      <c r="G79" s="297">
        <v>6</v>
      </c>
      <c r="H79" s="297">
        <v>7</v>
      </c>
      <c r="I79" s="297">
        <v>8</v>
      </c>
      <c r="J79" s="297">
        <v>9</v>
      </c>
      <c r="K79" s="298">
        <v>10</v>
      </c>
    </row>
    <row r="80" spans="1:11">
      <c r="A80" s="96">
        <v>1</v>
      </c>
      <c r="B80" s="107">
        <f>IF(B68=B42,2,IF(B68=B29,3,IF(B68=B16,4,IF(B68=B3,5,HSDR!O35))))</f>
        <v>2</v>
      </c>
      <c r="C80" s="136">
        <f>IF(C68=C42,2,IF(C68=C29,3,IF(C68=C16,4,IF(C68=C3,5,HSDR!P35))))</f>
        <v>2</v>
      </c>
      <c r="D80" s="136">
        <f>IF(D68=D42,2,IF(D68=D29,3,IF(D68=D16,4,IF(D68=D3,5,HSDR!Q35))))</f>
        <v>2</v>
      </c>
      <c r="E80" s="136">
        <f>IF(E68=E42,2,IF(E68=E29,3,IF(E68=E16,4,IF(E68=E3,5,HSDR!R35))))</f>
        <v>2</v>
      </c>
      <c r="F80" s="136">
        <f>IF(F68=F42,2,IF(F68=F29,3,IF(F68=F16,4,IF(F68=F3,5,HSDR!S35))))</f>
        <v>2</v>
      </c>
      <c r="G80" s="136">
        <f>IF(G68=G42,2,IF(G68=G29,3,IF(G68=G16,4,IF(G68=G3,5,HSDR!T35))))</f>
        <v>2</v>
      </c>
      <c r="H80" s="136">
        <f>IF(H68=H42,2,IF(H68=H29,3,IF(H68=H16,4,IF(H68=H3,5,HSDR!U35))))</f>
        <v>2</v>
      </c>
      <c r="I80" s="136">
        <f>IF(I68=I42,2,IF(I68=I29,3,IF(I68=I16,4,IF(I68=I3,5,HSDR!V35))))</f>
        <v>2</v>
      </c>
      <c r="J80" s="136">
        <f>IF(J68=J42,2,IF(J68=J29,3,IF(J68=J16,4,IF(J68=J3,5,HSDR!W35))))</f>
        <v>2</v>
      </c>
      <c r="K80" s="155">
        <f>IF(K68=K42,2,IF(K68=K29,3,IF(K68=K16,4,IF(K68=K3,5,HSDR!X35))))</f>
        <v>2</v>
      </c>
    </row>
    <row r="81" spans="1:11">
      <c r="A81" s="97">
        <v>2</v>
      </c>
      <c r="B81" s="28" t="str">
        <f>IF(B69=B43,2,IF(B69=B30,3,IF(B69=B17,4,IF(B69=B4,5,HSDR!O4))))</f>
        <v>H</v>
      </c>
      <c r="C81" s="22" t="str">
        <f>IF(C69=C43,2,IF(C69=C30,3,IF(C69=C17,4,IF(C69=C4,5,HSDR!P4))))</f>
        <v>H</v>
      </c>
      <c r="D81" s="22" t="str">
        <f>IF(D69=D43,2,IF(D69=D30,3,IF(D69=D17,4,IF(D69=D4,5,HSDR!Q4))))</f>
        <v>H</v>
      </c>
      <c r="E81" s="22">
        <f>IF(E69=E43,2,IF(E69=E30,3,IF(E69=E17,4,IF(E69=E4,5,HSDR!R4))))</f>
        <v>2</v>
      </c>
      <c r="F81" s="22">
        <f>IF(F69=F43,2,IF(F69=F30,3,IF(F69=F17,4,IF(F69=F4,5,HSDR!S4))))</f>
        <v>2</v>
      </c>
      <c r="G81" s="22">
        <f>IF(G69=G43,2,IF(G69=G30,3,IF(G69=G17,4,IF(G69=G4,5,HSDR!T4))))</f>
        <v>2</v>
      </c>
      <c r="H81" s="22">
        <f>IF(H69=H43,2,IF(H69=H30,3,IF(H69=H17,4,IF(H69=H4,5,HSDR!U4))))</f>
        <v>2</v>
      </c>
      <c r="I81" s="22" t="str">
        <f>IF(I69=I43,2,IF(I69=I30,3,IF(I69=I17,4,IF(I69=I4,5,HSDR!V4))))</f>
        <v>H</v>
      </c>
      <c r="J81" s="22" t="str">
        <f>IF(J69=J43,2,IF(J69=J30,3,IF(J69=J17,4,IF(J69=J4,5,HSDR!W4))))</f>
        <v>H</v>
      </c>
      <c r="K81" s="299" t="str">
        <f>IF(K69=K43,2,IF(K69=K30,3,IF(K69=K17,4,IF(K69=K4,5,HSDR!X4))))</f>
        <v>H</v>
      </c>
    </row>
    <row r="82" spans="1:11">
      <c r="A82" s="97">
        <v>3</v>
      </c>
      <c r="B82" s="28" t="str">
        <f>IF(B70=B44,2,IF(B70=B31,3,IF(B70=B18,4,IF(B70=B5,5,HSDR!O6))))</f>
        <v>H</v>
      </c>
      <c r="C82" s="22" t="str">
        <f>IF(C70=C44,2,IF(C70=C31,3,IF(C70=C18,4,IF(C70=C5,5,HSDR!P6))))</f>
        <v>H</v>
      </c>
      <c r="D82" s="22" t="str">
        <f>IF(D70=D44,2,IF(D70=D31,3,IF(D70=D18,4,IF(D70=D5,5,HSDR!Q6))))</f>
        <v>H</v>
      </c>
      <c r="E82" s="22">
        <f>IF(E70=E44,2,IF(E70=E31,3,IF(E70=E18,4,IF(E70=E5,5,HSDR!R6))))</f>
        <v>2</v>
      </c>
      <c r="F82" s="22">
        <f>IF(F70=F44,2,IF(F70=F31,3,IF(F70=F18,4,IF(F70=F5,5,HSDR!S6))))</f>
        <v>2</v>
      </c>
      <c r="G82" s="22">
        <f>IF(G70=G44,2,IF(G70=G31,3,IF(G70=G18,4,IF(G70=G5,5,HSDR!T6))))</f>
        <v>2</v>
      </c>
      <c r="H82" s="22">
        <f>IF(H70=H44,2,IF(H70=H31,3,IF(H70=H18,4,IF(H70=H5,5,HSDR!U6))))</f>
        <v>2</v>
      </c>
      <c r="I82" s="22" t="str">
        <f>IF(I70=I44,2,IF(I70=I31,3,IF(I70=I18,4,IF(I70=I5,5,HSDR!V6))))</f>
        <v>H</v>
      </c>
      <c r="J82" s="22" t="str">
        <f>IF(J70=J44,2,IF(J70=J31,3,IF(J70=J18,4,IF(J70=J5,5,HSDR!W6))))</f>
        <v>H</v>
      </c>
      <c r="K82" s="299" t="str">
        <f>IF(K70=K44,2,IF(K70=K31,3,IF(K70=K18,4,IF(K70=K5,5,HSDR!X6))))</f>
        <v>H</v>
      </c>
    </row>
    <row r="83" spans="1:11">
      <c r="A83" s="97">
        <v>4</v>
      </c>
      <c r="B83" s="28" t="str">
        <f>IF(B71=B45,2,IF(B71=B32,3,IF(B71=B19,4,IF(B71=B6,5,HSDR!O8))))</f>
        <v>H</v>
      </c>
      <c r="C83" s="22" t="str">
        <f>IF(C71=C45,2,IF(C71=C32,3,IF(C71=C19,4,IF(C71=C6,5,HSDR!P8))))</f>
        <v>H</v>
      </c>
      <c r="D83" s="22" t="str">
        <f>IF(D71=D45,2,IF(D71=D32,3,IF(D71=D19,4,IF(D71=D6,5,HSDR!Q8))))</f>
        <v>H</v>
      </c>
      <c r="E83" s="22" t="str">
        <f>IF(E71=E45,2,IF(E71=E32,3,IF(E71=E19,4,IF(E71=E6,5,HSDR!R8))))</f>
        <v>H</v>
      </c>
      <c r="F83" s="22" t="str">
        <f>IF(F71=F45,2,IF(F71=F32,3,IF(F71=F19,4,IF(F71=F6,5,HSDR!S8))))</f>
        <v>H</v>
      </c>
      <c r="G83" s="22" t="str">
        <f>IF(G71=G45,2,IF(G71=G32,3,IF(G71=G19,4,IF(G71=G6,5,HSDR!T8))))</f>
        <v>H</v>
      </c>
      <c r="H83" s="22" t="str">
        <f>IF(H71=H45,2,IF(H71=H32,3,IF(H71=H19,4,IF(H71=H6,5,HSDR!U8))))</f>
        <v>H</v>
      </c>
      <c r="I83" s="22" t="str">
        <f>IF(I71=I45,2,IF(I71=I32,3,IF(I71=I19,4,IF(I71=I6,5,HSDR!V8))))</f>
        <v>H</v>
      </c>
      <c r="J83" s="22" t="str">
        <f>IF(J71=J45,2,IF(J71=J32,3,IF(J71=J19,4,IF(J71=J6,5,HSDR!W8))))</f>
        <v>H</v>
      </c>
      <c r="K83" s="299" t="str">
        <f>IF(K71=K45,2,IF(K71=K32,3,IF(K71=K19,4,IF(K71=K6,5,HSDR!X8))))</f>
        <v>H</v>
      </c>
    </row>
    <row r="84" spans="1:11">
      <c r="A84" s="97">
        <v>5</v>
      </c>
      <c r="B84" s="28" t="str">
        <f>IF(B72=B46,2,IF(B72=B33,3,IF(B72=B20,4,IF(B72=B7,5,HSDR!O10))))</f>
        <v>H</v>
      </c>
      <c r="C84" s="22" t="str">
        <f>IF(C72=C46,2,IF(C72=C33,3,IF(C72=C20,4,IF(C72=C7,5,HSDR!P10))))</f>
        <v>D</v>
      </c>
      <c r="D84" s="22" t="str">
        <f>IF(D72=D46,2,IF(D72=D33,3,IF(D72=D20,4,IF(D72=D7,5,HSDR!Q10))))</f>
        <v>D</v>
      </c>
      <c r="E84" s="22" t="str">
        <f>IF(E72=E46,2,IF(E72=E33,3,IF(E72=E20,4,IF(E72=E7,5,HSDR!R10))))</f>
        <v>D</v>
      </c>
      <c r="F84" s="22" t="str">
        <f>IF(F72=F46,2,IF(F72=F33,3,IF(F72=F20,4,IF(F72=F7,5,HSDR!S10))))</f>
        <v>D</v>
      </c>
      <c r="G84" s="22" t="str">
        <f>IF(G72=G46,2,IF(G72=G33,3,IF(G72=G20,4,IF(G72=G7,5,HSDR!T10))))</f>
        <v>D</v>
      </c>
      <c r="H84" s="22" t="str">
        <f>IF(H72=H46,2,IF(H72=H33,3,IF(H72=H20,4,IF(H72=H7,5,HSDR!U10))))</f>
        <v>D</v>
      </c>
      <c r="I84" s="22" t="str">
        <f>IF(I72=I46,2,IF(I72=I33,3,IF(I72=I20,4,IF(I72=I7,5,HSDR!V10))))</f>
        <v>D</v>
      </c>
      <c r="J84" s="22" t="str">
        <f>IF(J72=J46,2,IF(J72=J33,3,IF(J72=J20,4,IF(J72=J7,5,HSDR!W10))))</f>
        <v>D</v>
      </c>
      <c r="K84" s="299" t="str">
        <f>IF(K72=K46,2,IF(K72=K33,3,IF(K72=K20,4,IF(K72=K7,5,HSDR!X10))))</f>
        <v>H</v>
      </c>
    </row>
    <row r="85" spans="1:11">
      <c r="A85" s="97">
        <v>6</v>
      </c>
      <c r="B85" s="28" t="str">
        <f>IF(B73=B47,2,IF(B73=B34,3,IF(B73=B21,4,IF(B73=B8,5,HSDR!O12))))</f>
        <v>H</v>
      </c>
      <c r="C85" s="22" t="str">
        <f>IF(C73=C47,2,IF(C73=C34,3,IF(C73=C21,4,IF(C73=C8,5,HSDR!P12))))</f>
        <v>H</v>
      </c>
      <c r="D85" s="22">
        <f>IF(D73=D47,2,IF(D73=D34,3,IF(D73=D21,4,IF(D73=D8,5,HSDR!Q12))))</f>
        <v>2</v>
      </c>
      <c r="E85" s="22">
        <f>IF(E73=E47,2,IF(E73=E34,3,IF(E73=E21,4,IF(E73=E8,5,HSDR!R12))))</f>
        <v>2</v>
      </c>
      <c r="F85" s="22">
        <f>IF(F73=F47,2,IF(F73=F34,3,IF(F73=F21,4,IF(F73=F8,5,HSDR!S12))))</f>
        <v>2</v>
      </c>
      <c r="G85" s="22">
        <f>IF(G73=G47,2,IF(G73=G34,3,IF(G73=G21,4,IF(G73=G8,5,HSDR!T12))))</f>
        <v>2</v>
      </c>
      <c r="H85" s="22" t="str">
        <f>IF(H73=H47,2,IF(H73=H34,3,IF(H73=H21,4,IF(H73=H8,5,HSDR!U12))))</f>
        <v>H</v>
      </c>
      <c r="I85" s="22" t="str">
        <f>IF(I73=I47,2,IF(I73=I34,3,IF(I73=I21,4,IF(I73=I8,5,HSDR!V12))))</f>
        <v>H</v>
      </c>
      <c r="J85" s="22" t="str">
        <f>IF(J73=J47,2,IF(J73=J34,3,IF(J73=J21,4,IF(J73=J8,5,HSDR!W12))))</f>
        <v>H</v>
      </c>
      <c r="K85" s="299" t="str">
        <f>IF(K73=K47,2,IF(K73=K34,3,IF(K73=K21,4,IF(K73=K8,5,HSDR!X12))))</f>
        <v>H</v>
      </c>
    </row>
    <row r="86" spans="1:11">
      <c r="A86" s="97">
        <v>7</v>
      </c>
      <c r="B86" s="28" t="str">
        <f>IF(B74=B48,2,IF(B74=B35,3,IF(B74=B22,4,IF(B74=B9,5,HSDR!O14))))</f>
        <v>H</v>
      </c>
      <c r="C86" s="22">
        <f>IF(C74=C48,2,IF(C74=C35,3,IF(C74=C22,4,IF(C74=C9,5,HSDR!P14))))</f>
        <v>2</v>
      </c>
      <c r="D86" s="22">
        <f>IF(D74=D48,2,IF(D74=D35,3,IF(D74=D22,4,IF(D74=D9,5,HSDR!Q14))))</f>
        <v>2</v>
      </c>
      <c r="E86" s="22">
        <f>IF(E74=E48,2,IF(E74=E35,3,IF(E74=E22,4,IF(E74=E9,5,HSDR!R14))))</f>
        <v>2</v>
      </c>
      <c r="F86" s="22">
        <f>IF(F74=F48,2,IF(F74=F35,3,IF(F74=F22,4,IF(F74=F9,5,HSDR!S14))))</f>
        <v>2</v>
      </c>
      <c r="G86" s="22">
        <f>IF(G74=G48,2,IF(G74=G35,3,IF(G74=G22,4,IF(G74=G9,5,HSDR!T14))))</f>
        <v>2</v>
      </c>
      <c r="H86" s="22">
        <f>IF(H74=H48,2,IF(H74=H35,3,IF(H74=H22,4,IF(H74=H9,5,HSDR!U14))))</f>
        <v>2</v>
      </c>
      <c r="I86" s="22" t="str">
        <f>IF(I74=I48,2,IF(I74=I35,3,IF(I74=I22,4,IF(I74=I9,5,HSDR!V14))))</f>
        <v>H</v>
      </c>
      <c r="J86" s="22" t="str">
        <f>IF(J74=J48,2,IF(J74=J35,3,IF(J74=J22,4,IF(J74=J9,5,HSDR!W14))))</f>
        <v>H</v>
      </c>
      <c r="K86" s="299" t="str">
        <f>IF(K74=K48,2,IF(K74=K35,3,IF(K74=K22,4,IF(K74=K9,5,HSDR!X14))))</f>
        <v>H</v>
      </c>
    </row>
    <row r="87" spans="1:11">
      <c r="A87" s="97">
        <v>8</v>
      </c>
      <c r="B87" s="28" t="str">
        <f>IF(B75=B49,2,IF(B75=B36,3,IF(B75=B23,4,IF(B75=B10,5,HSDR!O16))))</f>
        <v>S</v>
      </c>
      <c r="C87" s="22">
        <f>IF(C75=C49,2,IF(C75=C36,3,IF(C75=C23,4,IF(C75=C10,5,HSDR!P16))))</f>
        <v>2</v>
      </c>
      <c r="D87" s="22">
        <f>IF(D75=D49,2,IF(D75=D36,3,IF(D75=D23,4,IF(D75=D10,5,HSDR!Q16))))</f>
        <v>2</v>
      </c>
      <c r="E87" s="22">
        <f>IF(E75=E49,2,IF(E75=E36,3,IF(E75=E23,4,IF(E75=E10,5,HSDR!R16))))</f>
        <v>2</v>
      </c>
      <c r="F87" s="22">
        <f>IF(F75=F49,2,IF(F75=F36,3,IF(F75=F23,4,IF(F75=F10,5,HSDR!S16))))</f>
        <v>2</v>
      </c>
      <c r="G87" s="22">
        <f>IF(G75=G49,2,IF(G75=G36,3,IF(G75=G23,4,IF(G75=G10,5,HSDR!T16))))</f>
        <v>2</v>
      </c>
      <c r="H87" s="22">
        <f>IF(H75=H49,2,IF(H75=H36,3,IF(H75=H23,4,IF(H75=H10,5,HSDR!U16))))</f>
        <v>2</v>
      </c>
      <c r="I87" s="22">
        <f>IF(I75=I49,2,IF(I75=I36,3,IF(I75=I23,4,IF(I75=I10,5,HSDR!V16))))</f>
        <v>2</v>
      </c>
      <c r="J87" s="22">
        <f>IF(J75=J49,2,IF(J75=J36,3,IF(J75=J23,4,IF(J75=J10,5,HSDR!W16))))</f>
        <v>2</v>
      </c>
      <c r="K87" s="299" t="str">
        <f>IF(K75=K49,2,IF(K75=K36,3,IF(K75=K23,4,IF(K75=K10,5,HSDR!X16))))</f>
        <v>H</v>
      </c>
    </row>
    <row r="88" spans="1:11">
      <c r="A88" s="97">
        <v>9</v>
      </c>
      <c r="B88" s="28" t="str">
        <f>IF(B76=B50,2,IF(B76=B37,3,IF(B76=B24,4,IF(B76=B11,5,HSDR!O18))))</f>
        <v>S</v>
      </c>
      <c r="C88" s="22">
        <f>IF(C76=C50,2,IF(C76=C37,3,IF(C76=C24,4,IF(C76=C11,5,HSDR!P18))))</f>
        <v>2</v>
      </c>
      <c r="D88" s="22">
        <f>IF(D76=D50,2,IF(D76=D37,3,IF(D76=D24,4,IF(D76=D11,5,HSDR!Q18))))</f>
        <v>2</v>
      </c>
      <c r="E88" s="22">
        <f>IF(E76=E50,2,IF(E76=E37,3,IF(E76=E24,4,IF(E76=E11,5,HSDR!R18))))</f>
        <v>2</v>
      </c>
      <c r="F88" s="22">
        <f>IF(F76=F50,2,IF(F76=F37,3,IF(F76=F24,4,IF(F76=F11,5,HSDR!S18))))</f>
        <v>2</v>
      </c>
      <c r="G88" s="22">
        <f>IF(G76=G50,2,IF(G76=G37,3,IF(G76=G24,4,IF(G76=G11,5,HSDR!T18))))</f>
        <v>2</v>
      </c>
      <c r="H88" s="22" t="str">
        <f>IF(H76=H50,2,IF(H76=H37,3,IF(H76=H24,4,IF(H76=H11,5,HSDR!U18))))</f>
        <v>S</v>
      </c>
      <c r="I88" s="22">
        <f>IF(I76=I50,2,IF(I76=I37,3,IF(I76=I24,4,IF(I76=I11,5,HSDR!V18))))</f>
        <v>2</v>
      </c>
      <c r="J88" s="22">
        <f>IF(J76=J50,2,IF(J76=J37,3,IF(J76=J24,4,IF(J76=J11,5,HSDR!W18))))</f>
        <v>2</v>
      </c>
      <c r="K88" s="299" t="str">
        <f>IF(K76=K50,2,IF(K76=K37,3,IF(K76=K24,4,IF(K76=K11,5,HSDR!X18))))</f>
        <v>S</v>
      </c>
    </row>
    <row r="89" spans="1:11" ht="17" thickBot="1">
      <c r="A89" s="129">
        <v>10</v>
      </c>
      <c r="B89" s="105" t="str">
        <f>IF(B77=B51,2,IF(B77=B38,3,IF(B77=B25,4,IF(B77=B12,5,HSDR!O20))))</f>
        <v>S</v>
      </c>
      <c r="C89" s="127" t="str">
        <f>IF(C77=C51,2,IF(C77=C38,3,IF(C77=C25,4,IF(C77=C12,5,HSDR!P20))))</f>
        <v>S</v>
      </c>
      <c r="D89" s="127" t="str">
        <f>IF(D77=D51,2,IF(D77=D38,3,IF(D77=D25,4,IF(D77=D12,5,HSDR!Q20))))</f>
        <v>S</v>
      </c>
      <c r="E89" s="127" t="str">
        <f>IF(E77=E51,2,IF(E77=E38,3,IF(E77=E25,4,IF(E77=E12,5,HSDR!R20))))</f>
        <v>S</v>
      </c>
      <c r="F89" s="127" t="str">
        <f>IF(F77=F51,2,IF(F77=F38,3,IF(F77=F25,4,IF(F77=F12,5,HSDR!S20))))</f>
        <v>S</v>
      </c>
      <c r="G89" s="127" t="str">
        <f>IF(G77=G51,2,IF(G77=G38,3,IF(G77=G25,4,IF(G77=G12,5,HSDR!T20))))</f>
        <v>S</v>
      </c>
      <c r="H89" s="127" t="str">
        <f>IF(H77=H51,2,IF(H77=H38,3,IF(H77=H25,4,IF(H77=H12,5,HSDR!U20))))</f>
        <v>S</v>
      </c>
      <c r="I89" s="127" t="str">
        <f>IF(I77=I51,2,IF(I77=I38,3,IF(I77=I25,4,IF(I77=I12,5,HSDR!V20))))</f>
        <v>S</v>
      </c>
      <c r="J89" s="127" t="str">
        <f>IF(J77=J51,2,IF(J77=J38,3,IF(J77=J25,4,IF(J77=J12,5,HSDR!W20))))</f>
        <v>S</v>
      </c>
      <c r="K89" s="300" t="str">
        <f>IF(K77=K51,2,IF(K77=K38,3,IF(K77=K25,4,IF(K77=K12,5,HSDR!X20))))</f>
        <v>S</v>
      </c>
    </row>
  </sheetData>
  <sheetProtection sheet="1" objects="1" scenarios="1"/>
  <mergeCells count="6">
    <mergeCell ref="A66:K66"/>
    <mergeCell ref="A53:K53"/>
    <mergeCell ref="A1:K1"/>
    <mergeCell ref="A14:K14"/>
    <mergeCell ref="A27:K27"/>
    <mergeCell ref="A40:K40"/>
  </mergeCells>
  <phoneticPr fontId="16" type="noConversion"/>
  <conditionalFormatting sqref="O2:X11">
    <cfRule type="containsText" dxfId="701" priority="8" operator="containsText" text="S">
      <formula>NOT(ISERROR(SEARCH("S",O2)))</formula>
    </cfRule>
    <cfRule type="containsText" dxfId="700" priority="9" operator="containsText" text="H">
      <formula>NOT(ISERROR(SEARCH("H",O2)))</formula>
    </cfRule>
  </conditionalFormatting>
  <conditionalFormatting sqref="O2:X11">
    <cfRule type="containsText" dxfId="699" priority="7" operator="containsText" text="D">
      <formula>NOT(ISERROR(SEARCH("D",O2)))</formula>
    </cfRule>
  </conditionalFormatting>
  <conditionalFormatting sqref="O2:X11">
    <cfRule type="containsText" dxfId="698" priority="6" operator="containsText" text="R">
      <formula>NOT(ISERROR(SEARCH("R",O2)))</formula>
    </cfRule>
  </conditionalFormatting>
  <conditionalFormatting sqref="O3:X11">
    <cfRule type="cellIs" dxfId="697" priority="4" operator="between">
      <formula>2</formula>
      <formula>5</formula>
    </cfRule>
  </conditionalFormatting>
  <conditionalFormatting sqref="B80:K89">
    <cfRule type="colorScale" priority="2">
      <colorScale>
        <cfvo type="num" val="2"/>
        <cfvo type="num" val="5"/>
        <color rgb="FF00B050"/>
        <color rgb="FFFFFF00"/>
      </colorScale>
    </cfRule>
    <cfRule type="containsText" dxfId="696" priority="3" operator="containsText" text="HSDR">
      <formula>NOT(ISERROR(SEARCH("HSDR",B80)))</formula>
    </cfRule>
  </conditionalFormatting>
  <conditionalFormatting sqref="O2:X2">
    <cfRule type="cellIs" dxfId="695" priority="1" operator="between">
      <formula>2</formula>
      <formula>5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1:C3"/>
  <sheetViews>
    <sheetView workbookViewId="0">
      <selection activeCell="K9" sqref="K9"/>
    </sheetView>
  </sheetViews>
  <sheetFormatPr baseColWidth="10" defaultColWidth="8.83203125" defaultRowHeight="16"/>
  <cols>
    <col min="2" max="2" width="17.6640625" bestFit="1" customWidth="1"/>
  </cols>
  <sheetData>
    <row r="1" spans="2:3">
      <c r="B1" s="52" t="s">
        <v>30</v>
      </c>
      <c r="C1" s="1">
        <f>Dealer!J33</f>
        <v>4.7337278106508882E-2</v>
      </c>
    </row>
    <row r="2" spans="2:3">
      <c r="B2" s="52" t="s">
        <v>31</v>
      </c>
      <c r="C2" s="1">
        <f>1-Dealer!J33</f>
        <v>0.9526627218934911</v>
      </c>
    </row>
    <row r="3" spans="2:3">
      <c r="B3" s="1"/>
      <c r="C3" s="1">
        <f>C1*C2</f>
        <v>4.5096460207975919E-2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M87"/>
  <sheetViews>
    <sheetView workbookViewId="0">
      <selection activeCell="H6" sqref="H6"/>
    </sheetView>
  </sheetViews>
  <sheetFormatPr baseColWidth="10" defaultColWidth="8.83203125" defaultRowHeight="15"/>
  <cols>
    <col min="1" max="2" width="8.83203125" style="33"/>
    <col min="3" max="3" width="8" style="33" customWidth="1"/>
    <col min="4" max="16384" width="8.83203125" style="33"/>
  </cols>
  <sheetData>
    <row r="1" spans="1:13" ht="25" thickBot="1">
      <c r="A1" s="347" t="s">
        <v>131</v>
      </c>
      <c r="B1" s="348"/>
      <c r="C1" s="348"/>
      <c r="D1" s="348"/>
      <c r="E1" s="348"/>
      <c r="F1" s="348"/>
      <c r="G1" s="348"/>
      <c r="H1" s="348"/>
      <c r="I1" s="348"/>
      <c r="J1" s="348"/>
      <c r="K1" s="349"/>
    </row>
    <row r="2" spans="1:13">
      <c r="A2" s="147" t="s">
        <v>9</v>
      </c>
      <c r="B2" s="147" t="s">
        <v>1</v>
      </c>
      <c r="C2" s="147">
        <v>2</v>
      </c>
      <c r="D2" s="147">
        <v>3</v>
      </c>
      <c r="E2" s="147">
        <v>4</v>
      </c>
      <c r="F2" s="147">
        <v>5</v>
      </c>
      <c r="G2" s="147">
        <v>6</v>
      </c>
      <c r="H2" s="147">
        <v>7</v>
      </c>
      <c r="I2" s="147">
        <v>8</v>
      </c>
      <c r="J2" s="147">
        <v>9</v>
      </c>
      <c r="K2" s="147">
        <v>10</v>
      </c>
    </row>
    <row r="3" spans="1:13">
      <c r="A3" s="32">
        <v>5</v>
      </c>
      <c r="B3" s="34">
        <f>$C71*1/(9+Rules!$B$5)*(9/(9+Rules!$B$5))</f>
        <v>6.3023003396239633E-4</v>
      </c>
      <c r="C3" s="34">
        <f>$C71*1/(9+Rules!$B$5)</f>
        <v>9.1033227127901696E-4</v>
      </c>
      <c r="D3" s="34">
        <f>$C71*1/(9+Rules!$B$5)</f>
        <v>9.1033227127901696E-4</v>
      </c>
      <c r="E3" s="34">
        <f>$C71*1/(9+Rules!$B$5)</f>
        <v>9.1033227127901696E-4</v>
      </c>
      <c r="F3" s="34">
        <f>$C71*1/(9+Rules!$B$5)</f>
        <v>9.1033227127901696E-4</v>
      </c>
      <c r="G3" s="34">
        <f>$C71*1/(9+Rules!$B$5)</f>
        <v>9.1033227127901696E-4</v>
      </c>
      <c r="H3" s="34">
        <f>$C71*1/(9+Rules!$B$5)</f>
        <v>9.1033227127901696E-4</v>
      </c>
      <c r="I3" s="34">
        <f>$C71*1/(9+Rules!$B$5)</f>
        <v>9.1033227127901696E-4</v>
      </c>
      <c r="J3" s="34">
        <f>$C71*1/(9+Rules!$B$5)</f>
        <v>9.1033227127901696E-4</v>
      </c>
      <c r="K3" s="34">
        <f>$C71*Rules!$B$5/(9+Rules!$B$5)*((9+Rules!$B$5-1)/(9+Rules!$B$5))</f>
        <v>3.3612268477994475E-3</v>
      </c>
    </row>
    <row r="4" spans="1:13">
      <c r="A4" s="32">
        <v>6</v>
      </c>
      <c r="B4" s="34">
        <f>$C72*1/(9+Rules!$B$5)*(9/(9+Rules!$B$5))</f>
        <v>6.3023003396239633E-4</v>
      </c>
      <c r="C4" s="34">
        <f>$C72*1/(9+Rules!$B$5)</f>
        <v>9.1033227127901696E-4</v>
      </c>
      <c r="D4" s="34">
        <f>$C72*1/(9+Rules!$B$5)</f>
        <v>9.1033227127901696E-4</v>
      </c>
      <c r="E4" s="34">
        <f>$C72*1/(9+Rules!$B$5)</f>
        <v>9.1033227127901696E-4</v>
      </c>
      <c r="F4" s="34">
        <f>$C72*1/(9+Rules!$B$5)</f>
        <v>9.1033227127901696E-4</v>
      </c>
      <c r="G4" s="34">
        <f>$C72*1/(9+Rules!$B$5)</f>
        <v>9.1033227127901696E-4</v>
      </c>
      <c r="H4" s="34">
        <f>$C72*1/(9+Rules!$B$5)</f>
        <v>9.1033227127901696E-4</v>
      </c>
      <c r="I4" s="34">
        <f>$C72*1/(9+Rules!$B$5)</f>
        <v>9.1033227127901696E-4</v>
      </c>
      <c r="J4" s="34">
        <f>$C72*1/(9+Rules!$B$5)</f>
        <v>9.1033227127901696E-4</v>
      </c>
      <c r="K4" s="34">
        <f>$C72*Rules!$B$5/(9+Rules!$B$5)*((9+Rules!$B$5-1)/(9+Rules!$B$5))</f>
        <v>3.3612268477994475E-3</v>
      </c>
    </row>
    <row r="5" spans="1:13">
      <c r="A5" s="32">
        <v>7</v>
      </c>
      <c r="B5" s="34">
        <f>$C73*1/(9+Rules!$B$5)*(9/(9+Rules!$B$5))</f>
        <v>1.2604600679247927E-3</v>
      </c>
      <c r="C5" s="34">
        <f>$C73*1/(9+Rules!$B$5)</f>
        <v>1.8206645425580339E-3</v>
      </c>
      <c r="D5" s="34">
        <f>$C73*1/(9+Rules!$B$5)</f>
        <v>1.8206645425580339E-3</v>
      </c>
      <c r="E5" s="34">
        <f>$C73*1/(9+Rules!$B$5)</f>
        <v>1.8206645425580339E-3</v>
      </c>
      <c r="F5" s="34">
        <f>$C73*1/(9+Rules!$B$5)</f>
        <v>1.8206645425580339E-3</v>
      </c>
      <c r="G5" s="34">
        <f>$C73*1/(9+Rules!$B$5)</f>
        <v>1.8206645425580339E-3</v>
      </c>
      <c r="H5" s="34">
        <f>$C73*1/(9+Rules!$B$5)</f>
        <v>1.8206645425580339E-3</v>
      </c>
      <c r="I5" s="34">
        <f>$C73*1/(9+Rules!$B$5)</f>
        <v>1.8206645425580339E-3</v>
      </c>
      <c r="J5" s="34">
        <f>$C73*1/(9+Rules!$B$5)</f>
        <v>1.8206645425580339E-3</v>
      </c>
      <c r="K5" s="34">
        <f>$C73*Rules!$B$5/(9+Rules!$B$5)*((9+Rules!$B$5-1)/(9+Rules!$B$5))</f>
        <v>6.7224536955988951E-3</v>
      </c>
    </row>
    <row r="6" spans="1:13">
      <c r="A6" s="32">
        <v>8</v>
      </c>
      <c r="B6" s="34">
        <f>$C74*1/(9+Rules!$B$5)*(9/(9+Rules!$B$5))</f>
        <v>1.2604600679247927E-3</v>
      </c>
      <c r="C6" s="34">
        <f>$C74*1/(9+Rules!$B$5)</f>
        <v>1.8206645425580339E-3</v>
      </c>
      <c r="D6" s="34">
        <f>$C74*1/(9+Rules!$B$5)</f>
        <v>1.8206645425580339E-3</v>
      </c>
      <c r="E6" s="34">
        <f>$C74*1/(9+Rules!$B$5)</f>
        <v>1.8206645425580339E-3</v>
      </c>
      <c r="F6" s="34">
        <f>$C74*1/(9+Rules!$B$5)</f>
        <v>1.8206645425580339E-3</v>
      </c>
      <c r="G6" s="34">
        <f>$C74*1/(9+Rules!$B$5)</f>
        <v>1.8206645425580339E-3</v>
      </c>
      <c r="H6" s="34">
        <f>$C74*1/(9+Rules!$B$5)</f>
        <v>1.8206645425580339E-3</v>
      </c>
      <c r="I6" s="34">
        <f>$C74*1/(9+Rules!$B$5)</f>
        <v>1.8206645425580339E-3</v>
      </c>
      <c r="J6" s="34">
        <f>$C74*1/(9+Rules!$B$5)</f>
        <v>1.8206645425580339E-3</v>
      </c>
      <c r="K6" s="34">
        <f>$C74*Rules!$B$5/(9+Rules!$B$5)*((9+Rules!$B$5-1)/(9+Rules!$B$5))</f>
        <v>6.7224536955988951E-3</v>
      </c>
    </row>
    <row r="7" spans="1:13">
      <c r="A7" s="32">
        <v>9</v>
      </c>
      <c r="B7" s="34">
        <f>$C75*1/(9+Rules!$B$5)*(9/(9+Rules!$B$5))</f>
        <v>1.890690101887189E-3</v>
      </c>
      <c r="C7" s="34">
        <f>$C75*1/(9+Rules!$B$5)</f>
        <v>2.730996813837051E-3</v>
      </c>
      <c r="D7" s="34">
        <f>$C75*1/(9+Rules!$B$5)</f>
        <v>2.730996813837051E-3</v>
      </c>
      <c r="E7" s="34">
        <f>$C75*1/(9+Rules!$B$5)</f>
        <v>2.730996813837051E-3</v>
      </c>
      <c r="F7" s="34">
        <f>$C75*1/(9+Rules!$B$5)</f>
        <v>2.730996813837051E-3</v>
      </c>
      <c r="G7" s="34">
        <f>$C75*1/(9+Rules!$B$5)</f>
        <v>2.730996813837051E-3</v>
      </c>
      <c r="H7" s="34">
        <f>$C75*1/(9+Rules!$B$5)</f>
        <v>2.730996813837051E-3</v>
      </c>
      <c r="I7" s="34">
        <f>$C75*1/(9+Rules!$B$5)</f>
        <v>2.730996813837051E-3</v>
      </c>
      <c r="J7" s="34">
        <f>$C75*1/(9+Rules!$B$5)</f>
        <v>2.730996813837051E-3</v>
      </c>
      <c r="K7" s="34">
        <f>$C75*Rules!$B$5/(9+Rules!$B$5)*((9+Rules!$B$5-1)/(9+Rules!$B$5))</f>
        <v>1.0083680543398343E-2</v>
      </c>
    </row>
    <row r="8" spans="1:13">
      <c r="A8" s="32">
        <v>10</v>
      </c>
      <c r="B8" s="34">
        <f>$C76*1/(9+Rules!$B$5)*(9/(9+Rules!$B$5))</f>
        <v>1.890690101887189E-3</v>
      </c>
      <c r="C8" s="34">
        <f>$C76*1/(9+Rules!$B$5)</f>
        <v>2.730996813837051E-3</v>
      </c>
      <c r="D8" s="34">
        <f>$C76*1/(9+Rules!$B$5)</f>
        <v>2.730996813837051E-3</v>
      </c>
      <c r="E8" s="34">
        <f>$C76*1/(9+Rules!$B$5)</f>
        <v>2.730996813837051E-3</v>
      </c>
      <c r="F8" s="34">
        <f>$C76*1/(9+Rules!$B$5)</f>
        <v>2.730996813837051E-3</v>
      </c>
      <c r="G8" s="34">
        <f>$C76*1/(9+Rules!$B$5)</f>
        <v>2.730996813837051E-3</v>
      </c>
      <c r="H8" s="34">
        <f>$C76*1/(9+Rules!$B$5)</f>
        <v>2.730996813837051E-3</v>
      </c>
      <c r="I8" s="34">
        <f>$C76*1/(9+Rules!$B$5)</f>
        <v>2.730996813837051E-3</v>
      </c>
      <c r="J8" s="34">
        <f>$C76*1/(9+Rules!$B$5)</f>
        <v>2.730996813837051E-3</v>
      </c>
      <c r="K8" s="34">
        <f>$C76*Rules!$B$5/(9+Rules!$B$5)*((9+Rules!$B$5-1)/(9+Rules!$B$5))</f>
        <v>1.0083680543398343E-2</v>
      </c>
    </row>
    <row r="9" spans="1:13">
      <c r="A9" s="32">
        <v>11</v>
      </c>
      <c r="B9" s="34">
        <f>$C77*1/(9+Rules!$B$5)*(9/(9+Rules!$B$5))</f>
        <v>2.5209201358495858E-3</v>
      </c>
      <c r="C9" s="34">
        <f>$C77*1/(9+Rules!$B$5)</f>
        <v>3.6413290851160683E-3</v>
      </c>
      <c r="D9" s="34">
        <f>$C77*1/(9+Rules!$B$5)</f>
        <v>3.6413290851160683E-3</v>
      </c>
      <c r="E9" s="34">
        <f>$C77*1/(9+Rules!$B$5)</f>
        <v>3.6413290851160683E-3</v>
      </c>
      <c r="F9" s="34">
        <f>$C77*1/(9+Rules!$B$5)</f>
        <v>3.6413290851160683E-3</v>
      </c>
      <c r="G9" s="34">
        <f>$C77*1/(9+Rules!$B$5)</f>
        <v>3.6413290851160683E-3</v>
      </c>
      <c r="H9" s="34">
        <f>$C77*1/(9+Rules!$B$5)</f>
        <v>3.6413290851160683E-3</v>
      </c>
      <c r="I9" s="34">
        <f>$C77*1/(9+Rules!$B$5)</f>
        <v>3.6413290851160683E-3</v>
      </c>
      <c r="J9" s="34">
        <f>$C77*1/(9+Rules!$B$5)</f>
        <v>3.6413290851160683E-3</v>
      </c>
      <c r="K9" s="34">
        <f>$C77*Rules!$B$5/(9+Rules!$B$5)*((9+Rules!$B$5-1)/(9+Rules!$B$5))</f>
        <v>1.3444907391197792E-2</v>
      </c>
    </row>
    <row r="10" spans="1:13">
      <c r="A10" s="32">
        <v>12</v>
      </c>
      <c r="B10" s="34">
        <f>$C78*1/(9+Rules!$B$5)*(9/(9+Rules!$B$5))</f>
        <v>4.4116102377367745E-3</v>
      </c>
      <c r="C10" s="34">
        <f>$C78*1/(9+Rules!$B$5)</f>
        <v>6.3723258989531193E-3</v>
      </c>
      <c r="D10" s="34">
        <f>$C78*1/(9+Rules!$B$5)</f>
        <v>6.3723258989531193E-3</v>
      </c>
      <c r="E10" s="34">
        <f>$C78*1/(9+Rules!$B$5)</f>
        <v>6.3723258989531193E-3</v>
      </c>
      <c r="F10" s="34">
        <f>$C78*1/(9+Rules!$B$5)</f>
        <v>6.3723258989531193E-3</v>
      </c>
      <c r="G10" s="34">
        <f>$C78*1/(9+Rules!$B$5)</f>
        <v>6.3723258989531193E-3</v>
      </c>
      <c r="H10" s="34">
        <f>$C78*1/(9+Rules!$B$5)</f>
        <v>6.3723258989531193E-3</v>
      </c>
      <c r="I10" s="34">
        <f>$C78*1/(9+Rules!$B$5)</f>
        <v>6.3723258989531193E-3</v>
      </c>
      <c r="J10" s="34">
        <f>$C78*1/(9+Rules!$B$5)</f>
        <v>6.3723258989531193E-3</v>
      </c>
      <c r="K10" s="34">
        <f>$C78*Rules!$B$5/(9+Rules!$B$5)*((9+Rules!$B$5-1)/(9+Rules!$B$5))</f>
        <v>2.3528587934596133E-2</v>
      </c>
    </row>
    <row r="11" spans="1:13">
      <c r="A11" s="32">
        <v>13</v>
      </c>
      <c r="B11" s="34">
        <f>$C79*1/(9+Rules!$B$5)*(9/(9+Rules!$B$5))</f>
        <v>4.4116102377367745E-3</v>
      </c>
      <c r="C11" s="34">
        <f>$C79*1/(9+Rules!$B$5)</f>
        <v>6.3723258989531193E-3</v>
      </c>
      <c r="D11" s="34">
        <f>$C79*1/(9+Rules!$B$5)</f>
        <v>6.3723258989531193E-3</v>
      </c>
      <c r="E11" s="34">
        <f>$C79*1/(9+Rules!$B$5)</f>
        <v>6.3723258989531193E-3</v>
      </c>
      <c r="F11" s="34">
        <f>$C79*1/(9+Rules!$B$5)</f>
        <v>6.3723258989531193E-3</v>
      </c>
      <c r="G11" s="34">
        <f>$C79*1/(9+Rules!$B$5)</f>
        <v>6.3723258989531193E-3</v>
      </c>
      <c r="H11" s="34">
        <f>$C79*1/(9+Rules!$B$5)</f>
        <v>6.3723258989531193E-3</v>
      </c>
      <c r="I11" s="34">
        <f>$C79*1/(9+Rules!$B$5)</f>
        <v>6.3723258989531193E-3</v>
      </c>
      <c r="J11" s="34">
        <f>$C79*1/(9+Rules!$B$5)</f>
        <v>6.3723258989531193E-3</v>
      </c>
      <c r="K11" s="34">
        <f>$C79*Rules!$B$5/(9+Rules!$B$5)*((9+Rules!$B$5-1)/(9+Rules!$B$5))</f>
        <v>2.3528587934596133E-2</v>
      </c>
    </row>
    <row r="12" spans="1:13">
      <c r="A12" s="32">
        <v>14</v>
      </c>
      <c r="B12" s="34">
        <f>$C80*1/(9+Rules!$B$5)*(9/(9+Rules!$B$5))</f>
        <v>3.781380203774378E-3</v>
      </c>
      <c r="C12" s="34">
        <f>$C80*1/(9+Rules!$B$5)</f>
        <v>5.461993627674102E-3</v>
      </c>
      <c r="D12" s="34">
        <f>$C80*1/(9+Rules!$B$5)</f>
        <v>5.461993627674102E-3</v>
      </c>
      <c r="E12" s="34">
        <f>$C80*1/(9+Rules!$B$5)</f>
        <v>5.461993627674102E-3</v>
      </c>
      <c r="F12" s="34">
        <f>$C80*1/(9+Rules!$B$5)</f>
        <v>5.461993627674102E-3</v>
      </c>
      <c r="G12" s="34">
        <f>$C80*1/(9+Rules!$B$5)</f>
        <v>5.461993627674102E-3</v>
      </c>
      <c r="H12" s="34">
        <f>$C80*1/(9+Rules!$B$5)</f>
        <v>5.461993627674102E-3</v>
      </c>
      <c r="I12" s="34">
        <f>$C80*1/(9+Rules!$B$5)</f>
        <v>5.461993627674102E-3</v>
      </c>
      <c r="J12" s="34">
        <f>$C80*1/(9+Rules!$B$5)</f>
        <v>5.461993627674102E-3</v>
      </c>
      <c r="K12" s="34">
        <f>$C80*Rules!$B$5/(9+Rules!$B$5)*((9+Rules!$B$5-1)/(9+Rules!$B$5))</f>
        <v>2.0167361086796686E-2</v>
      </c>
    </row>
    <row r="13" spans="1:13">
      <c r="A13" s="32">
        <v>15</v>
      </c>
      <c r="B13" s="34">
        <f>$C81*1/(9+Rules!$B$5)*(9/(9+Rules!$B$5))</f>
        <v>3.781380203774378E-3</v>
      </c>
      <c r="C13" s="34">
        <f>$C81*1/(9+Rules!$B$5)</f>
        <v>5.461993627674102E-3</v>
      </c>
      <c r="D13" s="34">
        <f>$C81*1/(9+Rules!$B$5)</f>
        <v>5.461993627674102E-3</v>
      </c>
      <c r="E13" s="34">
        <f>$C81*1/(9+Rules!$B$5)</f>
        <v>5.461993627674102E-3</v>
      </c>
      <c r="F13" s="34">
        <f>$C81*1/(9+Rules!$B$5)</f>
        <v>5.461993627674102E-3</v>
      </c>
      <c r="G13" s="34">
        <f>$C81*1/(9+Rules!$B$5)</f>
        <v>5.461993627674102E-3</v>
      </c>
      <c r="H13" s="34">
        <f>$C81*1/(9+Rules!$B$5)</f>
        <v>5.461993627674102E-3</v>
      </c>
      <c r="I13" s="34">
        <f>$C81*1/(9+Rules!$B$5)</f>
        <v>5.461993627674102E-3</v>
      </c>
      <c r="J13" s="34">
        <f>$C81*1/(9+Rules!$B$5)</f>
        <v>5.461993627674102E-3</v>
      </c>
      <c r="K13" s="34">
        <f>$C81*Rules!$B$5/(9+Rules!$B$5)*((9+Rules!$B$5-1)/(9+Rules!$B$5))</f>
        <v>2.0167361086796686E-2</v>
      </c>
    </row>
    <row r="14" spans="1:13">
      <c r="A14" s="32">
        <v>16</v>
      </c>
      <c r="B14" s="34">
        <f>$C82*1/(9+Rules!$B$5)*(9/(9+Rules!$B$5))</f>
        <v>3.1511501698119814E-3</v>
      </c>
      <c r="C14" s="34">
        <f>$C82*1/(9+Rules!$B$5)</f>
        <v>4.5516613563950847E-3</v>
      </c>
      <c r="D14" s="34">
        <f>$C82*1/(9+Rules!$B$5)</f>
        <v>4.5516613563950847E-3</v>
      </c>
      <c r="E14" s="34">
        <f>$C82*1/(9+Rules!$B$5)</f>
        <v>4.5516613563950847E-3</v>
      </c>
      <c r="F14" s="34">
        <f>$C82*1/(9+Rules!$B$5)</f>
        <v>4.5516613563950847E-3</v>
      </c>
      <c r="G14" s="34">
        <f>$C82*1/(9+Rules!$B$5)</f>
        <v>4.5516613563950847E-3</v>
      </c>
      <c r="H14" s="34">
        <f>$C82*1/(9+Rules!$B$5)</f>
        <v>4.5516613563950847E-3</v>
      </c>
      <c r="I14" s="34">
        <f>$C82*1/(9+Rules!$B$5)</f>
        <v>4.5516613563950847E-3</v>
      </c>
      <c r="J14" s="34">
        <f>$C82*1/(9+Rules!$B$5)</f>
        <v>4.5516613563950847E-3</v>
      </c>
      <c r="K14" s="34">
        <f>$C82*Rules!$B$5/(9+Rules!$B$5)*((9+Rules!$B$5-1)/(9+Rules!$B$5))</f>
        <v>1.6806134238997236E-2</v>
      </c>
      <c r="M14" s="122"/>
    </row>
    <row r="15" spans="1:13">
      <c r="A15" s="32">
        <v>17</v>
      </c>
      <c r="B15" s="34">
        <f>$C83*1/(9+Rules!$B$5)*(9/(9+Rules!$B$5))</f>
        <v>3.1511501698119814E-3</v>
      </c>
      <c r="C15" s="34">
        <f>$C83*1/(9+Rules!$B$5)</f>
        <v>4.5516613563950847E-3</v>
      </c>
      <c r="D15" s="34">
        <f>$C83*1/(9+Rules!$B$5)</f>
        <v>4.5516613563950847E-3</v>
      </c>
      <c r="E15" s="34">
        <f>$C83*1/(9+Rules!$B$5)</f>
        <v>4.5516613563950847E-3</v>
      </c>
      <c r="F15" s="34">
        <f>$C83*1/(9+Rules!$B$5)</f>
        <v>4.5516613563950847E-3</v>
      </c>
      <c r="G15" s="34">
        <f>$C83*1/(9+Rules!$B$5)</f>
        <v>4.5516613563950847E-3</v>
      </c>
      <c r="H15" s="34">
        <f>$C83*1/(9+Rules!$B$5)</f>
        <v>4.5516613563950847E-3</v>
      </c>
      <c r="I15" s="34">
        <f>$C83*1/(9+Rules!$B$5)</f>
        <v>4.5516613563950847E-3</v>
      </c>
      <c r="J15" s="34">
        <f>$C83*1/(9+Rules!$B$5)</f>
        <v>4.5516613563950847E-3</v>
      </c>
      <c r="K15" s="34">
        <f>$C83*Rules!$B$5/(9+Rules!$B$5)*((9+Rules!$B$5-1)/(9+Rules!$B$5))</f>
        <v>1.6806134238997236E-2</v>
      </c>
    </row>
    <row r="16" spans="1:13">
      <c r="A16" s="32">
        <v>18</v>
      </c>
      <c r="B16" s="34">
        <f>$C84*1/(9+Rules!$B$5)*(9/(9+Rules!$B$5))</f>
        <v>2.5209201358495853E-3</v>
      </c>
      <c r="C16" s="34">
        <f>$C84*1/(9+Rules!$B$5)</f>
        <v>3.6413290851160678E-3</v>
      </c>
      <c r="D16" s="34">
        <f>$C84*1/(9+Rules!$B$5)</f>
        <v>3.6413290851160678E-3</v>
      </c>
      <c r="E16" s="34">
        <f>$C84*1/(9+Rules!$B$5)</f>
        <v>3.6413290851160678E-3</v>
      </c>
      <c r="F16" s="34">
        <f>$C84*1/(9+Rules!$B$5)</f>
        <v>3.6413290851160678E-3</v>
      </c>
      <c r="G16" s="34">
        <f>$C84*1/(9+Rules!$B$5)</f>
        <v>3.6413290851160678E-3</v>
      </c>
      <c r="H16" s="34">
        <f>$C84*1/(9+Rules!$B$5)</f>
        <v>3.6413290851160678E-3</v>
      </c>
      <c r="I16" s="34">
        <f>$C84*1/(9+Rules!$B$5)</f>
        <v>3.6413290851160678E-3</v>
      </c>
      <c r="J16" s="34">
        <f>$C84*1/(9+Rules!$B$5)</f>
        <v>3.6413290851160678E-3</v>
      </c>
      <c r="K16" s="34">
        <f>$C84*Rules!$B$5/(9+Rules!$B$5)*((9+Rules!$B$5-1)/(9+Rules!$B$5))</f>
        <v>1.344490739119779E-2</v>
      </c>
    </row>
    <row r="17" spans="1:13">
      <c r="A17" s="32">
        <v>19</v>
      </c>
      <c r="B17" s="34">
        <f>$C85*1/(9+Rules!$B$5)*(9/(9+Rules!$B$5))</f>
        <v>2.5209201358495853E-3</v>
      </c>
      <c r="C17" s="34">
        <f>$C85*1/(9+Rules!$B$5)</f>
        <v>3.6413290851160678E-3</v>
      </c>
      <c r="D17" s="34">
        <f>$C85*1/(9+Rules!$B$5)</f>
        <v>3.6413290851160678E-3</v>
      </c>
      <c r="E17" s="34">
        <f>$C85*1/(9+Rules!$B$5)</f>
        <v>3.6413290851160678E-3</v>
      </c>
      <c r="F17" s="34">
        <f>$C85*1/(9+Rules!$B$5)</f>
        <v>3.6413290851160678E-3</v>
      </c>
      <c r="G17" s="34">
        <f>$C85*1/(9+Rules!$B$5)</f>
        <v>3.6413290851160678E-3</v>
      </c>
      <c r="H17" s="34">
        <f>$C85*1/(9+Rules!$B$5)</f>
        <v>3.6413290851160678E-3</v>
      </c>
      <c r="I17" s="34">
        <f>$C85*1/(9+Rules!$B$5)</f>
        <v>3.6413290851160678E-3</v>
      </c>
      <c r="J17" s="34">
        <f>$C85*1/(9+Rules!$B$5)</f>
        <v>3.6413290851160678E-3</v>
      </c>
      <c r="K17" s="34">
        <f>$C85*Rules!$B$5/(9+Rules!$B$5)*((9+Rules!$B$5-1)/(9+Rules!$B$5))</f>
        <v>1.344490739119779E-2</v>
      </c>
      <c r="M17" s="33">
        <f>SUM(B3:K17)</f>
        <v>0.67644690311963807</v>
      </c>
    </row>
    <row r="18" spans="1:13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3">
      <c r="A19" s="32">
        <v>13</v>
      </c>
      <c r="B19" s="34">
        <f>2*(1/(9+Rules!$B$5))^3*(9/(9+Rules!$B$5))</f>
        <v>6.3023003396239633E-4</v>
      </c>
      <c r="C19" s="34">
        <f>2*(1/(9+Rules!$B$5))^3</f>
        <v>9.1033227127901696E-4</v>
      </c>
      <c r="D19" s="34">
        <f>2*(1/(9+Rules!$B$5))^3</f>
        <v>9.1033227127901696E-4</v>
      </c>
      <c r="E19" s="34">
        <f>2*(1/(9+Rules!$B$5))^3</f>
        <v>9.1033227127901696E-4</v>
      </c>
      <c r="F19" s="34">
        <f>2*(1/(9+Rules!$B$5))^3</f>
        <v>9.1033227127901696E-4</v>
      </c>
      <c r="G19" s="34">
        <f>2*(1/(9+Rules!$B$5))^3</f>
        <v>9.1033227127901696E-4</v>
      </c>
      <c r="H19" s="34">
        <f>2*(1/(9+Rules!$B$5))^3</f>
        <v>9.1033227127901696E-4</v>
      </c>
      <c r="I19" s="34">
        <f>2*(1/(9+Rules!$B$5))^3</f>
        <v>9.1033227127901696E-4</v>
      </c>
      <c r="J19" s="34">
        <f>2*(1/(9+Rules!$B$5))^3</f>
        <v>9.1033227127901696E-4</v>
      </c>
      <c r="K19" s="34">
        <f>2*(1/(9+Rules!$B$5))^2*(Rules!$B$5/(9+Rules!$B$5))*((9+Rules!$B$5-1)/(9+Rules!$B$5))</f>
        <v>3.3612268477994475E-3</v>
      </c>
    </row>
    <row r="20" spans="1:13">
      <c r="A20" s="32">
        <v>14</v>
      </c>
      <c r="B20" s="34">
        <f>2*(1/(9+Rules!$B$5))^3*(9/(9+Rules!$B$5))</f>
        <v>6.3023003396239633E-4</v>
      </c>
      <c r="C20" s="34">
        <f>2*(1/(9+Rules!$B$5))^3</f>
        <v>9.1033227127901696E-4</v>
      </c>
      <c r="D20" s="34">
        <f>2*(1/(9+Rules!$B$5))^3</f>
        <v>9.1033227127901696E-4</v>
      </c>
      <c r="E20" s="34">
        <f>2*(1/(9+Rules!$B$5))^3</f>
        <v>9.1033227127901696E-4</v>
      </c>
      <c r="F20" s="34">
        <f>2*(1/(9+Rules!$B$5))^3</f>
        <v>9.1033227127901696E-4</v>
      </c>
      <c r="G20" s="34">
        <f>2*(1/(9+Rules!$B$5))^3</f>
        <v>9.1033227127901696E-4</v>
      </c>
      <c r="H20" s="34">
        <f>2*(1/(9+Rules!$B$5))^3</f>
        <v>9.1033227127901696E-4</v>
      </c>
      <c r="I20" s="34">
        <f>2*(1/(9+Rules!$B$5))^3</f>
        <v>9.1033227127901696E-4</v>
      </c>
      <c r="J20" s="34">
        <f>2*(1/(9+Rules!$B$5))^3</f>
        <v>9.1033227127901696E-4</v>
      </c>
      <c r="K20" s="34">
        <f>2*(1/(9+Rules!$B$5))^2*(Rules!$B$5/(9+Rules!$B$5))*((9+Rules!$B$5-1)/(9+Rules!$B$5))</f>
        <v>3.3612268477994475E-3</v>
      </c>
    </row>
    <row r="21" spans="1:13">
      <c r="A21" s="32">
        <v>15</v>
      </c>
      <c r="B21" s="34">
        <f>2*(1/(9+Rules!$B$5))^3*(9/(9+Rules!$B$5))</f>
        <v>6.3023003396239633E-4</v>
      </c>
      <c r="C21" s="34">
        <f>2*(1/(9+Rules!$B$5))^3</f>
        <v>9.1033227127901696E-4</v>
      </c>
      <c r="D21" s="34">
        <f>2*(1/(9+Rules!$B$5))^3</f>
        <v>9.1033227127901696E-4</v>
      </c>
      <c r="E21" s="34">
        <f>2*(1/(9+Rules!$B$5))^3</f>
        <v>9.1033227127901696E-4</v>
      </c>
      <c r="F21" s="34">
        <f>2*(1/(9+Rules!$B$5))^3</f>
        <v>9.1033227127901696E-4</v>
      </c>
      <c r="G21" s="34">
        <f>2*(1/(9+Rules!$B$5))^3</f>
        <v>9.1033227127901696E-4</v>
      </c>
      <c r="H21" s="34">
        <f>2*(1/(9+Rules!$B$5))^3</f>
        <v>9.1033227127901696E-4</v>
      </c>
      <c r="I21" s="34">
        <f>2*(1/(9+Rules!$B$5))^3</f>
        <v>9.1033227127901696E-4</v>
      </c>
      <c r="J21" s="34">
        <f>2*(1/(9+Rules!$B$5))^3</f>
        <v>9.1033227127901696E-4</v>
      </c>
      <c r="K21" s="34">
        <f>2*(1/(9+Rules!$B$5))^2*(Rules!$B$5/(9+Rules!$B$5))*((9+Rules!$B$5-1)/(9+Rules!$B$5))</f>
        <v>3.3612268477994475E-3</v>
      </c>
    </row>
    <row r="22" spans="1:13">
      <c r="A22" s="32">
        <v>16</v>
      </c>
      <c r="B22" s="34">
        <f>2*(1/(9+Rules!$B$5))^3*(9/(9+Rules!$B$5))</f>
        <v>6.3023003396239633E-4</v>
      </c>
      <c r="C22" s="34">
        <f>2*(1/(9+Rules!$B$5))^3</f>
        <v>9.1033227127901696E-4</v>
      </c>
      <c r="D22" s="34">
        <f>2*(1/(9+Rules!$B$5))^3</f>
        <v>9.1033227127901696E-4</v>
      </c>
      <c r="E22" s="34">
        <f>2*(1/(9+Rules!$B$5))^3</f>
        <v>9.1033227127901696E-4</v>
      </c>
      <c r="F22" s="34">
        <f>2*(1/(9+Rules!$B$5))^3</f>
        <v>9.1033227127901696E-4</v>
      </c>
      <c r="G22" s="34">
        <f>2*(1/(9+Rules!$B$5))^3</f>
        <v>9.1033227127901696E-4</v>
      </c>
      <c r="H22" s="34">
        <f>2*(1/(9+Rules!$B$5))^3</f>
        <v>9.1033227127901696E-4</v>
      </c>
      <c r="I22" s="34">
        <f>2*(1/(9+Rules!$B$5))^3</f>
        <v>9.1033227127901696E-4</v>
      </c>
      <c r="J22" s="34">
        <f>2*(1/(9+Rules!$B$5))^3</f>
        <v>9.1033227127901696E-4</v>
      </c>
      <c r="K22" s="34">
        <f>2*(1/(9+Rules!$B$5))^2*(Rules!$B$5/(9+Rules!$B$5))*((9+Rules!$B$5-1)/(9+Rules!$B$5))</f>
        <v>3.3612268477994475E-3</v>
      </c>
    </row>
    <row r="23" spans="1:13">
      <c r="A23" s="32">
        <v>17</v>
      </c>
      <c r="B23" s="34">
        <f>2*(1/(9+Rules!$B$5))^3*(9/(9+Rules!$B$5))</f>
        <v>6.3023003396239633E-4</v>
      </c>
      <c r="C23" s="34">
        <f>2*(1/(9+Rules!$B$5))^3</f>
        <v>9.1033227127901696E-4</v>
      </c>
      <c r="D23" s="34">
        <f>2*(1/(9+Rules!$B$5))^3</f>
        <v>9.1033227127901696E-4</v>
      </c>
      <c r="E23" s="34">
        <f>2*(1/(9+Rules!$B$5))^3</f>
        <v>9.1033227127901696E-4</v>
      </c>
      <c r="F23" s="34">
        <f>2*(1/(9+Rules!$B$5))^3</f>
        <v>9.1033227127901696E-4</v>
      </c>
      <c r="G23" s="34">
        <f>2*(1/(9+Rules!$B$5))^3</f>
        <v>9.1033227127901696E-4</v>
      </c>
      <c r="H23" s="34">
        <f>2*(1/(9+Rules!$B$5))^3</f>
        <v>9.1033227127901696E-4</v>
      </c>
      <c r="I23" s="34">
        <f>2*(1/(9+Rules!$B$5))^3</f>
        <v>9.1033227127901696E-4</v>
      </c>
      <c r="J23" s="34">
        <f>2*(1/(9+Rules!$B$5))^3</f>
        <v>9.1033227127901696E-4</v>
      </c>
      <c r="K23" s="34">
        <f>2*(1/(9+Rules!$B$5))^2*(Rules!$B$5/(9+Rules!$B$5))*((9+Rules!$B$5-1)/(9+Rules!$B$5))</f>
        <v>3.3612268477994475E-3</v>
      </c>
    </row>
    <row r="24" spans="1:13">
      <c r="A24" s="32">
        <v>18</v>
      </c>
      <c r="B24" s="34">
        <f>2*(1/(9+Rules!$B$5))^3*(9/(9+Rules!$B$5))</f>
        <v>6.3023003396239633E-4</v>
      </c>
      <c r="C24" s="34">
        <f>2*(1/(9+Rules!$B$5))^3</f>
        <v>9.1033227127901696E-4</v>
      </c>
      <c r="D24" s="34">
        <f>2*(1/(9+Rules!$B$5))^3</f>
        <v>9.1033227127901696E-4</v>
      </c>
      <c r="E24" s="34">
        <f>2*(1/(9+Rules!$B$5))^3</f>
        <v>9.1033227127901696E-4</v>
      </c>
      <c r="F24" s="34">
        <f>2*(1/(9+Rules!$B$5))^3</f>
        <v>9.1033227127901696E-4</v>
      </c>
      <c r="G24" s="34">
        <f>2*(1/(9+Rules!$B$5))^3</f>
        <v>9.1033227127901696E-4</v>
      </c>
      <c r="H24" s="34">
        <f>2*(1/(9+Rules!$B$5))^3</f>
        <v>9.1033227127901696E-4</v>
      </c>
      <c r="I24" s="34">
        <f>2*(1/(9+Rules!$B$5))^3</f>
        <v>9.1033227127901696E-4</v>
      </c>
      <c r="J24" s="34">
        <f>2*(1/(9+Rules!$B$5))^3</f>
        <v>9.1033227127901696E-4</v>
      </c>
      <c r="K24" s="34">
        <f>2*(1/(9+Rules!$B$5))^2*(Rules!$B$5/(9+Rules!$B$5))*((9+Rules!$B$5-1)/(9+Rules!$B$5))</f>
        <v>3.3612268477994475E-3</v>
      </c>
    </row>
    <row r="25" spans="1:13">
      <c r="A25" s="32">
        <v>19</v>
      </c>
      <c r="B25" s="34">
        <f>2*(1/(9+Rules!$B$5))^3*(9/(9+Rules!$B$5))</f>
        <v>6.3023003396239633E-4</v>
      </c>
      <c r="C25" s="34">
        <f>2*(1/(9+Rules!$B$5))^3</f>
        <v>9.1033227127901696E-4</v>
      </c>
      <c r="D25" s="34">
        <f>2*(1/(9+Rules!$B$5))^3</f>
        <v>9.1033227127901696E-4</v>
      </c>
      <c r="E25" s="34">
        <f>2*(1/(9+Rules!$B$5))^3</f>
        <v>9.1033227127901696E-4</v>
      </c>
      <c r="F25" s="34">
        <f>2*(1/(9+Rules!$B$5))^3</f>
        <v>9.1033227127901696E-4</v>
      </c>
      <c r="G25" s="34">
        <f>2*(1/(9+Rules!$B$5))^3</f>
        <v>9.1033227127901696E-4</v>
      </c>
      <c r="H25" s="34">
        <f>2*(1/(9+Rules!$B$5))^3</f>
        <v>9.1033227127901696E-4</v>
      </c>
      <c r="I25" s="34">
        <f>2*(1/(9+Rules!$B$5))^3</f>
        <v>9.1033227127901696E-4</v>
      </c>
      <c r="J25" s="34">
        <f>2*(1/(9+Rules!$B$5))^3</f>
        <v>9.1033227127901696E-4</v>
      </c>
      <c r="K25" s="34">
        <f>2*(1/(9+Rules!$B$5))^2*(Rules!$B$5/(9+Rules!$B$5))*((9+Rules!$B$5-1)/(9+Rules!$B$5))</f>
        <v>3.3612268477994475E-3</v>
      </c>
    </row>
    <row r="26" spans="1:13">
      <c r="A26" s="32">
        <v>20</v>
      </c>
      <c r="B26" s="34">
        <f>2*(1/(9+Rules!$B$5))^3*(9/(9+Rules!$B$5))</f>
        <v>6.3023003396239633E-4</v>
      </c>
      <c r="C26" s="34">
        <f>2*(1/(9+Rules!$B$5))^3</f>
        <v>9.1033227127901696E-4</v>
      </c>
      <c r="D26" s="34">
        <f>2*(1/(9+Rules!$B$5))^3</f>
        <v>9.1033227127901696E-4</v>
      </c>
      <c r="E26" s="34">
        <f>2*(1/(9+Rules!$B$5))^3</f>
        <v>9.1033227127901696E-4</v>
      </c>
      <c r="F26" s="34">
        <f>2*(1/(9+Rules!$B$5))^3</f>
        <v>9.1033227127901696E-4</v>
      </c>
      <c r="G26" s="34">
        <f>2*(1/(9+Rules!$B$5))^3</f>
        <v>9.1033227127901696E-4</v>
      </c>
      <c r="H26" s="34">
        <f>2*(1/(9+Rules!$B$5))^3</f>
        <v>9.1033227127901696E-4</v>
      </c>
      <c r="I26" s="34">
        <f>2*(1/(9+Rules!$B$5))^3</f>
        <v>9.1033227127901696E-4</v>
      </c>
      <c r="J26" s="34">
        <f>2*(1/(9+Rules!$B$5))^3</f>
        <v>9.1033227127901696E-4</v>
      </c>
      <c r="K26" s="34">
        <f>2*(1/(9+Rules!$B$5))^2*(Rules!$B$5/(9+Rules!$B$5))*((9+Rules!$B$5-1)/(9+Rules!$B$5))</f>
        <v>3.3612268477994475E-3</v>
      </c>
    </row>
    <row r="27" spans="1:13">
      <c r="A27" s="32">
        <v>21</v>
      </c>
      <c r="B27" s="34">
        <f>2*(1/(9+Rules!$B$5))^2*(Rules!$B$5/(9+Rules!$B$5))*(9/(9+Rules!$B$5))</f>
        <v>2.5209201358495853E-3</v>
      </c>
      <c r="C27" s="34">
        <f>2*(1/(9+Rules!$B$5))^2*(Rules!$B$5/(9+Rules!$B$5))</f>
        <v>3.6413290851160678E-3</v>
      </c>
      <c r="D27" s="34">
        <f>2*(1/(9+Rules!$B$5))^2*(Rules!$B$5/(9+Rules!$B$5))</f>
        <v>3.6413290851160678E-3</v>
      </c>
      <c r="E27" s="34">
        <f>2*(1/(9+Rules!$B$5))^2*(Rules!$B$5/(9+Rules!$B$5))</f>
        <v>3.6413290851160678E-3</v>
      </c>
      <c r="F27" s="34">
        <f>2*(1/(9+Rules!$B$5))^2*(Rules!$B$5/(9+Rules!$B$5))</f>
        <v>3.6413290851160678E-3</v>
      </c>
      <c r="G27" s="34">
        <f>2*(1/(9+Rules!$B$5))^2*(Rules!$B$5/(9+Rules!$B$5))</f>
        <v>3.6413290851160678E-3</v>
      </c>
      <c r="H27" s="34">
        <f>2*(1/(9+Rules!$B$5))^2*(Rules!$B$5/(9+Rules!$B$5))</f>
        <v>3.6413290851160678E-3</v>
      </c>
      <c r="I27" s="34">
        <f>2*(1/(9+Rules!$B$5))^2*(Rules!$B$5/(9+Rules!$B$5))</f>
        <v>3.6413290851160678E-3</v>
      </c>
      <c r="J27" s="34">
        <f>2*(1/(9+Rules!$B$5))^2*(Rules!$B$5/(9+Rules!$B$5))</f>
        <v>3.6413290851160678E-3</v>
      </c>
      <c r="K27" s="34">
        <f>2*(Rules!$B$5/(9+Rules!$B$5))^2*(1/(9+Rules!$B$5))*((9+Rules!$B$5-1)/(9+Rules!$B$5))</f>
        <v>1.344490739119779E-2</v>
      </c>
      <c r="M27" s="33">
        <f>SUM(B19:K27)</f>
        <v>0.13528938062392776</v>
      </c>
    </row>
    <row r="28" spans="1:13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3">
      <c r="A29" s="32" t="s">
        <v>1</v>
      </c>
      <c r="B29" s="34">
        <f>(1/(9+Rules!$B$5))^3*(9/(9+Rules!$B$5))</f>
        <v>3.1511501698119817E-4</v>
      </c>
      <c r="C29" s="34">
        <f>(1/(9+Rules!$B$5))^3</f>
        <v>4.5516613563950848E-4</v>
      </c>
      <c r="D29" s="34">
        <f>(1/(9+Rules!$B$5))^3</f>
        <v>4.5516613563950848E-4</v>
      </c>
      <c r="E29" s="34">
        <f>(1/(9+Rules!$B$5))^3</f>
        <v>4.5516613563950848E-4</v>
      </c>
      <c r="F29" s="34">
        <f>(1/(9+Rules!$B$5))^3</f>
        <v>4.5516613563950848E-4</v>
      </c>
      <c r="G29" s="34">
        <f>(1/(9+Rules!$B$5))^3</f>
        <v>4.5516613563950848E-4</v>
      </c>
      <c r="H29" s="34">
        <f>(1/(9+Rules!$B$5))^3</f>
        <v>4.5516613563950848E-4</v>
      </c>
      <c r="I29" s="34">
        <f>(1/(9+Rules!$B$5))^3</f>
        <v>4.5516613563950848E-4</v>
      </c>
      <c r="J29" s="34">
        <f>(1/(9+Rules!$B$5))^3</f>
        <v>4.5516613563950848E-4</v>
      </c>
      <c r="K29" s="34">
        <f>(1/(9+Rules!$B$5))^2*(Rules!$B$5/(9+Rules!$B$5))*((9+Rules!$B$5-1)/(9+Rules!$B$5))</f>
        <v>1.6806134238997238E-3</v>
      </c>
    </row>
    <row r="30" spans="1:13">
      <c r="A30" s="32">
        <v>2</v>
      </c>
      <c r="B30" s="34">
        <f>(1/(9+Rules!$B$5))^3*(9/(9+Rules!$B$5))</f>
        <v>3.1511501698119817E-4</v>
      </c>
      <c r="C30" s="34">
        <f>(1/(9+Rules!$B$5))^3</f>
        <v>4.5516613563950848E-4</v>
      </c>
      <c r="D30" s="34">
        <f>(1/(9+Rules!$B$5))^3</f>
        <v>4.5516613563950848E-4</v>
      </c>
      <c r="E30" s="34">
        <f>(1/(9+Rules!$B$5))^3</f>
        <v>4.5516613563950848E-4</v>
      </c>
      <c r="F30" s="34">
        <f>(1/(9+Rules!$B$5))^3</f>
        <v>4.5516613563950848E-4</v>
      </c>
      <c r="G30" s="34">
        <f>(1/(9+Rules!$B$5))^3</f>
        <v>4.5516613563950848E-4</v>
      </c>
      <c r="H30" s="34">
        <f>(1/(9+Rules!$B$5))^3</f>
        <v>4.5516613563950848E-4</v>
      </c>
      <c r="I30" s="34">
        <f>(1/(9+Rules!$B$5))^3</f>
        <v>4.5516613563950848E-4</v>
      </c>
      <c r="J30" s="34">
        <f>(1/(9+Rules!$B$5))^3</f>
        <v>4.5516613563950848E-4</v>
      </c>
      <c r="K30" s="34">
        <f>(1/(9+Rules!$B$5))^2*(Rules!$B$5/(9+Rules!$B$5))*((9+Rules!$B$5-1)/(9+Rules!$B$5))</f>
        <v>1.6806134238997238E-3</v>
      </c>
    </row>
    <row r="31" spans="1:13">
      <c r="A31" s="32">
        <v>3</v>
      </c>
      <c r="B31" s="34">
        <f>(1/(9+Rules!$B$5))^3*(9/(9+Rules!$B$5))</f>
        <v>3.1511501698119817E-4</v>
      </c>
      <c r="C31" s="34">
        <f>(1/(9+Rules!$B$5))^3</f>
        <v>4.5516613563950848E-4</v>
      </c>
      <c r="D31" s="34">
        <f>(1/(9+Rules!$B$5))^3</f>
        <v>4.5516613563950848E-4</v>
      </c>
      <c r="E31" s="34">
        <f>(1/(9+Rules!$B$5))^3</f>
        <v>4.5516613563950848E-4</v>
      </c>
      <c r="F31" s="34">
        <f>(1/(9+Rules!$B$5))^3</f>
        <v>4.5516613563950848E-4</v>
      </c>
      <c r="G31" s="34">
        <f>(1/(9+Rules!$B$5))^3</f>
        <v>4.5516613563950848E-4</v>
      </c>
      <c r="H31" s="34">
        <f>(1/(9+Rules!$B$5))^3</f>
        <v>4.5516613563950848E-4</v>
      </c>
      <c r="I31" s="34">
        <f>(1/(9+Rules!$B$5))^3</f>
        <v>4.5516613563950848E-4</v>
      </c>
      <c r="J31" s="34">
        <f>(1/(9+Rules!$B$5))^3</f>
        <v>4.5516613563950848E-4</v>
      </c>
      <c r="K31" s="34">
        <f>(1/(9+Rules!$B$5))^2*(Rules!$B$5/(9+Rules!$B$5))*((9+Rules!$B$5-1)/(9+Rules!$B$5))</f>
        <v>1.6806134238997238E-3</v>
      </c>
    </row>
    <row r="32" spans="1:13">
      <c r="A32" s="32">
        <v>4</v>
      </c>
      <c r="B32" s="34">
        <f>(1/(9+Rules!$B$5))^3*(9/(9+Rules!$B$5))</f>
        <v>3.1511501698119817E-4</v>
      </c>
      <c r="C32" s="34">
        <f>(1/(9+Rules!$B$5))^3</f>
        <v>4.5516613563950848E-4</v>
      </c>
      <c r="D32" s="34">
        <f>(1/(9+Rules!$B$5))^3</f>
        <v>4.5516613563950848E-4</v>
      </c>
      <c r="E32" s="34">
        <f>(1/(9+Rules!$B$5))^3</f>
        <v>4.5516613563950848E-4</v>
      </c>
      <c r="F32" s="34">
        <f>(1/(9+Rules!$B$5))^3</f>
        <v>4.5516613563950848E-4</v>
      </c>
      <c r="G32" s="34">
        <f>(1/(9+Rules!$B$5))^3</f>
        <v>4.5516613563950848E-4</v>
      </c>
      <c r="H32" s="34">
        <f>(1/(9+Rules!$B$5))^3</f>
        <v>4.5516613563950848E-4</v>
      </c>
      <c r="I32" s="34">
        <f>(1/(9+Rules!$B$5))^3</f>
        <v>4.5516613563950848E-4</v>
      </c>
      <c r="J32" s="34">
        <f>(1/(9+Rules!$B$5))^3</f>
        <v>4.5516613563950848E-4</v>
      </c>
      <c r="K32" s="34">
        <f>(1/(9+Rules!$B$5))^2*(Rules!$B$5/(9+Rules!$B$5))*((9+Rules!$B$5-1)/(9+Rules!$B$5))</f>
        <v>1.6806134238997238E-3</v>
      </c>
    </row>
    <row r="33" spans="1:13">
      <c r="A33" s="32">
        <v>5</v>
      </c>
      <c r="B33" s="34">
        <f>(1/(9+Rules!$B$5))^3*(9/(9+Rules!$B$5))</f>
        <v>3.1511501698119817E-4</v>
      </c>
      <c r="C33" s="34">
        <f>(1/(9+Rules!$B$5))^3</f>
        <v>4.5516613563950848E-4</v>
      </c>
      <c r="D33" s="34">
        <f>(1/(9+Rules!$B$5))^3</f>
        <v>4.5516613563950848E-4</v>
      </c>
      <c r="E33" s="34">
        <f>(1/(9+Rules!$B$5))^3</f>
        <v>4.5516613563950848E-4</v>
      </c>
      <c r="F33" s="34">
        <f>(1/(9+Rules!$B$5))^3</f>
        <v>4.5516613563950848E-4</v>
      </c>
      <c r="G33" s="34">
        <f>(1/(9+Rules!$B$5))^3</f>
        <v>4.5516613563950848E-4</v>
      </c>
      <c r="H33" s="34">
        <f>(1/(9+Rules!$B$5))^3</f>
        <v>4.5516613563950848E-4</v>
      </c>
      <c r="I33" s="34">
        <f>(1/(9+Rules!$B$5))^3</f>
        <v>4.5516613563950848E-4</v>
      </c>
      <c r="J33" s="34">
        <f>(1/(9+Rules!$B$5))^3</f>
        <v>4.5516613563950848E-4</v>
      </c>
      <c r="K33" s="34">
        <f>(1/(9+Rules!$B$5))^2*(Rules!$B$5/(9+Rules!$B$5))*((9+Rules!$B$5-1)/(9+Rules!$B$5))</f>
        <v>1.6806134238997238E-3</v>
      </c>
    </row>
    <row r="34" spans="1:13">
      <c r="A34" s="32">
        <v>6</v>
      </c>
      <c r="B34" s="34">
        <f>(1/(9+Rules!$B$5))^3*(9/(9+Rules!$B$5))</f>
        <v>3.1511501698119817E-4</v>
      </c>
      <c r="C34" s="34">
        <f>(1/(9+Rules!$B$5))^3</f>
        <v>4.5516613563950848E-4</v>
      </c>
      <c r="D34" s="34">
        <f>(1/(9+Rules!$B$5))^3</f>
        <v>4.5516613563950848E-4</v>
      </c>
      <c r="E34" s="34">
        <f>(1/(9+Rules!$B$5))^3</f>
        <v>4.5516613563950848E-4</v>
      </c>
      <c r="F34" s="34">
        <f>(1/(9+Rules!$B$5))^3</f>
        <v>4.5516613563950848E-4</v>
      </c>
      <c r="G34" s="34">
        <f>(1/(9+Rules!$B$5))^3</f>
        <v>4.5516613563950848E-4</v>
      </c>
      <c r="H34" s="34">
        <f>(1/(9+Rules!$B$5))^3</f>
        <v>4.5516613563950848E-4</v>
      </c>
      <c r="I34" s="34">
        <f>(1/(9+Rules!$B$5))^3</f>
        <v>4.5516613563950848E-4</v>
      </c>
      <c r="J34" s="34">
        <f>(1/(9+Rules!$B$5))^3</f>
        <v>4.5516613563950848E-4</v>
      </c>
      <c r="K34" s="34">
        <f>(1/(9+Rules!$B$5))^2*(Rules!$B$5/(9+Rules!$B$5))*((9+Rules!$B$5-1)/(9+Rules!$B$5))</f>
        <v>1.6806134238997238E-3</v>
      </c>
    </row>
    <row r="35" spans="1:13">
      <c r="A35" s="32">
        <v>7</v>
      </c>
      <c r="B35" s="34">
        <f>(1/(9+Rules!$B$5))^3*(9/(9+Rules!$B$5))</f>
        <v>3.1511501698119817E-4</v>
      </c>
      <c r="C35" s="34">
        <f>(1/(9+Rules!$B$5))^3</f>
        <v>4.5516613563950848E-4</v>
      </c>
      <c r="D35" s="34">
        <f>(1/(9+Rules!$B$5))^3</f>
        <v>4.5516613563950848E-4</v>
      </c>
      <c r="E35" s="34">
        <f>(1/(9+Rules!$B$5))^3</f>
        <v>4.5516613563950848E-4</v>
      </c>
      <c r="F35" s="34">
        <f>(1/(9+Rules!$B$5))^3</f>
        <v>4.5516613563950848E-4</v>
      </c>
      <c r="G35" s="34">
        <f>(1/(9+Rules!$B$5))^3</f>
        <v>4.5516613563950848E-4</v>
      </c>
      <c r="H35" s="34">
        <f>(1/(9+Rules!$B$5))^3</f>
        <v>4.5516613563950848E-4</v>
      </c>
      <c r="I35" s="34">
        <f>(1/(9+Rules!$B$5))^3</f>
        <v>4.5516613563950848E-4</v>
      </c>
      <c r="J35" s="34">
        <f>(1/(9+Rules!$B$5))^3</f>
        <v>4.5516613563950848E-4</v>
      </c>
      <c r="K35" s="34">
        <f>(1/(9+Rules!$B$5))^2*(Rules!$B$5/(9+Rules!$B$5))*((9+Rules!$B$5-1)/(9+Rules!$B$5))</f>
        <v>1.6806134238997238E-3</v>
      </c>
    </row>
    <row r="36" spans="1:13">
      <c r="A36" s="32">
        <v>8</v>
      </c>
      <c r="B36" s="34">
        <f>(1/(9+Rules!$B$5))^3*(9/(9+Rules!$B$5))</f>
        <v>3.1511501698119817E-4</v>
      </c>
      <c r="C36" s="34">
        <f>(1/(9+Rules!$B$5))^3</f>
        <v>4.5516613563950848E-4</v>
      </c>
      <c r="D36" s="34">
        <f>(1/(9+Rules!$B$5))^3</f>
        <v>4.5516613563950848E-4</v>
      </c>
      <c r="E36" s="34">
        <f>(1/(9+Rules!$B$5))^3</f>
        <v>4.5516613563950848E-4</v>
      </c>
      <c r="F36" s="34">
        <f>(1/(9+Rules!$B$5))^3</f>
        <v>4.5516613563950848E-4</v>
      </c>
      <c r="G36" s="34">
        <f>(1/(9+Rules!$B$5))^3</f>
        <v>4.5516613563950848E-4</v>
      </c>
      <c r="H36" s="34">
        <f>(1/(9+Rules!$B$5))^3</f>
        <v>4.5516613563950848E-4</v>
      </c>
      <c r="I36" s="34">
        <f>(1/(9+Rules!$B$5))^3</f>
        <v>4.5516613563950848E-4</v>
      </c>
      <c r="J36" s="34">
        <f>(1/(9+Rules!$B$5))^3</f>
        <v>4.5516613563950848E-4</v>
      </c>
      <c r="K36" s="34">
        <f>(1/(9+Rules!$B$5))^2*(Rules!$B$5/(9+Rules!$B$5))*((9+Rules!$B$5-1)/(9+Rules!$B$5))</f>
        <v>1.6806134238997238E-3</v>
      </c>
    </row>
    <row r="37" spans="1:13">
      <c r="A37" s="32">
        <v>9</v>
      </c>
      <c r="B37" s="34">
        <f>(1/(9+Rules!$B$5))^3*(9/(9+Rules!$B$5))</f>
        <v>3.1511501698119817E-4</v>
      </c>
      <c r="C37" s="34">
        <f>(1/(9+Rules!$B$5))^3</f>
        <v>4.5516613563950848E-4</v>
      </c>
      <c r="D37" s="34">
        <f>(1/(9+Rules!$B$5))^3</f>
        <v>4.5516613563950848E-4</v>
      </c>
      <c r="E37" s="34">
        <f>(1/(9+Rules!$B$5))^3</f>
        <v>4.5516613563950848E-4</v>
      </c>
      <c r="F37" s="34">
        <f>(1/(9+Rules!$B$5))^3</f>
        <v>4.5516613563950848E-4</v>
      </c>
      <c r="G37" s="34">
        <f>(1/(9+Rules!$B$5))^3</f>
        <v>4.5516613563950848E-4</v>
      </c>
      <c r="H37" s="34">
        <f>(1/(9+Rules!$B$5))^3</f>
        <v>4.5516613563950848E-4</v>
      </c>
      <c r="I37" s="34">
        <f>(1/(9+Rules!$B$5))^3</f>
        <v>4.5516613563950848E-4</v>
      </c>
      <c r="J37" s="34">
        <f>(1/(9+Rules!$B$5))^3</f>
        <v>4.5516613563950848E-4</v>
      </c>
      <c r="K37" s="34">
        <f>(1/(9+Rules!$B$5))^2*(Rules!$B$5/(9+Rules!$B$5))*((9+Rules!$B$5-1)/(9+Rules!$B$5))</f>
        <v>1.6806134238997238E-3</v>
      </c>
    </row>
    <row r="38" spans="1:13">
      <c r="A38" s="32">
        <v>10</v>
      </c>
      <c r="B38" s="34">
        <f>(Rules!$B$5/(9+Rules!$B$5))^2*(1/(9+Rules!$B$5))*(9/(9+Rules!$B$5))</f>
        <v>5.0418402716991707E-3</v>
      </c>
      <c r="C38" s="34">
        <f>(Rules!$B$5/(9+Rules!$B$5))^2*(1/(9+Rules!$B$5))</f>
        <v>7.2826581702321357E-3</v>
      </c>
      <c r="D38" s="34">
        <f>(Rules!$B$5/(9+Rules!$B$5))^2*(1/(9+Rules!$B$5))</f>
        <v>7.2826581702321357E-3</v>
      </c>
      <c r="E38" s="34">
        <f>(Rules!$B$5/(9+Rules!$B$5))^2*(1/(9+Rules!$B$5))</f>
        <v>7.2826581702321357E-3</v>
      </c>
      <c r="F38" s="34">
        <f>(Rules!$B$5/(9+Rules!$B$5))^2*(1/(9+Rules!$B$5))</f>
        <v>7.2826581702321357E-3</v>
      </c>
      <c r="G38" s="34">
        <f>(Rules!$B$5/(9+Rules!$B$5))^2*(1/(9+Rules!$B$5))</f>
        <v>7.2826581702321357E-3</v>
      </c>
      <c r="H38" s="34">
        <f>(Rules!$B$5/(9+Rules!$B$5))^2*(1/(9+Rules!$B$5))</f>
        <v>7.2826581702321357E-3</v>
      </c>
      <c r="I38" s="34">
        <f>(Rules!$B$5/(9+Rules!$B$5))^2*(1/(9+Rules!$B$5))</f>
        <v>7.2826581702321357E-3</v>
      </c>
      <c r="J38" s="34">
        <f>(Rules!$B$5/(9+Rules!$B$5))^2*(1/(9+Rules!$B$5))</f>
        <v>7.2826581702321357E-3</v>
      </c>
      <c r="K38" s="34">
        <f>(Rules!$B$5/(9+Rules!$B$5))^3*((9+Rules!$B$5-1)/(9+Rules!$B$5))</f>
        <v>2.688981478239558E-2</v>
      </c>
      <c r="M38" s="33">
        <f>SUM(B29:K38)</f>
        <v>0.1409264381499247</v>
      </c>
    </row>
    <row r="39" spans="1:13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3">
      <c r="A40" s="37" t="s">
        <v>11</v>
      </c>
      <c r="B40" s="38"/>
      <c r="C40" s="39">
        <f>2*(1/(9+Rules!$B$5))*(Rules!$B$5/(9+Rules!$B$5))</f>
        <v>4.7337278106508882E-2</v>
      </c>
      <c r="M40" s="33">
        <f>SUM(B3:K17,B19:K27,B29:K38)</f>
        <v>0.95266272189349366</v>
      </c>
    </row>
    <row r="41" spans="1:13">
      <c r="M41" s="33">
        <f>M40+C40</f>
        <v>1.0000000000000024</v>
      </c>
    </row>
    <row r="43" spans="1:13">
      <c r="C43" s="36" t="s">
        <v>12</v>
      </c>
    </row>
    <row r="44" spans="1:13">
      <c r="A44" s="40" t="s">
        <v>13</v>
      </c>
      <c r="B44" s="40"/>
      <c r="C44" s="40">
        <v>2</v>
      </c>
      <c r="D44" s="40">
        <v>3</v>
      </c>
      <c r="E44" s="40">
        <v>4</v>
      </c>
      <c r="F44" s="40">
        <v>5</v>
      </c>
      <c r="G44" s="40">
        <v>6</v>
      </c>
      <c r="H44" s="40">
        <v>7</v>
      </c>
      <c r="I44" s="40">
        <v>8</v>
      </c>
      <c r="J44" s="40">
        <v>9</v>
      </c>
      <c r="K44" s="40">
        <v>10</v>
      </c>
    </row>
    <row r="45" spans="1:13">
      <c r="A45" s="40">
        <v>2</v>
      </c>
      <c r="B45" s="40"/>
      <c r="D45" s="33">
        <f t="shared" ref="D45:K47" si="0">SUM(D$44,$A45)</f>
        <v>5</v>
      </c>
      <c r="E45" s="33">
        <f t="shared" si="0"/>
        <v>6</v>
      </c>
      <c r="F45" s="33">
        <f t="shared" si="0"/>
        <v>7</v>
      </c>
      <c r="G45" s="33">
        <f t="shared" si="0"/>
        <v>8</v>
      </c>
      <c r="H45" s="33">
        <f t="shared" si="0"/>
        <v>9</v>
      </c>
      <c r="I45" s="33">
        <f t="shared" si="0"/>
        <v>10</v>
      </c>
      <c r="J45" s="33">
        <f t="shared" si="0"/>
        <v>11</v>
      </c>
      <c r="K45" s="33">
        <f t="shared" si="0"/>
        <v>12</v>
      </c>
    </row>
    <row r="46" spans="1:13">
      <c r="A46" s="40">
        <v>3</v>
      </c>
      <c r="B46" s="40"/>
      <c r="C46" s="33">
        <f t="shared" ref="C46:E53" si="1">SUM(C$44,$A46)</f>
        <v>5</v>
      </c>
      <c r="E46" s="33">
        <f t="shared" si="0"/>
        <v>7</v>
      </c>
      <c r="F46" s="33">
        <f t="shared" si="0"/>
        <v>8</v>
      </c>
      <c r="G46" s="33">
        <f t="shared" si="0"/>
        <v>9</v>
      </c>
      <c r="H46" s="33">
        <f t="shared" si="0"/>
        <v>10</v>
      </c>
      <c r="I46" s="33">
        <f t="shared" si="0"/>
        <v>11</v>
      </c>
      <c r="J46" s="33">
        <f t="shared" si="0"/>
        <v>12</v>
      </c>
      <c r="K46" s="33">
        <f t="shared" si="0"/>
        <v>13</v>
      </c>
    </row>
    <row r="47" spans="1:13">
      <c r="A47" s="40">
        <v>4</v>
      </c>
      <c r="B47" s="40"/>
      <c r="C47" s="33">
        <f t="shared" si="1"/>
        <v>6</v>
      </c>
      <c r="D47" s="33">
        <f t="shared" si="1"/>
        <v>7</v>
      </c>
      <c r="F47" s="33">
        <f t="shared" si="0"/>
        <v>9</v>
      </c>
      <c r="G47" s="33">
        <f t="shared" si="0"/>
        <v>10</v>
      </c>
      <c r="H47" s="33">
        <f t="shared" si="0"/>
        <v>11</v>
      </c>
      <c r="I47" s="33">
        <f t="shared" si="0"/>
        <v>12</v>
      </c>
      <c r="J47" s="33">
        <f t="shared" si="0"/>
        <v>13</v>
      </c>
      <c r="K47" s="33">
        <f t="shared" si="0"/>
        <v>14</v>
      </c>
    </row>
    <row r="48" spans="1:13">
      <c r="A48" s="40">
        <v>5</v>
      </c>
      <c r="B48" s="40"/>
      <c r="C48" s="33">
        <f t="shared" si="1"/>
        <v>7</v>
      </c>
      <c r="D48" s="33">
        <f t="shared" si="1"/>
        <v>8</v>
      </c>
      <c r="E48" s="33">
        <f t="shared" si="1"/>
        <v>9</v>
      </c>
      <c r="G48" s="33">
        <f>SUM(G$44,$A48)</f>
        <v>11</v>
      </c>
      <c r="H48" s="33">
        <f>SUM(H$44,$A48)</f>
        <v>12</v>
      </c>
      <c r="I48" s="33">
        <f>SUM(I$44,$A48)</f>
        <v>13</v>
      </c>
      <c r="J48" s="33">
        <f>SUM(J$44,$A48)</f>
        <v>14</v>
      </c>
      <c r="K48" s="33">
        <f>SUM(K$44,$A48)</f>
        <v>15</v>
      </c>
    </row>
    <row r="49" spans="1:11">
      <c r="A49" s="40">
        <v>6</v>
      </c>
      <c r="B49" s="40"/>
      <c r="C49" s="33">
        <f t="shared" si="1"/>
        <v>8</v>
      </c>
      <c r="D49" s="33">
        <f t="shared" si="1"/>
        <v>9</v>
      </c>
      <c r="E49" s="33">
        <f t="shared" si="1"/>
        <v>10</v>
      </c>
      <c r="F49" s="33">
        <f>SUM(F$44,$A49)</f>
        <v>11</v>
      </c>
      <c r="H49" s="33">
        <f>SUM(H$44,$A49)</f>
        <v>13</v>
      </c>
      <c r="I49" s="33">
        <f>SUM(I$44,$A49)</f>
        <v>14</v>
      </c>
      <c r="J49" s="33">
        <f>SUM(J$44,$A49)</f>
        <v>15</v>
      </c>
      <c r="K49" s="33">
        <f>SUM(K$44,$A49)</f>
        <v>16</v>
      </c>
    </row>
    <row r="50" spans="1:11">
      <c r="A50" s="40">
        <v>7</v>
      </c>
      <c r="B50" s="40"/>
      <c r="C50" s="33">
        <f t="shared" si="1"/>
        <v>9</v>
      </c>
      <c r="D50" s="33">
        <f t="shared" si="1"/>
        <v>10</v>
      </c>
      <c r="E50" s="33">
        <f t="shared" si="1"/>
        <v>11</v>
      </c>
      <c r="F50" s="33">
        <f>SUM(F$44,$A50)</f>
        <v>12</v>
      </c>
      <c r="G50" s="33">
        <f>SUM(G$44,$A50)</f>
        <v>13</v>
      </c>
      <c r="I50" s="33">
        <f>SUM(I$44,$A50)</f>
        <v>15</v>
      </c>
      <c r="J50" s="33">
        <f>SUM(J$44,$A50)</f>
        <v>16</v>
      </c>
      <c r="K50" s="33">
        <f>SUM(K$44,$A50)</f>
        <v>17</v>
      </c>
    </row>
    <row r="51" spans="1:11">
      <c r="A51" s="40">
        <v>8</v>
      </c>
      <c r="B51" s="40"/>
      <c r="C51" s="33">
        <f t="shared" si="1"/>
        <v>10</v>
      </c>
      <c r="D51" s="33">
        <f t="shared" si="1"/>
        <v>11</v>
      </c>
      <c r="E51" s="33">
        <f t="shared" si="1"/>
        <v>12</v>
      </c>
      <c r="F51" s="33">
        <f>SUM(F$44,$A51)</f>
        <v>13</v>
      </c>
      <c r="G51" s="33">
        <f>SUM(G$44,$A51)</f>
        <v>14</v>
      </c>
      <c r="H51" s="33">
        <f>SUM(H$44,$A51)</f>
        <v>15</v>
      </c>
      <c r="J51" s="33">
        <f>SUM(J$44,$A51)</f>
        <v>17</v>
      </c>
      <c r="K51" s="33">
        <f>SUM(K$44,$A51)</f>
        <v>18</v>
      </c>
    </row>
    <row r="52" spans="1:11">
      <c r="A52" s="40">
        <v>9</v>
      </c>
      <c r="B52" s="40"/>
      <c r="C52" s="33">
        <f t="shared" si="1"/>
        <v>11</v>
      </c>
      <c r="D52" s="33">
        <f t="shared" si="1"/>
        <v>12</v>
      </c>
      <c r="E52" s="33">
        <f t="shared" si="1"/>
        <v>13</v>
      </c>
      <c r="F52" s="33">
        <f>SUM(F$44,$A52)</f>
        <v>14</v>
      </c>
      <c r="G52" s="33">
        <f>SUM(G$44,$A52)</f>
        <v>15</v>
      </c>
      <c r="H52" s="33">
        <f>SUM(H$44,$A52)</f>
        <v>16</v>
      </c>
      <c r="I52" s="33">
        <f>SUM(I$44,$A52)</f>
        <v>17</v>
      </c>
      <c r="K52" s="33">
        <f>SUM(K$44,$A52)</f>
        <v>19</v>
      </c>
    </row>
    <row r="53" spans="1:11">
      <c r="A53" s="40">
        <v>10</v>
      </c>
      <c r="B53" s="40"/>
      <c r="C53" s="33">
        <f t="shared" si="1"/>
        <v>12</v>
      </c>
      <c r="D53" s="33">
        <f t="shared" si="1"/>
        <v>13</v>
      </c>
      <c r="E53" s="33">
        <f t="shared" si="1"/>
        <v>14</v>
      </c>
      <c r="F53" s="33">
        <f>SUM(F$44,$A53)</f>
        <v>15</v>
      </c>
      <c r="G53" s="33">
        <f>SUM(G$44,$A53)</f>
        <v>16</v>
      </c>
      <c r="H53" s="33">
        <f>SUM(H$44,$A53)</f>
        <v>17</v>
      </c>
      <c r="I53" s="33">
        <f>SUM(I$44,$A53)</f>
        <v>18</v>
      </c>
      <c r="J53" s="33">
        <f>SUM(J$44,$A53)</f>
        <v>19</v>
      </c>
    </row>
    <row r="54" spans="1:11">
      <c r="A54" s="40" t="s">
        <v>1</v>
      </c>
      <c r="B54" s="40"/>
    </row>
    <row r="56" spans="1:11">
      <c r="C56" s="36" t="s">
        <v>12</v>
      </c>
    </row>
    <row r="57" spans="1:11">
      <c r="A57" s="40" t="s">
        <v>13</v>
      </c>
      <c r="B57" s="40"/>
      <c r="C57" s="40">
        <v>2</v>
      </c>
      <c r="D57" s="40">
        <v>3</v>
      </c>
      <c r="E57" s="40">
        <v>4</v>
      </c>
      <c r="F57" s="40">
        <v>5</v>
      </c>
      <c r="G57" s="40">
        <v>6</v>
      </c>
      <c r="H57" s="40">
        <v>7</v>
      </c>
      <c r="I57" s="40">
        <v>8</v>
      </c>
      <c r="J57" s="40">
        <v>9</v>
      </c>
      <c r="K57" s="40">
        <v>10</v>
      </c>
    </row>
    <row r="58" spans="1:11">
      <c r="A58" s="40">
        <v>2</v>
      </c>
      <c r="B58" s="40"/>
      <c r="D58" s="33">
        <f>(1/(9+Rules!$B$5))^2</f>
        <v>5.9171597633136102E-3</v>
      </c>
      <c r="E58" s="33">
        <f>(1/(9+Rules!$B$5))^2</f>
        <v>5.9171597633136102E-3</v>
      </c>
      <c r="F58" s="33">
        <f>(1/(9+Rules!$B$5))^2</f>
        <v>5.9171597633136102E-3</v>
      </c>
      <c r="G58" s="33">
        <f>(1/(9+Rules!$B$5))^2</f>
        <v>5.9171597633136102E-3</v>
      </c>
      <c r="H58" s="33">
        <f>(1/(9+Rules!$B$5))^2</f>
        <v>5.9171597633136102E-3</v>
      </c>
      <c r="I58" s="33">
        <f>(1/(9+Rules!$B$5))^2</f>
        <v>5.9171597633136102E-3</v>
      </c>
      <c r="J58" s="33">
        <f>(1/(9+Rules!$B$5))^2</f>
        <v>5.9171597633136102E-3</v>
      </c>
      <c r="K58" s="33">
        <f>(1/(9+Rules!$B$5))*(Rules!$B$5/(9+Rules!$B$5))</f>
        <v>2.3668639053254441E-2</v>
      </c>
    </row>
    <row r="59" spans="1:11">
      <c r="A59" s="40">
        <v>3</v>
      </c>
      <c r="B59" s="40"/>
      <c r="C59" s="33">
        <f>(1/(9+Rules!$B$5))^2</f>
        <v>5.9171597633136102E-3</v>
      </c>
      <c r="E59" s="33">
        <f>(1/(9+Rules!$B$5))^2</f>
        <v>5.9171597633136102E-3</v>
      </c>
      <c r="F59" s="33">
        <f>(1/(9+Rules!$B$5))^2</f>
        <v>5.9171597633136102E-3</v>
      </c>
      <c r="G59" s="33">
        <f>(1/(9+Rules!$B$5))^2</f>
        <v>5.9171597633136102E-3</v>
      </c>
      <c r="H59" s="33">
        <f>(1/(9+Rules!$B$5))^2</f>
        <v>5.9171597633136102E-3</v>
      </c>
      <c r="I59" s="33">
        <f>(1/(9+Rules!$B$5))^2</f>
        <v>5.9171597633136102E-3</v>
      </c>
      <c r="J59" s="33">
        <f>(1/(9+Rules!$B$5))^2</f>
        <v>5.9171597633136102E-3</v>
      </c>
      <c r="K59" s="33">
        <f>(1/(9+Rules!$B$5))*(Rules!$B$5/(9+Rules!$B$5))</f>
        <v>2.3668639053254441E-2</v>
      </c>
    </row>
    <row r="60" spans="1:11">
      <c r="A60" s="40">
        <v>4</v>
      </c>
      <c r="B60" s="40"/>
      <c r="C60" s="33">
        <f>(1/(9+Rules!$B$5))^2</f>
        <v>5.9171597633136102E-3</v>
      </c>
      <c r="D60" s="33">
        <f>(1/(9+Rules!$B$5))^2</f>
        <v>5.9171597633136102E-3</v>
      </c>
      <c r="F60" s="33">
        <f>(1/(9+Rules!$B$5))^2</f>
        <v>5.9171597633136102E-3</v>
      </c>
      <c r="G60" s="33">
        <f>(1/(9+Rules!$B$5))^2</f>
        <v>5.9171597633136102E-3</v>
      </c>
      <c r="H60" s="33">
        <f>(1/(9+Rules!$B$5))^2</f>
        <v>5.9171597633136102E-3</v>
      </c>
      <c r="I60" s="33">
        <f>(1/(9+Rules!$B$5))^2</f>
        <v>5.9171597633136102E-3</v>
      </c>
      <c r="J60" s="33">
        <f>(1/(9+Rules!$B$5))^2</f>
        <v>5.9171597633136102E-3</v>
      </c>
      <c r="K60" s="33">
        <f>(1/(9+Rules!$B$5))*(Rules!$B$5/(9+Rules!$B$5))</f>
        <v>2.3668639053254441E-2</v>
      </c>
    </row>
    <row r="61" spans="1:11">
      <c r="A61" s="40">
        <v>5</v>
      </c>
      <c r="B61" s="40"/>
      <c r="C61" s="33">
        <f>(1/(9+Rules!$B$5))^2</f>
        <v>5.9171597633136102E-3</v>
      </c>
      <c r="D61" s="33">
        <f>(1/(9+Rules!$B$5))^2</f>
        <v>5.9171597633136102E-3</v>
      </c>
      <c r="E61" s="33">
        <f>(1/(9+Rules!$B$5))^2</f>
        <v>5.9171597633136102E-3</v>
      </c>
      <c r="G61" s="33">
        <f>(1/(9+Rules!$B$5))^2</f>
        <v>5.9171597633136102E-3</v>
      </c>
      <c r="H61" s="33">
        <f>(1/(9+Rules!$B$5))^2</f>
        <v>5.9171597633136102E-3</v>
      </c>
      <c r="I61" s="33">
        <f>(1/(9+Rules!$B$5))^2</f>
        <v>5.9171597633136102E-3</v>
      </c>
      <c r="J61" s="33">
        <f>(1/(9+Rules!$B$5))^2</f>
        <v>5.9171597633136102E-3</v>
      </c>
      <c r="K61" s="33">
        <f>(1/(9+Rules!$B$5))*(Rules!$B$5/(9+Rules!$B$5))</f>
        <v>2.3668639053254441E-2</v>
      </c>
    </row>
    <row r="62" spans="1:11">
      <c r="A62" s="40">
        <v>6</v>
      </c>
      <c r="B62" s="40"/>
      <c r="C62" s="33">
        <f>(1/(9+Rules!$B$5))^2</f>
        <v>5.9171597633136102E-3</v>
      </c>
      <c r="D62" s="33">
        <f>(1/(9+Rules!$B$5))^2</f>
        <v>5.9171597633136102E-3</v>
      </c>
      <c r="E62" s="33">
        <f>(1/(9+Rules!$B$5))^2</f>
        <v>5.9171597633136102E-3</v>
      </c>
      <c r="F62" s="33">
        <f>(1/(9+Rules!$B$5))^2</f>
        <v>5.9171597633136102E-3</v>
      </c>
      <c r="H62" s="33">
        <f>(1/(9+Rules!$B$5))^2</f>
        <v>5.9171597633136102E-3</v>
      </c>
      <c r="I62" s="33">
        <f>(1/(9+Rules!$B$5))^2</f>
        <v>5.9171597633136102E-3</v>
      </c>
      <c r="J62" s="33">
        <f>(1/(9+Rules!$B$5))^2</f>
        <v>5.9171597633136102E-3</v>
      </c>
      <c r="K62" s="33">
        <f>(1/(9+Rules!$B$5))*(Rules!$B$5/(9+Rules!$B$5))</f>
        <v>2.3668639053254441E-2</v>
      </c>
    </row>
    <row r="63" spans="1:11">
      <c r="A63" s="40">
        <v>7</v>
      </c>
      <c r="B63" s="40"/>
      <c r="C63" s="33">
        <f>(1/(9+Rules!$B$5))^2</f>
        <v>5.9171597633136102E-3</v>
      </c>
      <c r="D63" s="33">
        <f>(1/(9+Rules!$B$5))^2</f>
        <v>5.9171597633136102E-3</v>
      </c>
      <c r="E63" s="33">
        <f>(1/(9+Rules!$B$5))^2</f>
        <v>5.9171597633136102E-3</v>
      </c>
      <c r="F63" s="33">
        <f>(1/(9+Rules!$B$5))^2</f>
        <v>5.9171597633136102E-3</v>
      </c>
      <c r="G63" s="33">
        <f>(1/(9+Rules!$B$5))^2</f>
        <v>5.9171597633136102E-3</v>
      </c>
      <c r="I63" s="33">
        <f>(1/(9+Rules!$B$5))^2</f>
        <v>5.9171597633136102E-3</v>
      </c>
      <c r="J63" s="33">
        <f>(1/(9+Rules!$B$5))^2</f>
        <v>5.9171597633136102E-3</v>
      </c>
      <c r="K63" s="33">
        <f>(1/(9+Rules!$B$5))*(Rules!$B$5/(9+Rules!$B$5))</f>
        <v>2.3668639053254441E-2</v>
      </c>
    </row>
    <row r="64" spans="1:11">
      <c r="A64" s="40">
        <v>8</v>
      </c>
      <c r="B64" s="40"/>
      <c r="C64" s="33">
        <f>(1/(9+Rules!$B$5))^2</f>
        <v>5.9171597633136102E-3</v>
      </c>
      <c r="D64" s="33">
        <f>(1/(9+Rules!$B$5))^2</f>
        <v>5.9171597633136102E-3</v>
      </c>
      <c r="E64" s="33">
        <f>(1/(9+Rules!$B$5))^2</f>
        <v>5.9171597633136102E-3</v>
      </c>
      <c r="F64" s="33">
        <f>(1/(9+Rules!$B$5))^2</f>
        <v>5.9171597633136102E-3</v>
      </c>
      <c r="G64" s="33">
        <f>(1/(9+Rules!$B$5))^2</f>
        <v>5.9171597633136102E-3</v>
      </c>
      <c r="H64" s="33">
        <f>(1/(9+Rules!$B$5))^2</f>
        <v>5.9171597633136102E-3</v>
      </c>
      <c r="J64" s="33">
        <f>(1/(9+Rules!$B$5))^2</f>
        <v>5.9171597633136102E-3</v>
      </c>
      <c r="K64" s="33">
        <f>(1/(9+Rules!$B$5))*(Rules!$B$5/(9+Rules!$B$5))</f>
        <v>2.3668639053254441E-2</v>
      </c>
    </row>
    <row r="65" spans="1:11">
      <c r="A65" s="40">
        <v>9</v>
      </c>
      <c r="B65" s="40"/>
      <c r="C65" s="33">
        <f>(1/(9+Rules!$B$5))^2</f>
        <v>5.9171597633136102E-3</v>
      </c>
      <c r="D65" s="33">
        <f>(1/(9+Rules!$B$5))^2</f>
        <v>5.9171597633136102E-3</v>
      </c>
      <c r="E65" s="33">
        <f>(1/(9+Rules!$B$5))^2</f>
        <v>5.9171597633136102E-3</v>
      </c>
      <c r="F65" s="33">
        <f>(1/(9+Rules!$B$5))^2</f>
        <v>5.9171597633136102E-3</v>
      </c>
      <c r="G65" s="33">
        <f>(1/(9+Rules!$B$5))^2</f>
        <v>5.9171597633136102E-3</v>
      </c>
      <c r="H65" s="33">
        <f>(1/(9+Rules!$B$5))^2</f>
        <v>5.9171597633136102E-3</v>
      </c>
      <c r="I65" s="33">
        <f>(1/(9+Rules!$B$5))^2</f>
        <v>5.9171597633136102E-3</v>
      </c>
      <c r="K65" s="33">
        <f>(1/(9+Rules!$B$5))*(Rules!$B$5/(9+Rules!$B$5))</f>
        <v>2.3668639053254441E-2</v>
      </c>
    </row>
    <row r="66" spans="1:11">
      <c r="A66" s="40">
        <v>10</v>
      </c>
      <c r="B66" s="40"/>
      <c r="C66" s="33">
        <f>(1/(9+Rules!$B$5))*(Rules!$B$5/(9+Rules!$B$5))</f>
        <v>2.3668639053254441E-2</v>
      </c>
      <c r="D66" s="33">
        <f>(1/(9+Rules!$B$5))*(Rules!$B$5/(9+Rules!$B$5))</f>
        <v>2.3668639053254441E-2</v>
      </c>
      <c r="E66" s="33">
        <f>(1/(9+Rules!$B$5))*(Rules!$B$5/(9+Rules!$B$5))</f>
        <v>2.3668639053254441E-2</v>
      </c>
      <c r="F66" s="33">
        <f>(1/(9+Rules!$B$5))*(Rules!$B$5/(9+Rules!$B$5))</f>
        <v>2.3668639053254441E-2</v>
      </c>
      <c r="G66" s="33">
        <f>(1/(9+Rules!$B$5))*(Rules!$B$5/(9+Rules!$B$5))</f>
        <v>2.3668639053254441E-2</v>
      </c>
      <c r="H66" s="33">
        <f>(1/(9+Rules!$B$5))*(Rules!$B$5/(9+Rules!$B$5))</f>
        <v>2.3668639053254441E-2</v>
      </c>
      <c r="I66" s="33">
        <f>(1/(9+Rules!$B$5))*(Rules!$B$5/(9+Rules!$B$5))</f>
        <v>2.3668639053254441E-2</v>
      </c>
      <c r="J66" s="33">
        <f>(1/(9+Rules!$B$5))*(Rules!$B$5/(9+Rules!$B$5))</f>
        <v>2.3668639053254441E-2</v>
      </c>
    </row>
    <row r="67" spans="1:11">
      <c r="A67" s="40" t="s">
        <v>1</v>
      </c>
      <c r="B67" s="40"/>
    </row>
    <row r="69" spans="1:11">
      <c r="A69" s="40"/>
      <c r="B69" s="40"/>
    </row>
    <row r="70" spans="1:11">
      <c r="A70" s="33" t="s">
        <v>9</v>
      </c>
      <c r="C70" s="33" t="s">
        <v>14</v>
      </c>
      <c r="E70" s="33" t="s">
        <v>15</v>
      </c>
    </row>
    <row r="71" spans="1:11" ht="16">
      <c r="A71" s="33">
        <v>5</v>
      </c>
      <c r="C71" s="33">
        <f t="shared" ref="C71:C85" si="2">SUMIF($C$45:$K$53,A71,$C$58:$K$66)</f>
        <v>1.183431952662722E-2</v>
      </c>
      <c r="E71" s="41">
        <f>C71</f>
        <v>1.183431952662722E-2</v>
      </c>
    </row>
    <row r="72" spans="1:11" ht="16">
      <c r="A72" s="33">
        <v>6</v>
      </c>
      <c r="C72" s="33">
        <f t="shared" si="2"/>
        <v>1.183431952662722E-2</v>
      </c>
      <c r="E72" s="41">
        <f t="shared" ref="E72:E85" si="3">C72</f>
        <v>1.183431952662722E-2</v>
      </c>
    </row>
    <row r="73" spans="1:11" ht="16">
      <c r="A73" s="33">
        <v>7</v>
      </c>
      <c r="C73" s="33">
        <f t="shared" si="2"/>
        <v>2.3668639053254441E-2</v>
      </c>
      <c r="E73" s="41">
        <f t="shared" si="3"/>
        <v>2.3668639053254441E-2</v>
      </c>
    </row>
    <row r="74" spans="1:11" ht="16">
      <c r="A74" s="33">
        <v>8</v>
      </c>
      <c r="C74" s="33">
        <f t="shared" si="2"/>
        <v>2.3668639053254441E-2</v>
      </c>
      <c r="E74" s="41">
        <f t="shared" si="3"/>
        <v>2.3668639053254441E-2</v>
      </c>
    </row>
    <row r="75" spans="1:11" ht="16">
      <c r="A75" s="33">
        <v>9</v>
      </c>
      <c r="C75" s="33">
        <f t="shared" si="2"/>
        <v>3.5502958579881665E-2</v>
      </c>
      <c r="E75" s="41">
        <f t="shared" si="3"/>
        <v>3.5502958579881665E-2</v>
      </c>
    </row>
    <row r="76" spans="1:11" ht="16">
      <c r="A76" s="33">
        <v>10</v>
      </c>
      <c r="C76" s="33">
        <f t="shared" si="2"/>
        <v>3.5502958579881665E-2</v>
      </c>
      <c r="E76" s="41">
        <f t="shared" si="3"/>
        <v>3.5502958579881665E-2</v>
      </c>
    </row>
    <row r="77" spans="1:11" ht="16">
      <c r="A77" s="33">
        <v>11</v>
      </c>
      <c r="C77" s="33">
        <f t="shared" si="2"/>
        <v>4.7337278106508889E-2</v>
      </c>
      <c r="E77" s="41">
        <f t="shared" si="3"/>
        <v>4.7337278106508889E-2</v>
      </c>
    </row>
    <row r="78" spans="1:11" ht="16">
      <c r="A78" s="33">
        <v>12</v>
      </c>
      <c r="C78" s="33">
        <f t="shared" si="2"/>
        <v>8.2840236686390553E-2</v>
      </c>
      <c r="E78" s="41">
        <f t="shared" si="3"/>
        <v>8.2840236686390553E-2</v>
      </c>
    </row>
    <row r="79" spans="1:11" ht="16">
      <c r="A79" s="33">
        <v>13</v>
      </c>
      <c r="C79" s="33">
        <f t="shared" si="2"/>
        <v>8.2840236686390553E-2</v>
      </c>
      <c r="E79" s="41">
        <f t="shared" si="3"/>
        <v>8.2840236686390553E-2</v>
      </c>
    </row>
    <row r="80" spans="1:11" ht="16">
      <c r="A80" s="33">
        <v>14</v>
      </c>
      <c r="C80" s="33">
        <f t="shared" si="2"/>
        <v>7.1005917159763329E-2</v>
      </c>
      <c r="E80" s="41">
        <f t="shared" si="3"/>
        <v>7.1005917159763329E-2</v>
      </c>
    </row>
    <row r="81" spans="1:5" ht="16">
      <c r="A81" s="33">
        <v>15</v>
      </c>
      <c r="C81" s="33">
        <f t="shared" si="2"/>
        <v>7.1005917159763329E-2</v>
      </c>
      <c r="E81" s="41">
        <f t="shared" si="3"/>
        <v>7.1005917159763329E-2</v>
      </c>
    </row>
    <row r="82" spans="1:5" ht="16">
      <c r="A82" s="33">
        <v>16</v>
      </c>
      <c r="C82" s="33">
        <f t="shared" si="2"/>
        <v>5.9171597633136105E-2</v>
      </c>
      <c r="E82" s="41">
        <f t="shared" si="3"/>
        <v>5.9171597633136105E-2</v>
      </c>
    </row>
    <row r="83" spans="1:5" ht="16">
      <c r="A83" s="33">
        <v>17</v>
      </c>
      <c r="C83" s="33">
        <f t="shared" si="2"/>
        <v>5.9171597633136105E-2</v>
      </c>
      <c r="E83" s="41">
        <f t="shared" si="3"/>
        <v>5.9171597633136105E-2</v>
      </c>
    </row>
    <row r="84" spans="1:5" ht="16">
      <c r="A84" s="33">
        <v>18</v>
      </c>
      <c r="C84" s="33">
        <f t="shared" si="2"/>
        <v>4.7337278106508882E-2</v>
      </c>
      <c r="E84" s="41">
        <f t="shared" si="3"/>
        <v>4.7337278106508882E-2</v>
      </c>
    </row>
    <row r="85" spans="1:5" ht="16">
      <c r="A85" s="33">
        <v>19</v>
      </c>
      <c r="C85" s="33">
        <f t="shared" si="2"/>
        <v>4.7337278106508882E-2</v>
      </c>
      <c r="E85" s="41">
        <f t="shared" si="3"/>
        <v>4.7337278106508882E-2</v>
      </c>
    </row>
    <row r="87" spans="1:5">
      <c r="C87" s="33">
        <f>SUM(C71:C86)</f>
        <v>0.71005917159763332</v>
      </c>
    </row>
  </sheetData>
  <sheetProtection sheet="1" objects="1" scenarios="1"/>
  <mergeCells count="1">
    <mergeCell ref="A1:K1"/>
  </mergeCells>
  <phoneticPr fontId="16" type="noConversion"/>
  <conditionalFormatting sqref="B19:K27 B29:K39 B3:K17">
    <cfRule type="containsText" dxfId="694" priority="15" operator="containsText" text="R">
      <formula>NOT(ISERROR(SEARCH("R",B3)))</formula>
    </cfRule>
    <cfRule type="containsText" dxfId="693" priority="16" operator="containsText" text="D">
      <formula>NOT(ISERROR(SEARCH("D",B3)))</formula>
    </cfRule>
    <cfRule type="containsText" dxfId="692" priority="17" operator="containsText" text="S">
      <formula>NOT(ISERROR(SEARCH("S",B3)))</formula>
    </cfRule>
    <cfRule type="containsText" dxfId="691" priority="18" operator="containsText" text="H">
      <formula>NOT(ISERROR(SEARCH("H",B3)))</formula>
    </cfRule>
  </conditionalFormatting>
  <conditionalFormatting sqref="B19:K27 B29:K39 B3:K17">
    <cfRule type="containsText" dxfId="690" priority="14" operator="containsText" text="P">
      <formula>NOT(ISERROR(SEARCH("P",B3)))</formula>
    </cfRule>
  </conditionalFormatting>
  <conditionalFormatting sqref="C43">
    <cfRule type="containsText" dxfId="689" priority="10" operator="containsText" text="R">
      <formula>NOT(ISERROR(SEARCH("R",C43)))</formula>
    </cfRule>
    <cfRule type="containsText" dxfId="688" priority="11" operator="containsText" text="D">
      <formula>NOT(ISERROR(SEARCH("D",C43)))</formula>
    </cfRule>
    <cfRule type="containsText" dxfId="687" priority="12" operator="containsText" text="S">
      <formula>NOT(ISERROR(SEARCH("S",C43)))</formula>
    </cfRule>
    <cfRule type="containsText" dxfId="686" priority="13" operator="containsText" text="H">
      <formula>NOT(ISERROR(SEARCH("H",C43)))</formula>
    </cfRule>
  </conditionalFormatting>
  <conditionalFormatting sqref="C43">
    <cfRule type="containsText" dxfId="685" priority="9" operator="containsText" text="P">
      <formula>NOT(ISERROR(SEARCH("P",C43)))</formula>
    </cfRule>
  </conditionalFormatting>
  <conditionalFormatting sqref="C56">
    <cfRule type="containsText" dxfId="684" priority="5" operator="containsText" text="R">
      <formula>NOT(ISERROR(SEARCH("R",C56)))</formula>
    </cfRule>
    <cfRule type="containsText" dxfId="683" priority="6" operator="containsText" text="D">
      <formula>NOT(ISERROR(SEARCH("D",C56)))</formula>
    </cfRule>
    <cfRule type="containsText" dxfId="682" priority="7" operator="containsText" text="S">
      <formula>NOT(ISERROR(SEARCH("S",C56)))</formula>
    </cfRule>
    <cfRule type="containsText" dxfId="681" priority="8" operator="containsText" text="H">
      <formula>NOT(ISERROR(SEARCH("H",C56)))</formula>
    </cfRule>
  </conditionalFormatting>
  <conditionalFormatting sqref="C56">
    <cfRule type="containsText" dxfId="680" priority="4" operator="containsText" text="P">
      <formula>NOT(ISERROR(SEARCH("P",C56)))</formula>
    </cfRule>
  </conditionalFormatting>
  <conditionalFormatting sqref="B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000000000000011" bottom="0.75000000000000011" header="0.30000000000000004" footer="0.30000000000000004"/>
  <pageSetup paperSize="9" scale="3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2:AF122"/>
  <sheetViews>
    <sheetView topLeftCell="A105" zoomScale="85" workbookViewId="0">
      <selection activeCell="C17" sqref="C17"/>
    </sheetView>
  </sheetViews>
  <sheetFormatPr baseColWidth="10" defaultColWidth="11" defaultRowHeight="16"/>
  <cols>
    <col min="2" max="3" width="12" bestFit="1" customWidth="1"/>
  </cols>
  <sheetData>
    <row r="2" spans="1:18">
      <c r="A2" s="33"/>
      <c r="B2" s="33"/>
      <c r="C2" s="36" t="s">
        <v>12</v>
      </c>
      <c r="D2" s="33"/>
      <c r="E2" s="33"/>
      <c r="F2" s="33"/>
      <c r="G2" s="33"/>
      <c r="H2" s="33"/>
      <c r="I2" s="33"/>
      <c r="J2" s="33"/>
      <c r="K2" s="33"/>
      <c r="N2" t="s">
        <v>90</v>
      </c>
      <c r="O2" t="s">
        <v>14</v>
      </c>
      <c r="Q2" t="s">
        <v>91</v>
      </c>
      <c r="R2" t="s">
        <v>14</v>
      </c>
    </row>
    <row r="3" spans="1:18">
      <c r="A3" s="40" t="s">
        <v>13</v>
      </c>
      <c r="B3" s="40"/>
      <c r="C3" s="40">
        <v>2</v>
      </c>
      <c r="D3" s="40">
        <v>3</v>
      </c>
      <c r="E3" s="40">
        <v>4</v>
      </c>
      <c r="F3" s="40">
        <v>5</v>
      </c>
      <c r="G3" s="40">
        <v>6</v>
      </c>
      <c r="H3" s="40">
        <v>7</v>
      </c>
      <c r="I3" s="40">
        <v>8</v>
      </c>
      <c r="J3" s="40">
        <v>9</v>
      </c>
      <c r="K3" s="40">
        <v>10</v>
      </c>
      <c r="L3" s="40">
        <v>1</v>
      </c>
      <c r="N3" s="33">
        <v>4</v>
      </c>
      <c r="O3">
        <f>SUMIF($C$4:$K$12,N3,$C$17:$K$25)</f>
        <v>5.9171597633136093E-3</v>
      </c>
      <c r="Q3">
        <v>12</v>
      </c>
      <c r="R3">
        <f>SUMIF($L$4:$L$13,Q3,$L$17:$L$26)+SUMIF($C$13:$K$13,Q3,$C$26:$K$26)</f>
        <v>5.9171597633136093E-3</v>
      </c>
    </row>
    <row r="4" spans="1:18">
      <c r="A4" s="40">
        <v>2</v>
      </c>
      <c r="B4" s="40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18">
      <c r="A5" s="40">
        <v>3</v>
      </c>
      <c r="B5" s="40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33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18">
      <c r="A6" s="40">
        <v>4</v>
      </c>
      <c r="B6" s="40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>
        <v>7</v>
      </c>
      <c r="O6">
        <f t="shared" si="1"/>
        <v>2.3668639053254441E-2</v>
      </c>
      <c r="Q6">
        <v>15</v>
      </c>
      <c r="R6">
        <f t="shared" si="4"/>
        <v>1.183431952662722E-2</v>
      </c>
    </row>
    <row r="7" spans="1:18">
      <c r="A7" s="40">
        <v>5</v>
      </c>
      <c r="B7" s="40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33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18">
      <c r="A8" s="40">
        <v>6</v>
      </c>
      <c r="B8" s="40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18">
      <c r="A9" s="40">
        <v>7</v>
      </c>
      <c r="B9" s="40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33">
        <v>10</v>
      </c>
      <c r="O9">
        <f t="shared" si="1"/>
        <v>4.142011834319527E-2</v>
      </c>
      <c r="Q9">
        <v>18</v>
      </c>
      <c r="R9">
        <f t="shared" si="4"/>
        <v>1.183431952662722E-2</v>
      </c>
    </row>
    <row r="10" spans="1:18">
      <c r="A10" s="40">
        <v>8</v>
      </c>
      <c r="B10" s="40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18">
      <c r="A11" s="40">
        <v>9</v>
      </c>
      <c r="B11" s="40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33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18">
      <c r="A12" s="40">
        <v>10</v>
      </c>
      <c r="B12" s="40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18">
      <c r="A13" s="40">
        <v>1</v>
      </c>
      <c r="B13" s="40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33">
        <v>14</v>
      </c>
      <c r="O13">
        <f t="shared" si="1"/>
        <v>7.6923076923076941E-2</v>
      </c>
    </row>
    <row r="14" spans="1:18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>
        <v>15</v>
      </c>
      <c r="O14">
        <f t="shared" si="1"/>
        <v>7.1005917159763329E-2</v>
      </c>
      <c r="R14">
        <f>SUM(R3:R13)</f>
        <v>0.14792899408284027</v>
      </c>
    </row>
    <row r="15" spans="1:18">
      <c r="A15" s="33"/>
      <c r="B15" s="33"/>
      <c r="C15" s="36" t="s">
        <v>12</v>
      </c>
      <c r="D15" s="33"/>
      <c r="E15" s="33"/>
      <c r="F15" s="33"/>
      <c r="G15" s="33"/>
      <c r="H15" s="33"/>
      <c r="I15" s="33"/>
      <c r="J15" s="33"/>
      <c r="K15" s="33"/>
      <c r="N15" s="33">
        <v>16</v>
      </c>
      <c r="O15">
        <f t="shared" si="1"/>
        <v>6.5088757396449717E-2</v>
      </c>
      <c r="R15">
        <f>R14+O23</f>
        <v>1.0000000000000002</v>
      </c>
    </row>
    <row r="16" spans="1:18">
      <c r="A16" s="40" t="s">
        <v>13</v>
      </c>
      <c r="B16" s="40"/>
      <c r="C16" s="40">
        <v>2</v>
      </c>
      <c r="D16" s="40">
        <v>3</v>
      </c>
      <c r="E16" s="40">
        <v>4</v>
      </c>
      <c r="F16" s="40">
        <v>5</v>
      </c>
      <c r="G16" s="40">
        <v>6</v>
      </c>
      <c r="H16" s="40">
        <v>7</v>
      </c>
      <c r="I16" s="40">
        <v>8</v>
      </c>
      <c r="J16" s="40">
        <v>9</v>
      </c>
      <c r="K16" s="40">
        <v>10</v>
      </c>
      <c r="L16" s="40">
        <v>1</v>
      </c>
      <c r="N16">
        <v>17</v>
      </c>
      <c r="O16">
        <f t="shared" si="1"/>
        <v>5.9171597633136105E-2</v>
      </c>
    </row>
    <row r="17" spans="1:32">
      <c r="A17" s="40">
        <v>2</v>
      </c>
      <c r="B17" s="40"/>
      <c r="C17" s="33">
        <f>1/(9+Rules!$B$5)^2</f>
        <v>5.9171597633136093E-3</v>
      </c>
      <c r="D17" s="33">
        <f>(1/(9+Rules!$B$5))^2</f>
        <v>5.9171597633136102E-3</v>
      </c>
      <c r="E17" s="33">
        <f>(1/(9+Rules!$B$5))^2</f>
        <v>5.9171597633136102E-3</v>
      </c>
      <c r="F17" s="33">
        <f>(1/(9+Rules!$B$5))^2</f>
        <v>5.9171597633136102E-3</v>
      </c>
      <c r="G17" s="33">
        <f>(1/(9+Rules!$B$5))^2</f>
        <v>5.9171597633136102E-3</v>
      </c>
      <c r="H17" s="33">
        <f>(1/(9+Rules!$B$5))^2</f>
        <v>5.9171597633136102E-3</v>
      </c>
      <c r="I17" s="33">
        <f>(1/(9+Rules!$B$5))^2</f>
        <v>5.9171597633136102E-3</v>
      </c>
      <c r="J17" s="33">
        <f>(1/(9+Rules!$B$5))^2</f>
        <v>5.9171597633136102E-3</v>
      </c>
      <c r="K17" s="33">
        <f>(1/(9+Rules!$B$5))*(Rules!$B$5/(9+Rules!$B$5))</f>
        <v>2.3668639053254441E-2</v>
      </c>
      <c r="L17" s="33">
        <f>(1/(9+Rules!$B$5))^2</f>
        <v>5.9171597633136102E-3</v>
      </c>
      <c r="N17" s="33">
        <v>18</v>
      </c>
      <c r="O17">
        <f t="shared" si="1"/>
        <v>5.3254437869822494E-2</v>
      </c>
    </row>
    <row r="18" spans="1:32">
      <c r="A18" s="40">
        <v>3</v>
      </c>
      <c r="B18" s="40"/>
      <c r="C18" s="33">
        <f>(1/(9+Rules!$B$5))^2</f>
        <v>5.9171597633136102E-3</v>
      </c>
      <c r="D18" s="33">
        <f>1/(9+Rules!$B$5)^2</f>
        <v>5.9171597633136093E-3</v>
      </c>
      <c r="E18" s="33">
        <f>(1/(9+Rules!$B$5))^2</f>
        <v>5.9171597633136102E-3</v>
      </c>
      <c r="F18" s="33">
        <f>(1/(9+Rules!$B$5))^2</f>
        <v>5.9171597633136102E-3</v>
      </c>
      <c r="G18" s="33">
        <f>(1/(9+Rules!$B$5))^2</f>
        <v>5.9171597633136102E-3</v>
      </c>
      <c r="H18" s="33">
        <f>(1/(9+Rules!$B$5))^2</f>
        <v>5.9171597633136102E-3</v>
      </c>
      <c r="I18" s="33">
        <f>(1/(9+Rules!$B$5))^2</f>
        <v>5.9171597633136102E-3</v>
      </c>
      <c r="J18" s="33">
        <f>(1/(9+Rules!$B$5))^2</f>
        <v>5.9171597633136102E-3</v>
      </c>
      <c r="K18" s="33">
        <f>(1/(9+Rules!$B$5))*(Rules!$B$5/(9+Rules!$B$5))</f>
        <v>2.3668639053254441E-2</v>
      </c>
      <c r="L18" s="33">
        <f>(1/(9+Rules!$B$5))^2</f>
        <v>5.9171597633136102E-3</v>
      </c>
      <c r="N18">
        <v>19</v>
      </c>
      <c r="O18">
        <f t="shared" si="1"/>
        <v>4.7337278106508882E-2</v>
      </c>
    </row>
    <row r="19" spans="1:32">
      <c r="A19" s="40">
        <v>4</v>
      </c>
      <c r="B19" s="40"/>
      <c r="C19" s="33">
        <f>(1/(9+Rules!$B$5))^2</f>
        <v>5.9171597633136102E-3</v>
      </c>
      <c r="D19" s="33">
        <f>(1/(9+Rules!$B$5))^2</f>
        <v>5.9171597633136102E-3</v>
      </c>
      <c r="E19" s="33">
        <f>1/(9+Rules!$B$5)^2</f>
        <v>5.9171597633136093E-3</v>
      </c>
      <c r="F19" s="33">
        <f>(1/(9+Rules!$B$5))^2</f>
        <v>5.9171597633136102E-3</v>
      </c>
      <c r="G19" s="33">
        <f>(1/(9+Rules!$B$5))^2</f>
        <v>5.9171597633136102E-3</v>
      </c>
      <c r="H19" s="33">
        <f>(1/(9+Rules!$B$5))^2</f>
        <v>5.9171597633136102E-3</v>
      </c>
      <c r="I19" s="33">
        <f>(1/(9+Rules!$B$5))^2</f>
        <v>5.9171597633136102E-3</v>
      </c>
      <c r="J19" s="33">
        <f>(1/(9+Rules!$B$5))^2</f>
        <v>5.9171597633136102E-3</v>
      </c>
      <c r="K19" s="33">
        <f>(1/(9+Rules!$B$5))*(Rules!$B$5/(9+Rules!$B$5))</f>
        <v>2.3668639053254441E-2</v>
      </c>
      <c r="L19" s="33">
        <f>(1/(9+Rules!$B$5))^2</f>
        <v>5.9171597633136102E-3</v>
      </c>
      <c r="N19" s="33">
        <v>20</v>
      </c>
      <c r="O19">
        <f t="shared" si="1"/>
        <v>9.4674556213017763E-2</v>
      </c>
    </row>
    <row r="20" spans="1:32">
      <c r="A20" s="40">
        <v>5</v>
      </c>
      <c r="B20" s="40"/>
      <c r="C20" s="33">
        <f>(1/(9+Rules!$B$5))^2</f>
        <v>5.9171597633136102E-3</v>
      </c>
      <c r="D20" s="33">
        <f>(1/(9+Rules!$B$5))^2</f>
        <v>5.9171597633136102E-3</v>
      </c>
      <c r="E20" s="33">
        <f>(1/(9+Rules!$B$5))^2</f>
        <v>5.9171597633136102E-3</v>
      </c>
      <c r="F20" s="33">
        <f>1/(9+Rules!$B$5)^2</f>
        <v>5.9171597633136093E-3</v>
      </c>
      <c r="G20" s="33">
        <f>(1/(9+Rules!$B$5))^2</f>
        <v>5.9171597633136102E-3</v>
      </c>
      <c r="H20" s="33">
        <f>(1/(9+Rules!$B$5))^2</f>
        <v>5.9171597633136102E-3</v>
      </c>
      <c r="I20" s="33">
        <f>(1/(9+Rules!$B$5))^2</f>
        <v>5.9171597633136102E-3</v>
      </c>
      <c r="J20" s="33">
        <f>(1/(9+Rules!$B$5))^2</f>
        <v>5.9171597633136102E-3</v>
      </c>
      <c r="K20" s="33">
        <f>(1/(9+Rules!$B$5))*(Rules!$B$5/(9+Rules!$B$5))</f>
        <v>2.3668639053254441E-2</v>
      </c>
      <c r="L20" s="33">
        <f>(1/(9+Rules!$B$5))^2</f>
        <v>5.9171597633136102E-3</v>
      </c>
    </row>
    <row r="21" spans="1:32">
      <c r="A21" s="40">
        <v>6</v>
      </c>
      <c r="B21" s="40"/>
      <c r="C21" s="33">
        <f>(1/(9+Rules!$B$5))^2</f>
        <v>5.9171597633136102E-3</v>
      </c>
      <c r="D21" s="33">
        <f>(1/(9+Rules!$B$5))^2</f>
        <v>5.9171597633136102E-3</v>
      </c>
      <c r="E21" s="33">
        <f>(1/(9+Rules!$B$5))^2</f>
        <v>5.9171597633136102E-3</v>
      </c>
      <c r="F21" s="33">
        <f>(1/(9+Rules!$B$5))^2</f>
        <v>5.9171597633136102E-3</v>
      </c>
      <c r="G21" s="33">
        <f>1/(9+Rules!$B$5)^2</f>
        <v>5.9171597633136093E-3</v>
      </c>
      <c r="H21" s="33">
        <f>(1/(9+Rules!$B$5))^2</f>
        <v>5.9171597633136102E-3</v>
      </c>
      <c r="I21" s="33">
        <f>(1/(9+Rules!$B$5))^2</f>
        <v>5.9171597633136102E-3</v>
      </c>
      <c r="J21" s="33">
        <f>(1/(9+Rules!$B$5))^2</f>
        <v>5.9171597633136102E-3</v>
      </c>
      <c r="K21" s="33">
        <f>(1/(9+Rules!$B$5))*(Rules!$B$5/(9+Rules!$B$5))</f>
        <v>2.3668639053254441E-2</v>
      </c>
      <c r="L21" s="33">
        <f>(1/(9+Rules!$B$5))^2</f>
        <v>5.9171597633136102E-3</v>
      </c>
    </row>
    <row r="22" spans="1:32">
      <c r="A22" s="40">
        <v>7</v>
      </c>
      <c r="B22" s="40"/>
      <c r="C22" s="33">
        <f>(1/(9+Rules!$B$5))^2</f>
        <v>5.9171597633136102E-3</v>
      </c>
      <c r="D22" s="33">
        <f>(1/(9+Rules!$B$5))^2</f>
        <v>5.9171597633136102E-3</v>
      </c>
      <c r="E22" s="33">
        <f>(1/(9+Rules!$B$5))^2</f>
        <v>5.9171597633136102E-3</v>
      </c>
      <c r="F22" s="33">
        <f>(1/(9+Rules!$B$5))^2</f>
        <v>5.9171597633136102E-3</v>
      </c>
      <c r="G22" s="33">
        <f>(1/(9+Rules!$B$5))^2</f>
        <v>5.9171597633136102E-3</v>
      </c>
      <c r="H22" s="33">
        <f>1/(9+Rules!$B$5)^2</f>
        <v>5.9171597633136093E-3</v>
      </c>
      <c r="I22" s="33">
        <f>(1/(9+Rules!$B$5))^2</f>
        <v>5.9171597633136102E-3</v>
      </c>
      <c r="J22" s="33">
        <f>(1/(9+Rules!$B$5))^2</f>
        <v>5.9171597633136102E-3</v>
      </c>
      <c r="K22" s="33">
        <f>(1/(9+Rules!$B$5))*(Rules!$B$5/(9+Rules!$B$5))</f>
        <v>2.3668639053254441E-2</v>
      </c>
      <c r="L22" s="33">
        <f>(1/(9+Rules!$B$5))^2</f>
        <v>5.9171597633136102E-3</v>
      </c>
    </row>
    <row r="23" spans="1:32">
      <c r="A23" s="40">
        <v>8</v>
      </c>
      <c r="B23" s="40"/>
      <c r="C23" s="33">
        <f>(1/(9+Rules!$B$5))^2</f>
        <v>5.9171597633136102E-3</v>
      </c>
      <c r="D23" s="33">
        <f>(1/(9+Rules!$B$5))^2</f>
        <v>5.9171597633136102E-3</v>
      </c>
      <c r="E23" s="33">
        <f>(1/(9+Rules!$B$5))^2</f>
        <v>5.9171597633136102E-3</v>
      </c>
      <c r="F23" s="33">
        <f>(1/(9+Rules!$B$5))^2</f>
        <v>5.9171597633136102E-3</v>
      </c>
      <c r="G23" s="33">
        <f>(1/(9+Rules!$B$5))^2</f>
        <v>5.9171597633136102E-3</v>
      </c>
      <c r="H23" s="33">
        <f>(1/(9+Rules!$B$5))^2</f>
        <v>5.9171597633136102E-3</v>
      </c>
      <c r="I23" s="33">
        <f>1/(9+Rules!$B$5)^2</f>
        <v>5.9171597633136093E-3</v>
      </c>
      <c r="J23" s="33">
        <f>(1/(9+Rules!$B$5))^2</f>
        <v>5.9171597633136102E-3</v>
      </c>
      <c r="K23" s="33">
        <f>(1/(9+Rules!$B$5))*(Rules!$B$5/(9+Rules!$B$5))</f>
        <v>2.3668639053254441E-2</v>
      </c>
      <c r="L23" s="33">
        <f>(1/(9+Rules!$B$5))^2</f>
        <v>5.9171597633136102E-3</v>
      </c>
      <c r="O23">
        <f>SUM(O3:O22)</f>
        <v>0.8520710059171599</v>
      </c>
      <c r="S23" t="s">
        <v>97</v>
      </c>
      <c r="T23">
        <f>SUM(O16:O19,R10:R12)</f>
        <v>0.32544378698224863</v>
      </c>
    </row>
    <row r="24" spans="1:32">
      <c r="A24" s="40">
        <v>9</v>
      </c>
      <c r="B24" s="40"/>
      <c r="C24" s="33">
        <f>(1/(9+Rules!$B$5))^2</f>
        <v>5.9171597633136102E-3</v>
      </c>
      <c r="D24" s="33">
        <f>(1/(9+Rules!$B$5))^2</f>
        <v>5.9171597633136102E-3</v>
      </c>
      <c r="E24" s="33">
        <f>(1/(9+Rules!$B$5))^2</f>
        <v>5.9171597633136102E-3</v>
      </c>
      <c r="F24" s="33">
        <f>(1/(9+Rules!$B$5))^2</f>
        <v>5.9171597633136102E-3</v>
      </c>
      <c r="G24" s="33">
        <f>(1/(9+Rules!$B$5))^2</f>
        <v>5.9171597633136102E-3</v>
      </c>
      <c r="H24" s="33">
        <f>(1/(9+Rules!$B$5))^2</f>
        <v>5.9171597633136102E-3</v>
      </c>
      <c r="I24" s="33">
        <f>(1/(9+Rules!$B$5))^2</f>
        <v>5.9171597633136102E-3</v>
      </c>
      <c r="J24" s="33">
        <f>1/(9+Rules!$B$5)^2</f>
        <v>5.9171597633136093E-3</v>
      </c>
      <c r="K24" s="33">
        <f>(1/(9+Rules!$B$5))*(Rules!$B$5/(9+Rules!$B$5))</f>
        <v>2.3668639053254441E-2</v>
      </c>
      <c r="L24" s="33">
        <f>(1/(9+Rules!$B$5))^2</f>
        <v>5.9171597633136102E-3</v>
      </c>
    </row>
    <row r="25" spans="1:32">
      <c r="A25" s="40">
        <v>10</v>
      </c>
      <c r="B25" s="40"/>
      <c r="C25" s="33">
        <f>(1/(9+Rules!$B$5))*(Rules!$B$5/(9+Rules!$B$5))</f>
        <v>2.3668639053254441E-2</v>
      </c>
      <c r="D25" s="33">
        <f>(1/(9+Rules!$B$5))*(Rules!$B$5/(9+Rules!$B$5))</f>
        <v>2.3668639053254441E-2</v>
      </c>
      <c r="E25" s="33">
        <f>(1/(9+Rules!$B$5))*(Rules!$B$5/(9+Rules!$B$5))</f>
        <v>2.3668639053254441E-2</v>
      </c>
      <c r="F25" s="33">
        <f>(1/(9+Rules!$B$5))*(Rules!$B$5/(9+Rules!$B$5))</f>
        <v>2.3668639053254441E-2</v>
      </c>
      <c r="G25" s="33">
        <f>(1/(9+Rules!$B$5))*(Rules!$B$5/(9+Rules!$B$5))</f>
        <v>2.3668639053254441E-2</v>
      </c>
      <c r="H25" s="33">
        <f>(1/(9+Rules!$B$5))*(Rules!$B$5/(9+Rules!$B$5))</f>
        <v>2.3668639053254441E-2</v>
      </c>
      <c r="I25" s="33">
        <f>(1/(9+Rules!$B$5))*(Rules!$B$5/(9+Rules!$B$5))</f>
        <v>2.3668639053254441E-2</v>
      </c>
      <c r="J25" s="33">
        <f>(1/(9+Rules!$B$5))*(Rules!$B$5/(9+Rules!$B$5))</f>
        <v>2.3668639053254441E-2</v>
      </c>
      <c r="K25" s="33">
        <f>(Rules!$B$5/(9+Rules!$B$5))^2</f>
        <v>9.4674556213017763E-2</v>
      </c>
      <c r="L25" s="33">
        <f>(1/(9+Rules!$B$5))*(Rules!$B$5/(9+Rules!$B$5))</f>
        <v>2.3668639053254441E-2</v>
      </c>
    </row>
    <row r="26" spans="1:32">
      <c r="A26" s="40">
        <v>1</v>
      </c>
      <c r="C26" s="33">
        <f>(1/(9+Rules!$B$5))^2</f>
        <v>5.9171597633136102E-3</v>
      </c>
      <c r="D26" s="33">
        <f>(1/(9+Rules!$B$5))^2</f>
        <v>5.9171597633136102E-3</v>
      </c>
      <c r="E26" s="33">
        <f>(1/(9+Rules!$B$5))^2</f>
        <v>5.9171597633136102E-3</v>
      </c>
      <c r="F26" s="33">
        <f>(1/(9+Rules!$B$5))^2</f>
        <v>5.9171597633136102E-3</v>
      </c>
      <c r="G26" s="33">
        <f>(1/(9+Rules!$B$5))^2</f>
        <v>5.9171597633136102E-3</v>
      </c>
      <c r="H26" s="33">
        <f>(1/(9+Rules!$B$5))^2</f>
        <v>5.9171597633136102E-3</v>
      </c>
      <c r="I26" s="33">
        <f>(1/(9+Rules!$B$5))^2</f>
        <v>5.9171597633136102E-3</v>
      </c>
      <c r="J26" s="33">
        <f>(1/(9+Rules!$B$5))^2</f>
        <v>5.9171597633136102E-3</v>
      </c>
      <c r="K26" s="33">
        <f>(1/(9+Rules!$B$5))*(Rules!$B$5/(9+Rules!$B$5))</f>
        <v>2.3668639053254441E-2</v>
      </c>
      <c r="L26" s="33">
        <f>1/(9+Rules!$B$5)^2</f>
        <v>5.9171597633136093E-3</v>
      </c>
    </row>
    <row r="29" spans="1:32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>
      <c r="A30">
        <v>4</v>
      </c>
      <c r="B30">
        <f>O3</f>
        <v>5.9171597633136093E-3</v>
      </c>
      <c r="C30">
        <f>$B30*1/(9+Rules!$B$5)</f>
        <v>4.5516613563950843E-4</v>
      </c>
      <c r="D30">
        <f>$B30*1/(9+Rules!$B$5)</f>
        <v>4.5516613563950843E-4</v>
      </c>
      <c r="E30">
        <f>$B30*1/(9+Rules!$B$5)</f>
        <v>4.5516613563950843E-4</v>
      </c>
      <c r="F30">
        <f>$B30*1/(9+Rules!$B$5)</f>
        <v>4.5516613563950843E-4</v>
      </c>
      <c r="G30">
        <f>$B30*1/(9+Rules!$B$5)</f>
        <v>4.5516613563950843E-4</v>
      </c>
      <c r="H30">
        <f>$B30*1/(9+Rules!$B$5)</f>
        <v>4.5516613563950843E-4</v>
      </c>
      <c r="I30">
        <f>$B30*1/(9+Rules!$B$5)</f>
        <v>4.5516613563950843E-4</v>
      </c>
      <c r="J30">
        <f>$B30*1/(9+Rules!$B$5)</f>
        <v>4.5516613563950843E-4</v>
      </c>
      <c r="K30">
        <f>$B30*1/(9+Rules!$B$5)</f>
        <v>4.5516613563950843E-4</v>
      </c>
      <c r="L30">
        <f>$B30*Rules!$B$5/(9+Rules!$B$5)</f>
        <v>1.8206645425580337E-3</v>
      </c>
    </row>
    <row r="31" spans="1:32">
      <c r="A31">
        <v>5</v>
      </c>
      <c r="B31">
        <f t="shared" ref="B31:B42" si="6">O4</f>
        <v>1.183431952662722E-2</v>
      </c>
      <c r="D31">
        <f>$B31*1/(9+Rules!$B$5)</f>
        <v>9.1033227127901696E-4</v>
      </c>
      <c r="E31">
        <f>$B31*1/(9+Rules!$B$5)</f>
        <v>9.1033227127901696E-4</v>
      </c>
      <c r="F31">
        <f>$B31*1/(9+Rules!$B$5)</f>
        <v>9.1033227127901696E-4</v>
      </c>
      <c r="G31">
        <f>$B31*1/(9+Rules!$B$5)</f>
        <v>9.1033227127901696E-4</v>
      </c>
      <c r="H31">
        <f>$B31*1/(9+Rules!$B$5)</f>
        <v>9.1033227127901696E-4</v>
      </c>
      <c r="I31">
        <f>$B31*1/(9+Rules!$B$5)</f>
        <v>9.1033227127901696E-4</v>
      </c>
      <c r="J31">
        <f>$B31*1/(9+Rules!$B$5)</f>
        <v>9.1033227127901696E-4</v>
      </c>
      <c r="K31">
        <f>$B31*1/(9+Rules!$B$5)</f>
        <v>9.1033227127901696E-4</v>
      </c>
      <c r="L31">
        <f>$B31*1/(9+Rules!$B$5)</f>
        <v>9.1033227127901696E-4</v>
      </c>
      <c r="M31">
        <f>$B31*Rules!$B$5/(9+Rules!$B$5)</f>
        <v>3.6413290851160678E-3</v>
      </c>
    </row>
    <row r="32" spans="1:32">
      <c r="A32">
        <v>6</v>
      </c>
      <c r="B32">
        <f t="shared" si="6"/>
        <v>1.7751479289940829E-2</v>
      </c>
      <c r="E32">
        <f>$B32*1/(9+Rules!$B$5)</f>
        <v>1.3654984069185253E-3</v>
      </c>
      <c r="F32">
        <f>$B$32*1/(9+Rules!$B$5)</f>
        <v>1.3654984069185253E-3</v>
      </c>
      <c r="G32">
        <f>$B$32*1/(9+Rules!$B$5)</f>
        <v>1.3654984069185253E-3</v>
      </c>
      <c r="H32">
        <f>$B$32*1/(9+Rules!$B$5)</f>
        <v>1.3654984069185253E-3</v>
      </c>
      <c r="I32">
        <f>$B$32*1/(9+Rules!$B$5)</f>
        <v>1.3654984069185253E-3</v>
      </c>
      <c r="J32">
        <f>$B$32*1/(9+Rules!$B$5)</f>
        <v>1.3654984069185253E-3</v>
      </c>
      <c r="K32">
        <f>$B$32*1/(9+Rules!$B$5)</f>
        <v>1.3654984069185253E-3</v>
      </c>
      <c r="L32">
        <f>$B$32*1/(9+Rules!$B$5)</f>
        <v>1.3654984069185253E-3</v>
      </c>
      <c r="M32">
        <f>$B$32*1/(9+Rules!$B$5)</f>
        <v>1.3654984069185253E-3</v>
      </c>
      <c r="N32">
        <f>$B32*Rules!$B$5/(9+Rules!$B$5)</f>
        <v>5.4619936276741011E-3</v>
      </c>
    </row>
    <row r="33" spans="1:28">
      <c r="A33">
        <v>7</v>
      </c>
      <c r="B33">
        <f t="shared" si="6"/>
        <v>2.3668639053254441E-2</v>
      </c>
      <c r="F33">
        <f>$B33*1/(9+Rules!$B$5)</f>
        <v>1.8206645425580339E-3</v>
      </c>
      <c r="G33">
        <f>$B33*1/(9+Rules!$B$5)</f>
        <v>1.8206645425580339E-3</v>
      </c>
      <c r="H33">
        <f>$B33*1/(9+Rules!$B$5)</f>
        <v>1.8206645425580339E-3</v>
      </c>
      <c r="I33">
        <f>$B33*1/(9+Rules!$B$5)</f>
        <v>1.8206645425580339E-3</v>
      </c>
      <c r="J33">
        <f>$B33*1/(9+Rules!$B$5)</f>
        <v>1.8206645425580339E-3</v>
      </c>
      <c r="K33">
        <f>$B33*1/(9+Rules!$B$5)</f>
        <v>1.8206645425580339E-3</v>
      </c>
      <c r="L33">
        <f>$B33*1/(9+Rules!$B$5)</f>
        <v>1.8206645425580339E-3</v>
      </c>
      <c r="M33">
        <f>$B33*1/(9+Rules!$B$5)</f>
        <v>1.8206645425580339E-3</v>
      </c>
      <c r="N33">
        <f>$B33*1/(9+Rules!$B$5)</f>
        <v>1.8206645425580339E-3</v>
      </c>
      <c r="O33">
        <f>$B33*Rules!$B$5/(9+Rules!$B$5)</f>
        <v>7.2826581702321357E-3</v>
      </c>
    </row>
    <row r="34" spans="1:28">
      <c r="A34">
        <v>8</v>
      </c>
      <c r="B34">
        <f t="shared" si="6"/>
        <v>2.9585798816568053E-2</v>
      </c>
      <c r="G34">
        <f>$B34*1/(9+Rules!$B$5)</f>
        <v>2.2758306781975423E-3</v>
      </c>
      <c r="H34">
        <f>$B34*1/(9+Rules!$B$5)</f>
        <v>2.2758306781975423E-3</v>
      </c>
      <c r="I34">
        <f>$B34*1/(9+Rules!$B$5)</f>
        <v>2.2758306781975423E-3</v>
      </c>
      <c r="J34">
        <f>$B34*1/(9+Rules!$B$5)</f>
        <v>2.2758306781975423E-3</v>
      </c>
      <c r="K34">
        <f>$B34*1/(9+Rules!$B$5)</f>
        <v>2.2758306781975423E-3</v>
      </c>
      <c r="L34">
        <f>$B34*1/(9+Rules!$B$5)</f>
        <v>2.2758306781975423E-3</v>
      </c>
      <c r="M34">
        <f>$B34*1/(9+Rules!$B$5)</f>
        <v>2.2758306781975423E-3</v>
      </c>
      <c r="N34">
        <f>$B34*1/(9+Rules!$B$5)</f>
        <v>2.2758306781975423E-3</v>
      </c>
      <c r="O34">
        <f>$B34*1/(9+Rules!$B$5)</f>
        <v>2.2758306781975423E-3</v>
      </c>
      <c r="P34">
        <f>$B34*Rules!$B$5/(9+Rules!$B$5)</f>
        <v>9.1033227127901694E-3</v>
      </c>
    </row>
    <row r="35" spans="1:28">
      <c r="A35">
        <v>9</v>
      </c>
      <c r="B35">
        <f t="shared" si="6"/>
        <v>3.5502958579881665E-2</v>
      </c>
      <c r="H35">
        <f>$B35*1/(9+Rules!$B$5)</f>
        <v>2.730996813837051E-3</v>
      </c>
      <c r="I35">
        <f>$B35*1/(9+Rules!$B$5)</f>
        <v>2.730996813837051E-3</v>
      </c>
      <c r="J35">
        <f>$B35*1/(9+Rules!$B$5)</f>
        <v>2.730996813837051E-3</v>
      </c>
      <c r="K35">
        <f>$B35*1/(9+Rules!$B$5)</f>
        <v>2.730996813837051E-3</v>
      </c>
      <c r="L35">
        <f>$B35*1/(9+Rules!$B$5)</f>
        <v>2.730996813837051E-3</v>
      </c>
      <c r="M35">
        <f>$B35*1/(9+Rules!$B$5)</f>
        <v>2.730996813837051E-3</v>
      </c>
      <c r="N35">
        <f>$B35*1/(9+Rules!$B$5)</f>
        <v>2.730996813837051E-3</v>
      </c>
      <c r="O35">
        <f>$B35*1/(9+Rules!$B$5)</f>
        <v>2.730996813837051E-3</v>
      </c>
      <c r="P35">
        <f>$B35*1/(9+Rules!$B$5)</f>
        <v>2.730996813837051E-3</v>
      </c>
      <c r="Q35">
        <f>$B35*Rules!$B$5/(9+Rules!$B$5)</f>
        <v>1.0923987255348204E-2</v>
      </c>
    </row>
    <row r="36" spans="1:28">
      <c r="A36">
        <v>10</v>
      </c>
      <c r="B36">
        <f t="shared" si="6"/>
        <v>4.142011834319527E-2</v>
      </c>
      <c r="I36">
        <f>$B36*1/(9+Rules!$B$5)</f>
        <v>3.1861629494765592E-3</v>
      </c>
      <c r="J36">
        <f>$B36*1/(9+Rules!$B$5)</f>
        <v>3.1861629494765592E-3</v>
      </c>
      <c r="K36">
        <f>$B36*1/(9+Rules!$B$5)</f>
        <v>3.1861629494765592E-3</v>
      </c>
      <c r="L36">
        <f>$B36*1/(9+Rules!$B$5)</f>
        <v>3.1861629494765592E-3</v>
      </c>
      <c r="M36">
        <f>$B36*1/(9+Rules!$B$5)</f>
        <v>3.1861629494765592E-3</v>
      </c>
      <c r="N36">
        <f>$B36*1/(9+Rules!$B$5)</f>
        <v>3.1861629494765592E-3</v>
      </c>
      <c r="O36">
        <f>$B36*1/(9+Rules!$B$5)</f>
        <v>3.1861629494765592E-3</v>
      </c>
      <c r="P36">
        <f>$B36*1/(9+Rules!$B$5)</f>
        <v>3.1861629494765592E-3</v>
      </c>
      <c r="Q36">
        <f>$B36*1/(9+Rules!$B$5)</f>
        <v>3.1861629494765592E-3</v>
      </c>
      <c r="R36">
        <f>$B36*Rules!$B$5/(9+Rules!$B$5)</f>
        <v>1.2744651797906237E-2</v>
      </c>
    </row>
    <row r="37" spans="1:28">
      <c r="A37">
        <v>11</v>
      </c>
      <c r="B37">
        <f t="shared" si="6"/>
        <v>4.7337278106508889E-2</v>
      </c>
      <c r="J37">
        <f>$B37*1/(9+Rules!$B$5)</f>
        <v>3.6413290851160683E-3</v>
      </c>
      <c r="K37">
        <f>$B37*1/(9+Rules!$B$5)</f>
        <v>3.6413290851160683E-3</v>
      </c>
      <c r="L37">
        <f>$B37*1/(9+Rules!$B$5)</f>
        <v>3.6413290851160683E-3</v>
      </c>
      <c r="M37">
        <f>$B37*1/(9+Rules!$B$5)</f>
        <v>3.6413290851160683E-3</v>
      </c>
      <c r="N37">
        <f>$B37*1/(9+Rules!$B$5)</f>
        <v>3.6413290851160683E-3</v>
      </c>
      <c r="O37">
        <f>$B37*1/(9+Rules!$B$5)</f>
        <v>3.6413290851160683E-3</v>
      </c>
      <c r="P37">
        <f>$B37*1/(9+Rules!$B$5)</f>
        <v>3.6413290851160683E-3</v>
      </c>
      <c r="Q37">
        <f>$B37*1/(9+Rules!$B$5)</f>
        <v>3.6413290851160683E-3</v>
      </c>
      <c r="R37">
        <f>$B37*1/(9+Rules!$B$5)</f>
        <v>3.6413290851160683E-3</v>
      </c>
      <c r="S37">
        <f>$B37*Rules!$B$5/(9+Rules!$B$5)</f>
        <v>1.4565316340464273E-2</v>
      </c>
    </row>
    <row r="38" spans="1:28">
      <c r="A38">
        <v>12</v>
      </c>
      <c r="B38">
        <f t="shared" si="6"/>
        <v>8.8757396449704151E-2</v>
      </c>
      <c r="K38">
        <f>$B38*1/(9+Rules!$B$5)</f>
        <v>6.8274920345926266E-3</v>
      </c>
      <c r="L38">
        <f>$B38*1/(9+Rules!$B$5)</f>
        <v>6.8274920345926266E-3</v>
      </c>
      <c r="M38">
        <f>$B38*1/(9+Rules!$B$5)</f>
        <v>6.8274920345926266E-3</v>
      </c>
      <c r="N38">
        <f>$B38*1/(9+Rules!$B$5)</f>
        <v>6.8274920345926266E-3</v>
      </c>
      <c r="O38">
        <f>$B38*1/(9+Rules!$B$5)</f>
        <v>6.8274920345926266E-3</v>
      </c>
      <c r="P38">
        <f>$B38*1/(9+Rules!$B$5)</f>
        <v>6.8274920345926266E-3</v>
      </c>
      <c r="Q38">
        <f>$B38*1/(9+Rules!$B$5)</f>
        <v>6.8274920345926266E-3</v>
      </c>
      <c r="R38">
        <f>$B38*1/(9+Rules!$B$5)</f>
        <v>6.8274920345926266E-3</v>
      </c>
      <c r="S38">
        <f>$B38*1/(9+Rules!$B$5)</f>
        <v>6.8274920345926266E-3</v>
      </c>
      <c r="T38">
        <f>$B38*Rules!$B$5/(9+Rules!$B$5)</f>
        <v>2.7309968138370506E-2</v>
      </c>
    </row>
    <row r="39" spans="1:28">
      <c r="A39">
        <v>13</v>
      </c>
      <c r="B39">
        <f t="shared" si="6"/>
        <v>8.2840236686390553E-2</v>
      </c>
      <c r="L39">
        <f>$B39*1/(9+Rules!$B$5)</f>
        <v>6.3723258989531193E-3</v>
      </c>
      <c r="M39">
        <f>$B39*1/(9+Rules!$B$5)</f>
        <v>6.3723258989531193E-3</v>
      </c>
      <c r="N39">
        <f>$B39*1/(9+Rules!$B$5)</f>
        <v>6.3723258989531193E-3</v>
      </c>
      <c r="O39">
        <f>$B39*1/(9+Rules!$B$5)</f>
        <v>6.3723258989531193E-3</v>
      </c>
      <c r="P39">
        <f>$B39*1/(9+Rules!$B$5)</f>
        <v>6.3723258989531193E-3</v>
      </c>
      <c r="Q39">
        <f>$B39*1/(9+Rules!$B$5)</f>
        <v>6.3723258989531193E-3</v>
      </c>
      <c r="R39">
        <f>$B39*1/(9+Rules!$B$5)</f>
        <v>6.3723258989531193E-3</v>
      </c>
      <c r="S39">
        <f>$B39*1/(9+Rules!$B$5)</f>
        <v>6.3723258989531193E-3</v>
      </c>
      <c r="T39">
        <f>$B39*1/(9+Rules!$B$5)</f>
        <v>6.3723258989531193E-3</v>
      </c>
      <c r="U39">
        <f>$B39*Rules!$B$5/(9+Rules!$B$5)</f>
        <v>2.5489303595812477E-2</v>
      </c>
    </row>
    <row r="40" spans="1:28">
      <c r="A40">
        <v>14</v>
      </c>
      <c r="B40">
        <f t="shared" si="6"/>
        <v>7.6923076923076941E-2</v>
      </c>
      <c r="M40">
        <f>$B40*1/(9+Rules!$B$5)</f>
        <v>5.9171597633136111E-3</v>
      </c>
      <c r="N40">
        <f>$B40*1/(9+Rules!$B$5)</f>
        <v>5.9171597633136111E-3</v>
      </c>
      <c r="O40">
        <f>$B40*1/(9+Rules!$B$5)</f>
        <v>5.9171597633136111E-3</v>
      </c>
      <c r="P40">
        <f>$B40*1/(9+Rules!$B$5)</f>
        <v>5.9171597633136111E-3</v>
      </c>
      <c r="Q40">
        <f>$B40*1/(9+Rules!$B$5)</f>
        <v>5.9171597633136111E-3</v>
      </c>
      <c r="R40">
        <f>$B40*1/(9+Rules!$B$5)</f>
        <v>5.9171597633136111E-3</v>
      </c>
      <c r="S40">
        <f>$B40*1/(9+Rules!$B$5)</f>
        <v>5.9171597633136111E-3</v>
      </c>
      <c r="T40">
        <f>$B40*1/(9+Rules!$B$5)</f>
        <v>5.9171597633136111E-3</v>
      </c>
      <c r="U40">
        <f>$B40*1/(9+Rules!$B$5)</f>
        <v>5.9171597633136111E-3</v>
      </c>
      <c r="V40">
        <f>$B40*Rules!$B$5/(9+Rules!$B$5)</f>
        <v>2.3668639053254444E-2</v>
      </c>
    </row>
    <row r="41" spans="1:28">
      <c r="A41">
        <v>15</v>
      </c>
      <c r="B41">
        <f t="shared" si="6"/>
        <v>7.1005917159763329E-2</v>
      </c>
      <c r="N41">
        <f>$B41*1/(9+Rules!$B$5)</f>
        <v>5.461993627674102E-3</v>
      </c>
      <c r="O41">
        <f>$B41*1/(9+Rules!$B$5)</f>
        <v>5.461993627674102E-3</v>
      </c>
      <c r="P41">
        <f>$B41*1/(9+Rules!$B$5)</f>
        <v>5.461993627674102E-3</v>
      </c>
      <c r="Q41">
        <f>$B41*1/(9+Rules!$B$5)</f>
        <v>5.461993627674102E-3</v>
      </c>
      <c r="R41">
        <f>$B41*1/(9+Rules!$B$5)</f>
        <v>5.461993627674102E-3</v>
      </c>
      <c r="S41">
        <f>$B41*1/(9+Rules!$B$5)</f>
        <v>5.461993627674102E-3</v>
      </c>
      <c r="T41">
        <f>$B41*1/(9+Rules!$B$5)</f>
        <v>5.461993627674102E-3</v>
      </c>
      <c r="U41">
        <f>$B41*1/(9+Rules!$B$5)</f>
        <v>5.461993627674102E-3</v>
      </c>
      <c r="V41">
        <f>$B41*1/(9+Rules!$B$5)</f>
        <v>5.461993627674102E-3</v>
      </c>
      <c r="W41">
        <f>$B41*Rules!$B$5/(9+Rules!$B$5)</f>
        <v>2.1847974510696408E-2</v>
      </c>
    </row>
    <row r="42" spans="1:28">
      <c r="A42">
        <v>16</v>
      </c>
      <c r="B42">
        <f t="shared" si="6"/>
        <v>6.5088757396449717E-2</v>
      </c>
      <c r="O42">
        <f>$B42*1/(9+Rules!$B$5)</f>
        <v>5.0068274920345938E-3</v>
      </c>
      <c r="P42">
        <f>$B42*1/(9+Rules!$B$5)</f>
        <v>5.0068274920345938E-3</v>
      </c>
      <c r="Q42">
        <f>$B42*1/(9+Rules!$B$5)</f>
        <v>5.0068274920345938E-3</v>
      </c>
      <c r="R42">
        <f>$B42*1/(9+Rules!$B$5)</f>
        <v>5.0068274920345938E-3</v>
      </c>
      <c r="S42">
        <f>$B42*1/(9+Rules!$B$5)</f>
        <v>5.0068274920345938E-3</v>
      </c>
      <c r="T42">
        <f>$B42*1/(9+Rules!$B$5)</f>
        <v>5.0068274920345938E-3</v>
      </c>
      <c r="U42">
        <f>$B42*1/(9+Rules!$B$5)</f>
        <v>5.0068274920345938E-3</v>
      </c>
      <c r="V42">
        <f>$B42*1/(9+Rules!$B$5)</f>
        <v>5.0068274920345938E-3</v>
      </c>
      <c r="W42">
        <f>$B42*1/(9+Rules!$B$5)</f>
        <v>5.0068274920345938E-3</v>
      </c>
      <c r="X42">
        <f>$B42*Rules!$B$5/(9+Rules!$B$5)</f>
        <v>2.0027309968138375E-2</v>
      </c>
    </row>
    <row r="43" spans="1:28">
      <c r="B43" t="s">
        <v>2</v>
      </c>
      <c r="C43">
        <f t="shared" ref="C43:AB43" si="7">SUM(C30:C42)</f>
        <v>4.5516613563950843E-4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6.8274920345926266E-3</v>
      </c>
      <c r="H43">
        <f t="shared" si="7"/>
        <v>9.5584888484296776E-3</v>
      </c>
      <c r="I43">
        <f t="shared" si="7"/>
        <v>1.2744651797906237E-2</v>
      </c>
      <c r="J43">
        <f t="shared" si="7"/>
        <v>1.6385980883022306E-2</v>
      </c>
      <c r="K43">
        <f t="shared" si="7"/>
        <v>2.3213472917614934E-2</v>
      </c>
      <c r="L43">
        <f t="shared" si="7"/>
        <v>3.0951297223486572E-2</v>
      </c>
      <c r="M43">
        <f t="shared" si="7"/>
        <v>3.7778789258079204E-2</v>
      </c>
      <c r="N43">
        <f t="shared" si="7"/>
        <v>4.3695949021392816E-2</v>
      </c>
      <c r="O43">
        <f t="shared" si="7"/>
        <v>4.8702776513427408E-2</v>
      </c>
      <c r="P43">
        <f t="shared" si="7"/>
        <v>4.8247610377787901E-2</v>
      </c>
      <c r="Q43">
        <f t="shared" si="7"/>
        <v>4.7337278106508889E-2</v>
      </c>
      <c r="R43">
        <f t="shared" si="7"/>
        <v>4.5971779699590355E-2</v>
      </c>
      <c r="S43">
        <f t="shared" si="7"/>
        <v>4.4151115157032329E-2</v>
      </c>
      <c r="T43">
        <f t="shared" si="7"/>
        <v>5.0068274920345927E-2</v>
      </c>
      <c r="U43">
        <f t="shared" si="7"/>
        <v>4.1875284478834783E-2</v>
      </c>
      <c r="V43">
        <f t="shared" si="7"/>
        <v>3.4137460172963138E-2</v>
      </c>
      <c r="W43">
        <f t="shared" si="7"/>
        <v>2.6854802002731E-2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>
      <c r="A45" t="s">
        <v>96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>
      <c r="A46">
        <v>12</v>
      </c>
      <c r="B46">
        <f t="shared" ref="B46:B52" si="8">R3</f>
        <v>5.9171597633136093E-3</v>
      </c>
      <c r="C46">
        <f>$B46*1/(9+Rules!$B$5)</f>
        <v>4.5516613563950843E-4</v>
      </c>
      <c r="D46">
        <f>$B46*1/(9+Rules!$B$5)</f>
        <v>4.5516613563950843E-4</v>
      </c>
      <c r="E46">
        <f>$B46*1/(9+Rules!$B$5)</f>
        <v>4.5516613563950843E-4</v>
      </c>
      <c r="F46">
        <f>$B46*1/(9+Rules!$B$5)</f>
        <v>4.5516613563950843E-4</v>
      </c>
      <c r="G46">
        <f>$B46*1/(9+Rules!$B$5)</f>
        <v>4.5516613563950843E-4</v>
      </c>
      <c r="H46">
        <f>$B46*1/(9+Rules!$B$5)</f>
        <v>4.5516613563950843E-4</v>
      </c>
      <c r="I46">
        <f>$B46*1/(9+Rules!$B$5)</f>
        <v>4.5516613563950843E-4</v>
      </c>
      <c r="J46">
        <f>$B46*1/(9+Rules!$B$5)</f>
        <v>4.5516613563950843E-4</v>
      </c>
      <c r="K46">
        <f>$B46*1/(9+Rules!$B$5)</f>
        <v>4.5516613563950843E-4</v>
      </c>
      <c r="L46">
        <f>$B46*Rules!$B$5/(9+Rules!$B$5)</f>
        <v>1.8206645425580337E-3</v>
      </c>
    </row>
    <row r="47" spans="1:28">
      <c r="A47">
        <v>13</v>
      </c>
      <c r="B47">
        <f t="shared" si="8"/>
        <v>1.183431952662722E-2</v>
      </c>
      <c r="D47">
        <f>$B47*1/(9+Rules!$B$5)</f>
        <v>9.1033227127901696E-4</v>
      </c>
      <c r="E47">
        <f>$B47*1/(9+Rules!$B$5)</f>
        <v>9.1033227127901696E-4</v>
      </c>
      <c r="F47">
        <f>$B47*1/(9+Rules!$B$5)</f>
        <v>9.1033227127901696E-4</v>
      </c>
      <c r="G47">
        <f>$B47*1/(9+Rules!$B$5)</f>
        <v>9.1033227127901696E-4</v>
      </c>
      <c r="H47">
        <f>$B47*1/(9+Rules!$B$5)</f>
        <v>9.1033227127901696E-4</v>
      </c>
      <c r="I47">
        <f>$B47*1/(9+Rules!$B$5)</f>
        <v>9.1033227127901696E-4</v>
      </c>
      <c r="J47">
        <f>$B47*1/(9+Rules!$B$5)</f>
        <v>9.1033227127901696E-4</v>
      </c>
      <c r="K47">
        <f>$B47*1/(9+Rules!$B$5)</f>
        <v>9.1033227127901696E-4</v>
      </c>
      <c r="L47">
        <f>$B47*1/(9+Rules!$B$5)</f>
        <v>9.1033227127901696E-4</v>
      </c>
      <c r="M47">
        <f>$B47*Rules!$B$5/(9+Rules!$B$5)</f>
        <v>3.6413290851160678E-3</v>
      </c>
    </row>
    <row r="48" spans="1:28">
      <c r="A48">
        <v>14</v>
      </c>
      <c r="B48">
        <f t="shared" si="8"/>
        <v>1.183431952662722E-2</v>
      </c>
      <c r="E48">
        <f>$B48*1/(9+Rules!$B$5)</f>
        <v>9.1033227127901696E-4</v>
      </c>
      <c r="F48">
        <f>$B48*1/(9+Rules!$B$5)</f>
        <v>9.1033227127901696E-4</v>
      </c>
      <c r="G48">
        <f>$B48*1/(9+Rules!$B$5)</f>
        <v>9.1033227127901696E-4</v>
      </c>
      <c r="H48">
        <f>$B48*1/(9+Rules!$B$5)</f>
        <v>9.1033227127901696E-4</v>
      </c>
      <c r="I48">
        <f>$B48*1/(9+Rules!$B$5)</f>
        <v>9.1033227127901696E-4</v>
      </c>
      <c r="J48">
        <f>$B48*1/(9+Rules!$B$5)</f>
        <v>9.1033227127901696E-4</v>
      </c>
      <c r="K48">
        <f>$B48*1/(9+Rules!$B$5)</f>
        <v>9.1033227127901696E-4</v>
      </c>
      <c r="L48">
        <f>$B48*1/(9+Rules!$B$5)</f>
        <v>9.1033227127901696E-4</v>
      </c>
      <c r="M48">
        <f>$B48*1/(9+Rules!$B$5)</f>
        <v>9.1033227127901696E-4</v>
      </c>
      <c r="N48">
        <f>$B48*Rules!$B$5/(9+Rules!$B$5)</f>
        <v>3.6413290851160678E-3</v>
      </c>
    </row>
    <row r="49" spans="1:30">
      <c r="A49">
        <v>15</v>
      </c>
      <c r="B49">
        <f t="shared" si="8"/>
        <v>1.183431952662722E-2</v>
      </c>
      <c r="F49">
        <f>$B49*1/(9+Rules!$B$5)</f>
        <v>9.1033227127901696E-4</v>
      </c>
      <c r="G49">
        <f>$B49*1/(9+Rules!$B$5)</f>
        <v>9.1033227127901696E-4</v>
      </c>
      <c r="H49">
        <f>$B49*1/(9+Rules!$B$5)</f>
        <v>9.1033227127901696E-4</v>
      </c>
      <c r="I49">
        <f>$B49*1/(9+Rules!$B$5)</f>
        <v>9.1033227127901696E-4</v>
      </c>
      <c r="J49">
        <f>$B49*1/(9+Rules!$B$5)</f>
        <v>9.1033227127901696E-4</v>
      </c>
      <c r="K49">
        <f>$B49*1/(9+Rules!$B$5)</f>
        <v>9.1033227127901696E-4</v>
      </c>
      <c r="L49">
        <f>$B49*1/(9+Rules!$B$5)</f>
        <v>9.1033227127901696E-4</v>
      </c>
      <c r="M49">
        <f>$B49*1/(9+Rules!$B$5)</f>
        <v>9.1033227127901696E-4</v>
      </c>
      <c r="N49">
        <f>$B49*1/(9+Rules!$B$5)</f>
        <v>9.1033227127901696E-4</v>
      </c>
      <c r="O49">
        <f>$B49*Rules!$B$5/(9+Rules!$B$5)</f>
        <v>3.6413290851160678E-3</v>
      </c>
    </row>
    <row r="50" spans="1:30">
      <c r="A50">
        <v>16</v>
      </c>
      <c r="B50">
        <f t="shared" si="8"/>
        <v>1.183431952662722E-2</v>
      </c>
      <c r="G50">
        <f>$B50*1/(9+Rules!$B$5)</f>
        <v>9.1033227127901696E-4</v>
      </c>
      <c r="H50">
        <f>$B50*1/(9+Rules!$B$5)</f>
        <v>9.1033227127901696E-4</v>
      </c>
      <c r="I50">
        <f>$B50*1/(9+Rules!$B$5)</f>
        <v>9.1033227127901696E-4</v>
      </c>
      <c r="J50">
        <f>$B50*1/(9+Rules!$B$5)</f>
        <v>9.1033227127901696E-4</v>
      </c>
      <c r="K50">
        <f>$B50*1/(9+Rules!$B$5)</f>
        <v>9.1033227127901696E-4</v>
      </c>
      <c r="L50">
        <f>$B50*1/(9+Rules!$B$5)</f>
        <v>9.1033227127901696E-4</v>
      </c>
      <c r="M50">
        <f>$B50*1/(9+Rules!$B$5)</f>
        <v>9.1033227127901696E-4</v>
      </c>
      <c r="N50">
        <f>$B50*1/(9+Rules!$B$5)</f>
        <v>9.1033227127901696E-4</v>
      </c>
      <c r="O50">
        <f>$B50*1/(9+Rules!$B$5)</f>
        <v>9.1033227127901696E-4</v>
      </c>
      <c r="P50">
        <f>$B50*Rules!$B$5/(9+Rules!$B$5)</f>
        <v>3.6413290851160678E-3</v>
      </c>
    </row>
    <row r="51" spans="1:30">
      <c r="A51">
        <v>17</v>
      </c>
      <c r="B51">
        <f t="shared" si="8"/>
        <v>1.183431952662722E-2</v>
      </c>
      <c r="H51">
        <f>$B51*1/(9+Rules!$B$5)</f>
        <v>9.1033227127901696E-4</v>
      </c>
      <c r="I51">
        <f>$B51*1/(9+Rules!$B$5)</f>
        <v>9.1033227127901696E-4</v>
      </c>
      <c r="J51">
        <f>$B51*1/(9+Rules!$B$5)</f>
        <v>9.1033227127901696E-4</v>
      </c>
      <c r="K51">
        <f>$B51*1/(9+Rules!$B$5)</f>
        <v>9.1033227127901696E-4</v>
      </c>
      <c r="L51">
        <f>$B51*1/(9+Rules!$B$5)</f>
        <v>9.1033227127901696E-4</v>
      </c>
      <c r="M51">
        <f>$B51*1/(9+Rules!$B$5)</f>
        <v>9.1033227127901696E-4</v>
      </c>
      <c r="N51">
        <f>$B51*1/(9+Rules!$B$5)</f>
        <v>9.1033227127901696E-4</v>
      </c>
      <c r="O51">
        <f>$B51*1/(9+Rules!$B$5)</f>
        <v>9.1033227127901696E-4</v>
      </c>
      <c r="P51">
        <f>$B51*1/(9+Rules!$B$5)</f>
        <v>9.1033227127901696E-4</v>
      </c>
      <c r="Q51">
        <f>$B51*Rules!$B$5/(9+Rules!$B$5)</f>
        <v>3.6413290851160678E-3</v>
      </c>
    </row>
    <row r="52" spans="1:30">
      <c r="A52">
        <v>18</v>
      </c>
      <c r="B52">
        <f t="shared" si="8"/>
        <v>1.183431952662722E-2</v>
      </c>
      <c r="I52">
        <f>$B52*1/(9+Rules!$B$5)</f>
        <v>9.1033227127901696E-4</v>
      </c>
      <c r="J52">
        <f>$B52*1/(9+Rules!$B$5)</f>
        <v>9.1033227127901696E-4</v>
      </c>
      <c r="K52">
        <f>$B52*1/(9+Rules!$B$5)</f>
        <v>9.1033227127901696E-4</v>
      </c>
      <c r="L52">
        <f>$B52*1/(9+Rules!$B$5)</f>
        <v>9.1033227127901696E-4</v>
      </c>
      <c r="M52">
        <f>$B52*1/(9+Rules!$B$5)</f>
        <v>9.1033227127901696E-4</v>
      </c>
      <c r="N52">
        <f>$B52*1/(9+Rules!$B$5)</f>
        <v>9.1033227127901696E-4</v>
      </c>
      <c r="O52">
        <f>$B52*1/(9+Rules!$B$5)</f>
        <v>9.1033227127901696E-4</v>
      </c>
      <c r="P52">
        <f>$B52*1/(9+Rules!$B$5)</f>
        <v>9.1033227127901696E-4</v>
      </c>
      <c r="Q52">
        <f>$B52*1/(9+Rules!$B$5)</f>
        <v>9.1033227127901696E-4</v>
      </c>
      <c r="R52">
        <f>$B52*Rules!$B$5/(9+Rules!$B$5)</f>
        <v>3.6413290851160678E-3</v>
      </c>
    </row>
    <row r="53" spans="1:30">
      <c r="B53" t="s">
        <v>2</v>
      </c>
      <c r="C53">
        <f t="shared" ref="C53:U53" si="9">SUM(C46:C52)</f>
        <v>4.5516613563950843E-4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>
      <c r="B55" t="s">
        <v>92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88</v>
      </c>
      <c r="U55" t="s">
        <v>2</v>
      </c>
      <c r="V55" t="s">
        <v>97</v>
      </c>
      <c r="W55" t="s">
        <v>110</v>
      </c>
    </row>
    <row r="56" spans="1:30">
      <c r="B56" t="s">
        <v>98</v>
      </c>
      <c r="C56">
        <f t="shared" ref="C56:S56" ca="1" si="10">SUMIF($C$29:$AF$29,C55,$C$43:$AB$43)+SUMIF($L$45:$V$45,C55+10,$L$53:$V$53)</f>
        <v>4.5516613563950843E-4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6.8274920345926266E-3</v>
      </c>
      <c r="H56">
        <f t="shared" ca="1" si="10"/>
        <v>9.5584888484296776E-3</v>
      </c>
      <c r="I56">
        <f t="shared" ca="1" si="10"/>
        <v>1.2744651797906237E-2</v>
      </c>
      <c r="J56">
        <f t="shared" ca="1" si="10"/>
        <v>2.3668639053254441E-2</v>
      </c>
      <c r="K56">
        <f t="shared" ca="1" si="10"/>
        <v>3.1406463359126086E-2</v>
      </c>
      <c r="L56">
        <f t="shared" ca="1" si="10"/>
        <v>3.823395539371871E-2</v>
      </c>
      <c r="M56">
        <f t="shared" ca="1" si="10"/>
        <v>4.4151115157032322E-2</v>
      </c>
      <c r="N56">
        <f t="shared" ca="1" si="10"/>
        <v>4.9157942649066921E-2</v>
      </c>
      <c r="O56">
        <f t="shared" ca="1" si="10"/>
        <v>5.3254437869822494E-2</v>
      </c>
      <c r="P56">
        <f t="shared" ca="1" si="10"/>
        <v>5.1888939462903967E-2</v>
      </c>
      <c r="Q56">
        <f t="shared" ca="1" si="10"/>
        <v>4.7337278106508889E-2</v>
      </c>
      <c r="R56">
        <f t="shared" ca="1" si="10"/>
        <v>4.5971779699590355E-2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>
      <c r="B57" t="s">
        <v>99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4.5516613563950843E-4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>
      <c r="U58">
        <f ca="1">SUM(U56:U57)+W56</f>
        <v>1.0000000000000002</v>
      </c>
    </row>
    <row r="60" spans="1:30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>
      <c r="A61">
        <v>5</v>
      </c>
      <c r="B61">
        <f ca="1">C56</f>
        <v>4.5516613563950843E-4</v>
      </c>
      <c r="C61">
        <f ca="1">$B61*1/(9+Rules!$B$5)</f>
        <v>3.5012779664577572E-5</v>
      </c>
      <c r="D61">
        <f ca="1">$B61*1/(9+Rules!$B$5)</f>
        <v>3.5012779664577572E-5</v>
      </c>
      <c r="E61">
        <f ca="1">$B61*1/(9+Rules!$B$5)</f>
        <v>3.5012779664577572E-5</v>
      </c>
      <c r="F61">
        <f ca="1">$B61*1/(9+Rules!$B$5)</f>
        <v>3.5012779664577572E-5</v>
      </c>
      <c r="G61">
        <f ca="1">$B61*1/(9+Rules!$B$5)</f>
        <v>3.5012779664577572E-5</v>
      </c>
      <c r="H61">
        <f ca="1">$B61*1/(9+Rules!$B$5)</f>
        <v>3.5012779664577572E-5</v>
      </c>
      <c r="I61">
        <f ca="1">$B61*1/(9+Rules!$B$5)</f>
        <v>3.5012779664577572E-5</v>
      </c>
      <c r="J61">
        <f ca="1">$B61*1/(9+Rules!$B$5)</f>
        <v>3.5012779664577572E-5</v>
      </c>
      <c r="K61">
        <f ca="1">$B61*1/(9+Rules!$B$5)</f>
        <v>3.5012779664577572E-5</v>
      </c>
      <c r="L61">
        <f ca="1">$B61*Rules!$B$5/(9+Rules!$B$5)</f>
        <v>1.4005111865831029E-4</v>
      </c>
    </row>
    <row r="62" spans="1:30">
      <c r="A62">
        <v>6</v>
      </c>
      <c r="B62">
        <f ca="1">D56</f>
        <v>1.3654984069185255E-3</v>
      </c>
      <c r="D62">
        <f ca="1">$B62*1/(9+Rules!$B$5)</f>
        <v>1.0503833899373274E-4</v>
      </c>
      <c r="E62">
        <f ca="1">$B62*1/(9+Rules!$B$5)</f>
        <v>1.0503833899373274E-4</v>
      </c>
      <c r="F62">
        <f ca="1">$B62*1/(9+Rules!$B$5)</f>
        <v>1.0503833899373274E-4</v>
      </c>
      <c r="G62">
        <f ca="1">$B62*1/(9+Rules!$B$5)</f>
        <v>1.0503833899373274E-4</v>
      </c>
      <c r="H62">
        <f ca="1">$B62*1/(9+Rules!$B$5)</f>
        <v>1.0503833899373274E-4</v>
      </c>
      <c r="I62">
        <f ca="1">$B62*1/(9+Rules!$B$5)</f>
        <v>1.0503833899373274E-4</v>
      </c>
      <c r="J62">
        <f ca="1">$B62*1/(9+Rules!$B$5)</f>
        <v>1.0503833899373274E-4</v>
      </c>
      <c r="K62">
        <f ca="1">$B62*1/(9+Rules!$B$5)</f>
        <v>1.0503833899373274E-4</v>
      </c>
      <c r="L62">
        <f ca="1">$B62*1/(9+Rules!$B$5)</f>
        <v>1.0503833899373274E-4</v>
      </c>
      <c r="M62">
        <f ca="1">$B62*Rules!$B$5/(9+Rules!$B$5)</f>
        <v>4.2015335597493094E-4</v>
      </c>
    </row>
    <row r="63" spans="1:30">
      <c r="A63">
        <v>7</v>
      </c>
      <c r="B63">
        <f ca="1">E56</f>
        <v>2.730996813837051E-3</v>
      </c>
      <c r="E63">
        <f ca="1">$B63*1/(9+Rules!$B$5)</f>
        <v>2.1007667798746547E-4</v>
      </c>
      <c r="F63">
        <f ca="1">$B63*1/(9+Rules!$B$5)</f>
        <v>2.1007667798746547E-4</v>
      </c>
      <c r="G63">
        <f ca="1">$B63*1/(9+Rules!$B$5)</f>
        <v>2.1007667798746547E-4</v>
      </c>
      <c r="H63">
        <f ca="1">$B63*1/(9+Rules!$B$5)</f>
        <v>2.1007667798746547E-4</v>
      </c>
      <c r="I63">
        <f ca="1">$B63*1/(9+Rules!$B$5)</f>
        <v>2.1007667798746547E-4</v>
      </c>
      <c r="J63">
        <f ca="1">$B63*1/(9+Rules!$B$5)</f>
        <v>2.1007667798746547E-4</v>
      </c>
      <c r="K63">
        <f ca="1">$B63*1/(9+Rules!$B$5)</f>
        <v>2.1007667798746547E-4</v>
      </c>
      <c r="L63">
        <f ca="1">$B63*1/(9+Rules!$B$5)</f>
        <v>2.1007667798746547E-4</v>
      </c>
      <c r="M63">
        <f ca="1">$B63*1/(9+Rules!$B$5)</f>
        <v>2.1007667798746547E-4</v>
      </c>
      <c r="N63">
        <f ca="1">$B63*Rules!$B$5/(9+Rules!$B$5)</f>
        <v>8.4030671194986189E-4</v>
      </c>
    </row>
    <row r="64" spans="1:30">
      <c r="A64">
        <v>8</v>
      </c>
      <c r="B64">
        <f ca="1">F56</f>
        <v>4.5516613563950847E-3</v>
      </c>
      <c r="F64">
        <f ca="1">$B64*1/(9+Rules!$B$5)</f>
        <v>3.5012779664577576E-4</v>
      </c>
      <c r="G64">
        <f ca="1">$B64*1/(9+Rules!$B$5)</f>
        <v>3.5012779664577576E-4</v>
      </c>
      <c r="H64">
        <f ca="1">$B64*1/(9+Rules!$B$5)</f>
        <v>3.5012779664577576E-4</v>
      </c>
      <c r="I64">
        <f ca="1">$B64*1/(9+Rules!$B$5)</f>
        <v>3.5012779664577576E-4</v>
      </c>
      <c r="J64">
        <f ca="1">$B64*1/(9+Rules!$B$5)</f>
        <v>3.5012779664577576E-4</v>
      </c>
      <c r="K64">
        <f ca="1">$B64*1/(9+Rules!$B$5)</f>
        <v>3.5012779664577576E-4</v>
      </c>
      <c r="L64">
        <f ca="1">$B64*1/(9+Rules!$B$5)</f>
        <v>3.5012779664577576E-4</v>
      </c>
      <c r="M64">
        <f ca="1">$B64*1/(9+Rules!$B$5)</f>
        <v>3.5012779664577576E-4</v>
      </c>
      <c r="N64">
        <f ca="1">$B64*1/(9+Rules!$B$5)</f>
        <v>3.5012779664577576E-4</v>
      </c>
      <c r="O64">
        <f ca="1">$B64*Rules!$B$5/(9+Rules!$B$5)</f>
        <v>1.400511186583103E-3</v>
      </c>
    </row>
    <row r="65" spans="1:28">
      <c r="A65">
        <v>9</v>
      </c>
      <c r="B65">
        <f ca="1">G56</f>
        <v>6.8274920345926266E-3</v>
      </c>
      <c r="G65">
        <f ca="1">$B65*1/(9+Rules!$B$5)</f>
        <v>5.2519169496866361E-4</v>
      </c>
      <c r="H65">
        <f ca="1">$B65*1/(9+Rules!$B$5)</f>
        <v>5.2519169496866361E-4</v>
      </c>
      <c r="I65">
        <f ca="1">$B65*1/(9+Rules!$B$5)</f>
        <v>5.2519169496866361E-4</v>
      </c>
      <c r="J65">
        <f ca="1">$B65*1/(9+Rules!$B$5)</f>
        <v>5.2519169496866361E-4</v>
      </c>
      <c r="K65">
        <f ca="1">$B65*1/(9+Rules!$B$5)</f>
        <v>5.2519169496866361E-4</v>
      </c>
      <c r="L65">
        <f ca="1">$B65*1/(9+Rules!$B$5)</f>
        <v>5.2519169496866361E-4</v>
      </c>
      <c r="M65">
        <f ca="1">$B65*1/(9+Rules!$B$5)</f>
        <v>5.2519169496866361E-4</v>
      </c>
      <c r="N65">
        <f ca="1">$B65*1/(9+Rules!$B$5)</f>
        <v>5.2519169496866361E-4</v>
      </c>
      <c r="O65">
        <f ca="1">$B65*1/(9+Rules!$B$5)</f>
        <v>5.2519169496866361E-4</v>
      </c>
      <c r="P65">
        <f ca="1">$B65*Rules!$B$5/(9+Rules!$B$5)</f>
        <v>2.1007667798746544E-3</v>
      </c>
    </row>
    <row r="66" spans="1:28">
      <c r="A66">
        <v>10</v>
      </c>
      <c r="B66">
        <f ca="1">H56</f>
        <v>9.5584888484296776E-3</v>
      </c>
      <c r="H66">
        <f ca="1">$B66*1/(9+Rules!$B$5)</f>
        <v>7.3526837295612906E-4</v>
      </c>
      <c r="I66">
        <f ca="1">$B66*1/(9+Rules!$B$5)</f>
        <v>7.3526837295612906E-4</v>
      </c>
      <c r="J66">
        <f ca="1">$B66*1/(9+Rules!$B$5)</f>
        <v>7.3526837295612906E-4</v>
      </c>
      <c r="K66">
        <f ca="1">$B66*1/(9+Rules!$B$5)</f>
        <v>7.3526837295612906E-4</v>
      </c>
      <c r="L66">
        <f ca="1">$B66*1/(9+Rules!$B$5)</f>
        <v>7.3526837295612906E-4</v>
      </c>
      <c r="M66">
        <f ca="1">$B66*1/(9+Rules!$B$5)</f>
        <v>7.3526837295612906E-4</v>
      </c>
      <c r="N66">
        <f ca="1">$B66*1/(9+Rules!$B$5)</f>
        <v>7.3526837295612906E-4</v>
      </c>
      <c r="O66">
        <f ca="1">$B66*1/(9+Rules!$B$5)</f>
        <v>7.3526837295612906E-4</v>
      </c>
      <c r="P66">
        <f ca="1">$B66*1/(9+Rules!$B$5)</f>
        <v>7.3526837295612906E-4</v>
      </c>
      <c r="Q66">
        <f ca="1">$B66*Rules!$B$5/(9+Rules!$B$5)</f>
        <v>2.9410734918245162E-3</v>
      </c>
    </row>
    <row r="67" spans="1:28">
      <c r="A67">
        <v>11</v>
      </c>
      <c r="B67">
        <f ca="1">I56</f>
        <v>1.2744651797906237E-2</v>
      </c>
      <c r="I67">
        <f ca="1">$B67*1/(9+Rules!$B$5)</f>
        <v>9.8035783060817215E-4</v>
      </c>
      <c r="J67">
        <f ca="1">$B67*1/(9+Rules!$B$5)</f>
        <v>9.8035783060817215E-4</v>
      </c>
      <c r="K67">
        <f ca="1">$B67*1/(9+Rules!$B$5)</f>
        <v>9.8035783060817215E-4</v>
      </c>
      <c r="L67">
        <f ca="1">$B67*1/(9+Rules!$B$5)</f>
        <v>9.8035783060817215E-4</v>
      </c>
      <c r="M67">
        <f ca="1">$B67*1/(9+Rules!$B$5)</f>
        <v>9.8035783060817215E-4</v>
      </c>
      <c r="N67">
        <f ca="1">$B67*1/(9+Rules!$B$5)</f>
        <v>9.8035783060817215E-4</v>
      </c>
      <c r="O67">
        <f ca="1">$B67*1/(9+Rules!$B$5)</f>
        <v>9.8035783060817215E-4</v>
      </c>
      <c r="P67">
        <f ca="1">$B67*1/(9+Rules!$B$5)</f>
        <v>9.8035783060817215E-4</v>
      </c>
      <c r="Q67">
        <f ca="1">$B67*1/(9+Rules!$B$5)</f>
        <v>9.8035783060817215E-4</v>
      </c>
      <c r="R67">
        <f ca="1">$B67*Rules!$B$5/(9+Rules!$B$5)</f>
        <v>3.9214313224326886E-3</v>
      </c>
    </row>
    <row r="68" spans="1:28">
      <c r="A68">
        <v>12</v>
      </c>
      <c r="B68">
        <f ca="1">J56</f>
        <v>2.3668639053254441E-2</v>
      </c>
      <c r="J68">
        <f ca="1">$B68*1/(9+Rules!$B$5)</f>
        <v>1.8206645425580339E-3</v>
      </c>
      <c r="K68">
        <f ca="1">$B68*1/(9+Rules!$B$5)</f>
        <v>1.8206645425580339E-3</v>
      </c>
      <c r="L68">
        <f ca="1">$B68*1/(9+Rules!$B$5)</f>
        <v>1.8206645425580339E-3</v>
      </c>
      <c r="M68">
        <f ca="1">$B68*1/(9+Rules!$B$5)</f>
        <v>1.8206645425580339E-3</v>
      </c>
      <c r="N68">
        <f ca="1">$B68*1/(9+Rules!$B$5)</f>
        <v>1.8206645425580339E-3</v>
      </c>
      <c r="O68">
        <f ca="1">$B68*1/(9+Rules!$B$5)</f>
        <v>1.8206645425580339E-3</v>
      </c>
      <c r="P68">
        <f ca="1">$B68*1/(9+Rules!$B$5)</f>
        <v>1.8206645425580339E-3</v>
      </c>
      <c r="Q68">
        <f ca="1">$B68*1/(9+Rules!$B$5)</f>
        <v>1.8206645425580339E-3</v>
      </c>
      <c r="R68">
        <f ca="1">$B68*1/(9+Rules!$B$5)</f>
        <v>1.8206645425580339E-3</v>
      </c>
      <c r="S68">
        <f ca="1">$B68*Rules!$B$5/(9+Rules!$B$5)</f>
        <v>7.2826581702321357E-3</v>
      </c>
    </row>
    <row r="69" spans="1:28">
      <c r="A69">
        <v>13</v>
      </c>
      <c r="B69">
        <f ca="1">K56</f>
        <v>3.1406463359126086E-2</v>
      </c>
      <c r="K69">
        <f ca="1">$B69*1/(9+Rules!$B$5)</f>
        <v>2.4158817968558529E-3</v>
      </c>
      <c r="L69">
        <f ca="1">$B69*1/(9+Rules!$B$5)</f>
        <v>2.4158817968558529E-3</v>
      </c>
      <c r="M69">
        <f ca="1">$B69*1/(9+Rules!$B$5)</f>
        <v>2.4158817968558529E-3</v>
      </c>
      <c r="N69">
        <f ca="1">$B69*1/(9+Rules!$B$5)</f>
        <v>2.4158817968558529E-3</v>
      </c>
      <c r="O69">
        <f ca="1">$B69*1/(9+Rules!$B$5)</f>
        <v>2.4158817968558529E-3</v>
      </c>
      <c r="P69">
        <f ca="1">$B69*1/(9+Rules!$B$5)</f>
        <v>2.4158817968558529E-3</v>
      </c>
      <c r="Q69">
        <f ca="1">$B69*1/(9+Rules!$B$5)</f>
        <v>2.4158817968558529E-3</v>
      </c>
      <c r="R69">
        <f ca="1">$B69*1/(9+Rules!$B$5)</f>
        <v>2.4158817968558529E-3</v>
      </c>
      <c r="S69">
        <f ca="1">$B69*1/(9+Rules!$B$5)</f>
        <v>2.4158817968558529E-3</v>
      </c>
      <c r="T69">
        <f ca="1">$B69*Rules!$B$5/(9+Rules!$B$5)</f>
        <v>9.6635271874234117E-3</v>
      </c>
    </row>
    <row r="70" spans="1:28">
      <c r="A70">
        <v>14</v>
      </c>
      <c r="B70">
        <f ca="1">L56</f>
        <v>3.823395539371871E-2</v>
      </c>
      <c r="L70">
        <f ca="1">$B70*1/(9+Rules!$B$5)</f>
        <v>2.9410734918245162E-3</v>
      </c>
      <c r="M70">
        <f ca="1">$B70*1/(9+Rules!$B$5)</f>
        <v>2.9410734918245162E-3</v>
      </c>
      <c r="N70">
        <f ca="1">$B70*1/(9+Rules!$B$5)</f>
        <v>2.9410734918245162E-3</v>
      </c>
      <c r="O70">
        <f ca="1">$B70*1/(9+Rules!$B$5)</f>
        <v>2.9410734918245162E-3</v>
      </c>
      <c r="P70">
        <f ca="1">$B70*1/(9+Rules!$B$5)</f>
        <v>2.9410734918245162E-3</v>
      </c>
      <c r="Q70">
        <f ca="1">$B70*1/(9+Rules!$B$5)</f>
        <v>2.9410734918245162E-3</v>
      </c>
      <c r="R70">
        <f ca="1">$B70*1/(9+Rules!$B$5)</f>
        <v>2.9410734918245162E-3</v>
      </c>
      <c r="S70">
        <f ca="1">$B70*1/(9+Rules!$B$5)</f>
        <v>2.9410734918245162E-3</v>
      </c>
      <c r="T70">
        <f ca="1">$B70*1/(9+Rules!$B$5)</f>
        <v>2.9410734918245162E-3</v>
      </c>
      <c r="U70">
        <f ca="1">$B70*Rules!$B$5/(9+Rules!$B$5)</f>
        <v>1.1764293967298065E-2</v>
      </c>
    </row>
    <row r="71" spans="1:28">
      <c r="A71">
        <v>15</v>
      </c>
      <c r="B71">
        <f ca="1">M56</f>
        <v>4.4151115157032322E-2</v>
      </c>
      <c r="M71">
        <f ca="1">$B71*1/(9+Rules!$B$5)</f>
        <v>3.3962396274640249E-3</v>
      </c>
      <c r="N71">
        <f ca="1">$B71*1/(9+Rules!$B$5)</f>
        <v>3.3962396274640249E-3</v>
      </c>
      <c r="O71">
        <f ca="1">$B71*1/(9+Rules!$B$5)</f>
        <v>3.3962396274640249E-3</v>
      </c>
      <c r="P71">
        <f ca="1">$B71*1/(9+Rules!$B$5)</f>
        <v>3.3962396274640249E-3</v>
      </c>
      <c r="Q71">
        <f ca="1">$B71*1/(9+Rules!$B$5)</f>
        <v>3.3962396274640249E-3</v>
      </c>
      <c r="R71">
        <f ca="1">$B71*1/(9+Rules!$B$5)</f>
        <v>3.3962396274640249E-3</v>
      </c>
      <c r="S71">
        <f ca="1">$B71*1/(9+Rules!$B$5)</f>
        <v>3.3962396274640249E-3</v>
      </c>
      <c r="T71">
        <f ca="1">$B71*1/(9+Rules!$B$5)</f>
        <v>3.3962396274640249E-3</v>
      </c>
      <c r="U71">
        <f ca="1">$B71*1/(9+Rules!$B$5)</f>
        <v>3.3962396274640249E-3</v>
      </c>
      <c r="V71">
        <f ca="1">$B71*Rules!$B$5/(9+Rules!$B$5)</f>
        <v>1.3584958509856099E-2</v>
      </c>
    </row>
    <row r="72" spans="1:28">
      <c r="A72">
        <v>16</v>
      </c>
      <c r="B72">
        <f ca="1">N56</f>
        <v>4.9157942649066921E-2</v>
      </c>
      <c r="N72">
        <f ca="1">$B72*1/(9+Rules!$B$5)</f>
        <v>3.7813802037743784E-3</v>
      </c>
      <c r="O72">
        <f ca="1">$B72*1/(9+Rules!$B$5)</f>
        <v>3.7813802037743784E-3</v>
      </c>
      <c r="P72">
        <f ca="1">$B72*1/(9+Rules!$B$5)</f>
        <v>3.7813802037743784E-3</v>
      </c>
      <c r="Q72">
        <f ca="1">$B72*1/(9+Rules!$B$5)</f>
        <v>3.7813802037743784E-3</v>
      </c>
      <c r="R72">
        <f ca="1">$B72*1/(9+Rules!$B$5)</f>
        <v>3.7813802037743784E-3</v>
      </c>
      <c r="S72">
        <f ca="1">$B72*1/(9+Rules!$B$5)</f>
        <v>3.7813802037743784E-3</v>
      </c>
      <c r="T72">
        <f ca="1">$B72*1/(9+Rules!$B$5)</f>
        <v>3.7813802037743784E-3</v>
      </c>
      <c r="U72">
        <f ca="1">$B72*1/(9+Rules!$B$5)</f>
        <v>3.7813802037743784E-3</v>
      </c>
      <c r="V72">
        <f ca="1">$B72*1/(9+Rules!$B$5)</f>
        <v>3.7813802037743784E-3</v>
      </c>
      <c r="W72">
        <f ca="1">$B72*Rules!$B$5/(9+Rules!$B$5)</f>
        <v>1.5125520815097514E-2</v>
      </c>
    </row>
    <row r="73" spans="1:28">
      <c r="B73" t="s">
        <v>2</v>
      </c>
      <c r="C73">
        <f t="shared" ref="C73:AB73" ca="1" si="12">SUM(C61:C72)</f>
        <v>3.5012779664577572E-5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1.9607156612163443E-3</v>
      </c>
      <c r="I73">
        <f t="shared" ca="1" si="12"/>
        <v>2.9410734918245167E-3</v>
      </c>
      <c r="J73">
        <f t="shared" ca="1" si="12"/>
        <v>4.7617380343825504E-3</v>
      </c>
      <c r="K73">
        <f t="shared" ca="1" si="12"/>
        <v>7.1776198312384033E-3</v>
      </c>
      <c r="L73">
        <f t="shared" ca="1" si="12"/>
        <v>1.0223731662056652E-2</v>
      </c>
      <c r="M73">
        <f t="shared" ca="1" si="12"/>
        <v>1.3795035187843564E-2</v>
      </c>
      <c r="N73">
        <f t="shared" ca="1" si="12"/>
        <v>1.7786492069605406E-2</v>
      </c>
      <c r="O73">
        <f t="shared" ca="1" si="12"/>
        <v>1.7996568747592874E-2</v>
      </c>
      <c r="P73">
        <f t="shared" ca="1" si="12"/>
        <v>1.8171632645915758E-2</v>
      </c>
      <c r="Q73">
        <f t="shared" ca="1" si="12"/>
        <v>1.8276670984909496E-2</v>
      </c>
      <c r="R73">
        <f t="shared" ca="1" si="12"/>
        <v>1.8276670984909496E-2</v>
      </c>
      <c r="S73">
        <f t="shared" ca="1" si="12"/>
        <v>1.9817233290150907E-2</v>
      </c>
      <c r="T73">
        <f t="shared" ca="1" si="12"/>
        <v>1.978222051048633E-2</v>
      </c>
      <c r="U73">
        <f t="shared" ca="1" si="12"/>
        <v>1.8941913798536471E-2</v>
      </c>
      <c r="V73">
        <f t="shared" ca="1" si="12"/>
        <v>1.7366338713630476E-2</v>
      </c>
      <c r="W73">
        <f t="shared" ca="1" si="12"/>
        <v>1.5125520815097514E-2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>
      <c r="A75" t="s">
        <v>95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>
      <c r="A76">
        <v>13</v>
      </c>
      <c r="B76">
        <f>K57</f>
        <v>4.5516613563950843E-4</v>
      </c>
      <c r="C76">
        <f>$B76*1/(9+Rules!$B$5)</f>
        <v>3.5012779664577572E-5</v>
      </c>
      <c r="D76">
        <f>$B76*1/(9+Rules!$B$5)</f>
        <v>3.5012779664577572E-5</v>
      </c>
      <c r="E76">
        <f>$B76*1/(9+Rules!$B$5)</f>
        <v>3.5012779664577572E-5</v>
      </c>
      <c r="F76">
        <f>$B76*1/(9+Rules!$B$5)</f>
        <v>3.5012779664577572E-5</v>
      </c>
      <c r="G76">
        <f>$B76*1/(9+Rules!$B$5)</f>
        <v>3.5012779664577572E-5</v>
      </c>
      <c r="H76">
        <f>$B76*1/(9+Rules!$B$5)</f>
        <v>3.5012779664577572E-5</v>
      </c>
      <c r="I76">
        <f>$B76*1/(9+Rules!$B$5)</f>
        <v>3.5012779664577572E-5</v>
      </c>
      <c r="J76">
        <f>$B76*1/(9+Rules!$B$5)</f>
        <v>3.5012779664577572E-5</v>
      </c>
      <c r="K76">
        <f>$B76*1/(9+Rules!$B$5)</f>
        <v>3.5012779664577572E-5</v>
      </c>
      <c r="L76">
        <f>$B76*Rules!$B$5/(9+Rules!$B$5)</f>
        <v>1.4005111865831029E-4</v>
      </c>
    </row>
    <row r="77" spans="1:28">
      <c r="A77">
        <v>14</v>
      </c>
      <c r="B77">
        <f>L57</f>
        <v>1.3654984069185255E-3</v>
      </c>
      <c r="D77">
        <f>$B77*1/(9+Rules!$B$5)</f>
        <v>1.0503833899373274E-4</v>
      </c>
      <c r="E77">
        <f>$B77*1/(9+Rules!$B$5)</f>
        <v>1.0503833899373274E-4</v>
      </c>
      <c r="F77">
        <f>$B77*1/(9+Rules!$B$5)</f>
        <v>1.0503833899373274E-4</v>
      </c>
      <c r="G77">
        <f>$B77*1/(9+Rules!$B$5)</f>
        <v>1.0503833899373274E-4</v>
      </c>
      <c r="H77">
        <f>$B77*1/(9+Rules!$B$5)</f>
        <v>1.0503833899373274E-4</v>
      </c>
      <c r="I77">
        <f>$B77*1/(9+Rules!$B$5)</f>
        <v>1.0503833899373274E-4</v>
      </c>
      <c r="J77">
        <f>$B77*1/(9+Rules!$B$5)</f>
        <v>1.0503833899373274E-4</v>
      </c>
      <c r="K77">
        <f>$B77*1/(9+Rules!$B$5)</f>
        <v>1.0503833899373274E-4</v>
      </c>
      <c r="L77">
        <f>$B77*1/(9+Rules!$B$5)</f>
        <v>1.0503833899373274E-4</v>
      </c>
      <c r="M77">
        <f>$B77*Rules!$B$5/(9+Rules!$B$5)</f>
        <v>4.2015335597493094E-4</v>
      </c>
    </row>
    <row r="78" spans="1:28">
      <c r="A78">
        <v>15</v>
      </c>
      <c r="B78">
        <f>M57</f>
        <v>2.2758306781975423E-3</v>
      </c>
      <c r="E78">
        <f>$B78*1/(9+Rules!$B$5)</f>
        <v>1.7506389832288788E-4</v>
      </c>
      <c r="F78">
        <f>$B78*1/(9+Rules!$B$5)</f>
        <v>1.7506389832288788E-4</v>
      </c>
      <c r="G78">
        <f>$B78*1/(9+Rules!$B$5)</f>
        <v>1.7506389832288788E-4</v>
      </c>
      <c r="H78">
        <f>$B78*1/(9+Rules!$B$5)</f>
        <v>1.7506389832288788E-4</v>
      </c>
      <c r="I78">
        <f>$B78*1/(9+Rules!$B$5)</f>
        <v>1.7506389832288788E-4</v>
      </c>
      <c r="J78">
        <f>$B78*1/(9+Rules!$B$5)</f>
        <v>1.7506389832288788E-4</v>
      </c>
      <c r="K78">
        <f>$B78*1/(9+Rules!$B$5)</f>
        <v>1.7506389832288788E-4</v>
      </c>
      <c r="L78">
        <f>$B78*1/(9+Rules!$B$5)</f>
        <v>1.7506389832288788E-4</v>
      </c>
      <c r="M78">
        <f>$B78*1/(9+Rules!$B$5)</f>
        <v>1.7506389832288788E-4</v>
      </c>
      <c r="N78">
        <f>$B78*Rules!$B$5/(9+Rules!$B$5)</f>
        <v>7.0025559329155152E-4</v>
      </c>
    </row>
    <row r="79" spans="1:28">
      <c r="A79">
        <v>16</v>
      </c>
      <c r="B79">
        <f>N57</f>
        <v>3.1861629494765592E-3</v>
      </c>
      <c r="F79">
        <f>$B79*1/(9+Rules!$B$5)</f>
        <v>2.4508945765204304E-4</v>
      </c>
      <c r="G79">
        <f>$B79*1/(9+Rules!$B$5)</f>
        <v>2.4508945765204304E-4</v>
      </c>
      <c r="H79">
        <f>$B79*1/(9+Rules!$B$5)</f>
        <v>2.4508945765204304E-4</v>
      </c>
      <c r="I79">
        <f>$B79*1/(9+Rules!$B$5)</f>
        <v>2.4508945765204304E-4</v>
      </c>
      <c r="J79">
        <f>$B79*1/(9+Rules!$B$5)</f>
        <v>2.4508945765204304E-4</v>
      </c>
      <c r="K79">
        <f>$B79*1/(9+Rules!$B$5)</f>
        <v>2.4508945765204304E-4</v>
      </c>
      <c r="L79">
        <f>$B79*1/(9+Rules!$B$5)</f>
        <v>2.4508945765204304E-4</v>
      </c>
      <c r="M79">
        <f>$B79*1/(9+Rules!$B$5)</f>
        <v>2.4508945765204304E-4</v>
      </c>
      <c r="N79">
        <f>$B79*1/(9+Rules!$B$5)</f>
        <v>2.4508945765204304E-4</v>
      </c>
      <c r="O79">
        <f>$B79*Rules!$B$5/(9+Rules!$B$5)</f>
        <v>9.8035783060817215E-4</v>
      </c>
    </row>
    <row r="80" spans="1:28">
      <c r="A80">
        <v>17</v>
      </c>
      <c r="B80">
        <f>O57</f>
        <v>4.0964952207555765E-3</v>
      </c>
      <c r="G80">
        <f>$B80*1/(9+Rules!$B$5)</f>
        <v>3.1511501698119817E-4</v>
      </c>
      <c r="H80">
        <f>$B80*1/(9+Rules!$B$5)</f>
        <v>3.1511501698119817E-4</v>
      </c>
      <c r="I80">
        <f>$B80*1/(9+Rules!$B$5)</f>
        <v>3.1511501698119817E-4</v>
      </c>
      <c r="J80">
        <f>$B80*1/(9+Rules!$B$5)</f>
        <v>3.1511501698119817E-4</v>
      </c>
      <c r="K80">
        <f>$B80*1/(9+Rules!$B$5)</f>
        <v>3.1511501698119817E-4</v>
      </c>
      <c r="L80">
        <f>$B80*1/(9+Rules!$B$5)</f>
        <v>3.1511501698119817E-4</v>
      </c>
      <c r="M80">
        <f>$B80*1/(9+Rules!$B$5)</f>
        <v>3.1511501698119817E-4</v>
      </c>
      <c r="N80">
        <f>$B80*1/(9+Rules!$B$5)</f>
        <v>3.1511501698119817E-4</v>
      </c>
      <c r="O80">
        <f>$B80*1/(9+Rules!$B$5)</f>
        <v>3.1511501698119817E-4</v>
      </c>
      <c r="P80">
        <f>$B80*Rules!$B$5/(9+Rules!$B$5)</f>
        <v>1.2604600679247927E-3</v>
      </c>
    </row>
    <row r="81" spans="1:30">
      <c r="A81">
        <v>18</v>
      </c>
      <c r="B81">
        <f>P57</f>
        <v>5.0068274920345938E-3</v>
      </c>
      <c r="H81">
        <f>$B81*1/(9+Rules!$B$5)</f>
        <v>3.8514057631035335E-4</v>
      </c>
      <c r="I81">
        <f>$B81*1/(9+Rules!$B$5)</f>
        <v>3.8514057631035335E-4</v>
      </c>
      <c r="J81">
        <f>$B81*1/(9+Rules!$B$5)</f>
        <v>3.8514057631035335E-4</v>
      </c>
      <c r="K81">
        <f>$B81*1/(9+Rules!$B$5)</f>
        <v>3.8514057631035335E-4</v>
      </c>
      <c r="L81">
        <f>$B81*1/(9+Rules!$B$5)</f>
        <v>3.8514057631035335E-4</v>
      </c>
      <c r="M81">
        <f>$B81*1/(9+Rules!$B$5)</f>
        <v>3.8514057631035335E-4</v>
      </c>
      <c r="N81">
        <f>$B81*1/(9+Rules!$B$5)</f>
        <v>3.8514057631035335E-4</v>
      </c>
      <c r="O81">
        <f>$B81*1/(9+Rules!$B$5)</f>
        <v>3.8514057631035335E-4</v>
      </c>
      <c r="P81">
        <f>$B81*1/(9+Rules!$B$5)</f>
        <v>3.8514057631035335E-4</v>
      </c>
      <c r="Q81">
        <f>$B81*Rules!$B$5/(9+Rules!$B$5)</f>
        <v>1.5405623052414134E-3</v>
      </c>
    </row>
    <row r="82" spans="1:30">
      <c r="B82" t="s">
        <v>2</v>
      </c>
      <c r="C82">
        <f t="shared" ref="C82:T82" si="13">SUM(C76:C81)</f>
        <v>3.5012779664577572E-5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8.7531949161443942E-4</v>
      </c>
      <c r="H82">
        <f t="shared" si="13"/>
        <v>1.2604600679247927E-3</v>
      </c>
      <c r="I82">
        <f t="shared" si="13"/>
        <v>1.2604600679247927E-3</v>
      </c>
      <c r="J82">
        <f t="shared" si="13"/>
        <v>1.2604600679247927E-3</v>
      </c>
      <c r="K82">
        <f t="shared" si="13"/>
        <v>1.2604600679247927E-3</v>
      </c>
      <c r="L82">
        <f t="shared" si="13"/>
        <v>1.3654984069185253E-3</v>
      </c>
      <c r="M82">
        <f t="shared" si="13"/>
        <v>1.5405623052414132E-3</v>
      </c>
      <c r="N82">
        <f t="shared" si="13"/>
        <v>1.645600644235146E-3</v>
      </c>
      <c r="O82">
        <f t="shared" si="13"/>
        <v>1.6806134238997238E-3</v>
      </c>
      <c r="P82">
        <f t="shared" si="13"/>
        <v>1.645600644235146E-3</v>
      </c>
      <c r="Q82">
        <f t="shared" si="13"/>
        <v>1.5405623052414134E-3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>
      <c r="B84" t="s">
        <v>93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88</v>
      </c>
      <c r="T84" t="s">
        <v>2</v>
      </c>
      <c r="U84" t="s">
        <v>97</v>
      </c>
      <c r="V84" t="s">
        <v>110</v>
      </c>
      <c r="W84" t="s">
        <v>100</v>
      </c>
    </row>
    <row r="85" spans="1:30">
      <c r="B85" t="s">
        <v>98</v>
      </c>
      <c r="C85">
        <f t="shared" ref="C85:R85" ca="1" si="14">SUMIF($C$60:$AD$60,C84,$C$73:$AD$73)+SUMIF($K$75:$U$75,C84+10,$K$82:$U$82)</f>
        <v>3.5012779664577572E-5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1.9607156612163443E-3</v>
      </c>
      <c r="I85">
        <f t="shared" ca="1" si="14"/>
        <v>4.2015335597493098E-3</v>
      </c>
      <c r="J85">
        <f t="shared" ca="1" si="14"/>
        <v>6.1272364413010759E-3</v>
      </c>
      <c r="K85">
        <f t="shared" ca="1" si="14"/>
        <v>8.7181821364798167E-3</v>
      </c>
      <c r="L85">
        <f t="shared" ca="1" si="14"/>
        <v>1.1869332306291799E-2</v>
      </c>
      <c r="M85">
        <f t="shared" ca="1" si="14"/>
        <v>1.5475648611743288E-2</v>
      </c>
      <c r="N85">
        <f t="shared" ca="1" si="14"/>
        <v>1.9432092713840551E-2</v>
      </c>
      <c r="O85">
        <f t="shared" ca="1" si="14"/>
        <v>1.9537131052834288E-2</v>
      </c>
      <c r="P85">
        <f t="shared" ca="1" si="14"/>
        <v>1.8171632645915758E-2</v>
      </c>
      <c r="Q85">
        <f t="shared" ca="1" si="14"/>
        <v>1.8276670984909496E-2</v>
      </c>
      <c r="R85">
        <f t="shared" ca="1" si="14"/>
        <v>1.8276670984909496E-2</v>
      </c>
      <c r="S85">
        <f ca="1">SUMIF($C$60:$AD$60,"&gt;21",$C$73:$AD$73)</f>
        <v>9.1033227127901711E-2</v>
      </c>
      <c r="T85">
        <f ca="1">SUM(C85:S85)</f>
        <v>0.23553096880361338</v>
      </c>
      <c r="U85">
        <f ca="1">S85+SUM(N85:R85,P86:R86)</f>
        <v>0.18850880571408568</v>
      </c>
      <c r="V85">
        <f>W56</f>
        <v>0.32544378698224863</v>
      </c>
      <c r="W85">
        <f ca="1">V56</f>
        <v>0.43331816112881205</v>
      </c>
    </row>
    <row r="86" spans="1:30">
      <c r="B86" t="s">
        <v>99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3.5012779664577572E-5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8.7531949161443942E-4</v>
      </c>
      <c r="P86">
        <f t="shared" si="15"/>
        <v>1.2604600679247927E-3</v>
      </c>
      <c r="Q86">
        <f t="shared" si="15"/>
        <v>1.2604600679247927E-3</v>
      </c>
      <c r="R86">
        <f t="shared" si="15"/>
        <v>1.2604600679247927E-3</v>
      </c>
      <c r="S86">
        <f>SUMIF($C$60:$AD$60,S84,$C$73:$AD$73)+SUMIF($C$75:$J$75,S84,$C$82:$J$82)+SUMIF($K$75:$U$75,S84+10,$K$82:$U$82)</f>
        <v>0</v>
      </c>
      <c r="T86">
        <f>SUM(C86:S86)</f>
        <v>5.7070830853261454E-3</v>
      </c>
      <c r="W86" t="s">
        <v>94</v>
      </c>
    </row>
    <row r="87" spans="1:30">
      <c r="S87" t="s">
        <v>2</v>
      </c>
      <c r="T87">
        <f ca="1">SUM(T85:T86)</f>
        <v>0.24123805188893951</v>
      </c>
      <c r="W87">
        <f ca="1">T87+W85+V85</f>
        <v>1.0000000000000002</v>
      </c>
    </row>
    <row r="90" spans="1:30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>
      <c r="A91">
        <v>6</v>
      </c>
      <c r="B91">
        <f ca="1">C85</f>
        <v>3.5012779664577572E-5</v>
      </c>
      <c r="C91">
        <f ca="1">$B91*1/(9+Rules!$B$5)</f>
        <v>2.6932907434290439E-6</v>
      </c>
      <c r="D91">
        <f ca="1">$B91*1/(9+Rules!$B$5)</f>
        <v>2.6932907434290439E-6</v>
      </c>
      <c r="E91">
        <f ca="1">$B91*1/(9+Rules!$B$5)</f>
        <v>2.6932907434290439E-6</v>
      </c>
      <c r="F91">
        <f ca="1">$B91*1/(9+Rules!$B$5)</f>
        <v>2.6932907434290439E-6</v>
      </c>
      <c r="G91">
        <f ca="1">$B91*1/(9+Rules!$B$5)</f>
        <v>2.6932907434290439E-6</v>
      </c>
      <c r="H91">
        <f ca="1">$B91*1/(9+Rules!$B$5)</f>
        <v>2.6932907434290439E-6</v>
      </c>
      <c r="I91">
        <f ca="1">$B91*1/(9+Rules!$B$5)</f>
        <v>2.6932907434290439E-6</v>
      </c>
      <c r="J91">
        <f ca="1">$B91*1/(9+Rules!$B$5)</f>
        <v>2.6932907434290439E-6</v>
      </c>
      <c r="K91">
        <f ca="1">$B91*1/(9+Rules!$B$5)</f>
        <v>2.6932907434290439E-6</v>
      </c>
      <c r="L91">
        <f ca="1">$B91*Rules!$B$5/(9+Rules!$B$5)</f>
        <v>1.0773162973716176E-5</v>
      </c>
    </row>
    <row r="92" spans="1:30">
      <c r="A92">
        <v>7</v>
      </c>
      <c r="B92">
        <f ca="1">D85</f>
        <v>1.4005111865831031E-4</v>
      </c>
      <c r="D92">
        <f ca="1">$B92*1/(9+Rules!$B$5)</f>
        <v>1.0773162973716177E-5</v>
      </c>
      <c r="E92">
        <f ca="1">$B92*1/(9+Rules!$B$5)</f>
        <v>1.0773162973716177E-5</v>
      </c>
      <c r="F92">
        <f ca="1">$B92*1/(9+Rules!$B$5)</f>
        <v>1.0773162973716177E-5</v>
      </c>
      <c r="G92">
        <f ca="1">$B92*1/(9+Rules!$B$5)</f>
        <v>1.0773162973716177E-5</v>
      </c>
      <c r="H92">
        <f ca="1">$B92*1/(9+Rules!$B$5)</f>
        <v>1.0773162973716177E-5</v>
      </c>
      <c r="I92">
        <f ca="1">$B92*1/(9+Rules!$B$5)</f>
        <v>1.0773162973716177E-5</v>
      </c>
      <c r="J92">
        <f ca="1">$B92*1/(9+Rules!$B$5)</f>
        <v>1.0773162973716177E-5</v>
      </c>
      <c r="K92">
        <f ca="1">$B92*1/(9+Rules!$B$5)</f>
        <v>1.0773162973716177E-5</v>
      </c>
      <c r="L92">
        <f ca="1">$B92*1/(9+Rules!$B$5)</f>
        <v>1.0773162973716177E-5</v>
      </c>
      <c r="M92">
        <f ca="1">$B92*Rules!$B$5/(9+Rules!$B$5)</f>
        <v>4.3092651894864709E-5</v>
      </c>
    </row>
    <row r="93" spans="1:30">
      <c r="A93">
        <v>8</v>
      </c>
      <c r="B93">
        <f ca="1">E85</f>
        <v>3.5012779664577581E-4</v>
      </c>
      <c r="E93">
        <f ca="1">$B93*1/(9+Rules!$B$5)</f>
        <v>2.6932907434290448E-5</v>
      </c>
      <c r="F93">
        <f ca="1">$B93*1/(9+Rules!$B$5)</f>
        <v>2.6932907434290448E-5</v>
      </c>
      <c r="G93">
        <f ca="1">$B93*1/(9+Rules!$B$5)</f>
        <v>2.6932907434290448E-5</v>
      </c>
      <c r="H93">
        <f ca="1">$B93*1/(9+Rules!$B$5)</f>
        <v>2.6932907434290448E-5</v>
      </c>
      <c r="I93">
        <f ca="1">$B93*1/(9+Rules!$B$5)</f>
        <v>2.6932907434290448E-5</v>
      </c>
      <c r="J93">
        <f ca="1">$B93*1/(9+Rules!$B$5)</f>
        <v>2.6932907434290448E-5</v>
      </c>
      <c r="K93">
        <f ca="1">$B93*1/(9+Rules!$B$5)</f>
        <v>2.6932907434290448E-5</v>
      </c>
      <c r="L93">
        <f ca="1">$B93*1/(9+Rules!$B$5)</f>
        <v>2.6932907434290448E-5</v>
      </c>
      <c r="M93">
        <f ca="1">$B93*1/(9+Rules!$B$5)</f>
        <v>2.6932907434290448E-5</v>
      </c>
      <c r="N93">
        <f ca="1">$B93*Rules!$B$5/(9+Rules!$B$5)</f>
        <v>1.0773162973716179E-4</v>
      </c>
    </row>
    <row r="94" spans="1:30">
      <c r="A94">
        <v>9</v>
      </c>
      <c r="B94">
        <f ca="1">F$85</f>
        <v>7.0025559329155163E-4</v>
      </c>
      <c r="F94">
        <f ca="1">$B94*1/(9+Rules!$B$5)</f>
        <v>5.3865814868580896E-5</v>
      </c>
      <c r="G94">
        <f ca="1">$B94*1/(9+Rules!$B$5)</f>
        <v>5.3865814868580896E-5</v>
      </c>
      <c r="H94">
        <f ca="1">$B94*1/(9+Rules!$B$5)</f>
        <v>5.3865814868580896E-5</v>
      </c>
      <c r="I94">
        <f ca="1">$B94*1/(9+Rules!$B$5)</f>
        <v>5.3865814868580896E-5</v>
      </c>
      <c r="J94">
        <f ca="1">$B94*1/(9+Rules!$B$5)</f>
        <v>5.3865814868580896E-5</v>
      </c>
      <c r="K94">
        <f ca="1">$B94*1/(9+Rules!$B$5)</f>
        <v>5.3865814868580896E-5</v>
      </c>
      <c r="L94">
        <f ca="1">$B94*1/(9+Rules!$B$5)</f>
        <v>5.3865814868580896E-5</v>
      </c>
      <c r="M94">
        <f ca="1">$B94*1/(9+Rules!$B$5)</f>
        <v>5.3865814868580896E-5</v>
      </c>
      <c r="N94">
        <f ca="1">$B94*1/(9+Rules!$B$5)</f>
        <v>5.3865814868580896E-5</v>
      </c>
      <c r="O94">
        <f ca="1">$B94*Rules!$B$5/(9+Rules!$B$5)</f>
        <v>2.1546325947432359E-4</v>
      </c>
    </row>
    <row r="95" spans="1:30">
      <c r="A95">
        <v>10</v>
      </c>
      <c r="B95">
        <f ca="1">G$85</f>
        <v>1.2254472882602153E-3</v>
      </c>
      <c r="G95">
        <f ca="1">$B95*1/(9+Rules!$B$5)</f>
        <v>9.4265176020016562E-5</v>
      </c>
      <c r="H95">
        <f ca="1">$B95*1/(9+Rules!$B$5)</f>
        <v>9.4265176020016562E-5</v>
      </c>
      <c r="I95">
        <f ca="1">$B95*1/(9+Rules!$B$5)</f>
        <v>9.4265176020016562E-5</v>
      </c>
      <c r="J95">
        <f ca="1">$B95*1/(9+Rules!$B$5)</f>
        <v>9.4265176020016562E-5</v>
      </c>
      <c r="K95">
        <f ca="1">$B95*1/(9+Rules!$B$5)</f>
        <v>9.4265176020016562E-5</v>
      </c>
      <c r="L95">
        <f ca="1">$B95*1/(9+Rules!$B$5)</f>
        <v>9.4265176020016562E-5</v>
      </c>
      <c r="M95">
        <f ca="1">$B95*1/(9+Rules!$B$5)</f>
        <v>9.4265176020016562E-5</v>
      </c>
      <c r="N95">
        <f ca="1">$B95*1/(9+Rules!$B$5)</f>
        <v>9.4265176020016562E-5</v>
      </c>
      <c r="O95">
        <f ca="1">$B95*1/(9+Rules!$B$5)</f>
        <v>9.4265176020016562E-5</v>
      </c>
      <c r="P95">
        <f ca="1">$B95*Rules!$B$5/(9+Rules!$B$5)</f>
        <v>3.7706070408006625E-4</v>
      </c>
    </row>
    <row r="96" spans="1:30">
      <c r="A96">
        <v>11</v>
      </c>
      <c r="B96">
        <f ca="1">H$85</f>
        <v>1.9607156612163443E-3</v>
      </c>
      <c r="H96">
        <f ca="1">$B96*1/(9+Rules!$B$5)</f>
        <v>1.5082428163202649E-4</v>
      </c>
      <c r="I96">
        <f ca="1">$B96*1/(9+Rules!$B$5)</f>
        <v>1.5082428163202649E-4</v>
      </c>
      <c r="J96">
        <f ca="1">$B96*1/(9+Rules!$B$5)</f>
        <v>1.5082428163202649E-4</v>
      </c>
      <c r="K96">
        <f ca="1">$B96*1/(9+Rules!$B$5)</f>
        <v>1.5082428163202649E-4</v>
      </c>
      <c r="L96">
        <f ca="1">$B96*1/(9+Rules!$B$5)</f>
        <v>1.5082428163202649E-4</v>
      </c>
      <c r="M96">
        <f ca="1">$B96*1/(9+Rules!$B$5)</f>
        <v>1.5082428163202649E-4</v>
      </c>
      <c r="N96">
        <f ca="1">$B96*1/(9+Rules!$B$5)</f>
        <v>1.5082428163202649E-4</v>
      </c>
      <c r="O96">
        <f ca="1">$B96*1/(9+Rules!$B$5)</f>
        <v>1.5082428163202649E-4</v>
      </c>
      <c r="P96">
        <f ca="1">$B96*1/(9+Rules!$B$5)</f>
        <v>1.5082428163202649E-4</v>
      </c>
      <c r="Q96">
        <f ca="1">$B96*Rules!$B$5/(9+Rules!$B$5)</f>
        <v>6.0329712652810595E-4</v>
      </c>
    </row>
    <row r="97" spans="1:28">
      <c r="A97">
        <v>12</v>
      </c>
      <c r="B97">
        <f ca="1">I$85</f>
        <v>4.2015335597493098E-3</v>
      </c>
      <c r="I97">
        <f ca="1">$B97*1/(9+Rules!$B$5)</f>
        <v>3.2319488921148538E-4</v>
      </c>
      <c r="J97">
        <f ca="1">$B97*1/(9+Rules!$B$5)</f>
        <v>3.2319488921148538E-4</v>
      </c>
      <c r="K97">
        <f ca="1">$B97*1/(9+Rules!$B$5)</f>
        <v>3.2319488921148538E-4</v>
      </c>
      <c r="L97">
        <f ca="1">$B97*1/(9+Rules!$B$5)</f>
        <v>3.2319488921148538E-4</v>
      </c>
      <c r="M97">
        <f ca="1">$B97*1/(9+Rules!$B$5)</f>
        <v>3.2319488921148538E-4</v>
      </c>
      <c r="N97">
        <f ca="1">$B97*1/(9+Rules!$B$5)</f>
        <v>3.2319488921148538E-4</v>
      </c>
      <c r="O97">
        <f ca="1">$B97*1/(9+Rules!$B$5)</f>
        <v>3.2319488921148538E-4</v>
      </c>
      <c r="P97">
        <f ca="1">$B97*1/(9+Rules!$B$5)</f>
        <v>3.2319488921148538E-4</v>
      </c>
      <c r="Q97">
        <f ca="1">$B97*1/(9+Rules!$B$5)</f>
        <v>3.2319488921148538E-4</v>
      </c>
      <c r="R97">
        <f ca="1">$B97*Rules!$B$5/(9+Rules!$B$5)</f>
        <v>1.2927795568459415E-3</v>
      </c>
    </row>
    <row r="98" spans="1:28">
      <c r="A98">
        <v>13</v>
      </c>
      <c r="B98">
        <f ca="1">J$85</f>
        <v>6.1272364413010759E-3</v>
      </c>
      <c r="J98">
        <f ca="1">$B98*1/(9+Rules!$B$5)</f>
        <v>4.7132588010008274E-4</v>
      </c>
      <c r="K98">
        <f ca="1">$B98*1/(9+Rules!$B$5)</f>
        <v>4.7132588010008274E-4</v>
      </c>
      <c r="L98">
        <f ca="1">$B98*1/(9+Rules!$B$5)</f>
        <v>4.7132588010008274E-4</v>
      </c>
      <c r="M98">
        <f ca="1">$B98*1/(9+Rules!$B$5)</f>
        <v>4.7132588010008274E-4</v>
      </c>
      <c r="N98">
        <f ca="1">$B98*1/(9+Rules!$B$5)</f>
        <v>4.7132588010008274E-4</v>
      </c>
      <c r="O98">
        <f ca="1">$B98*1/(9+Rules!$B$5)</f>
        <v>4.7132588010008274E-4</v>
      </c>
      <c r="P98">
        <f ca="1">$B98*1/(9+Rules!$B$5)</f>
        <v>4.7132588010008274E-4</v>
      </c>
      <c r="Q98">
        <f ca="1">$B98*1/(9+Rules!$B$5)</f>
        <v>4.7132588010008274E-4</v>
      </c>
      <c r="R98">
        <f ca="1">$B98*1/(9+Rules!$B$5)</f>
        <v>4.7132588010008274E-4</v>
      </c>
      <c r="S98">
        <f ca="1">$B98*Rules!$B$5/(9+Rules!$B$5)</f>
        <v>1.885303520400331E-3</v>
      </c>
    </row>
    <row r="99" spans="1:28">
      <c r="A99">
        <v>14</v>
      </c>
      <c r="B99">
        <f ca="1">K$85</f>
        <v>8.7181821364798167E-3</v>
      </c>
      <c r="K99">
        <f ca="1">$B99*1/(9+Rules!$B$5)</f>
        <v>6.7062939511383201E-4</v>
      </c>
      <c r="L99">
        <f ca="1">$B99*1/(9+Rules!$B$5)</f>
        <v>6.7062939511383201E-4</v>
      </c>
      <c r="M99">
        <f ca="1">$B99*1/(9+Rules!$B$5)</f>
        <v>6.7062939511383201E-4</v>
      </c>
      <c r="N99">
        <f ca="1">$B99*1/(9+Rules!$B$5)</f>
        <v>6.7062939511383201E-4</v>
      </c>
      <c r="O99">
        <f ca="1">$B99*1/(9+Rules!$B$5)</f>
        <v>6.7062939511383201E-4</v>
      </c>
      <c r="P99">
        <f ca="1">$B99*1/(9+Rules!$B$5)</f>
        <v>6.7062939511383201E-4</v>
      </c>
      <c r="Q99">
        <f ca="1">$B99*1/(9+Rules!$B$5)</f>
        <v>6.7062939511383201E-4</v>
      </c>
      <c r="R99">
        <f ca="1">$B99*1/(9+Rules!$B$5)</f>
        <v>6.7062939511383201E-4</v>
      </c>
      <c r="S99">
        <f ca="1">$B99*1/(9+Rules!$B$5)</f>
        <v>6.7062939511383201E-4</v>
      </c>
      <c r="T99">
        <f ca="1">$B99*Rules!$B$5/(9+Rules!$B$5)</f>
        <v>2.682517580455328E-3</v>
      </c>
    </row>
    <row r="100" spans="1:28">
      <c r="A100">
        <v>15</v>
      </c>
      <c r="B100">
        <f ca="1">L$85</f>
        <v>1.1869332306291799E-2</v>
      </c>
      <c r="L100">
        <f ca="1">$B100*1/(9+Rules!$B$5)</f>
        <v>9.1302556202244609E-4</v>
      </c>
      <c r="M100">
        <f ca="1">$B100*1/(9+Rules!$B$5)</f>
        <v>9.1302556202244609E-4</v>
      </c>
      <c r="N100">
        <f ca="1">$B100*1/(9+Rules!$B$5)</f>
        <v>9.1302556202244609E-4</v>
      </c>
      <c r="O100">
        <f ca="1">$B100*1/(9+Rules!$B$5)</f>
        <v>9.1302556202244609E-4</v>
      </c>
      <c r="P100">
        <f ca="1">$B100*1/(9+Rules!$B$5)</f>
        <v>9.1302556202244609E-4</v>
      </c>
      <c r="Q100">
        <f ca="1">$B100*1/(9+Rules!$B$5)</f>
        <v>9.1302556202244609E-4</v>
      </c>
      <c r="R100">
        <f ca="1">$B100*1/(9+Rules!$B$5)</f>
        <v>9.1302556202244609E-4</v>
      </c>
      <c r="S100">
        <f ca="1">$B100*1/(9+Rules!$B$5)</f>
        <v>9.1302556202244609E-4</v>
      </c>
      <c r="T100">
        <f ca="1">$B100*1/(9+Rules!$B$5)</f>
        <v>9.1302556202244609E-4</v>
      </c>
      <c r="U100">
        <f ca="1">$B100*Rules!$B$5/(9+Rules!$B$5)</f>
        <v>3.6521022480897843E-3</v>
      </c>
    </row>
    <row r="101" spans="1:28">
      <c r="A101">
        <v>16</v>
      </c>
      <c r="B101">
        <f ca="1">M$85</f>
        <v>1.5475648611743288E-2</v>
      </c>
      <c r="M101">
        <f ca="1">$B101*1/(9+Rules!$B$5)</f>
        <v>1.1904345085956376E-3</v>
      </c>
      <c r="N101">
        <f ca="1">$B101*1/(9+Rules!$B$5)</f>
        <v>1.1904345085956376E-3</v>
      </c>
      <c r="O101">
        <f ca="1">$B101*1/(9+Rules!$B$5)</f>
        <v>1.1904345085956376E-3</v>
      </c>
      <c r="P101">
        <f ca="1">$B101*1/(9+Rules!$B$5)</f>
        <v>1.1904345085956376E-3</v>
      </c>
      <c r="Q101">
        <f ca="1">$B101*1/(9+Rules!$B$5)</f>
        <v>1.1904345085956376E-3</v>
      </c>
      <c r="R101">
        <f ca="1">$B101*1/(9+Rules!$B$5)</f>
        <v>1.1904345085956376E-3</v>
      </c>
      <c r="S101">
        <f ca="1">$B101*1/(9+Rules!$B$5)</f>
        <v>1.1904345085956376E-3</v>
      </c>
      <c r="T101">
        <f ca="1">$B101*1/(9+Rules!$B$5)</f>
        <v>1.1904345085956376E-3</v>
      </c>
      <c r="U101">
        <f ca="1">$B101*1/(9+Rules!$B$5)</f>
        <v>1.1904345085956376E-3</v>
      </c>
      <c r="V101">
        <f ca="1">$B101*Rules!$B$5/(9+Rules!$B$5)</f>
        <v>4.7617380343825504E-3</v>
      </c>
    </row>
    <row r="102" spans="1:28">
      <c r="B102" t="s">
        <v>2</v>
      </c>
      <c r="C102">
        <f t="shared" ref="C102:AB102" ca="1" si="16">SUM(C91:C101)</f>
        <v>2.6932907434290439E-6</v>
      </c>
      <c r="D102">
        <f t="shared" ca="1" si="16"/>
        <v>1.3466453717145221E-5</v>
      </c>
      <c r="E102">
        <f t="shared" ca="1" si="16"/>
        <v>4.0399361151435666E-5</v>
      </c>
      <c r="F102">
        <f t="shared" ca="1" si="16"/>
        <v>9.4265176020016562E-5</v>
      </c>
      <c r="G102">
        <f t="shared" ca="1" si="16"/>
        <v>1.8853035204003312E-4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1.1338754029836277E-3</v>
      </c>
      <c r="K102">
        <f t="shared" ca="1" si="16"/>
        <v>1.8045047980974598E-3</v>
      </c>
      <c r="L102">
        <f t="shared" ca="1" si="16"/>
        <v>2.7256102323501927E-3</v>
      </c>
      <c r="M102">
        <f t="shared" ca="1" si="16"/>
        <v>3.9375910668932625E-3</v>
      </c>
      <c r="N102">
        <f t="shared" ca="1" si="16"/>
        <v>3.9752971373012693E-3</v>
      </c>
      <c r="O102">
        <f t="shared" ca="1" si="16"/>
        <v>4.029162952169851E-3</v>
      </c>
      <c r="P102">
        <f t="shared" ca="1" si="16"/>
        <v>4.0964952207555765E-3</v>
      </c>
      <c r="Q102">
        <f t="shared" ca="1" si="16"/>
        <v>4.1719073615715894E-3</v>
      </c>
      <c r="R102">
        <f t="shared" ca="1" si="16"/>
        <v>4.5381949026779399E-3</v>
      </c>
      <c r="S102">
        <f t="shared" ca="1" si="16"/>
        <v>4.6593929861322471E-3</v>
      </c>
      <c r="T102">
        <f t="shared" ca="1" si="16"/>
        <v>4.7859776510734116E-3</v>
      </c>
      <c r="U102">
        <f t="shared" ca="1" si="16"/>
        <v>4.8425367566854224E-3</v>
      </c>
      <c r="V102">
        <f t="shared" ca="1" si="16"/>
        <v>4.7617380343825504E-3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>
      <c r="A104" t="s">
        <v>95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>
      <c r="A105">
        <v>14</v>
      </c>
      <c r="B105">
        <f>K$86</f>
        <v>3.5012779664577572E-5</v>
      </c>
      <c r="C105">
        <f>$B105*1/(9+Rules!$B$5)</f>
        <v>2.6932907434290439E-6</v>
      </c>
      <c r="D105">
        <f>$B105*1/(9+Rules!$B$5)</f>
        <v>2.6932907434290439E-6</v>
      </c>
      <c r="E105">
        <f>$B105*1/(9+Rules!$B$5)</f>
        <v>2.6932907434290439E-6</v>
      </c>
      <c r="F105">
        <f>$B105*1/(9+Rules!$B$5)</f>
        <v>2.6932907434290439E-6</v>
      </c>
      <c r="G105">
        <f>$B105*1/(9+Rules!$B$5)</f>
        <v>2.6932907434290439E-6</v>
      </c>
      <c r="H105">
        <f>$B105*1/(9+Rules!$B$5)</f>
        <v>2.6932907434290439E-6</v>
      </c>
      <c r="I105">
        <f>$B105*1/(9+Rules!$B$5)</f>
        <v>2.6932907434290439E-6</v>
      </c>
      <c r="J105">
        <f>$B105*1/(9+Rules!$B$5)</f>
        <v>2.6932907434290439E-6</v>
      </c>
      <c r="K105">
        <f>$B105*1/(9+Rules!$B$5)</f>
        <v>2.6932907434290439E-6</v>
      </c>
      <c r="L105">
        <f>$B105*Rules!$B$5/(9+Rules!$B$5)</f>
        <v>1.0773162973716176E-5</v>
      </c>
    </row>
    <row r="106" spans="1:28">
      <c r="A106">
        <v>15</v>
      </c>
      <c r="B106">
        <f>L$86</f>
        <v>1.4005111865831031E-4</v>
      </c>
      <c r="D106">
        <f>$B106*1/(9+Rules!$B$5)</f>
        <v>1.0773162973716177E-5</v>
      </c>
      <c r="E106">
        <f>$B106*1/(9+Rules!$B$5)</f>
        <v>1.0773162973716177E-5</v>
      </c>
      <c r="F106">
        <f>$B106*1/(9+Rules!$B$5)</f>
        <v>1.0773162973716177E-5</v>
      </c>
      <c r="G106">
        <f>$B106*1/(9+Rules!$B$5)</f>
        <v>1.0773162973716177E-5</v>
      </c>
      <c r="H106">
        <f>$B106*1/(9+Rules!$B$5)</f>
        <v>1.0773162973716177E-5</v>
      </c>
      <c r="I106">
        <f>$B106*1/(9+Rules!$B$5)</f>
        <v>1.0773162973716177E-5</v>
      </c>
      <c r="J106">
        <f>$B106*1/(9+Rules!$B$5)</f>
        <v>1.0773162973716177E-5</v>
      </c>
      <c r="K106">
        <f>$B106*1/(9+Rules!$B$5)</f>
        <v>1.0773162973716177E-5</v>
      </c>
      <c r="L106">
        <f>$B106*1/(9+Rules!$B$5)</f>
        <v>1.0773162973716177E-5</v>
      </c>
      <c r="M106">
        <f>$B106*Rules!$B$5/(9+Rules!$B$5)</f>
        <v>4.3092651894864709E-5</v>
      </c>
    </row>
    <row r="107" spans="1:28">
      <c r="A107">
        <v>16</v>
      </c>
      <c r="B107">
        <f>M$86</f>
        <v>3.1511501698119817E-4</v>
      </c>
      <c r="E107">
        <f>$B107*1/(9+Rules!$B$5)</f>
        <v>2.4239616690861398E-5</v>
      </c>
      <c r="F107">
        <f>$B107*1/(9+Rules!$B$5)</f>
        <v>2.4239616690861398E-5</v>
      </c>
      <c r="G107">
        <f>$B107*1/(9+Rules!$B$5)</f>
        <v>2.4239616690861398E-5</v>
      </c>
      <c r="H107">
        <f>$B107*1/(9+Rules!$B$5)</f>
        <v>2.4239616690861398E-5</v>
      </c>
      <c r="I107">
        <f>$B107*1/(9+Rules!$B$5)</f>
        <v>2.4239616690861398E-5</v>
      </c>
      <c r="J107">
        <f>$B107*1/(9+Rules!$B$5)</f>
        <v>2.4239616690861398E-5</v>
      </c>
      <c r="K107">
        <f>$B107*1/(9+Rules!$B$5)</f>
        <v>2.4239616690861398E-5</v>
      </c>
      <c r="L107">
        <f>$B107*1/(9+Rules!$B$5)</f>
        <v>2.4239616690861398E-5</v>
      </c>
      <c r="M107">
        <f>$B107*1/(9+Rules!$B$5)</f>
        <v>2.4239616690861398E-5</v>
      </c>
      <c r="N107">
        <f>$B107*Rules!$B$5/(9+Rules!$B$5)</f>
        <v>9.6958466763445592E-5</v>
      </c>
    </row>
    <row r="108" spans="1:28">
      <c r="A108">
        <v>17</v>
      </c>
      <c r="B108">
        <f>N$86</f>
        <v>5.6020447463324126E-4</v>
      </c>
      <c r="F108">
        <f>$B108*1/(9+Rules!$B$5)</f>
        <v>4.3092651894864709E-5</v>
      </c>
      <c r="G108">
        <f>$B108*1/(9+Rules!$B$5)</f>
        <v>4.3092651894864709E-5</v>
      </c>
      <c r="H108">
        <f>$B108*1/(9+Rules!$B$5)</f>
        <v>4.3092651894864709E-5</v>
      </c>
      <c r="I108">
        <f>$B108*1/(9+Rules!$B$5)</f>
        <v>4.3092651894864709E-5</v>
      </c>
      <c r="J108">
        <f>$B108*1/(9+Rules!$B$5)</f>
        <v>4.3092651894864709E-5</v>
      </c>
      <c r="K108">
        <f>$B108*1/(9+Rules!$B$5)</f>
        <v>4.3092651894864709E-5</v>
      </c>
      <c r="L108">
        <f>$B108*1/(9+Rules!$B$5)</f>
        <v>4.3092651894864709E-5</v>
      </c>
      <c r="M108">
        <f>$B108*1/(9+Rules!$B$5)</f>
        <v>4.3092651894864709E-5</v>
      </c>
      <c r="N108">
        <f>$B108*1/(9+Rules!$B$5)</f>
        <v>4.3092651894864709E-5</v>
      </c>
      <c r="O108">
        <f>$B108*Rules!$B$5/(9+Rules!$B$5)</f>
        <v>1.7237060757945884E-4</v>
      </c>
    </row>
    <row r="109" spans="1:28">
      <c r="A109">
        <v>18</v>
      </c>
      <c r="B109">
        <f>O$86</f>
        <v>8.7531949161443942E-4</v>
      </c>
      <c r="G109">
        <f>$B109*1/(9+Rules!$B$5)</f>
        <v>6.7332268585726114E-5</v>
      </c>
      <c r="H109">
        <f>$B109*1/(9+Rules!$B$5)</f>
        <v>6.7332268585726114E-5</v>
      </c>
      <c r="I109">
        <f>$B109*1/(9+Rules!$B$5)</f>
        <v>6.7332268585726114E-5</v>
      </c>
      <c r="J109">
        <f>$B109*1/(9+Rules!$B$5)</f>
        <v>6.7332268585726114E-5</v>
      </c>
      <c r="K109">
        <f>$B109*1/(9+Rules!$B$5)</f>
        <v>6.7332268585726114E-5</v>
      </c>
      <c r="L109">
        <f>$B109*1/(9+Rules!$B$5)</f>
        <v>6.7332268585726114E-5</v>
      </c>
      <c r="M109">
        <f>$B109*1/(9+Rules!$B$5)</f>
        <v>6.7332268585726114E-5</v>
      </c>
      <c r="N109">
        <f>$B109*1/(9+Rules!$B$5)</f>
        <v>6.7332268585726114E-5</v>
      </c>
      <c r="O109">
        <f>$B109*1/(9+Rules!$B$5)</f>
        <v>6.7332268585726114E-5</v>
      </c>
      <c r="P109">
        <f>$B109*Rules!$B$5/(9+Rules!$B$5)</f>
        <v>2.6932907434290445E-4</v>
      </c>
    </row>
    <row r="110" spans="1:28">
      <c r="B110" t="s">
        <v>2</v>
      </c>
      <c r="C110">
        <f t="shared" ref="C110:T110" si="17">SUM(C105:C109)</f>
        <v>2.6932907434290439E-6</v>
      </c>
      <c r="D110">
        <f t="shared" si="17"/>
        <v>1.3466453717145221E-5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1.4813099088859744E-4</v>
      </c>
      <c r="H110">
        <f t="shared" si="17"/>
        <v>1.4813099088859744E-4</v>
      </c>
      <c r="I110">
        <f t="shared" si="17"/>
        <v>1.4813099088859744E-4</v>
      </c>
      <c r="J110">
        <f t="shared" si="17"/>
        <v>1.4813099088859744E-4</v>
      </c>
      <c r="K110">
        <f t="shared" si="17"/>
        <v>1.4813099088859744E-4</v>
      </c>
      <c r="L110">
        <f t="shared" si="17"/>
        <v>1.5621086311888458E-4</v>
      </c>
      <c r="M110">
        <f t="shared" si="17"/>
        <v>1.7775718906631692E-4</v>
      </c>
      <c r="N110">
        <f t="shared" si="17"/>
        <v>2.0738338724403643E-4</v>
      </c>
      <c r="O110">
        <f t="shared" si="17"/>
        <v>2.3970287616518495E-4</v>
      </c>
      <c r="P110">
        <f t="shared" si="17"/>
        <v>2.6932907434290445E-4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>
      <c r="B112" t="s">
        <v>102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88</v>
      </c>
      <c r="S112" t="s">
        <v>2</v>
      </c>
      <c r="T112" t="s">
        <v>97</v>
      </c>
      <c r="U112" t="s">
        <v>110</v>
      </c>
      <c r="V112" t="s">
        <v>100</v>
      </c>
      <c r="W112" t="s">
        <v>101</v>
      </c>
    </row>
    <row r="113" spans="2:24">
      <c r="B113" t="s">
        <v>98</v>
      </c>
      <c r="C113">
        <f t="shared" ref="C113:Q113" ca="1" si="18">SUMIF($C$90:$AD$90,C112,$C$102:$AD$102)+SUMIF($J$104:$U$104,C112+10,$J$110:$U$110)</f>
        <v>2.6932907434290439E-6</v>
      </c>
      <c r="D113">
        <f t="shared" ca="1" si="18"/>
        <v>1.3466453717145221E-5</v>
      </c>
      <c r="E113">
        <f t="shared" ca="1" si="18"/>
        <v>4.0399361151435666E-5</v>
      </c>
      <c r="F113">
        <f t="shared" ca="1" si="18"/>
        <v>9.4265176020016562E-5</v>
      </c>
      <c r="G113">
        <f t="shared" ca="1" si="18"/>
        <v>1.8853035204003312E-4</v>
      </c>
      <c r="H113">
        <f t="shared" ca="1" si="18"/>
        <v>4.8748562456065706E-4</v>
      </c>
      <c r="I113">
        <f t="shared" ca="1" si="18"/>
        <v>8.1068051377214238E-4</v>
      </c>
      <c r="J113">
        <f t="shared" ca="1" si="18"/>
        <v>1.2900862661025122E-3</v>
      </c>
      <c r="K113">
        <f t="shared" ca="1" si="18"/>
        <v>1.9822619871637769E-3</v>
      </c>
      <c r="L113">
        <f t="shared" ca="1" si="18"/>
        <v>2.9329936195942293E-3</v>
      </c>
      <c r="M113">
        <f t="shared" ca="1" si="18"/>
        <v>4.1772939430584476E-3</v>
      </c>
      <c r="N113">
        <f t="shared" ca="1" si="18"/>
        <v>4.244626211644174E-3</v>
      </c>
      <c r="O113">
        <f t="shared" ca="1" si="18"/>
        <v>4.029162952169851E-3</v>
      </c>
      <c r="P113">
        <f t="shared" ca="1" si="18"/>
        <v>4.0964952207555765E-3</v>
      </c>
      <c r="Q113">
        <f t="shared" ca="1" si="18"/>
        <v>4.1719073615715894E-3</v>
      </c>
      <c r="R113">
        <f ca="1">SUMIF($C$90:$AD$90,"&gt;21",$C$102:$AD$102)</f>
        <v>2.3587840330951574E-2</v>
      </c>
      <c r="S113">
        <f ca="1">SUM(C113:R113)</f>
        <v>5.2150188665016597E-2</v>
      </c>
      <c r="T113">
        <f ca="1">R113</f>
        <v>2.3587840330951574E-2</v>
      </c>
      <c r="U113">
        <f>V85</f>
        <v>0.32544378698224863</v>
      </c>
      <c r="V113">
        <f ca="1">W85</f>
        <v>0.43331816112881205</v>
      </c>
      <c r="W113">
        <f ca="1">U85</f>
        <v>0.18850880571408568</v>
      </c>
    </row>
    <row r="114" spans="2:24">
      <c r="B114" t="s">
        <v>99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2.6932907434290439E-6</v>
      </c>
      <c r="L114">
        <f t="shared" si="19"/>
        <v>1.3466453717145221E-5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1.4813099088859744E-4</v>
      </c>
      <c r="P114">
        <f t="shared" si="19"/>
        <v>1.4813099088859744E-4</v>
      </c>
      <c r="Q114">
        <f t="shared" si="19"/>
        <v>1.4813099088859744E-4</v>
      </c>
      <c r="R114">
        <f>SUMIF($C$60:$AD$60,R112,$C$73:$AD$73)+SUMIF($C$75:$J$75,R112,$C$82:$J$82)+SUMIF($K$75:$U$75,R112+10,$K$82:$U$82)</f>
        <v>0</v>
      </c>
      <c r="S114">
        <f>SUM(C114:R114)</f>
        <v>5.7905750983724448E-4</v>
      </c>
      <c r="X114" t="s">
        <v>94</v>
      </c>
    </row>
    <row r="115" spans="2:24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7" thickBot="1"/>
    <row r="117" spans="2:24" ht="17" thickBot="1">
      <c r="D117" s="103"/>
      <c r="E117" s="21" t="s">
        <v>108</v>
      </c>
      <c r="F117" s="19" t="s">
        <v>107</v>
      </c>
      <c r="G117" s="19" t="s">
        <v>109</v>
      </c>
      <c r="H117" s="20" t="s">
        <v>94</v>
      </c>
    </row>
    <row r="118" spans="2:24">
      <c r="D118" s="96" t="s">
        <v>103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>
      <c r="D119" s="97" t="s">
        <v>104</v>
      </c>
      <c r="E119" s="128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>
      <c r="D120" s="97" t="s">
        <v>105</v>
      </c>
      <c r="E120" s="128">
        <f ca="1">U85-S85</f>
        <v>9.747557858618397E-2</v>
      </c>
      <c r="F120" s="1">
        <f ca="1">S85</f>
        <v>9.1033227127901711E-2</v>
      </c>
      <c r="G120" s="1">
        <f ca="1">G119-F120-E120</f>
        <v>5.2729246174853639E-2</v>
      </c>
      <c r="H120" s="9">
        <f ca="1">SUM(E120:G120)</f>
        <v>0.24123805188893932</v>
      </c>
    </row>
    <row r="121" spans="2:24">
      <c r="D121" s="97" t="s">
        <v>106</v>
      </c>
      <c r="E121" s="128"/>
      <c r="F121" s="1">
        <f ca="1">R113</f>
        <v>2.3587840330951574E-2</v>
      </c>
      <c r="G121" s="1">
        <f ca="1">G120-F121</f>
        <v>2.9141405843902065E-2</v>
      </c>
      <c r="H121" s="9">
        <f ca="1">SUM(E121:G121)</f>
        <v>5.2729246174853639E-2</v>
      </c>
    </row>
    <row r="122" spans="2:24" ht="17" thickBot="1">
      <c r="D122" s="129" t="s">
        <v>2</v>
      </c>
      <c r="E122" s="130">
        <f ca="1">SUM(E118:E121)</f>
        <v>0.68327439515423138</v>
      </c>
      <c r="F122" s="109">
        <f ca="1">SUM(F118:F121)</f>
        <v>0.28758419900186649</v>
      </c>
      <c r="G122" s="109">
        <f ca="1">G121</f>
        <v>2.9141405843902065E-2</v>
      </c>
      <c r="H122" s="10">
        <f ca="1">SUM(E122:G122)</f>
        <v>0.99999999999999989</v>
      </c>
    </row>
  </sheetData>
  <sheetProtection sheet="1" objects="1" scenarios="1"/>
  <conditionalFormatting sqref="C2">
    <cfRule type="containsText" dxfId="679" priority="7" operator="containsText" text="R">
      <formula>NOT(ISERROR(SEARCH("R",C2)))</formula>
    </cfRule>
    <cfRule type="containsText" dxfId="678" priority="8" operator="containsText" text="D">
      <formula>NOT(ISERROR(SEARCH("D",C2)))</formula>
    </cfRule>
    <cfRule type="containsText" dxfId="677" priority="9" operator="containsText" text="S">
      <formula>NOT(ISERROR(SEARCH("S",C2)))</formula>
    </cfRule>
    <cfRule type="containsText" dxfId="676" priority="10" operator="containsText" text="H">
      <formula>NOT(ISERROR(SEARCH("H",C2)))</formula>
    </cfRule>
  </conditionalFormatting>
  <conditionalFormatting sqref="C2">
    <cfRule type="containsText" dxfId="675" priority="6" operator="containsText" text="P">
      <formula>NOT(ISERROR(SEARCH("P",C2)))</formula>
    </cfRule>
  </conditionalFormatting>
  <conditionalFormatting sqref="C15">
    <cfRule type="containsText" dxfId="674" priority="2" operator="containsText" text="R">
      <formula>NOT(ISERROR(SEARCH("R",C15)))</formula>
    </cfRule>
    <cfRule type="containsText" dxfId="673" priority="3" operator="containsText" text="D">
      <formula>NOT(ISERROR(SEARCH("D",C15)))</formula>
    </cfRule>
    <cfRule type="containsText" dxfId="672" priority="4" operator="containsText" text="S">
      <formula>NOT(ISERROR(SEARCH("S",C15)))</formula>
    </cfRule>
    <cfRule type="containsText" dxfId="671" priority="5" operator="containsText" text="H">
      <formula>NOT(ISERROR(SEARCH("H",C15)))</formula>
    </cfRule>
  </conditionalFormatting>
  <conditionalFormatting sqref="C15">
    <cfRule type="containsText" dxfId="670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2"/>
  <sheetViews>
    <sheetView workbookViewId="0">
      <selection activeCell="D2" sqref="D2"/>
    </sheetView>
  </sheetViews>
  <sheetFormatPr baseColWidth="10" defaultColWidth="11" defaultRowHeight="16"/>
  <cols>
    <col min="1" max="1" width="9.1640625" customWidth="1"/>
  </cols>
  <sheetData>
    <row r="1" spans="1:4">
      <c r="B1" t="s">
        <v>118</v>
      </c>
      <c r="C1" t="s">
        <v>115</v>
      </c>
      <c r="D1" t="s">
        <v>116</v>
      </c>
    </row>
    <row r="2" spans="1:4">
      <c r="A2" t="s">
        <v>117</v>
      </c>
      <c r="B2">
        <f>1/13</f>
        <v>7.6923076923076927E-2</v>
      </c>
      <c r="C2">
        <f>2*B2^2</f>
        <v>1.183431952662722E-2</v>
      </c>
      <c r="D2">
        <f>3*B2^3</f>
        <v>1.3654984069185255E-3</v>
      </c>
    </row>
  </sheetData>
  <sheetProtection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Q40"/>
  <sheetViews>
    <sheetView workbookViewId="0">
      <selection activeCell="P18" sqref="P18"/>
    </sheetView>
  </sheetViews>
  <sheetFormatPr baseColWidth="10" defaultColWidth="8.83203125" defaultRowHeight="15"/>
  <cols>
    <col min="1" max="2" width="8.83203125" style="33"/>
    <col min="3" max="3" width="8" style="33" customWidth="1"/>
    <col min="4" max="16" width="8.83203125" style="33"/>
    <col min="17" max="17" width="10.5" style="33" bestFit="1" customWidth="1"/>
    <col min="18" max="16384" width="8.83203125" style="33"/>
  </cols>
  <sheetData>
    <row r="1" spans="1:17" ht="25" thickBot="1">
      <c r="A1" s="347" t="s">
        <v>201</v>
      </c>
      <c r="B1" s="348"/>
      <c r="C1" s="348"/>
      <c r="D1" s="348"/>
      <c r="E1" s="348"/>
      <c r="F1" s="348"/>
      <c r="G1" s="348"/>
      <c r="H1" s="348"/>
      <c r="I1" s="348"/>
      <c r="J1" s="348"/>
      <c r="K1" s="349"/>
    </row>
    <row r="2" spans="1:17" ht="16" thickBot="1">
      <c r="A2" s="147" t="s">
        <v>9</v>
      </c>
      <c r="B2" s="147" t="s">
        <v>1</v>
      </c>
      <c r="C2" s="147">
        <v>2</v>
      </c>
      <c r="D2" s="147">
        <v>3</v>
      </c>
      <c r="E2" s="147">
        <v>4</v>
      </c>
      <c r="F2" s="147">
        <v>5</v>
      </c>
      <c r="G2" s="147">
        <v>6</v>
      </c>
      <c r="H2" s="147">
        <v>7</v>
      </c>
      <c r="I2" s="147">
        <v>8</v>
      </c>
      <c r="J2" s="147">
        <v>9</v>
      </c>
      <c r="K2" s="147">
        <v>10</v>
      </c>
      <c r="M2" s="196"/>
      <c r="N2" s="205" t="s">
        <v>181</v>
      </c>
      <c r="O2" s="179" t="s">
        <v>37</v>
      </c>
      <c r="P2" s="179" t="s">
        <v>180</v>
      </c>
      <c r="Q2" s="192" t="s">
        <v>36</v>
      </c>
    </row>
    <row r="3" spans="1:17">
      <c r="A3" s="32">
        <v>5</v>
      </c>
      <c r="B3" s="34">
        <f>HSDR!B5</f>
        <v>-0.40632230211141912</v>
      </c>
      <c r="C3" s="34">
        <f>HSDR!C5</f>
        <v>-0.12585466591223504</v>
      </c>
      <c r="D3" s="34">
        <f>HSDR!D5</f>
        <v>-9.3185805313397596E-2</v>
      </c>
      <c r="E3" s="34">
        <f>HSDR!E5</f>
        <v>-5.8868938477504656E-2</v>
      </c>
      <c r="F3" s="34">
        <f>HSDR!F5</f>
        <v>-2.2722050599694302E-2</v>
      </c>
      <c r="G3" s="34">
        <f>HSDR!G5</f>
        <v>1.5153619459709739E-2</v>
      </c>
      <c r="H3" s="34">
        <f>HSDR!H5</f>
        <v>-0.11944744188414852</v>
      </c>
      <c r="I3" s="34">
        <f>HSDR!I5</f>
        <v>-0.18809330390318518</v>
      </c>
      <c r="J3" s="34">
        <f>HSDR!J5</f>
        <v>-0.26661505335795899</v>
      </c>
      <c r="K3" s="34">
        <f>HSDR!K5</f>
        <v>-0.3577434525808979</v>
      </c>
      <c r="M3" s="204" t="s">
        <v>46</v>
      </c>
      <c r="N3" s="194">
        <f>SUM(SUMIF($B$3:$K$17,"&gt;0",B3:K17),SUMIF($B$19:$K$27,"&gt;0",B19:K27),SUMIF($B$29:$K$38,"&gt;0",B29:K38))</f>
        <v>58.185789030925747</v>
      </c>
      <c r="O3" s="176">
        <f>COUNTIF($B$3:$K$17,"&gt;0")+COUNTIF($B$19:$K$27,"&gt;0")+COUNTIF($B$29:$K$38,"&gt;0")</f>
        <v>161</v>
      </c>
      <c r="P3" s="176">
        <f>AVERAGE(AVERAGEIF($B$3:$K$17,"&gt;0"),AVERAGEIF($B$19:$K$27,"&gt;0"),AVERAGEIF($B$29:$K$38,"&gt;0"))</f>
        <v>0.35236692274843612</v>
      </c>
      <c r="Q3" s="177">
        <f>N3/N5</f>
        <v>0.58211783599502442</v>
      </c>
    </row>
    <row r="4" spans="1:17" ht="16" thickBot="1">
      <c r="A4" s="32">
        <v>6</v>
      </c>
      <c r="B4" s="34">
        <f>HSDR!B6</f>
        <v>-0.41968690347101079</v>
      </c>
      <c r="C4" s="34">
        <f>HSDR!C6</f>
        <v>-0.1380730292913315</v>
      </c>
      <c r="D4" s="34">
        <f>HSDR!D6</f>
        <v>-0.10487404133749784</v>
      </c>
      <c r="E4" s="34">
        <f>HSDR!E6</f>
        <v>-7.0077773347286057E-2</v>
      </c>
      <c r="F4" s="34">
        <f>HSDR!F6</f>
        <v>-3.3548869940164566E-2</v>
      </c>
      <c r="G4" s="34">
        <f>HSDR!G6</f>
        <v>4.7665085393153788E-3</v>
      </c>
      <c r="H4" s="34">
        <f>HSDR!H6</f>
        <v>-0.15193270723669944</v>
      </c>
      <c r="I4" s="34">
        <f>HSDR!I6</f>
        <v>-0.21724188132078476</v>
      </c>
      <c r="J4" s="34">
        <f>HSDR!J6</f>
        <v>-0.29264070019772598</v>
      </c>
      <c r="K4" s="34">
        <f>HSDR!K6</f>
        <v>-0.38050766229289529</v>
      </c>
      <c r="M4" s="203" t="s">
        <v>153</v>
      </c>
      <c r="N4" s="198">
        <f>SUM(SUMIF($B$3:$K$17,"&lt;0"),SUMIF($B$19:$K$27,"&lt;0"),SUMIF($B$29:$K$38,"&lt;0"),C40)</f>
        <v>-41.769555803110698</v>
      </c>
      <c r="O4" s="199">
        <f>COUNTIF($B$3:$K$17,"&lt;0")+COUNTIF($B$19:$K$27,"&lt;0")+COUNTIF($B$29:$K$38,"&lt;0")</f>
        <v>179</v>
      </c>
      <c r="P4" s="199">
        <f>AVERAGE(AVERAGEIF($B$3:$K$17,"&lt;0"),AVERAGEIF($B$19:$K$27,"&lt;0"),AVERAGEIF($B$29:$K$38,"&lt;0"))</f>
        <v>-0.20784772492761885</v>
      </c>
      <c r="Q4" s="72">
        <f>1-Q3</f>
        <v>0.41788216400497558</v>
      </c>
    </row>
    <row r="5" spans="1:17">
      <c r="A5" s="32">
        <v>7</v>
      </c>
      <c r="B5" s="34">
        <f>HSDR!B7</f>
        <v>-0.39971038372569095</v>
      </c>
      <c r="C5" s="34">
        <f>HSDR!C7</f>
        <v>-0.10957748444769842</v>
      </c>
      <c r="D5" s="34">
        <f>HSDR!D7</f>
        <v>-7.6937567884950209E-2</v>
      </c>
      <c r="E5" s="34">
        <f>HSDR!E7</f>
        <v>-4.2826367717071351E-2</v>
      </c>
      <c r="F5" s="34">
        <f>HSDR!F7</f>
        <v>-7.17726676462546E-3</v>
      </c>
      <c r="G5" s="34">
        <f>HSDR!G7</f>
        <v>3.0408566151961865E-2</v>
      </c>
      <c r="H5" s="34">
        <f>HSDR!H7</f>
        <v>-6.8807799580427764E-2</v>
      </c>
      <c r="I5" s="34">
        <f>HSDR!I7</f>
        <v>-0.21060476872434966</v>
      </c>
      <c r="J5" s="34">
        <f>HSDR!J7</f>
        <v>-0.28536544048687662</v>
      </c>
      <c r="K5" s="34">
        <f>HSDR!K7</f>
        <v>-0.36507789921394679</v>
      </c>
      <c r="M5" s="185" t="s">
        <v>45</v>
      </c>
      <c r="N5" s="200">
        <f>N3-N4</f>
        <v>99.955344834036453</v>
      </c>
      <c r="O5" s="190">
        <f>COUNT($B$3:$K$17,$B$19:$K$27,$B$29:$K$38)</f>
        <v>340</v>
      </c>
      <c r="P5" s="190">
        <f>AVERAGE($B$3:$K$17,$B$19:$K$27,$B$29:$K$38)</f>
        <v>5.1224215375926606E-2</v>
      </c>
      <c r="Q5" s="71">
        <f>Q3+Q4</f>
        <v>1</v>
      </c>
    </row>
    <row r="6" spans="1:17" ht="16" thickBot="1">
      <c r="A6" s="32">
        <v>8</v>
      </c>
      <c r="B6" s="34">
        <f>HSDR!B8</f>
        <v>-0.33034033459070061</v>
      </c>
      <c r="C6" s="34">
        <f>HSDR!C8</f>
        <v>-2.4506830289917444E-2</v>
      </c>
      <c r="D6" s="34">
        <f>HSDR!D8</f>
        <v>5.5679308753931881E-3</v>
      </c>
      <c r="E6" s="34">
        <f>HSDR!E8</f>
        <v>3.7010775094514566E-2</v>
      </c>
      <c r="F6" s="34">
        <f>HSDR!F8</f>
        <v>6.9950633154329159E-2</v>
      </c>
      <c r="G6" s="34">
        <f>HSDR!G8</f>
        <v>0.10385811332306308</v>
      </c>
      <c r="H6" s="34">
        <f>HSDR!H8</f>
        <v>8.2207439363742862E-2</v>
      </c>
      <c r="I6" s="34">
        <f>HSDR!I8</f>
        <v>-5.989827565865629E-2</v>
      </c>
      <c r="J6" s="34">
        <f>HSDR!J8</f>
        <v>-0.2101863319982176</v>
      </c>
      <c r="K6" s="34">
        <f>HSDR!K8</f>
        <v>-0.30177738614031369</v>
      </c>
      <c r="M6" s="197"/>
      <c r="N6" s="195"/>
      <c r="O6" s="175"/>
      <c r="P6" s="175"/>
      <c r="Q6" s="191"/>
    </row>
    <row r="7" spans="1:17" ht="16" thickBot="1">
      <c r="A7" s="32">
        <v>9</v>
      </c>
      <c r="B7" s="34">
        <f>HSDR!B9</f>
        <v>-0.25192476177072076</v>
      </c>
      <c r="C7" s="34">
        <f>HSDR!C9</f>
        <v>7.2232808963193215E-2</v>
      </c>
      <c r="D7" s="34">
        <f>HSDR!D9</f>
        <v>0.11871708619491314</v>
      </c>
      <c r="E7" s="34">
        <f>HSDR!E9</f>
        <v>0.17999961456984417</v>
      </c>
      <c r="F7" s="34">
        <f>HSDR!F9</f>
        <v>0.24211866364068418</v>
      </c>
      <c r="G7" s="34">
        <f>HSDR!G9</f>
        <v>0.30485344968108963</v>
      </c>
      <c r="H7" s="34">
        <f>HSDR!H9</f>
        <v>0.17186785993695267</v>
      </c>
      <c r="I7" s="34">
        <f>HSDR!I9</f>
        <v>9.8376217435392585E-2</v>
      </c>
      <c r="J7" s="34">
        <f>HSDR!J9</f>
        <v>-5.217805346265169E-2</v>
      </c>
      <c r="K7" s="34">
        <f>HSDR!K9</f>
        <v>-0.21343169035706566</v>
      </c>
    </row>
    <row r="8" spans="1:17" ht="16" thickBot="1">
      <c r="A8" s="32">
        <v>10</v>
      </c>
      <c r="B8" s="34">
        <f>HSDR!B10</f>
        <v>-0.14666789263035868</v>
      </c>
      <c r="C8" s="34">
        <f>HSDR!C10</f>
        <v>0.35690719748372668</v>
      </c>
      <c r="D8" s="34">
        <f>HSDR!D10</f>
        <v>0.40749201163237114</v>
      </c>
      <c r="E8" s="34">
        <f>HSDR!E10</f>
        <v>0.45924220371818347</v>
      </c>
      <c r="F8" s="34">
        <f>HSDR!F10</f>
        <v>0.51169953415177827</v>
      </c>
      <c r="G8" s="34">
        <f>HSDR!G10</f>
        <v>0.56496169552840625</v>
      </c>
      <c r="H8" s="34">
        <f>HSDR!H10</f>
        <v>0.39241245528243773</v>
      </c>
      <c r="I8" s="34">
        <f>HSDR!I10</f>
        <v>0.28663571688628381</v>
      </c>
      <c r="J8" s="34">
        <f>HSDR!J10</f>
        <v>0.1443283683807712</v>
      </c>
      <c r="K8" s="34">
        <f>HSDR!K10</f>
        <v>-4.4990260383613007E-2</v>
      </c>
      <c r="M8" s="196"/>
      <c r="N8" s="205" t="s">
        <v>153</v>
      </c>
      <c r="O8" s="206" t="s">
        <v>46</v>
      </c>
      <c r="P8" s="189" t="s">
        <v>2</v>
      </c>
    </row>
    <row r="9" spans="1:17">
      <c r="A9" s="32">
        <v>11</v>
      </c>
      <c r="B9" s="34">
        <f>HSDR!B11</f>
        <v>-4.1986836980868178E-2</v>
      </c>
      <c r="C9" s="34">
        <f>HSDR!C11</f>
        <v>0.47012148001782339</v>
      </c>
      <c r="D9" s="34">
        <f>HSDR!D11</f>
        <v>0.51732783973958252</v>
      </c>
      <c r="E9" s="34">
        <f>HSDR!E11</f>
        <v>0.56560652370552988</v>
      </c>
      <c r="F9" s="34">
        <f>HSDR!F11</f>
        <v>0.61449004208451674</v>
      </c>
      <c r="G9" s="34">
        <f>HSDR!G11</f>
        <v>0.66466340918892541</v>
      </c>
      <c r="H9" s="34">
        <f>HSDR!H11</f>
        <v>0.46288894886429077</v>
      </c>
      <c r="I9" s="34">
        <f>HSDR!I11</f>
        <v>0.35069259087031512</v>
      </c>
      <c r="J9" s="34">
        <f>HSDR!J11</f>
        <v>0.22778342315245487</v>
      </c>
      <c r="K9" s="34">
        <f>HSDR!K11</f>
        <v>5.9690795265877464E-2</v>
      </c>
      <c r="M9" s="204" t="s">
        <v>9</v>
      </c>
      <c r="N9" s="194">
        <f>SUMIF(B3:K17,"&lt;0",B3:K17)</f>
        <v>-25.441271639498908</v>
      </c>
      <c r="O9" s="181">
        <f>SUMIF(B3:K17,"&gt;0",B3:K17)</f>
        <v>13.51064379306691</v>
      </c>
      <c r="P9" s="188">
        <f>SUM(N9:O9)</f>
        <v>-11.930627846431998</v>
      </c>
    </row>
    <row r="10" spans="1:17">
      <c r="A10" s="32">
        <v>12</v>
      </c>
      <c r="B10" s="34">
        <f>HSDR!B12</f>
        <v>-0.46566058377683939</v>
      </c>
      <c r="C10" s="34">
        <f>HSDR!C12</f>
        <v>-0.25375147059276615</v>
      </c>
      <c r="D10" s="34">
        <f>HSDR!D12</f>
        <v>-0.23401617638713501</v>
      </c>
      <c r="E10" s="34">
        <f>HSDR!E12</f>
        <v>-0.20584968608305471</v>
      </c>
      <c r="F10" s="34">
        <f>HSDR!F12</f>
        <v>-0.16468249424828357</v>
      </c>
      <c r="G10" s="34">
        <f>HSDR!G12</f>
        <v>-0.12106685019651225</v>
      </c>
      <c r="H10" s="34">
        <f>HSDR!H12</f>
        <v>-0.21284771451731424</v>
      </c>
      <c r="I10" s="34">
        <f>HSDR!I12</f>
        <v>-0.27157480502428616</v>
      </c>
      <c r="J10" s="34">
        <f>HSDR!J12</f>
        <v>-0.3400132806089356</v>
      </c>
      <c r="K10" s="34">
        <f>HSDR!K12</f>
        <v>-0.42069618899826788</v>
      </c>
      <c r="M10" s="186" t="s">
        <v>4</v>
      </c>
      <c r="N10" s="39">
        <f>SUMIF(B19:K27,"&lt;0",B19:K27)</f>
        <v>-3.7903046043380031</v>
      </c>
      <c r="O10" s="182">
        <f>SUMIF(B19:K27,"&gt;0",B19:K27)</f>
        <v>28.311461199390727</v>
      </c>
      <c r="P10" s="184">
        <f>SUM(N10:O10)</f>
        <v>24.521156595052723</v>
      </c>
    </row>
    <row r="11" spans="1:17" ht="16" thickBot="1">
      <c r="A11" s="32">
        <v>13</v>
      </c>
      <c r="B11" s="34">
        <f>HSDR!B13</f>
        <v>-0.50382768493563657</v>
      </c>
      <c r="C11" s="34">
        <f>HSDR!C13</f>
        <v>-0.28654430084029509</v>
      </c>
      <c r="D11" s="34">
        <f>HSDR!D13</f>
        <v>-0.24663577379217239</v>
      </c>
      <c r="E11" s="34">
        <f>HSDR!E13</f>
        <v>-0.20584968608305471</v>
      </c>
      <c r="F11" s="34">
        <f>HSDR!F13</f>
        <v>-0.16468249424828357</v>
      </c>
      <c r="G11" s="34">
        <f>HSDR!G13</f>
        <v>-0.12106685019651225</v>
      </c>
      <c r="H11" s="34">
        <f>HSDR!H13</f>
        <v>-0.26907287776607752</v>
      </c>
      <c r="I11" s="34">
        <f>HSDR!I13</f>
        <v>-0.32360517609397998</v>
      </c>
      <c r="J11" s="34">
        <f>HSDR!J13</f>
        <v>-0.38715518913686875</v>
      </c>
      <c r="K11" s="34">
        <f>HSDR!K13</f>
        <v>-0.46207503264124877</v>
      </c>
      <c r="M11" s="203" t="s">
        <v>10</v>
      </c>
      <c r="N11" s="198">
        <f>SUMIF(B29:K38,"&lt;0",B29:K38)</f>
        <v>-11.537979559273785</v>
      </c>
      <c r="O11" s="207">
        <f>SUMIF(B29:K38,"&gt;0",B29:K38)</f>
        <v>16.363684038468111</v>
      </c>
      <c r="P11" s="187">
        <f>SUM(N11:O11)</f>
        <v>4.8257044791943269</v>
      </c>
    </row>
    <row r="12" spans="1:17" ht="16" thickBot="1">
      <c r="A12" s="32">
        <v>14</v>
      </c>
      <c r="B12" s="34">
        <f>HSDR!B14</f>
        <v>-0.53926856458309114</v>
      </c>
      <c r="C12" s="34">
        <f>HSDR!C14</f>
        <v>-0.28654430084029509</v>
      </c>
      <c r="D12" s="34">
        <f>HSDR!D14</f>
        <v>-0.24663577379217239</v>
      </c>
      <c r="E12" s="34">
        <f>HSDR!E14</f>
        <v>-0.20584968608305471</v>
      </c>
      <c r="F12" s="34">
        <f>HSDR!F14</f>
        <v>-0.16468249424828357</v>
      </c>
      <c r="G12" s="34">
        <f>HSDR!G14</f>
        <v>-0.12106685019651225</v>
      </c>
      <c r="H12" s="34">
        <f>HSDR!H14</f>
        <v>-0.3212819579256434</v>
      </c>
      <c r="I12" s="34">
        <f>HSDR!I14</f>
        <v>-0.37191909208726714</v>
      </c>
      <c r="J12" s="34">
        <f>HSDR!J14</f>
        <v>-0.43092981848423528</v>
      </c>
      <c r="K12" s="34">
        <f>HSDR!K14</f>
        <v>-0.50049824459544523</v>
      </c>
      <c r="M12" s="189" t="s">
        <v>2</v>
      </c>
      <c r="N12" s="193">
        <f>SUM(N9:N11)+C40</f>
        <v>-41.769555803110698</v>
      </c>
      <c r="O12" s="180">
        <f>SUM(O9:O11)</f>
        <v>58.185789030925747</v>
      </c>
      <c r="P12" s="196">
        <f>SUM(P9:P11)</f>
        <v>17.416233227815052</v>
      </c>
    </row>
    <row r="13" spans="1:17" ht="16" thickBot="1">
      <c r="A13" s="32">
        <v>15</v>
      </c>
      <c r="B13" s="34">
        <f>HSDR!B15</f>
        <v>-0.572177952827156</v>
      </c>
      <c r="C13" s="34">
        <f>HSDR!C15</f>
        <v>-0.28654430084029509</v>
      </c>
      <c r="D13" s="34">
        <f>HSDR!D15</f>
        <v>-0.24663577379217239</v>
      </c>
      <c r="E13" s="34">
        <f>HSDR!E15</f>
        <v>-0.20584968608305471</v>
      </c>
      <c r="F13" s="34">
        <f>HSDR!F15</f>
        <v>-0.16468249424828357</v>
      </c>
      <c r="G13" s="34">
        <f>HSDR!G15</f>
        <v>-0.12106685019651225</v>
      </c>
      <c r="H13" s="34">
        <f>HSDR!H15</f>
        <v>-0.36976181807381175</v>
      </c>
      <c r="I13" s="34">
        <f>HSDR!I15</f>
        <v>-0.41678201408103371</v>
      </c>
      <c r="J13" s="34">
        <f>HSDR!J15</f>
        <v>-0.47157768859250415</v>
      </c>
      <c r="K13" s="34">
        <f>HSDR!K15</f>
        <v>-0.53617694141005634</v>
      </c>
    </row>
    <row r="14" spans="1:17" ht="16" thickBot="1">
      <c r="A14" s="32">
        <v>16</v>
      </c>
      <c r="B14" s="34">
        <f>HSDR!B16</f>
        <v>-0.57578184676460165</v>
      </c>
      <c r="C14" s="34">
        <f>HSDR!C16</f>
        <v>-0.28654430084029509</v>
      </c>
      <c r="D14" s="34">
        <f>HSDR!D16</f>
        <v>-0.24663577379217239</v>
      </c>
      <c r="E14" s="34">
        <f>HSDR!E16</f>
        <v>-0.20584968608305471</v>
      </c>
      <c r="F14" s="34">
        <f>HSDR!F16</f>
        <v>-0.16468249424828357</v>
      </c>
      <c r="G14" s="34">
        <f>HSDR!G16</f>
        <v>-0.12106685019651225</v>
      </c>
      <c r="H14" s="34">
        <f>HSDR!H16</f>
        <v>-0.41477883106853947</v>
      </c>
      <c r="I14" s="34">
        <f>HSDR!I16</f>
        <v>-0.45844044164667419</v>
      </c>
      <c r="J14" s="34">
        <f>HSDR!J16</f>
        <v>-0.50932213940732529</v>
      </c>
      <c r="K14" s="34">
        <f>HSDR!K16</f>
        <v>-0.56930715988076652</v>
      </c>
      <c r="M14" s="350" t="s">
        <v>35</v>
      </c>
      <c r="N14" s="351"/>
      <c r="O14" s="351"/>
      <c r="P14" s="352"/>
    </row>
    <row r="15" spans="1:17">
      <c r="A15" s="32">
        <v>17</v>
      </c>
      <c r="B15" s="34">
        <f>HSDR!B17</f>
        <v>-0.46435750824198752</v>
      </c>
      <c r="C15" s="34">
        <f>HSDR!C17</f>
        <v>-0.15641021825706786</v>
      </c>
      <c r="D15" s="34">
        <f>HSDR!D17</f>
        <v>-0.12030774273351591</v>
      </c>
      <c r="E15" s="34">
        <f>HSDR!E17</f>
        <v>-8.3444052932191204E-2</v>
      </c>
      <c r="F15" s="34">
        <f>HSDR!F17</f>
        <v>-4.6323554721567961E-2</v>
      </c>
      <c r="G15" s="34">
        <f>HSDR!G17</f>
        <v>-6.2291683630239514E-3</v>
      </c>
      <c r="H15" s="34">
        <f>HSDR!H17</f>
        <v>-0.10680898948269468</v>
      </c>
      <c r="I15" s="34">
        <f>HSDR!I17</f>
        <v>-0.38195097104844711</v>
      </c>
      <c r="J15" s="34">
        <f>HSDR!J17</f>
        <v>-0.42315423964521737</v>
      </c>
      <c r="K15" s="34">
        <f>HSDR!K17</f>
        <v>-0.46435750824198763</v>
      </c>
      <c r="M15" s="283" t="s">
        <v>40</v>
      </c>
      <c r="N15" s="285">
        <f>'WL Prob'!P15</f>
        <v>0.41756103307080233</v>
      </c>
      <c r="O15" s="283" t="s">
        <v>46</v>
      </c>
      <c r="P15" s="288">
        <f>(N17-EV!L44)/N15</f>
        <v>0.44117594982714076</v>
      </c>
    </row>
    <row r="16" spans="1:17">
      <c r="A16" s="32">
        <v>18</v>
      </c>
      <c r="B16" s="34">
        <f>HSDR!B18</f>
        <v>-0.24150883119675959</v>
      </c>
      <c r="C16" s="34">
        <f>HSDR!C18</f>
        <v>0.11027005064085793</v>
      </c>
      <c r="D16" s="34">
        <f>HSDR!D18</f>
        <v>0.13797729703756356</v>
      </c>
      <c r="E16" s="34">
        <f>HSDR!E18</f>
        <v>0.16626900252257676</v>
      </c>
      <c r="F16" s="34">
        <f>HSDR!F18</f>
        <v>0.19494598568825822</v>
      </c>
      <c r="G16" s="34">
        <f>HSDR!G18</f>
        <v>0.22344619530395254</v>
      </c>
      <c r="H16" s="34">
        <f>HSDR!H18</f>
        <v>0.3995541673365518</v>
      </c>
      <c r="I16" s="34">
        <f>HSDR!I18</f>
        <v>0.10595134861912359</v>
      </c>
      <c r="J16" s="34">
        <f>HSDR!J18</f>
        <v>-0.18316335667343331</v>
      </c>
      <c r="K16" s="34">
        <f>HSDR!K18</f>
        <v>-0.24150883119675959</v>
      </c>
      <c r="M16" s="186" t="s">
        <v>41</v>
      </c>
      <c r="N16" s="286">
        <f>'WL Prob'!R15</f>
        <v>0.58243896692919761</v>
      </c>
      <c r="O16" s="186" t="s">
        <v>200</v>
      </c>
      <c r="P16" s="289">
        <f>(N17-EV!L43)/N16</f>
        <v>-0.37139795055000313</v>
      </c>
    </row>
    <row r="17" spans="1:16" ht="16" thickBot="1">
      <c r="A17" s="32">
        <v>19</v>
      </c>
      <c r="B17" s="34">
        <f>HSDR!B19</f>
        <v>-1.8660154151531549E-2</v>
      </c>
      <c r="C17" s="34">
        <f>HSDR!C19</f>
        <v>0.37811050632056864</v>
      </c>
      <c r="D17" s="34">
        <f>HSDR!D19</f>
        <v>0.39698952530936887</v>
      </c>
      <c r="E17" s="34">
        <f>HSDR!E19</f>
        <v>0.41633218577399039</v>
      </c>
      <c r="F17" s="34">
        <f>HSDR!F19</f>
        <v>0.43621552609808445</v>
      </c>
      <c r="G17" s="34">
        <f>HSDR!G19</f>
        <v>0.45312155897092921</v>
      </c>
      <c r="H17" s="34">
        <f>HSDR!H19</f>
        <v>0.6159764957534315</v>
      </c>
      <c r="I17" s="34">
        <f>HSDR!I19</f>
        <v>0.5938536682866945</v>
      </c>
      <c r="J17" s="34">
        <f>HSDR!J19</f>
        <v>0.28759675706758142</v>
      </c>
      <c r="K17" s="34">
        <f>HSDR!K19</f>
        <v>-1.8660154151531536E-2</v>
      </c>
      <c r="M17" s="284" t="s">
        <v>47</v>
      </c>
      <c r="N17" s="287">
        <f>EV!L45</f>
        <v>-3.2098753262151697E-2</v>
      </c>
      <c r="O17" s="197"/>
      <c r="P17" s="290">
        <f>N15*P15+N16*P16</f>
        <v>-3.2098753262151697E-2</v>
      </c>
    </row>
    <row r="18" spans="1:16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6">
      <c r="A19" s="32">
        <v>13</v>
      </c>
      <c r="B19" s="34">
        <f>HSDR!B36</f>
        <v>-0.23472177802444921</v>
      </c>
      <c r="C19" s="34">
        <f>HSDR!C36</f>
        <v>4.6611316056980476E-2</v>
      </c>
      <c r="D19" s="34">
        <f>HSDR!D36</f>
        <v>7.4096482508153511E-2</v>
      </c>
      <c r="E19" s="34">
        <f>HSDR!E36</f>
        <v>0.10302707120599627</v>
      </c>
      <c r="F19" s="34">
        <f>HSDR!F36</f>
        <v>0.13362751686623553</v>
      </c>
      <c r="G19" s="34">
        <f>HSDR!G36</f>
        <v>0.16513483022847522</v>
      </c>
      <c r="H19" s="34">
        <f>HSDR!H36</f>
        <v>0.12238569517899196</v>
      </c>
      <c r="I19" s="34">
        <f>HSDR!I36</f>
        <v>5.4057070196311334E-2</v>
      </c>
      <c r="J19" s="34">
        <f>HSDR!J36</f>
        <v>-3.7694688127479885E-2</v>
      </c>
      <c r="K19" s="34">
        <f>HSDR!K36</f>
        <v>-0.16080628455762785</v>
      </c>
    </row>
    <row r="20" spans="1:16">
      <c r="A20" s="32">
        <v>14</v>
      </c>
      <c r="B20" s="34">
        <f>HSDR!B37</f>
        <v>-0.26406959413166387</v>
      </c>
      <c r="C20" s="34">
        <f>HSDR!C37</f>
        <v>2.2814486278603666E-2</v>
      </c>
      <c r="D20" s="34">
        <f>HSDR!D37</f>
        <v>5.1187035629558814E-2</v>
      </c>
      <c r="E20" s="34">
        <f>HSDR!E37</f>
        <v>8.0964445685349773E-2</v>
      </c>
      <c r="F20" s="34">
        <f>HSDR!F37</f>
        <v>0.11231965892948416</v>
      </c>
      <c r="G20" s="34">
        <f>HSDR!G37</f>
        <v>0.1446918530552618</v>
      </c>
      <c r="H20" s="34">
        <f>HSDR!H37</f>
        <v>7.9507488494468148E-2</v>
      </c>
      <c r="I20" s="34">
        <f>HSDR!I37</f>
        <v>1.3277219463208478E-2</v>
      </c>
      <c r="J20" s="34">
        <f>HSDR!J37</f>
        <v>-7.516318944168382E-2</v>
      </c>
      <c r="K20" s="34">
        <f>HSDR!K37</f>
        <v>-0.1933035414076569</v>
      </c>
    </row>
    <row r="21" spans="1:16">
      <c r="A21" s="32">
        <v>15</v>
      </c>
      <c r="B21" s="34">
        <f>HSDR!B38</f>
        <v>-0.29312934580507005</v>
      </c>
      <c r="C21" s="34">
        <f>HSDR!C38</f>
        <v>7.1743005582518391E-4</v>
      </c>
      <c r="D21" s="34">
        <f>HSDR!D38</f>
        <v>2.9913977813720842E-2</v>
      </c>
      <c r="E21" s="34">
        <f>HSDR!E38</f>
        <v>6.047772198760662E-2</v>
      </c>
      <c r="F21" s="34">
        <f>HSDR!F38</f>
        <v>9.2533790845357913E-2</v>
      </c>
      <c r="G21" s="34">
        <f>HSDR!G38</f>
        <v>0.12570908853727794</v>
      </c>
      <c r="H21" s="34">
        <f>HSDR!H38</f>
        <v>3.7028282279269235E-2</v>
      </c>
      <c r="I21" s="34">
        <f>HSDR!I38</f>
        <v>-2.7054780502901672E-2</v>
      </c>
      <c r="J21" s="34">
        <f>HSDR!J38</f>
        <v>-0.11218876868994289</v>
      </c>
      <c r="K21" s="34">
        <f>HSDR!K38</f>
        <v>-0.22543993358238781</v>
      </c>
    </row>
    <row r="22" spans="1:16">
      <c r="A22" s="32">
        <v>16</v>
      </c>
      <c r="B22" s="34">
        <f>HSDR!B39</f>
        <v>-0.31409107314591783</v>
      </c>
      <c r="C22" s="34">
        <f>HSDR!C39</f>
        <v>-1.9801265008183407E-2</v>
      </c>
      <c r="D22" s="34">
        <f>HSDR!D39</f>
        <v>1.0160424127585613E-2</v>
      </c>
      <c r="E22" s="34">
        <f>HSDR!E39</f>
        <v>4.1454335696845056E-2</v>
      </c>
      <c r="F22" s="34">
        <f>HSDR!F39</f>
        <v>7.4161199052954929E-2</v>
      </c>
      <c r="G22" s="34">
        <f>HSDR!G39</f>
        <v>0.10808223577057864</v>
      </c>
      <c r="H22" s="34">
        <f>HSDR!H39</f>
        <v>-4.8901571730158942E-3</v>
      </c>
      <c r="I22" s="34">
        <f>HSDR!I39</f>
        <v>-6.6794847920094103E-2</v>
      </c>
      <c r="J22" s="34">
        <f>HSDR!J39</f>
        <v>-0.14864353463007471</v>
      </c>
      <c r="K22" s="34">
        <f>HSDR!K39</f>
        <v>-0.25710121084742421</v>
      </c>
    </row>
    <row r="23" spans="1:16">
      <c r="A23" s="32">
        <v>17</v>
      </c>
      <c r="B23" s="34">
        <f>HSDR!B40</f>
        <v>-0.30094774596936263</v>
      </c>
      <c r="C23" s="34">
        <f>HSDR!C40</f>
        <v>-1.673172543840738E-3</v>
      </c>
      <c r="D23" s="34">
        <f>HSDR!D40</f>
        <v>2.7911561721504739E-2</v>
      </c>
      <c r="E23" s="34">
        <f>HSDR!E40</f>
        <v>5.876280075567035E-2</v>
      </c>
      <c r="F23" s="34">
        <f>HSDR!F40</f>
        <v>9.0917775110499491E-2</v>
      </c>
      <c r="G23" s="34">
        <f>HSDR!G40</f>
        <v>0.12452521015392595</v>
      </c>
      <c r="H23" s="34">
        <f>HSDR!H40</f>
        <v>5.3823463716116654E-2</v>
      </c>
      <c r="I23" s="34">
        <f>HSDR!I40</f>
        <v>-7.2915398729642075E-2</v>
      </c>
      <c r="J23" s="34">
        <f>HSDR!J40</f>
        <v>-0.14978689218213323</v>
      </c>
      <c r="K23" s="34">
        <f>HSDR!K40</f>
        <v>-0.24941602102444038</v>
      </c>
    </row>
    <row r="24" spans="1:16">
      <c r="A24" s="32">
        <v>18</v>
      </c>
      <c r="B24" s="34">
        <f>HSDR!B41</f>
        <v>-0.24150883119675959</v>
      </c>
      <c r="C24" s="34">
        <f>HSDR!C41</f>
        <v>0.11027005064085793</v>
      </c>
      <c r="D24" s="34">
        <f>HSDR!D41</f>
        <v>0.13797729703756356</v>
      </c>
      <c r="E24" s="34">
        <f>HSDR!E41</f>
        <v>0.16626900252257676</v>
      </c>
      <c r="F24" s="34">
        <f>HSDR!F41</f>
        <v>0.19494598568825822</v>
      </c>
      <c r="G24" s="34">
        <f>HSDR!G41</f>
        <v>0.22344619530395254</v>
      </c>
      <c r="H24" s="34">
        <f>HSDR!H41</f>
        <v>0.3995541673365518</v>
      </c>
      <c r="I24" s="34">
        <f>HSDR!I41</f>
        <v>0.10595134861912359</v>
      </c>
      <c r="J24" s="34">
        <f>HSDR!J41</f>
        <v>-0.10074430758041522</v>
      </c>
      <c r="K24" s="34">
        <f>HSDR!K41</f>
        <v>-0.20109793381277147</v>
      </c>
    </row>
    <row r="25" spans="1:16">
      <c r="A25" s="32">
        <v>19</v>
      </c>
      <c r="B25" s="34">
        <f>HSDR!B42</f>
        <v>-1.8660154151531549E-2</v>
      </c>
      <c r="C25" s="34">
        <f>HSDR!C42</f>
        <v>0.37811050632056864</v>
      </c>
      <c r="D25" s="34">
        <f>HSDR!D42</f>
        <v>0.39698952530936887</v>
      </c>
      <c r="E25" s="34">
        <f>HSDR!E42</f>
        <v>0.41633218577399039</v>
      </c>
      <c r="F25" s="34">
        <f>HSDR!F42</f>
        <v>0.43621552609808445</v>
      </c>
      <c r="G25" s="34">
        <f>HSDR!G42</f>
        <v>0.46105844830813802</v>
      </c>
      <c r="H25" s="34">
        <f>HSDR!H42</f>
        <v>0.6159764957534315</v>
      </c>
      <c r="I25" s="34">
        <f>HSDR!I42</f>
        <v>0.5938536682866945</v>
      </c>
      <c r="J25" s="34">
        <f>HSDR!J42</f>
        <v>0.28759675706758142</v>
      </c>
      <c r="K25" s="34">
        <f>HSDR!K42</f>
        <v>-1.8660154151531536E-2</v>
      </c>
    </row>
    <row r="26" spans="1:16">
      <c r="A26" s="32">
        <v>20</v>
      </c>
      <c r="B26" s="34">
        <f>HSDR!B43</f>
        <v>0.20418852289369649</v>
      </c>
      <c r="C26" s="34">
        <f>HSDR!C43</f>
        <v>0.63507006739682603</v>
      </c>
      <c r="D26" s="34">
        <f>HSDR!D43</f>
        <v>0.64584804747844671</v>
      </c>
      <c r="E26" s="34">
        <f>HSDR!E43</f>
        <v>0.65694191851596806</v>
      </c>
      <c r="F26" s="34">
        <f>HSDR!F43</f>
        <v>0.66838174379512039</v>
      </c>
      <c r="G26" s="34">
        <f>HSDR!G43</f>
        <v>0.67824526128151064</v>
      </c>
      <c r="H26" s="34">
        <f>HSDR!H43</f>
        <v>0.77322722653717491</v>
      </c>
      <c r="I26" s="34">
        <f>HSDR!I43</f>
        <v>0.79181515955189841</v>
      </c>
      <c r="J26" s="34">
        <f>HSDR!J43</f>
        <v>0.75835687080859626</v>
      </c>
      <c r="K26" s="34">
        <f>HSDR!K43</f>
        <v>0.43495775366292722</v>
      </c>
    </row>
    <row r="27" spans="1:16">
      <c r="A27" s="32">
        <v>21</v>
      </c>
      <c r="B27" s="34">
        <f>IF(Rules!$B$3=Rules!$D$3,1.5,IF(Rules!$B$3=Rules!$E$3,1.2,1))</f>
        <v>1.5</v>
      </c>
      <c r="C27" s="34">
        <f>IF(Rules!$B$3=Rules!$D$3,1.5,IF(Rules!$B$3=Rules!$E$3,1.2,1))</f>
        <v>1.5</v>
      </c>
      <c r="D27" s="34">
        <f>IF(Rules!$B$3=Rules!$D$3,1.5,IF(Rules!$B$3=Rules!$E$3,1.2,1))</f>
        <v>1.5</v>
      </c>
      <c r="E27" s="34">
        <f>IF(Rules!$B$3=Rules!$D$3,1.5,IF(Rules!$B$3=Rules!$E$3,1.2,1))</f>
        <v>1.5</v>
      </c>
      <c r="F27" s="34">
        <f>IF(Rules!$B$3=Rules!$D$3,1.5,IF(Rules!$B$3=Rules!$E$3,1.2,1))</f>
        <v>1.5</v>
      </c>
      <c r="G27" s="34">
        <f>IF(Rules!$B$3=Rules!$D$3,1.5,IF(Rules!$B$3=Rules!$E$3,1.2,1))</f>
        <v>1.5</v>
      </c>
      <c r="H27" s="34">
        <f>IF(Rules!$B$3=Rules!$D$3,1.5,IF(Rules!$B$3=Rules!$E$3,1.2,1))</f>
        <v>1.5</v>
      </c>
      <c r="I27" s="34">
        <f>IF(Rules!$B$3=Rules!$D$3,1.5,IF(Rules!$B$3=Rules!$E$3,1.2,1))</f>
        <v>1.5</v>
      </c>
      <c r="J27" s="34">
        <f>IF(Rules!$B$3=Rules!$D$3,1.5,IF(Rules!$B$3=Rules!$E$3,1.2,1))</f>
        <v>1.5</v>
      </c>
      <c r="K27" s="34">
        <f>IF(Rules!$B$3=Rules!$D$3,1.5,IF(Rules!$B$3=Rules!$E$3,1.2,1))</f>
        <v>1.5</v>
      </c>
    </row>
    <row r="28" spans="1:16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6">
      <c r="A29" s="32" t="s">
        <v>1</v>
      </c>
      <c r="B29" s="34">
        <f>Pair!B68</f>
        <v>-0.11815715102876453</v>
      </c>
      <c r="C29" s="34">
        <f>Pair!C68</f>
        <v>0.47012148001782339</v>
      </c>
      <c r="D29" s="34">
        <f>Pair!D68</f>
        <v>0.51732783973958252</v>
      </c>
      <c r="E29" s="34">
        <f>Pair!E68</f>
        <v>0.56560652370552977</v>
      </c>
      <c r="F29" s="34">
        <f>Pair!F68</f>
        <v>0.61449004208451674</v>
      </c>
      <c r="G29" s="34">
        <f>Pair!G68</f>
        <v>0.66466340918892541</v>
      </c>
      <c r="H29" s="34">
        <f>Pair!H68</f>
        <v>0.46288894886429088</v>
      </c>
      <c r="I29" s="34">
        <f>Pair!I68</f>
        <v>0.35069259087031512</v>
      </c>
      <c r="J29" s="34">
        <f>Pair!J68</f>
        <v>0.22778342315245487</v>
      </c>
      <c r="K29" s="34">
        <f>Pair!K68</f>
        <v>5.9357641870643733E-2</v>
      </c>
    </row>
    <row r="30" spans="1:16">
      <c r="A30" s="32">
        <v>2</v>
      </c>
      <c r="B30" s="34">
        <f>Pair!B69</f>
        <v>-0.38538530661686615</v>
      </c>
      <c r="C30" s="34">
        <f>Pair!C69</f>
        <v>-0.11285543771123717</v>
      </c>
      <c r="D30" s="34">
        <f>Pair!D69</f>
        <v>-8.0761552533335321E-2</v>
      </c>
      <c r="E30" s="34">
        <f>Pair!E69</f>
        <v>-4.0320419393414179E-2</v>
      </c>
      <c r="F30" s="34">
        <f>Pair!F69</f>
        <v>2.9328407659097062E-2</v>
      </c>
      <c r="G30" s="34">
        <f>Pair!G69</f>
        <v>0.102055284056493</v>
      </c>
      <c r="H30" s="34">
        <f>Pair!H69</f>
        <v>-5.4514042751724494E-2</v>
      </c>
      <c r="I30" s="34">
        <f>Pair!I69</f>
        <v>-0.15933415266020512</v>
      </c>
      <c r="J30" s="34">
        <f>Pair!J69</f>
        <v>-0.24066617915336547</v>
      </c>
      <c r="K30" s="34">
        <f>Pair!K69</f>
        <v>-0.33509986436351097</v>
      </c>
    </row>
    <row r="31" spans="1:16">
      <c r="A31" s="32">
        <v>3</v>
      </c>
      <c r="B31" s="34">
        <f>Pair!B70</f>
        <v>-0.41968690347101079</v>
      </c>
      <c r="C31" s="34">
        <f>Pair!C70</f>
        <v>-0.1380730292913315</v>
      </c>
      <c r="D31" s="34">
        <f>Pair!D70</f>
        <v>-0.10487404133749784</v>
      </c>
      <c r="E31" s="34">
        <f>Pair!E70</f>
        <v>-6.8158989211959564E-2</v>
      </c>
      <c r="F31" s="34">
        <f>Pair!F70</f>
        <v>2.4409030826479448E-3</v>
      </c>
      <c r="G31" s="34">
        <f>Pair!G70</f>
        <v>7.6255461331224503E-2</v>
      </c>
      <c r="H31" s="34">
        <f>Pair!H70</f>
        <v>-0.11487517708071333</v>
      </c>
      <c r="I31" s="34">
        <f>Pair!I70</f>
        <v>-0.21724188132078476</v>
      </c>
      <c r="J31" s="34">
        <f>Pair!J70</f>
        <v>-0.29264070019772598</v>
      </c>
      <c r="K31" s="34">
        <f>Pair!K70</f>
        <v>-0.38050766229289529</v>
      </c>
    </row>
    <row r="32" spans="1:16">
      <c r="A32" s="32">
        <v>4</v>
      </c>
      <c r="B32" s="34">
        <f>Pair!B71</f>
        <v>-0.33034033459070061</v>
      </c>
      <c r="C32" s="34">
        <f>Pair!C71</f>
        <v>-2.4506830289917444E-2</v>
      </c>
      <c r="D32" s="34">
        <f>Pair!D71</f>
        <v>5.5679308753931881E-3</v>
      </c>
      <c r="E32" s="34">
        <f>Pair!E71</f>
        <v>3.7010775094514566E-2</v>
      </c>
      <c r="F32" s="34">
        <f>Pair!F71</f>
        <v>6.9950633154329159E-2</v>
      </c>
      <c r="G32" s="34">
        <f>Pair!G71</f>
        <v>0.10385811332306308</v>
      </c>
      <c r="H32" s="34">
        <f>Pair!H71</f>
        <v>8.2207439363742862E-2</v>
      </c>
      <c r="I32" s="34">
        <f>Pair!I71</f>
        <v>-5.989827565865629E-2</v>
      </c>
      <c r="J32" s="34">
        <f>Pair!J71</f>
        <v>-0.2101863319982176</v>
      </c>
      <c r="K32" s="34">
        <f>Pair!K71</f>
        <v>-0.30177738614031369</v>
      </c>
    </row>
    <row r="33" spans="1:11">
      <c r="A33" s="32">
        <v>5</v>
      </c>
      <c r="B33" s="34">
        <f>Pair!B72</f>
        <v>-0.14666789263035868</v>
      </c>
      <c r="C33" s="34">
        <f>Pair!C72</f>
        <v>0.35690719748372668</v>
      </c>
      <c r="D33" s="34">
        <f>Pair!D72</f>
        <v>0.40749201163237114</v>
      </c>
      <c r="E33" s="34">
        <f>Pair!E72</f>
        <v>0.45924220371818347</v>
      </c>
      <c r="F33" s="34">
        <f>Pair!F72</f>
        <v>0.51169953415177827</v>
      </c>
      <c r="G33" s="34">
        <f>Pair!G72</f>
        <v>0.56496169552840625</v>
      </c>
      <c r="H33" s="34">
        <f>Pair!H72</f>
        <v>0.39241245528243773</v>
      </c>
      <c r="I33" s="34">
        <f>Pair!I72</f>
        <v>0.28663571688628381</v>
      </c>
      <c r="J33" s="34">
        <f>Pair!J72</f>
        <v>0.1443283683807712</v>
      </c>
      <c r="K33" s="34">
        <f>Pair!K72</f>
        <v>-4.4990260383613007E-2</v>
      </c>
    </row>
    <row r="34" spans="1:11">
      <c r="A34" s="32">
        <v>6</v>
      </c>
      <c r="B34" s="34">
        <f>Pair!B73</f>
        <v>-0.46566058377683939</v>
      </c>
      <c r="C34" s="34">
        <f>Pair!C73</f>
        <v>-0.25375147059276615</v>
      </c>
      <c r="D34" s="34">
        <f>Pair!D73</f>
        <v>-0.20974808267499567</v>
      </c>
      <c r="E34" s="34">
        <f>Pair!E73</f>
        <v>-0.14015554669457211</v>
      </c>
      <c r="F34" s="34">
        <f>Pair!F73</f>
        <v>-6.7097739880329133E-2</v>
      </c>
      <c r="G34" s="34">
        <f>Pair!G73</f>
        <v>9.5330170786307577E-3</v>
      </c>
      <c r="H34" s="34">
        <f>Pair!H73</f>
        <v>-0.21284771451731424</v>
      </c>
      <c r="I34" s="34">
        <f>Pair!I73</f>
        <v>-0.27157480502428616</v>
      </c>
      <c r="J34" s="34">
        <f>Pair!J73</f>
        <v>-0.3400132806089356</v>
      </c>
      <c r="K34" s="34">
        <f>Pair!K73</f>
        <v>-0.42069618899826788</v>
      </c>
    </row>
    <row r="35" spans="1:11">
      <c r="A35" s="32">
        <v>7</v>
      </c>
      <c r="B35" s="34">
        <f>Pair!B74</f>
        <v>-0.53926856458309114</v>
      </c>
      <c r="C35" s="34">
        <f>Pair!C74</f>
        <v>-0.21915496889539685</v>
      </c>
      <c r="D35" s="34">
        <f>Pair!D74</f>
        <v>-0.15387513576990042</v>
      </c>
      <c r="E35" s="34">
        <f>Pair!E74</f>
        <v>-8.5652735434142702E-2</v>
      </c>
      <c r="F35" s="34">
        <f>Pair!F74</f>
        <v>-1.435453352925092E-2</v>
      </c>
      <c r="G35" s="34">
        <f>Pair!G74</f>
        <v>6.0817132303923729E-2</v>
      </c>
      <c r="H35" s="34">
        <f>Pair!H74</f>
        <v>-0.13761559916085553</v>
      </c>
      <c r="I35" s="34">
        <f>Pair!I74</f>
        <v>-0.37191909208726714</v>
      </c>
      <c r="J35" s="34">
        <f>Pair!J74</f>
        <v>-0.43092981848423528</v>
      </c>
      <c r="K35" s="34">
        <f>Pair!K74</f>
        <v>-0.50049824459544523</v>
      </c>
    </row>
    <row r="36" spans="1:11">
      <c r="A36" s="32">
        <v>8</v>
      </c>
      <c r="B36" s="34">
        <f>Pair!B75</f>
        <v>-0.57578184676460165</v>
      </c>
      <c r="C36" s="34">
        <f>Pair!C75</f>
        <v>-4.9013660579834889E-2</v>
      </c>
      <c r="D36" s="34">
        <f>Pair!D75</f>
        <v>1.1135861750786376E-2</v>
      </c>
      <c r="E36" s="34">
        <f>Pair!E75</f>
        <v>7.4021550189029131E-2</v>
      </c>
      <c r="F36" s="34">
        <f>Pair!F75</f>
        <v>0.13990126630865832</v>
      </c>
      <c r="G36" s="34">
        <f>Pair!G75</f>
        <v>0.20771622664612616</v>
      </c>
      <c r="H36" s="34">
        <f>Pair!H75</f>
        <v>0.16441487872748572</v>
      </c>
      <c r="I36" s="34">
        <f>Pair!I75</f>
        <v>-0.11979655131731258</v>
      </c>
      <c r="J36" s="34">
        <f>Pair!J75</f>
        <v>-0.42037266399643519</v>
      </c>
      <c r="K36" s="34">
        <f>Pair!K75</f>
        <v>-0.56930715988076652</v>
      </c>
    </row>
    <row r="37" spans="1:11">
      <c r="A37" s="32">
        <v>9</v>
      </c>
      <c r="B37" s="34">
        <f>Pair!B76</f>
        <v>-0.24150883119675959</v>
      </c>
      <c r="C37" s="34">
        <f>Pair!C76</f>
        <v>0.14446561792638643</v>
      </c>
      <c r="D37" s="34">
        <f>Pair!D76</f>
        <v>0.19854632147628654</v>
      </c>
      <c r="E37" s="34">
        <f>Pair!E76</f>
        <v>0.25517699117535486</v>
      </c>
      <c r="F37" s="34">
        <f>Pair!F76</f>
        <v>0.31472289676230597</v>
      </c>
      <c r="G37" s="34">
        <f>Pair!G76</f>
        <v>0.37460707349508576</v>
      </c>
      <c r="H37" s="34">
        <f>Pair!H76</f>
        <v>0.3995541673365518</v>
      </c>
      <c r="I37" s="34">
        <f>Pair!I76</f>
        <v>0.19675243487078517</v>
      </c>
      <c r="J37" s="34">
        <f>Pair!J76</f>
        <v>-0.10435610692530338</v>
      </c>
      <c r="K37" s="34">
        <f>Pair!K76</f>
        <v>-0.24150883119675959</v>
      </c>
    </row>
    <row r="38" spans="1:11">
      <c r="A38" s="32">
        <v>10</v>
      </c>
      <c r="B38" s="34">
        <f>Pair!B77</f>
        <v>0.20418852289369649</v>
      </c>
      <c r="C38" s="34">
        <f>Pair!C77</f>
        <v>0.63507006739682603</v>
      </c>
      <c r="D38" s="34">
        <f>Pair!D77</f>
        <v>0.64584804747844671</v>
      </c>
      <c r="E38" s="34">
        <f>Pair!E77</f>
        <v>0.65694191851596806</v>
      </c>
      <c r="F38" s="34">
        <f>Pair!F77</f>
        <v>0.66838174379512039</v>
      </c>
      <c r="G38" s="34">
        <f>Pair!G77</f>
        <v>0.67824526128151064</v>
      </c>
      <c r="H38" s="34">
        <f>Pair!H77</f>
        <v>0.77322722653717491</v>
      </c>
      <c r="I38" s="34">
        <f>Pair!I77</f>
        <v>0.79181515955189841</v>
      </c>
      <c r="J38" s="34">
        <f>Pair!J77</f>
        <v>0.75835687080859626</v>
      </c>
      <c r="K38" s="34">
        <f>Pair!K77</f>
        <v>0.43495775366292722</v>
      </c>
    </row>
    <row r="39" spans="1:11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>
      <c r="A40" s="37" t="s">
        <v>11</v>
      </c>
      <c r="B40" s="38"/>
      <c r="C40" s="39">
        <v>-1</v>
      </c>
    </row>
  </sheetData>
  <sheetProtection sheet="1" objects="1" scenarios="1"/>
  <mergeCells count="2">
    <mergeCell ref="A1:K1"/>
    <mergeCell ref="M14:P14"/>
  </mergeCells>
  <phoneticPr fontId="16" type="noConversion"/>
  <conditionalFormatting sqref="B39:K39">
    <cfRule type="containsText" dxfId="669" priority="42" operator="containsText" text="R">
      <formula>NOT(ISERROR(SEARCH("R",B39)))</formula>
    </cfRule>
    <cfRule type="containsText" dxfId="668" priority="43" operator="containsText" text="D">
      <formula>NOT(ISERROR(SEARCH("D",B39)))</formula>
    </cfRule>
    <cfRule type="containsText" dxfId="667" priority="44" operator="containsText" text="S">
      <formula>NOT(ISERROR(SEARCH("S",B39)))</formula>
    </cfRule>
    <cfRule type="containsText" dxfId="666" priority="45" operator="containsText" text="H">
      <formula>NOT(ISERROR(SEARCH("H",B39)))</formula>
    </cfRule>
  </conditionalFormatting>
  <conditionalFormatting sqref="B39:K39">
    <cfRule type="containsText" dxfId="665" priority="41" operator="containsText" text="P">
      <formula>NOT(ISERROR(SEARCH("P",B39)))</formula>
    </cfRule>
  </conditionalFormatting>
  <conditionalFormatting sqref="B3:K17">
    <cfRule type="containsText" dxfId="664" priority="27" operator="containsText" text="R">
      <formula>NOT(ISERROR(SEARCH("R",B3)))</formula>
    </cfRule>
    <cfRule type="containsText" dxfId="663" priority="28" operator="containsText" text="D">
      <formula>NOT(ISERROR(SEARCH("D",B3)))</formula>
    </cfRule>
    <cfRule type="containsText" dxfId="662" priority="29" operator="containsText" text="S">
      <formula>NOT(ISERROR(SEARCH("S",B3)))</formula>
    </cfRule>
    <cfRule type="containsText" dxfId="661" priority="30" operator="containsText" text="H">
      <formula>NOT(ISERROR(SEARCH("H",B3)))</formula>
    </cfRule>
  </conditionalFormatting>
  <conditionalFormatting sqref="B3:K17">
    <cfRule type="containsText" dxfId="660" priority="26" operator="containsText" text="P">
      <formula>NOT(ISERROR(SEARCH("P",B3)))</formula>
    </cfRule>
  </conditionalFormatting>
  <conditionalFormatting sqref="B3:K17">
    <cfRule type="colorScale" priority="25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9:K27">
    <cfRule type="containsText" dxfId="659" priority="9" operator="containsText" text="R">
      <formula>NOT(ISERROR(SEARCH("R",B19)))</formula>
    </cfRule>
    <cfRule type="containsText" dxfId="658" priority="10" operator="containsText" text="D">
      <formula>NOT(ISERROR(SEARCH("D",B19)))</formula>
    </cfRule>
    <cfRule type="containsText" dxfId="657" priority="11" operator="containsText" text="S">
      <formula>NOT(ISERROR(SEARCH("S",B19)))</formula>
    </cfRule>
    <cfRule type="containsText" dxfId="656" priority="12" operator="containsText" text="H">
      <formula>NOT(ISERROR(SEARCH("H",B19)))</formula>
    </cfRule>
  </conditionalFormatting>
  <conditionalFormatting sqref="B19:K27">
    <cfRule type="containsText" dxfId="655" priority="8" operator="containsText" text="P">
      <formula>NOT(ISERROR(SEARCH("P",B19)))</formula>
    </cfRule>
  </conditionalFormatting>
  <conditionalFormatting sqref="B19:K27">
    <cfRule type="colorScale" priority="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29:K38">
    <cfRule type="containsText" dxfId="654" priority="3" operator="containsText" text="R">
      <formula>NOT(ISERROR(SEARCH("R",B29)))</formula>
    </cfRule>
    <cfRule type="containsText" dxfId="653" priority="4" operator="containsText" text="D">
      <formula>NOT(ISERROR(SEARCH("D",B29)))</formula>
    </cfRule>
    <cfRule type="containsText" dxfId="652" priority="5" operator="containsText" text="S">
      <formula>NOT(ISERROR(SEARCH("S",B29)))</formula>
    </cfRule>
    <cfRule type="containsText" dxfId="651" priority="6" operator="containsText" text="H">
      <formula>NOT(ISERROR(SEARCH("H",B29)))</formula>
    </cfRule>
  </conditionalFormatting>
  <conditionalFormatting sqref="B29:K38">
    <cfRule type="containsText" dxfId="650" priority="2" operator="containsText" text="P">
      <formula>NOT(ISERROR(SEARCH("P",B29)))</formula>
    </cfRule>
  </conditionalFormatting>
  <conditionalFormatting sqref="B29:K38">
    <cfRule type="colorScale" priority="1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pageMargins left="0.25" right="0.25" top="0.75" bottom="0.75" header="0.3" footer="0.3"/>
  <pageSetup paperSize="9" scale="8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1:L38"/>
  <sheetViews>
    <sheetView topLeftCell="A11" workbookViewId="0">
      <selection activeCell="B38" sqref="B38:L38"/>
    </sheetView>
  </sheetViews>
  <sheetFormatPr baseColWidth="10" defaultColWidth="8.83203125" defaultRowHeight="16"/>
  <cols>
    <col min="2" max="2" width="5.5" style="31" bestFit="1" customWidth="1"/>
    <col min="3" max="12" width="4" style="31" customWidth="1"/>
    <col min="14" max="14" width="24.5" customWidth="1"/>
  </cols>
  <sheetData>
    <row r="1" spans="2:12" ht="21">
      <c r="B1" s="353" t="s">
        <v>23</v>
      </c>
      <c r="C1" s="353"/>
      <c r="D1" s="353"/>
      <c r="E1" s="353"/>
      <c r="F1" s="353"/>
      <c r="G1" s="353"/>
      <c r="H1" s="353"/>
      <c r="I1" s="353"/>
      <c r="J1" s="353"/>
      <c r="K1" s="353"/>
      <c r="L1" s="353"/>
    </row>
    <row r="2" spans="2:12">
      <c r="B2" s="48" t="s">
        <v>9</v>
      </c>
      <c r="C2" s="48" t="s">
        <v>22</v>
      </c>
      <c r="D2" s="48">
        <v>2</v>
      </c>
      <c r="E2" s="48">
        <v>3</v>
      </c>
      <c r="F2" s="48">
        <v>4</v>
      </c>
      <c r="G2" s="48">
        <v>5</v>
      </c>
      <c r="H2" s="48">
        <v>6</v>
      </c>
      <c r="I2" s="48">
        <v>7</v>
      </c>
      <c r="J2" s="48">
        <v>8</v>
      </c>
      <c r="K2" s="48">
        <v>9</v>
      </c>
      <c r="L2" s="48">
        <v>10</v>
      </c>
    </row>
    <row r="3" spans="2:12">
      <c r="B3" s="48" t="s">
        <v>20</v>
      </c>
      <c r="C3" s="49" t="str">
        <f>HSDR!O8</f>
        <v>H</v>
      </c>
      <c r="D3" s="49" t="str">
        <f>HSDR!P8</f>
        <v>H</v>
      </c>
      <c r="E3" s="49" t="str">
        <f>HSDR!Q8</f>
        <v>H</v>
      </c>
      <c r="F3" s="49" t="str">
        <f>HSDR!R8</f>
        <v>H</v>
      </c>
      <c r="G3" s="49" t="str">
        <f>HSDR!S8</f>
        <v>H</v>
      </c>
      <c r="H3" s="49" t="str">
        <f>HSDR!T8</f>
        <v>H</v>
      </c>
      <c r="I3" s="49" t="str">
        <f>HSDR!U8</f>
        <v>H</v>
      </c>
      <c r="J3" s="49" t="str">
        <f>HSDR!V8</f>
        <v>H</v>
      </c>
      <c r="K3" s="49" t="str">
        <f>HSDR!W8</f>
        <v>H</v>
      </c>
      <c r="L3" s="49" t="str">
        <f>HSDR!X8</f>
        <v>H</v>
      </c>
    </row>
    <row r="4" spans="2:12">
      <c r="B4" s="48">
        <v>9</v>
      </c>
      <c r="C4" s="49" t="str">
        <f>HSDR!O9</f>
        <v>H</v>
      </c>
      <c r="D4" s="49" t="str">
        <f>HSDR!P9</f>
        <v>H</v>
      </c>
      <c r="E4" s="49" t="str">
        <f>HSDR!Q9</f>
        <v>D</v>
      </c>
      <c r="F4" s="49" t="str">
        <f>HSDR!R9</f>
        <v>D</v>
      </c>
      <c r="G4" s="49" t="str">
        <f>HSDR!S9</f>
        <v>D</v>
      </c>
      <c r="H4" s="49" t="str">
        <f>HSDR!T9</f>
        <v>D</v>
      </c>
      <c r="I4" s="49" t="str">
        <f>HSDR!U9</f>
        <v>H</v>
      </c>
      <c r="J4" s="49" t="str">
        <f>HSDR!V9</f>
        <v>H</v>
      </c>
      <c r="K4" s="49" t="str">
        <f>HSDR!W9</f>
        <v>H</v>
      </c>
      <c r="L4" s="49" t="str">
        <f>HSDR!X9</f>
        <v>H</v>
      </c>
    </row>
    <row r="5" spans="2:12">
      <c r="B5" s="48">
        <v>10</v>
      </c>
      <c r="C5" s="49" t="str">
        <f>HSDR!O10</f>
        <v>H</v>
      </c>
      <c r="D5" s="49" t="str">
        <f>HSDR!P10</f>
        <v>D</v>
      </c>
      <c r="E5" s="49" t="str">
        <f>HSDR!Q10</f>
        <v>D</v>
      </c>
      <c r="F5" s="49" t="str">
        <f>HSDR!R10</f>
        <v>D</v>
      </c>
      <c r="G5" s="49" t="str">
        <f>HSDR!S10</f>
        <v>D</v>
      </c>
      <c r="H5" s="49" t="str">
        <f>HSDR!T10</f>
        <v>D</v>
      </c>
      <c r="I5" s="49" t="str">
        <f>HSDR!U10</f>
        <v>D</v>
      </c>
      <c r="J5" s="49" t="str">
        <f>HSDR!V10</f>
        <v>D</v>
      </c>
      <c r="K5" s="49" t="str">
        <f>HSDR!W10</f>
        <v>D</v>
      </c>
      <c r="L5" s="49" t="str">
        <f>HSDR!X10</f>
        <v>H</v>
      </c>
    </row>
    <row r="6" spans="2:12">
      <c r="B6" s="48">
        <v>11</v>
      </c>
      <c r="C6" s="49" t="str">
        <f>HSDR!O11</f>
        <v>H</v>
      </c>
      <c r="D6" s="49" t="str">
        <f>HSDR!P11</f>
        <v>D</v>
      </c>
      <c r="E6" s="49" t="str">
        <f>HSDR!Q11</f>
        <v>D</v>
      </c>
      <c r="F6" s="49" t="str">
        <f>HSDR!R11</f>
        <v>D</v>
      </c>
      <c r="G6" s="49" t="str">
        <f>HSDR!S11</f>
        <v>D</v>
      </c>
      <c r="H6" s="49" t="str">
        <f>HSDR!T11</f>
        <v>D</v>
      </c>
      <c r="I6" s="49" t="str">
        <f>HSDR!U11</f>
        <v>D</v>
      </c>
      <c r="J6" s="49" t="str">
        <f>HSDR!V11</f>
        <v>D</v>
      </c>
      <c r="K6" s="49" t="str">
        <f>HSDR!W11</f>
        <v>D</v>
      </c>
      <c r="L6" s="49" t="str">
        <f>HSDR!X11</f>
        <v>H</v>
      </c>
    </row>
    <row r="7" spans="2:12">
      <c r="B7" s="48">
        <v>12</v>
      </c>
      <c r="C7" s="49" t="str">
        <f>HSDR!O12</f>
        <v>H</v>
      </c>
      <c r="D7" s="49" t="str">
        <f>HSDR!P12</f>
        <v>H</v>
      </c>
      <c r="E7" s="49" t="str">
        <f>HSDR!Q12</f>
        <v>H</v>
      </c>
      <c r="F7" s="49" t="str">
        <f>HSDR!R12</f>
        <v>S</v>
      </c>
      <c r="G7" s="49" t="str">
        <f>HSDR!S12</f>
        <v>S</v>
      </c>
      <c r="H7" s="49" t="str">
        <f>HSDR!T12</f>
        <v>S</v>
      </c>
      <c r="I7" s="49" t="str">
        <f>HSDR!U12</f>
        <v>H</v>
      </c>
      <c r="J7" s="49" t="str">
        <f>HSDR!V12</f>
        <v>H</v>
      </c>
      <c r="K7" s="49" t="str">
        <f>HSDR!W12</f>
        <v>H</v>
      </c>
      <c r="L7" s="49" t="str">
        <f>HSDR!X12</f>
        <v>H</v>
      </c>
    </row>
    <row r="8" spans="2:12">
      <c r="B8" s="48">
        <v>13</v>
      </c>
      <c r="C8" s="49" t="str">
        <f>HSDR!O13</f>
        <v>H</v>
      </c>
      <c r="D8" s="49" t="str">
        <f>HSDR!P13</f>
        <v>S</v>
      </c>
      <c r="E8" s="49" t="str">
        <f>HSDR!Q13</f>
        <v>S</v>
      </c>
      <c r="F8" s="49" t="str">
        <f>HSDR!R13</f>
        <v>S</v>
      </c>
      <c r="G8" s="49" t="str">
        <f>HSDR!S13</f>
        <v>S</v>
      </c>
      <c r="H8" s="49" t="str">
        <f>HSDR!T13</f>
        <v>S</v>
      </c>
      <c r="I8" s="49" t="str">
        <f>HSDR!U13</f>
        <v>H</v>
      </c>
      <c r="J8" s="49" t="str">
        <f>HSDR!V13</f>
        <v>H</v>
      </c>
      <c r="K8" s="49" t="str">
        <f>HSDR!W13</f>
        <v>H</v>
      </c>
      <c r="L8" s="49" t="str">
        <f>HSDR!X13</f>
        <v>H</v>
      </c>
    </row>
    <row r="9" spans="2:12">
      <c r="B9" s="48">
        <v>14</v>
      </c>
      <c r="C9" s="49" t="str">
        <f>HSDR!O14</f>
        <v>H</v>
      </c>
      <c r="D9" s="49" t="str">
        <f>HSDR!P14</f>
        <v>S</v>
      </c>
      <c r="E9" s="49" t="str">
        <f>HSDR!Q14</f>
        <v>S</v>
      </c>
      <c r="F9" s="49" t="str">
        <f>HSDR!R14</f>
        <v>S</v>
      </c>
      <c r="G9" s="49" t="str">
        <f>HSDR!S14</f>
        <v>S</v>
      </c>
      <c r="H9" s="49" t="str">
        <f>HSDR!T14</f>
        <v>S</v>
      </c>
      <c r="I9" s="49" t="str">
        <f>HSDR!U14</f>
        <v>H</v>
      </c>
      <c r="J9" s="49" t="str">
        <f>HSDR!V14</f>
        <v>H</v>
      </c>
      <c r="K9" s="49" t="str">
        <f>HSDR!W14</f>
        <v>H</v>
      </c>
      <c r="L9" s="49" t="str">
        <f>HSDR!X14</f>
        <v>H</v>
      </c>
    </row>
    <row r="10" spans="2:12">
      <c r="B10" s="48">
        <v>15</v>
      </c>
      <c r="C10" s="49" t="str">
        <f>HSDR!O15</f>
        <v>H</v>
      </c>
      <c r="D10" s="49" t="str">
        <f>HSDR!P15</f>
        <v>S</v>
      </c>
      <c r="E10" s="49" t="str">
        <f>HSDR!Q15</f>
        <v>S</v>
      </c>
      <c r="F10" s="49" t="str">
        <f>HSDR!R15</f>
        <v>S</v>
      </c>
      <c r="G10" s="49" t="str">
        <f>HSDR!S15</f>
        <v>S</v>
      </c>
      <c r="H10" s="49" t="str">
        <f>HSDR!T15</f>
        <v>S</v>
      </c>
      <c r="I10" s="49" t="str">
        <f>HSDR!U15</f>
        <v>H</v>
      </c>
      <c r="J10" s="49" t="str">
        <f>HSDR!V15</f>
        <v>H</v>
      </c>
      <c r="K10" s="49" t="str">
        <f>HSDR!W15</f>
        <v>H</v>
      </c>
      <c r="L10" s="49" t="str">
        <f>HSDR!X15</f>
        <v>H</v>
      </c>
    </row>
    <row r="11" spans="2:12">
      <c r="B11" s="48">
        <v>16</v>
      </c>
      <c r="C11" s="49" t="str">
        <f>HSDR!O16</f>
        <v>S</v>
      </c>
      <c r="D11" s="49" t="str">
        <f>HSDR!P16</f>
        <v>S</v>
      </c>
      <c r="E11" s="49" t="str">
        <f>HSDR!Q16</f>
        <v>S</v>
      </c>
      <c r="F11" s="49" t="str">
        <f>HSDR!R16</f>
        <v>S</v>
      </c>
      <c r="G11" s="49" t="str">
        <f>HSDR!S16</f>
        <v>S</v>
      </c>
      <c r="H11" s="49" t="str">
        <f>HSDR!T16</f>
        <v>S</v>
      </c>
      <c r="I11" s="49" t="str">
        <f>HSDR!U16</f>
        <v>H</v>
      </c>
      <c r="J11" s="49" t="str">
        <f>HSDR!V16</f>
        <v>H</v>
      </c>
      <c r="K11" s="49" t="str">
        <f>HSDR!W16</f>
        <v>H</v>
      </c>
      <c r="L11" s="49" t="str">
        <f>HSDR!X16</f>
        <v>H</v>
      </c>
    </row>
    <row r="12" spans="2:12">
      <c r="B12" s="48" t="s">
        <v>21</v>
      </c>
      <c r="C12" s="49" t="str">
        <f>HSDR!O17</f>
        <v>S</v>
      </c>
      <c r="D12" s="49" t="str">
        <f>HSDR!P17</f>
        <v>S</v>
      </c>
      <c r="E12" s="49" t="str">
        <f>HSDR!Q17</f>
        <v>S</v>
      </c>
      <c r="F12" s="49" t="str">
        <f>HSDR!R17</f>
        <v>S</v>
      </c>
      <c r="G12" s="49" t="str">
        <f>HSDR!S17</f>
        <v>S</v>
      </c>
      <c r="H12" s="49" t="str">
        <f>HSDR!T17</f>
        <v>S</v>
      </c>
      <c r="I12" s="49" t="str">
        <f>HSDR!U17</f>
        <v>S</v>
      </c>
      <c r="J12" s="49" t="str">
        <f>HSDR!V17</f>
        <v>S</v>
      </c>
      <c r="K12" s="49" t="str">
        <f>HSDR!W17</f>
        <v>S</v>
      </c>
      <c r="L12" s="49" t="str">
        <f>HSDR!X17</f>
        <v>S</v>
      </c>
    </row>
    <row r="13" spans="2:12">
      <c r="B13" s="48" t="s">
        <v>4</v>
      </c>
      <c r="C13" s="48" t="s">
        <v>22</v>
      </c>
      <c r="D13" s="48">
        <v>2</v>
      </c>
      <c r="E13" s="48">
        <v>3</v>
      </c>
      <c r="F13" s="48">
        <v>4</v>
      </c>
      <c r="G13" s="48">
        <v>5</v>
      </c>
      <c r="H13" s="48">
        <v>6</v>
      </c>
      <c r="I13" s="48">
        <v>7</v>
      </c>
      <c r="J13" s="48">
        <v>8</v>
      </c>
      <c r="K13" s="48">
        <v>9</v>
      </c>
      <c r="L13" s="48">
        <v>10</v>
      </c>
    </row>
    <row r="14" spans="2:12">
      <c r="B14" s="48">
        <v>13</v>
      </c>
      <c r="C14" s="49" t="str">
        <f>HSDR!O36</f>
        <v>H</v>
      </c>
      <c r="D14" s="49" t="str">
        <f>HSDR!P36</f>
        <v>H</v>
      </c>
      <c r="E14" s="49" t="str">
        <f>HSDR!Q36</f>
        <v>H</v>
      </c>
      <c r="F14" s="49" t="str">
        <f>HSDR!R36</f>
        <v>H</v>
      </c>
      <c r="G14" s="49" t="str">
        <f>HSDR!S36</f>
        <v>H</v>
      </c>
      <c r="H14" s="49" t="str">
        <f>HSDR!T36</f>
        <v>H</v>
      </c>
      <c r="I14" s="49" t="str">
        <f>HSDR!U36</f>
        <v>H</v>
      </c>
      <c r="J14" s="49" t="str">
        <f>HSDR!V36</f>
        <v>H</v>
      </c>
      <c r="K14" s="49" t="str">
        <f>HSDR!W36</f>
        <v>H</v>
      </c>
      <c r="L14" s="49" t="str">
        <f>HSDR!X36</f>
        <v>H</v>
      </c>
    </row>
    <row r="15" spans="2:12">
      <c r="B15" s="48">
        <v>14</v>
      </c>
      <c r="C15" s="49" t="str">
        <f>HSDR!O37</f>
        <v>H</v>
      </c>
      <c r="D15" s="49" t="str">
        <f>HSDR!P37</f>
        <v>H</v>
      </c>
      <c r="E15" s="49" t="str">
        <f>HSDR!Q37</f>
        <v>H</v>
      </c>
      <c r="F15" s="49" t="str">
        <f>HSDR!R37</f>
        <v>H</v>
      </c>
      <c r="G15" s="49" t="str">
        <f>HSDR!S37</f>
        <v>H</v>
      </c>
      <c r="H15" s="49" t="str">
        <f>HSDR!T37</f>
        <v>H</v>
      </c>
      <c r="I15" s="49" t="str">
        <f>HSDR!U37</f>
        <v>H</v>
      </c>
      <c r="J15" s="49" t="str">
        <f>HSDR!V37</f>
        <v>H</v>
      </c>
      <c r="K15" s="49" t="str">
        <f>HSDR!W37</f>
        <v>H</v>
      </c>
      <c r="L15" s="49" t="str">
        <f>HSDR!X37</f>
        <v>H</v>
      </c>
    </row>
    <row r="16" spans="2:12">
      <c r="B16" s="48">
        <v>15</v>
      </c>
      <c r="C16" s="49" t="str">
        <f>HSDR!O38</f>
        <v>H</v>
      </c>
      <c r="D16" s="49" t="str">
        <f>HSDR!P38</f>
        <v>H</v>
      </c>
      <c r="E16" s="49" t="str">
        <f>HSDR!Q38</f>
        <v>H</v>
      </c>
      <c r="F16" s="49" t="str">
        <f>HSDR!R38</f>
        <v>H</v>
      </c>
      <c r="G16" s="49" t="str">
        <f>HSDR!S38</f>
        <v>H</v>
      </c>
      <c r="H16" s="49" t="str">
        <f>HSDR!T38</f>
        <v>H</v>
      </c>
      <c r="I16" s="49" t="str">
        <f>HSDR!U38</f>
        <v>H</v>
      </c>
      <c r="J16" s="49" t="str">
        <f>HSDR!V38</f>
        <v>H</v>
      </c>
      <c r="K16" s="49" t="str">
        <f>HSDR!W38</f>
        <v>H</v>
      </c>
      <c r="L16" s="49" t="str">
        <f>HSDR!X38</f>
        <v>H</v>
      </c>
    </row>
    <row r="17" spans="2:12">
      <c r="B17" s="48">
        <v>16</v>
      </c>
      <c r="C17" s="49" t="str">
        <f>HSDR!O39</f>
        <v>H</v>
      </c>
      <c r="D17" s="49" t="str">
        <f>HSDR!P39</f>
        <v>H</v>
      </c>
      <c r="E17" s="49" t="str">
        <f>HSDR!Q39</f>
        <v>H</v>
      </c>
      <c r="F17" s="49" t="str">
        <f>HSDR!R39</f>
        <v>H</v>
      </c>
      <c r="G17" s="49" t="str">
        <f>HSDR!S39</f>
        <v>H</v>
      </c>
      <c r="H17" s="49" t="str">
        <f>HSDR!T39</f>
        <v>H</v>
      </c>
      <c r="I17" s="49" t="str">
        <f>HSDR!U39</f>
        <v>H</v>
      </c>
      <c r="J17" s="49" t="str">
        <f>HSDR!V39</f>
        <v>H</v>
      </c>
      <c r="K17" s="49" t="str">
        <f>HSDR!W39</f>
        <v>H</v>
      </c>
      <c r="L17" s="49" t="str">
        <f>HSDR!X39</f>
        <v>H</v>
      </c>
    </row>
    <row r="18" spans="2:12">
      <c r="B18" s="48">
        <v>17</v>
      </c>
      <c r="C18" s="49" t="str">
        <f>HSDR!O40</f>
        <v>H</v>
      </c>
      <c r="D18" s="49" t="str">
        <f>HSDR!P40</f>
        <v>H</v>
      </c>
      <c r="E18" s="49" t="str">
        <f>HSDR!Q40</f>
        <v>H</v>
      </c>
      <c r="F18" s="49" t="str">
        <f>HSDR!R40</f>
        <v>H</v>
      </c>
      <c r="G18" s="49" t="str">
        <f>HSDR!S40</f>
        <v>H</v>
      </c>
      <c r="H18" s="49" t="str">
        <f>HSDR!T40</f>
        <v>H</v>
      </c>
      <c r="I18" s="49" t="str">
        <f>HSDR!U40</f>
        <v>H</v>
      </c>
      <c r="J18" s="49" t="str">
        <f>HSDR!V40</f>
        <v>H</v>
      </c>
      <c r="K18" s="49" t="str">
        <f>HSDR!W40</f>
        <v>H</v>
      </c>
      <c r="L18" s="49" t="str">
        <f>HSDR!X40</f>
        <v>H</v>
      </c>
    </row>
    <row r="19" spans="2:12">
      <c r="B19" s="48">
        <v>18</v>
      </c>
      <c r="C19" s="49" t="str">
        <f>HSDR!O41</f>
        <v>S</v>
      </c>
      <c r="D19" s="49" t="str">
        <f>HSDR!P41</f>
        <v>S</v>
      </c>
      <c r="E19" s="49" t="str">
        <f>HSDR!Q41</f>
        <v>S</v>
      </c>
      <c r="F19" s="49" t="str">
        <f>HSDR!R41</f>
        <v>S</v>
      </c>
      <c r="G19" s="49" t="str">
        <f>HSDR!S41</f>
        <v>S</v>
      </c>
      <c r="H19" s="49" t="str">
        <f>HSDR!T41</f>
        <v>S</v>
      </c>
      <c r="I19" s="49" t="str">
        <f>HSDR!U41</f>
        <v>S</v>
      </c>
      <c r="J19" s="49" t="str">
        <f>HSDR!V41</f>
        <v>S</v>
      </c>
      <c r="K19" s="49" t="str">
        <f>HSDR!W41</f>
        <v>H</v>
      </c>
      <c r="L19" s="49" t="str">
        <f>HSDR!X41</f>
        <v>H</v>
      </c>
    </row>
    <row r="20" spans="2:12">
      <c r="B20" s="48">
        <v>19</v>
      </c>
      <c r="C20" s="49" t="str">
        <f>HSDR!O42</f>
        <v>S</v>
      </c>
      <c r="D20" s="49" t="str">
        <f>HSDR!P42</f>
        <v>S</v>
      </c>
      <c r="E20" s="49" t="str">
        <f>HSDR!Q42</f>
        <v>S</v>
      </c>
      <c r="F20" s="49" t="str">
        <f>HSDR!R42</f>
        <v>S</v>
      </c>
      <c r="G20" s="49" t="str">
        <f>HSDR!S42</f>
        <v>S</v>
      </c>
      <c r="H20" s="49" t="str">
        <f>HSDR!T42</f>
        <v>D</v>
      </c>
      <c r="I20" s="49" t="str">
        <f>HSDR!U42</f>
        <v>S</v>
      </c>
      <c r="J20" s="49" t="str">
        <f>HSDR!V42</f>
        <v>S</v>
      </c>
      <c r="K20" s="49" t="str">
        <f>HSDR!W42</f>
        <v>S</v>
      </c>
      <c r="L20" s="49" t="str">
        <f>HSDR!X42</f>
        <v>S</v>
      </c>
    </row>
    <row r="21" spans="2:12">
      <c r="B21" s="48" t="s">
        <v>10</v>
      </c>
      <c r="C21" s="48" t="s">
        <v>22</v>
      </c>
      <c r="D21" s="48">
        <v>2</v>
      </c>
      <c r="E21" s="48">
        <v>3</v>
      </c>
      <c r="F21" s="48">
        <v>4</v>
      </c>
      <c r="G21" s="48">
        <v>5</v>
      </c>
      <c r="H21" s="48">
        <v>6</v>
      </c>
      <c r="I21" s="48">
        <v>7</v>
      </c>
      <c r="J21" s="48">
        <v>8</v>
      </c>
      <c r="K21" s="48">
        <v>9</v>
      </c>
      <c r="L21" s="48">
        <v>10</v>
      </c>
    </row>
    <row r="22" spans="2:12">
      <c r="B22" s="48" t="s">
        <v>22</v>
      </c>
      <c r="C22" s="49">
        <f>Pair!O2</f>
        <v>2</v>
      </c>
      <c r="D22" s="49">
        <f>Pair!P2</f>
        <v>2</v>
      </c>
      <c r="E22" s="49">
        <f>Pair!Q2</f>
        <v>2</v>
      </c>
      <c r="F22" s="49">
        <f>Pair!R2</f>
        <v>2</v>
      </c>
      <c r="G22" s="49">
        <f>Pair!S2</f>
        <v>2</v>
      </c>
      <c r="H22" s="49">
        <f>Pair!T2</f>
        <v>2</v>
      </c>
      <c r="I22" s="49">
        <f>Pair!U2</f>
        <v>2</v>
      </c>
      <c r="J22" s="49">
        <f>Pair!V2</f>
        <v>2</v>
      </c>
      <c r="K22" s="49">
        <f>Pair!W2</f>
        <v>2</v>
      </c>
      <c r="L22" s="49">
        <f>Pair!X2</f>
        <v>2</v>
      </c>
    </row>
    <row r="23" spans="2:12">
      <c r="B23" s="48">
        <v>2</v>
      </c>
      <c r="C23" s="49" t="str">
        <f>Pair!O3</f>
        <v>H</v>
      </c>
      <c r="D23" s="49" t="str">
        <f>Pair!P3</f>
        <v>H</v>
      </c>
      <c r="E23" s="49" t="str">
        <f>Pair!Q3</f>
        <v>H</v>
      </c>
      <c r="F23" s="49">
        <f>Pair!R3</f>
        <v>2</v>
      </c>
      <c r="G23" s="49">
        <f>Pair!S3</f>
        <v>2</v>
      </c>
      <c r="H23" s="49">
        <f>Pair!T3</f>
        <v>2</v>
      </c>
      <c r="I23" s="49">
        <f>Pair!U3</f>
        <v>2</v>
      </c>
      <c r="J23" s="49" t="str">
        <f>Pair!V3</f>
        <v>H</v>
      </c>
      <c r="K23" s="49" t="str">
        <f>Pair!W3</f>
        <v>H</v>
      </c>
      <c r="L23" s="49" t="str">
        <f>Pair!X3</f>
        <v>H</v>
      </c>
    </row>
    <row r="24" spans="2:12">
      <c r="B24" s="48">
        <v>3</v>
      </c>
      <c r="C24" s="49" t="str">
        <f>Pair!O4</f>
        <v>H</v>
      </c>
      <c r="D24" s="49" t="str">
        <f>Pair!P4</f>
        <v>H</v>
      </c>
      <c r="E24" s="49" t="str">
        <f>Pair!Q4</f>
        <v>H</v>
      </c>
      <c r="F24" s="49">
        <f>Pair!R4</f>
        <v>2</v>
      </c>
      <c r="G24" s="49">
        <f>Pair!S4</f>
        <v>2</v>
      </c>
      <c r="H24" s="49">
        <f>Pair!T4</f>
        <v>2</v>
      </c>
      <c r="I24" s="49">
        <f>Pair!U4</f>
        <v>2</v>
      </c>
      <c r="J24" s="49" t="str">
        <f>Pair!V4</f>
        <v>H</v>
      </c>
      <c r="K24" s="49" t="str">
        <f>Pair!W4</f>
        <v>H</v>
      </c>
      <c r="L24" s="49" t="str">
        <f>Pair!X4</f>
        <v>H</v>
      </c>
    </row>
    <row r="25" spans="2:12">
      <c r="B25" s="48">
        <v>4</v>
      </c>
      <c r="C25" s="49" t="str">
        <f>Pair!O5</f>
        <v>H</v>
      </c>
      <c r="D25" s="49" t="str">
        <f>Pair!P5</f>
        <v>H</v>
      </c>
      <c r="E25" s="49" t="str">
        <f>Pair!Q5</f>
        <v>H</v>
      </c>
      <c r="F25" s="49" t="str">
        <f>Pair!R5</f>
        <v>H</v>
      </c>
      <c r="G25" s="49" t="str">
        <f>Pair!S5</f>
        <v>H</v>
      </c>
      <c r="H25" s="49" t="str">
        <f>Pair!T5</f>
        <v>H</v>
      </c>
      <c r="I25" s="49" t="str">
        <f>Pair!U5</f>
        <v>H</v>
      </c>
      <c r="J25" s="49" t="str">
        <f>Pair!V5</f>
        <v>H</v>
      </c>
      <c r="K25" s="49" t="str">
        <f>Pair!W5</f>
        <v>H</v>
      </c>
      <c r="L25" s="49" t="str">
        <f>Pair!X5</f>
        <v>H</v>
      </c>
    </row>
    <row r="26" spans="2:12">
      <c r="B26" s="48">
        <v>5</v>
      </c>
      <c r="C26" s="49" t="str">
        <f>Pair!O6</f>
        <v>H</v>
      </c>
      <c r="D26" s="49" t="str">
        <f>Pair!P6</f>
        <v>D</v>
      </c>
      <c r="E26" s="49" t="str">
        <f>Pair!Q6</f>
        <v>D</v>
      </c>
      <c r="F26" s="49" t="str">
        <f>Pair!R6</f>
        <v>D</v>
      </c>
      <c r="G26" s="49" t="str">
        <f>Pair!S6</f>
        <v>D</v>
      </c>
      <c r="H26" s="49" t="str">
        <f>Pair!T6</f>
        <v>D</v>
      </c>
      <c r="I26" s="49" t="str">
        <f>Pair!U6</f>
        <v>D</v>
      </c>
      <c r="J26" s="49" t="str">
        <f>Pair!V6</f>
        <v>D</v>
      </c>
      <c r="K26" s="49" t="str">
        <f>Pair!W6</f>
        <v>D</v>
      </c>
      <c r="L26" s="49" t="str">
        <f>Pair!X6</f>
        <v>H</v>
      </c>
    </row>
    <row r="27" spans="2:12">
      <c r="B27" s="48">
        <v>6</v>
      </c>
      <c r="C27" s="49" t="str">
        <f>Pair!O7</f>
        <v>H</v>
      </c>
      <c r="D27" s="49" t="str">
        <f>Pair!P7</f>
        <v>H</v>
      </c>
      <c r="E27" s="49">
        <f>Pair!Q7</f>
        <v>2</v>
      </c>
      <c r="F27" s="49">
        <f>Pair!R7</f>
        <v>2</v>
      </c>
      <c r="G27" s="49">
        <f>Pair!S7</f>
        <v>2</v>
      </c>
      <c r="H27" s="49">
        <f>Pair!T7</f>
        <v>2</v>
      </c>
      <c r="I27" s="49" t="str">
        <f>Pair!U7</f>
        <v>H</v>
      </c>
      <c r="J27" s="49" t="str">
        <f>Pair!V7</f>
        <v>H</v>
      </c>
      <c r="K27" s="49" t="str">
        <f>Pair!W7</f>
        <v>H</v>
      </c>
      <c r="L27" s="49" t="str">
        <f>Pair!X7</f>
        <v>H</v>
      </c>
    </row>
    <row r="28" spans="2:12">
      <c r="B28" s="48">
        <v>7</v>
      </c>
      <c r="C28" s="49" t="str">
        <f>Pair!O8</f>
        <v>H</v>
      </c>
      <c r="D28" s="49">
        <f>Pair!P8</f>
        <v>2</v>
      </c>
      <c r="E28" s="49">
        <f>Pair!Q8</f>
        <v>2</v>
      </c>
      <c r="F28" s="49">
        <f>Pair!R8</f>
        <v>2</v>
      </c>
      <c r="G28" s="49">
        <f>Pair!S8</f>
        <v>2</v>
      </c>
      <c r="H28" s="49">
        <f>Pair!T8</f>
        <v>2</v>
      </c>
      <c r="I28" s="49">
        <f>Pair!U8</f>
        <v>2</v>
      </c>
      <c r="J28" s="49" t="str">
        <f>Pair!V8</f>
        <v>H</v>
      </c>
      <c r="K28" s="49" t="str">
        <f>Pair!W8</f>
        <v>H</v>
      </c>
      <c r="L28" s="49" t="str">
        <f>Pair!X8</f>
        <v>H</v>
      </c>
    </row>
    <row r="29" spans="2:12">
      <c r="B29" s="48">
        <v>8</v>
      </c>
      <c r="C29" s="49" t="str">
        <f>Pair!O9</f>
        <v>S</v>
      </c>
      <c r="D29" s="49">
        <f>Pair!P9</f>
        <v>2</v>
      </c>
      <c r="E29" s="49">
        <f>Pair!Q9</f>
        <v>2</v>
      </c>
      <c r="F29" s="49">
        <f>Pair!R9</f>
        <v>2</v>
      </c>
      <c r="G29" s="49">
        <f>Pair!S9</f>
        <v>2</v>
      </c>
      <c r="H29" s="49">
        <f>Pair!T9</f>
        <v>2</v>
      </c>
      <c r="I29" s="49">
        <f>Pair!U9</f>
        <v>2</v>
      </c>
      <c r="J29" s="49">
        <f>Pair!V9</f>
        <v>2</v>
      </c>
      <c r="K29" s="49">
        <f>Pair!W9</f>
        <v>2</v>
      </c>
      <c r="L29" s="49" t="str">
        <f>Pair!X9</f>
        <v>H</v>
      </c>
    </row>
    <row r="30" spans="2:12">
      <c r="B30" s="48">
        <v>9</v>
      </c>
      <c r="C30" s="49" t="str">
        <f>Pair!O10</f>
        <v>S</v>
      </c>
      <c r="D30" s="49">
        <f>Pair!P10</f>
        <v>2</v>
      </c>
      <c r="E30" s="49">
        <f>Pair!Q10</f>
        <v>2</v>
      </c>
      <c r="F30" s="49">
        <f>Pair!R10</f>
        <v>2</v>
      </c>
      <c r="G30" s="49">
        <f>Pair!S10</f>
        <v>2</v>
      </c>
      <c r="H30" s="49">
        <f>Pair!T10</f>
        <v>2</v>
      </c>
      <c r="I30" s="49" t="str">
        <f>Pair!U10</f>
        <v>S</v>
      </c>
      <c r="J30" s="49">
        <f>Pair!V10</f>
        <v>2</v>
      </c>
      <c r="K30" s="49">
        <f>Pair!W10</f>
        <v>2</v>
      </c>
      <c r="L30" s="49" t="str">
        <f>Pair!X10</f>
        <v>S</v>
      </c>
    </row>
    <row r="31" spans="2:12">
      <c r="B31" s="48">
        <v>10</v>
      </c>
      <c r="C31" s="49" t="str">
        <f>Pair!O11</f>
        <v>S</v>
      </c>
      <c r="D31" s="49" t="str">
        <f>Pair!P11</f>
        <v>S</v>
      </c>
      <c r="E31" s="49" t="str">
        <f>Pair!Q11</f>
        <v>S</v>
      </c>
      <c r="F31" s="49" t="str">
        <f>Pair!R11</f>
        <v>S</v>
      </c>
      <c r="G31" s="49" t="str">
        <f>Pair!S11</f>
        <v>S</v>
      </c>
      <c r="H31" s="49" t="str">
        <f>Pair!T11</f>
        <v>S</v>
      </c>
      <c r="I31" s="49" t="str">
        <f>Pair!U11</f>
        <v>S</v>
      </c>
      <c r="J31" s="49" t="str">
        <f>Pair!V11</f>
        <v>S</v>
      </c>
      <c r="K31" s="49" t="str">
        <f>Pair!W11</f>
        <v>S</v>
      </c>
      <c r="L31" s="49" t="str">
        <f>Pair!X11</f>
        <v>S</v>
      </c>
    </row>
    <row r="32" spans="2:12">
      <c r="B32" s="331" t="str">
        <f>"EV = " &amp; EV!$H$46</f>
        <v>EV = -0.0320987532621518</v>
      </c>
      <c r="C32" s="331"/>
      <c r="D32" s="331"/>
      <c r="E32" s="331"/>
      <c r="F32" s="331"/>
      <c r="G32" s="331"/>
      <c r="H32" s="331"/>
      <c r="I32" s="331"/>
      <c r="J32" s="331"/>
      <c r="K32" s="331"/>
      <c r="L32" s="331"/>
    </row>
    <row r="33" spans="2:12">
      <c r="B33" s="331" t="str">
        <f>"EV = " &amp; EV!H46*100 &amp; " %"</f>
        <v>EV = -3.20987532621518 %</v>
      </c>
      <c r="C33" s="331"/>
      <c r="D33" s="331"/>
      <c r="E33" s="331"/>
      <c r="F33" s="331"/>
      <c r="G33" s="331"/>
      <c r="H33" s="331"/>
      <c r="I33" s="331"/>
      <c r="J33" s="331"/>
      <c r="K33" s="331"/>
      <c r="L33" s="331"/>
    </row>
    <row r="34" spans="2:12">
      <c r="B34" s="335" t="s">
        <v>24</v>
      </c>
      <c r="C34" s="335"/>
      <c r="D34" s="335"/>
      <c r="E34" s="335"/>
      <c r="F34" s="335"/>
      <c r="G34" s="335"/>
      <c r="H34" s="335"/>
      <c r="I34" s="335"/>
      <c r="J34" s="335"/>
      <c r="K34" s="335"/>
      <c r="L34" s="335"/>
    </row>
    <row r="35" spans="2:12">
      <c r="B35" s="336" t="s">
        <v>25</v>
      </c>
      <c r="C35" s="336"/>
      <c r="D35" s="336"/>
      <c r="E35" s="336"/>
      <c r="F35" s="336"/>
      <c r="G35" s="336"/>
      <c r="H35" s="336"/>
      <c r="I35" s="336"/>
      <c r="J35" s="336"/>
      <c r="K35" s="336"/>
      <c r="L35" s="336"/>
    </row>
    <row r="36" spans="2:12">
      <c r="B36" s="332" t="s">
        <v>26</v>
      </c>
      <c r="C36" s="332"/>
      <c r="D36" s="332"/>
      <c r="E36" s="332"/>
      <c r="F36" s="332"/>
      <c r="G36" s="332"/>
      <c r="H36" s="332"/>
      <c r="I36" s="332"/>
      <c r="J36" s="332"/>
      <c r="K36" s="332"/>
      <c r="L36" s="332"/>
    </row>
    <row r="37" spans="2:12">
      <c r="B37" s="333" t="s">
        <v>208</v>
      </c>
      <c r="C37" s="333"/>
      <c r="D37" s="333"/>
      <c r="E37" s="333"/>
      <c r="F37" s="333"/>
      <c r="G37" s="333"/>
      <c r="H37" s="333"/>
      <c r="I37" s="333"/>
      <c r="J37" s="333"/>
      <c r="K37" s="333"/>
      <c r="L37" s="333"/>
    </row>
    <row r="38" spans="2:12">
      <c r="B38" s="331" t="s">
        <v>27</v>
      </c>
      <c r="C38" s="331"/>
      <c r="D38" s="331"/>
      <c r="E38" s="331"/>
      <c r="F38" s="331"/>
      <c r="G38" s="331"/>
      <c r="H38" s="331"/>
      <c r="I38" s="331"/>
      <c r="J38" s="331"/>
      <c r="K38" s="331"/>
      <c r="L38" s="331"/>
    </row>
  </sheetData>
  <sheetProtection sheet="1" objects="1" scenarios="1"/>
  <mergeCells count="8">
    <mergeCell ref="B37:L37"/>
    <mergeCell ref="B38:L38"/>
    <mergeCell ref="B1:L1"/>
    <mergeCell ref="B32:L32"/>
    <mergeCell ref="B34:L34"/>
    <mergeCell ref="B35:L35"/>
    <mergeCell ref="B36:L36"/>
    <mergeCell ref="B33:L33"/>
  </mergeCells>
  <phoneticPr fontId="16" type="noConversion"/>
  <conditionalFormatting sqref="C3:L12 C22:L31 C14:L20">
    <cfRule type="containsText" dxfId="649" priority="4" operator="containsText" text="S">
      <formula>NOT(ISERROR(SEARCH("S",C3)))</formula>
    </cfRule>
    <cfRule type="containsText" dxfId="648" priority="5" operator="containsText" text="H">
      <formula>NOT(ISERROR(SEARCH("H",C3)))</formula>
    </cfRule>
  </conditionalFormatting>
  <conditionalFormatting sqref="C3:L12 C22:L31 C14:L20">
    <cfRule type="containsText" dxfId="647" priority="3" operator="containsText" text="D">
      <formula>NOT(ISERROR(SEARCH("D",C3)))</formula>
    </cfRule>
  </conditionalFormatting>
  <conditionalFormatting sqref="C3:L12 C22:L31 C14:L20">
    <cfRule type="containsText" dxfId="646" priority="2" operator="containsText" text="R">
      <formula>NOT(ISERROR(SEARCH("R",C3)))</formula>
    </cfRule>
  </conditionalFormatting>
  <conditionalFormatting sqref="C3:L12 C22:L31 C14:L20">
    <cfRule type="cellIs" dxfId="645" priority="1" operator="between">
      <formula>2</formula>
      <formula>5</formula>
    </cfRule>
  </conditionalFormatting>
  <pageMargins left="0.25" right="0.25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L47"/>
  <sheetViews>
    <sheetView topLeftCell="A36" workbookViewId="0">
      <selection activeCell="L45" sqref="L45"/>
    </sheetView>
  </sheetViews>
  <sheetFormatPr baseColWidth="10" defaultColWidth="8.83203125" defaultRowHeight="15"/>
  <cols>
    <col min="1" max="1" width="5" style="33" bestFit="1" customWidth="1"/>
    <col min="2" max="12" width="11.6640625" style="33" customWidth="1"/>
    <col min="13" max="16384" width="8.83203125" style="33"/>
  </cols>
  <sheetData>
    <row r="1" spans="1:12" ht="22" thickBot="1">
      <c r="A1" s="354" t="s">
        <v>130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6"/>
    </row>
    <row r="2" spans="1:12">
      <c r="A2" s="42" t="s">
        <v>9</v>
      </c>
      <c r="B2" s="43" t="s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4">
        <v>10</v>
      </c>
      <c r="L2" s="44" t="s">
        <v>2</v>
      </c>
    </row>
    <row r="3" spans="1:12">
      <c r="A3" s="45">
        <v>5</v>
      </c>
      <c r="B3" s="34">
        <f>Prob!B3*'ER EL'!B3</f>
        <v>-2.5607651825935876E-4</v>
      </c>
      <c r="C3" s="34">
        <f>Prob!C3*'ER EL'!C3</f>
        <v>-1.145695638709468E-4</v>
      </c>
      <c r="D3" s="34">
        <f>Prob!D3*'ER EL'!D3</f>
        <v>-8.4830045801909519E-5</v>
      </c>
      <c r="E3" s="34">
        <f>Prob!E3*'ER EL'!E3</f>
        <v>-5.3590294472011527E-5</v>
      </c>
      <c r="F3" s="34">
        <f>Prob!F3*'ER EL'!F3</f>
        <v>-2.0684615930536463E-5</v>
      </c>
      <c r="G3" s="34">
        <f>Prob!G3*'ER EL'!G3</f>
        <v>1.3794828820855477E-5</v>
      </c>
      <c r="H3" s="34">
        <f>Prob!H3*'ER EL'!H3</f>
        <v>-1.0873686106886531E-4</v>
      </c>
      <c r="I3" s="34">
        <f>Prob!I3*'ER EL'!I3</f>
        <v>-1.7122740455456095E-4</v>
      </c>
      <c r="J3" s="34">
        <f>Prob!J3*'ER EL'!J3</f>
        <v>-2.4270828708052711E-4</v>
      </c>
      <c r="K3" s="46">
        <f>Prob!K3*'ER EL'!K3</f>
        <v>-1.2024568974393825E-3</v>
      </c>
      <c r="L3" s="46">
        <f>SUM(B3:K3)</f>
        <v>-2.2410856596572436E-3</v>
      </c>
    </row>
    <row r="4" spans="1:12">
      <c r="A4" s="45">
        <v>6</v>
      </c>
      <c r="B4" s="34">
        <f>Prob!B4*'ER EL'!B4</f>
        <v>-2.6449929142810806E-4</v>
      </c>
      <c r="C4" s="34">
        <f>Prob!C4*'ER EL'!C4</f>
        <v>-1.2569233435715205E-4</v>
      </c>
      <c r="D4" s="34">
        <f>Prob!D4*'ER EL'!D4</f>
        <v>-9.5470224248973915E-5</v>
      </c>
      <c r="E4" s="34">
        <f>Prob!E4*'ER EL'!E4</f>
        <v>-6.3794058577411076E-5</v>
      </c>
      <c r="F4" s="34">
        <f>Prob!F4*'ER EL'!F4</f>
        <v>-3.0540618971474345E-5</v>
      </c>
      <c r="G4" s="34">
        <f>Prob!G4*'ER EL'!G4</f>
        <v>4.3391065446657981E-6</v>
      </c>
      <c r="H4" s="34">
        <f>Prob!H4*'ER EL'!H4</f>
        <v>-1.3830924646035455E-4</v>
      </c>
      <c r="I4" s="34">
        <f>Prob!I4*'ER EL'!I4</f>
        <v>-1.9776229523967663E-4</v>
      </c>
      <c r="J4" s="34">
        <f>Prob!J4*'ER EL'!J4</f>
        <v>-2.6640027327967777E-4</v>
      </c>
      <c r="K4" s="46">
        <f>Prob!K4*'ER EL'!K4</f>
        <v>-1.2789725702922851E-3</v>
      </c>
      <c r="L4" s="46">
        <f t="shared" ref="L4:L38" si="0">SUM(B4:K4)</f>
        <v>-2.4571018063104478E-3</v>
      </c>
    </row>
    <row r="5" spans="1:12">
      <c r="A5" s="45">
        <v>7</v>
      </c>
      <c r="B5" s="34">
        <f>Prob!B5*'ER EL'!B5</f>
        <v>-5.0381897742112934E-4</v>
      </c>
      <c r="C5" s="34">
        <f>Prob!C5*'ER EL'!C5</f>
        <v>-1.9950384059662892E-4</v>
      </c>
      <c r="D5" s="34">
        <f>Prob!D5*'ER EL'!D5</f>
        <v>-1.4007750183878055E-4</v>
      </c>
      <c r="E5" s="34">
        <f>Prob!E5*'ER EL'!E5</f>
        <v>-7.7972449189023859E-5</v>
      </c>
      <c r="F5" s="34">
        <f>Prob!F5*'ER EL'!F5</f>
        <v>-1.3067395110833793E-5</v>
      </c>
      <c r="G5" s="34">
        <f>Prob!G5*'ER EL'!G5</f>
        <v>5.5363798182907361E-5</v>
      </c>
      <c r="H5" s="34">
        <f>Prob!H5*'ER EL'!H5</f>
        <v>-1.252759209475244E-4</v>
      </c>
      <c r="I5" s="34">
        <f>Prob!I5*'ER EL'!I5</f>
        <v>-3.8344063491005858E-4</v>
      </c>
      <c r="J5" s="34">
        <f>Prob!J5*'ER EL'!J5</f>
        <v>-5.1955473916591108E-4</v>
      </c>
      <c r="K5" s="46">
        <f>Prob!K5*'ER EL'!K5</f>
        <v>-2.4542192727522775E-3</v>
      </c>
      <c r="L5" s="46">
        <f t="shared" si="0"/>
        <v>-4.361566933749261E-3</v>
      </c>
    </row>
    <row r="6" spans="1:12">
      <c r="A6" s="45">
        <v>8</v>
      </c>
      <c r="B6" s="34">
        <f>Prob!B6*'ER EL'!B6</f>
        <v>-4.1638080057649322E-4</v>
      </c>
      <c r="C6" s="34">
        <f>Prob!C6*'ER EL'!C6</f>
        <v>-4.4618716959339911E-5</v>
      </c>
      <c r="D6" s="34">
        <f>Prob!D6*'ER EL'!D6</f>
        <v>1.0137334320242491E-5</v>
      </c>
      <c r="E6" s="34">
        <f>Prob!E6*'ER EL'!E6</f>
        <v>6.7384205907172637E-5</v>
      </c>
      <c r="F6" s="34">
        <f>Prob!F6*'ER EL'!F6</f>
        <v>1.2735663751357155E-4</v>
      </c>
      <c r="G6" s="34">
        <f>Prob!G6*'ER EL'!G6</f>
        <v>1.8909078438427508E-4</v>
      </c>
      <c r="H6" s="34">
        <f>Prob!H6*'ER EL'!H6</f>
        <v>1.4967216998405621E-4</v>
      </c>
      <c r="I6" s="34">
        <f>Prob!I6*'ER EL'!I6</f>
        <v>-1.0905466665208247E-4</v>
      </c>
      <c r="J6" s="34">
        <f>Prob!J6*'ER EL'!J6</f>
        <v>-3.8267880199948588E-4</v>
      </c>
      <c r="K6" s="46">
        <f>Prob!K6*'ER EL'!K6</f>
        <v>-2.0286845047071266E-3</v>
      </c>
      <c r="L6" s="46">
        <f t="shared" si="0"/>
        <v>-2.4377763587852099E-3</v>
      </c>
    </row>
    <row r="7" spans="1:12">
      <c r="A7" s="45">
        <v>9</v>
      </c>
      <c r="B7" s="34">
        <f>Prob!B7*'ER EL'!B7</f>
        <v>-4.7631165350018988E-4</v>
      </c>
      <c r="C7" s="34">
        <f>Prob!C7*'ER EL'!C7</f>
        <v>1.9726757113298104E-4</v>
      </c>
      <c r="D7" s="34">
        <f>Prob!D7*'ER EL'!D7</f>
        <v>3.2421598414632632E-4</v>
      </c>
      <c r="E7" s="34">
        <f>Prob!E7*'ER EL'!E7</f>
        <v>4.9157837388214161E-4</v>
      </c>
      <c r="F7" s="34">
        <f>Prob!F7*'ER EL'!F7</f>
        <v>6.6122529897319319E-4</v>
      </c>
      <c r="G7" s="34">
        <f>Prob!G7*'ER EL'!G7</f>
        <v>8.3255379976628953E-4</v>
      </c>
      <c r="H7" s="34">
        <f>Prob!H7*'ER EL'!H7</f>
        <v>4.6937057788881025E-4</v>
      </c>
      <c r="I7" s="34">
        <f>Prob!I7*'ER EL'!I7</f>
        <v>2.6866513637339811E-4</v>
      </c>
      <c r="J7" s="34">
        <f>Prob!J7*'ER EL'!J7</f>
        <v>-1.4249809775872108E-4</v>
      </c>
      <c r="K7" s="46">
        <f>Prob!K7*'ER EL'!K7</f>
        <v>-2.1521769833981628E-3</v>
      </c>
      <c r="L7" s="46">
        <f t="shared" si="0"/>
        <v>4.7389000750606633E-4</v>
      </c>
    </row>
    <row r="8" spans="1:12">
      <c r="A8" s="45">
        <v>10</v>
      </c>
      <c r="B8" s="34">
        <f>Prob!B8*'ER EL'!B8</f>
        <v>-2.7730353286087214E-4</v>
      </c>
      <c r="C8" s="34">
        <f>Prob!C8*'ER EL'!C8</f>
        <v>9.7471241916356874E-4</v>
      </c>
      <c r="D8" s="34">
        <f>Prob!D8*'ER EL'!D8</f>
        <v>1.1128593854320562E-3</v>
      </c>
      <c r="E8" s="34">
        <f>Prob!E8*'ER EL'!E8</f>
        <v>1.2541889951338649E-3</v>
      </c>
      <c r="F8" s="34">
        <f>Prob!F8*'ER EL'!F8</f>
        <v>1.3974497974104097E-3</v>
      </c>
      <c r="G8" s="34">
        <f>Prob!G8*'ER EL'!G8</f>
        <v>1.5429085904280556E-3</v>
      </c>
      <c r="H8" s="34">
        <f>Prob!H8*'ER EL'!H8</f>
        <v>1.0716771650863116E-3</v>
      </c>
      <c r="I8" s="34">
        <f>Prob!I8*'ER EL'!I8</f>
        <v>7.8280122954834004E-4</v>
      </c>
      <c r="J8" s="34">
        <f>Prob!J8*'ER EL'!J8</f>
        <v>3.9416031419418635E-4</v>
      </c>
      <c r="K8" s="46">
        <f>Prob!K8*'ER EL'!K8</f>
        <v>-4.5366741327266375E-4</v>
      </c>
      <c r="L8" s="46">
        <f t="shared" si="0"/>
        <v>7.7997869502632565E-3</v>
      </c>
    </row>
    <row r="9" spans="1:12">
      <c r="A9" s="45">
        <v>11</v>
      </c>
      <c r="B9" s="34">
        <f>Prob!B9*'ER EL'!B9</f>
        <v>-1.0584546278570462E-4</v>
      </c>
      <c r="C9" s="34">
        <f>Prob!C9*'ER EL'!C9</f>
        <v>1.7118670187267128E-3</v>
      </c>
      <c r="D9" s="34">
        <f>Prob!D9*'ER EL'!D9</f>
        <v>1.883760909384006E-3</v>
      </c>
      <c r="E9" s="34">
        <f>Prob!E9*'ER EL'!E9</f>
        <v>2.0595594855003369E-3</v>
      </c>
      <c r="F9" s="34">
        <f>Prob!F9*'ER EL'!F9</f>
        <v>2.2375604627565475E-3</v>
      </c>
      <c r="G9" s="34">
        <f>Prob!G9*'ER EL'!G9</f>
        <v>2.4202582036920365E-3</v>
      </c>
      <c r="H9" s="34">
        <f>Prob!H9*'ER EL'!H9</f>
        <v>1.6855309926783464E-3</v>
      </c>
      <c r="I9" s="34">
        <f>Prob!I9*'ER EL'!I9</f>
        <v>1.2769871310707882E-3</v>
      </c>
      <c r="J9" s="34">
        <f>Prob!J9*'ER EL'!J9</f>
        <v>8.2943440383233475E-4</v>
      </c>
      <c r="K9" s="46">
        <f>Prob!K9*'ER EL'!K9</f>
        <v>8.0253721445667006E-4</v>
      </c>
      <c r="L9" s="46">
        <f t="shared" si="0"/>
        <v>1.4801650359312074E-2</v>
      </c>
    </row>
    <row r="10" spans="1:12">
      <c r="A10" s="45">
        <v>12</v>
      </c>
      <c r="B10" s="34">
        <f>Prob!B10*'ER EL'!B10</f>
        <v>-2.0543129987003876E-3</v>
      </c>
      <c r="C10" s="34">
        <f>Prob!C10*'ER EL'!C10</f>
        <v>-1.6169870679557244E-3</v>
      </c>
      <c r="D10" s="34">
        <f>Prob!D10*'ER EL'!D10</f>
        <v>-1.4912273415657218E-3</v>
      </c>
      <c r="E10" s="34">
        <f>Prob!E10*'ER EL'!E10</f>
        <v>-1.3117412859184189E-3</v>
      </c>
      <c r="F10" s="34">
        <f>Prob!F10*'ER EL'!F10</f>
        <v>-1.0494105232025355E-3</v>
      </c>
      <c r="G10" s="34">
        <f>Prob!G10*'ER EL'!G10</f>
        <v>-7.7147742501191261E-4</v>
      </c>
      <c r="H10" s="34">
        <f>Prob!H10*'ER EL'!H10</f>
        <v>-1.3563350037516613E-3</v>
      </c>
      <c r="I10" s="34">
        <f>Prob!I10*'ER EL'!I10</f>
        <v>-1.7305631635594024E-3</v>
      </c>
      <c r="J10" s="34">
        <f>Prob!J10*'ER EL'!J10</f>
        <v>-2.1666754340123346E-3</v>
      </c>
      <c r="K10" s="46">
        <f>Prob!K10*'ER EL'!K10</f>
        <v>-9.8983872765952205E-3</v>
      </c>
      <c r="L10" s="46">
        <f t="shared" si="0"/>
        <v>-2.3447117520273321E-2</v>
      </c>
    </row>
    <row r="11" spans="1:12">
      <c r="A11" s="45">
        <v>13</v>
      </c>
      <c r="B11" s="34">
        <f>Prob!B11*'ER EL'!B11</f>
        <v>-2.2226913729172723E-3</v>
      </c>
      <c r="C11" s="34">
        <f>Prob!C11*'ER EL'!C11</f>
        <v>-1.8259536694420265E-3</v>
      </c>
      <c r="D11" s="34">
        <f>Prob!D11*'ER EL'!D11</f>
        <v>-1.5716435289442031E-3</v>
      </c>
      <c r="E11" s="34">
        <f>Prob!E11*'ER EL'!E11</f>
        <v>-1.3117412859184189E-3</v>
      </c>
      <c r="F11" s="34">
        <f>Prob!F11*'ER EL'!F11</f>
        <v>-1.0494105232025355E-3</v>
      </c>
      <c r="G11" s="34">
        <f>Prob!G11*'ER EL'!G11</f>
        <v>-7.7147742501191261E-4</v>
      </c>
      <c r="H11" s="34">
        <f>Prob!H11*'ER EL'!H11</f>
        <v>-1.7146200676946227E-3</v>
      </c>
      <c r="I11" s="34">
        <f>Prob!I11*'ER EL'!I11</f>
        <v>-2.0621176446589534E-3</v>
      </c>
      <c r="J11" s="34">
        <f>Prob!J11*'ER EL'!J11</f>
        <v>-2.4670790386509623E-3</v>
      </c>
      <c r="K11" s="46">
        <f>Prob!K11*'ER EL'!K11</f>
        <v>-1.0871973037881E-2</v>
      </c>
      <c r="L11" s="46">
        <f t="shared" si="0"/>
        <v>-2.5868707594321905E-2</v>
      </c>
    </row>
    <row r="12" spans="1:12">
      <c r="A12" s="45">
        <v>14</v>
      </c>
      <c r="B12" s="34">
        <f>Prob!B12*'ER EL'!B12</f>
        <v>-2.0391794746323255E-3</v>
      </c>
      <c r="C12" s="34">
        <f>Prob!C12*'ER EL'!C12</f>
        <v>-1.5651031452360226E-3</v>
      </c>
      <c r="D12" s="34">
        <f>Prob!D12*'ER EL'!D12</f>
        <v>-1.3471230248093169E-3</v>
      </c>
      <c r="E12" s="34">
        <f>Prob!E12*'ER EL'!E12</f>
        <v>-1.124349673644359E-3</v>
      </c>
      <c r="F12" s="34">
        <f>Prob!F12*'ER EL'!F12</f>
        <v>-8.9949473417360183E-4</v>
      </c>
      <c r="G12" s="34">
        <f>Prob!G12*'ER EL'!G12</f>
        <v>-6.61266364295925E-4</v>
      </c>
      <c r="H12" s="34">
        <f>Prob!H12*'ER EL'!H12</f>
        <v>-1.7548400068765231E-3</v>
      </c>
      <c r="I12" s="34">
        <f>Prob!I12*'ER EL'!I12</f>
        <v>-2.0314197109909905E-3</v>
      </c>
      <c r="J12" s="34">
        <f>Prob!J12*'ER EL'!J12</f>
        <v>-2.3537359225356508E-3</v>
      </c>
      <c r="K12" s="46">
        <f>Prob!K12*'ER EL'!K12</f>
        <v>-1.0093728822064232E-2</v>
      </c>
      <c r="L12" s="46">
        <f t="shared" si="0"/>
        <v>-2.3870240879258948E-2</v>
      </c>
    </row>
    <row r="13" spans="1:12">
      <c r="A13" s="45">
        <v>15</v>
      </c>
      <c r="B13" s="34">
        <f>Prob!B13*'ER EL'!B13</f>
        <v>-2.1636223838567576E-3</v>
      </c>
      <c r="C13" s="34">
        <f>Prob!C13*'ER EL'!C13</f>
        <v>-1.5651031452360226E-3</v>
      </c>
      <c r="D13" s="34">
        <f>Prob!D13*'ER EL'!D13</f>
        <v>-1.3471230248093169E-3</v>
      </c>
      <c r="E13" s="34">
        <f>Prob!E13*'ER EL'!E13</f>
        <v>-1.124349673644359E-3</v>
      </c>
      <c r="F13" s="34">
        <f>Prob!F13*'ER EL'!F13</f>
        <v>-8.9949473417360183E-4</v>
      </c>
      <c r="G13" s="34">
        <f>Prob!G13*'ER EL'!G13</f>
        <v>-6.61266364295925E-4</v>
      </c>
      <c r="H13" s="34">
        <f>Prob!H13*'ER EL'!H13</f>
        <v>-2.0196366940763502E-3</v>
      </c>
      <c r="I13" s="34">
        <f>Prob!I13*'ER EL'!I13</f>
        <v>-2.276460705039784E-3</v>
      </c>
      <c r="J13" s="34">
        <f>Prob!J13*'ER EL'!J13</f>
        <v>-2.5757543300455399E-3</v>
      </c>
      <c r="K13" s="46">
        <f>Prob!K13*'ER EL'!K13</f>
        <v>-1.0813273983830836E-2</v>
      </c>
      <c r="L13" s="46">
        <f t="shared" si="0"/>
        <v>-2.5446085039008491E-2</v>
      </c>
    </row>
    <row r="14" spans="1:12">
      <c r="A14" s="45">
        <v>16</v>
      </c>
      <c r="B14" s="34">
        <f>Prob!B14*'ER EL'!B14</f>
        <v>-1.8143750642069308E-3</v>
      </c>
      <c r="C14" s="34">
        <f>Prob!C14*'ER EL'!C14</f>
        <v>-1.3042526210300187E-3</v>
      </c>
      <c r="D14" s="34">
        <f>Prob!D14*'ER EL'!D14</f>
        <v>-1.1226025206744305E-3</v>
      </c>
      <c r="E14" s="34">
        <f>Prob!E14*'ER EL'!E14</f>
        <v>-9.3695806137029914E-4</v>
      </c>
      <c r="F14" s="34">
        <f>Prob!F14*'ER EL'!F14</f>
        <v>-7.4957894514466814E-4</v>
      </c>
      <c r="G14" s="34">
        <f>Prob!G14*'ER EL'!G14</f>
        <v>-5.510553035799375E-4</v>
      </c>
      <c r="H14" s="34">
        <f>Prob!H14*'ER EL'!H14</f>
        <v>-1.887932776825396E-3</v>
      </c>
      <c r="I14" s="34">
        <f>Prob!I14*'ER EL'!I14</f>
        <v>-2.0866656424518627E-3</v>
      </c>
      <c r="J14" s="34">
        <f>Prob!J14*'ER EL'!J14</f>
        <v>-2.3182618998967928E-3</v>
      </c>
      <c r="K14" s="46">
        <f>Prob!K14*'ER EL'!K14</f>
        <v>-9.5678525521784227E-3</v>
      </c>
      <c r="L14" s="46">
        <f t="shared" si="0"/>
        <v>-2.2339535387358757E-2</v>
      </c>
    </row>
    <row r="15" spans="1:12">
      <c r="A15" s="45">
        <v>17</v>
      </c>
      <c r="B15" s="34">
        <f>Prob!B15*'ER EL'!B15</f>
        <v>-1.4632602409502076E-3</v>
      </c>
      <c r="C15" s="34">
        <f>Prob!C15*'ER EL'!C15</f>
        <v>-7.1192634618601669E-4</v>
      </c>
      <c r="D15" s="34">
        <f>Prob!D15*'ER EL'!D15</f>
        <v>-5.4760010347526587E-4</v>
      </c>
      <c r="E15" s="34">
        <f>Prob!E15*'ER EL'!E15</f>
        <v>-3.7980907115244065E-4</v>
      </c>
      <c r="F15" s="34">
        <f>Prob!F15*'ER EL'!F15</f>
        <v>-2.1084913391701397E-4</v>
      </c>
      <c r="G15" s="34">
        <f>Prob!G15*'ER EL'!G15</f>
        <v>-2.8353064920454948E-5</v>
      </c>
      <c r="H15" s="34">
        <f>Prob!H15*'ER EL'!H15</f>
        <v>-4.8615834994399044E-4</v>
      </c>
      <c r="I15" s="34">
        <f>Prob!I15*'ER EL'!I15</f>
        <v>-1.7385114749587944E-3</v>
      </c>
      <c r="J15" s="34">
        <f>Prob!J15*'ER EL'!J15</f>
        <v>-1.9260548003878807E-3</v>
      </c>
      <c r="K15" s="46">
        <f>Prob!K15*'ER EL'!K15</f>
        <v>-7.8040546184011093E-3</v>
      </c>
      <c r="L15" s="46">
        <f t="shared" si="0"/>
        <v>-1.5296577204293175E-2</v>
      </c>
    </row>
    <row r="16" spans="1:12">
      <c r="A16" s="45">
        <v>18</v>
      </c>
      <c r="B16" s="34">
        <f>Prob!B16*'ER EL'!B16</f>
        <v>-6.0882447554940974E-4</v>
      </c>
      <c r="C16" s="34">
        <f>Prob!C16*'ER EL'!C16</f>
        <v>4.0152954261577769E-4</v>
      </c>
      <c r="D16" s="34">
        <f>Prob!D16*'ER EL'!D16</f>
        <v>5.0242074478857928E-4</v>
      </c>
      <c r="E16" s="34">
        <f>Prob!E16*'ER EL'!E16</f>
        <v>6.0544015483869563E-4</v>
      </c>
      <c r="F16" s="34">
        <f>Prob!F16*'ER EL'!F16</f>
        <v>7.0986248771327538E-4</v>
      </c>
      <c r="G16" s="34">
        <f>Prob!G16*'ER EL'!G16</f>
        <v>8.1364112991880774E-4</v>
      </c>
      <c r="H16" s="34">
        <f>Prob!H16*'ER EL'!H16</f>
        <v>1.4549082106019185E-3</v>
      </c>
      <c r="I16" s="34">
        <f>Prob!I16*'ER EL'!I16</f>
        <v>3.8580372733408683E-4</v>
      </c>
      <c r="J16" s="34">
        <f>Prob!J16*'ER EL'!J16</f>
        <v>-6.6695805798246089E-4</v>
      </c>
      <c r="K16" s="46">
        <f>Prob!K16*'ER EL'!K16</f>
        <v>-3.2470638695968525E-3</v>
      </c>
      <c r="L16" s="46">
        <f t="shared" si="0"/>
        <v>3.5075959468241743E-4</v>
      </c>
    </row>
    <row r="17" spans="1:12">
      <c r="A17" s="45">
        <v>19</v>
      </c>
      <c r="B17" s="34">
        <f>Prob!B17*'ER EL'!B17</f>
        <v>-4.7040758338653121E-5</v>
      </c>
      <c r="C17" s="34">
        <f>Prob!C17*'ER EL'!C17</f>
        <v>1.3768247840530495E-3</v>
      </c>
      <c r="D17" s="34">
        <f>Prob!D17*'ER EL'!D17</f>
        <v>1.4455695049954262E-3</v>
      </c>
      <c r="E17" s="34">
        <f>Prob!E17*'ER EL'!E17</f>
        <v>1.5160024971287772E-3</v>
      </c>
      <c r="F17" s="34">
        <f>Prob!F17*'ER EL'!F17</f>
        <v>1.588404282560162E-3</v>
      </c>
      <c r="G17" s="34">
        <f>Prob!G17*'ER EL'!G17</f>
        <v>1.6499647117739801E-3</v>
      </c>
      <c r="H17" s="34">
        <f>Prob!H17*'ER EL'!H17</f>
        <v>2.2429731297348441E-3</v>
      </c>
      <c r="I17" s="34">
        <f>Prob!I17*'ER EL'!I17</f>
        <v>2.1624166346352102E-3</v>
      </c>
      <c r="J17" s="34">
        <f>Prob!J17*'ER EL'!J17</f>
        <v>1.0472344362952443E-3</v>
      </c>
      <c r="K17" s="46">
        <f>Prob!K17*'ER EL'!K17</f>
        <v>-2.5088404447281648E-4</v>
      </c>
      <c r="L17" s="46">
        <f t="shared" si="0"/>
        <v>1.2731465178365224E-2</v>
      </c>
    </row>
    <row r="18" spans="1:12">
      <c r="A18" s="45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7">
        <v>10</v>
      </c>
      <c r="L18" s="47" t="s">
        <v>2</v>
      </c>
    </row>
    <row r="19" spans="1:12">
      <c r="A19" s="45">
        <v>13</v>
      </c>
      <c r="B19" s="34">
        <f>Prob!B19*'ER EL'!B19</f>
        <v>-1.4792871413606267E-4</v>
      </c>
      <c r="C19" s="34">
        <f>Prob!C19*'ER EL'!C19</f>
        <v>4.243178521345515E-5</v>
      </c>
      <c r="D19" s="34">
        <f>Prob!D19*'ER EL'!D19</f>
        <v>6.745241921543334E-5</v>
      </c>
      <c r="E19" s="34">
        <f>Prob!E19*'ER EL'!E19</f>
        <v>9.3788867734179599E-5</v>
      </c>
      <c r="F19" s="34">
        <f>Prob!F19*'ER EL'!F19</f>
        <v>1.2164544093421533E-4</v>
      </c>
      <c r="G19" s="34">
        <f>Prob!G19*'ER EL'!G19</f>
        <v>1.5032756506916273E-4</v>
      </c>
      <c r="H19" s="34">
        <f>Prob!H19*'ER EL'!H19</f>
        <v>1.114116478643532E-4</v>
      </c>
      <c r="I19" s="34">
        <f>Prob!I19*'ER EL'!I19</f>
        <v>4.920989549049735E-5</v>
      </c>
      <c r="J19" s="34">
        <f>Prob!J19*'ER EL'!J19</f>
        <v>-3.4314691058242955E-5</v>
      </c>
      <c r="K19" s="46">
        <f>Prob!K19*'ER EL'!K19</f>
        <v>-5.405064009499764E-4</v>
      </c>
      <c r="L19" s="46">
        <f t="shared" si="0"/>
        <v>-8.6482184622985279E-5</v>
      </c>
    </row>
    <row r="20" spans="1:12">
      <c r="A20" s="45">
        <v>14</v>
      </c>
      <c r="B20" s="34">
        <f>Prob!B20*'ER EL'!B20</f>
        <v>-1.6642458927803474E-4</v>
      </c>
      <c r="C20" s="34">
        <f>Prob!C20*'ER EL'!C20</f>
        <v>2.0768763112065243E-5</v>
      </c>
      <c r="D20" s="34">
        <f>Prob!D20*'ER EL'!D20</f>
        <v>4.6597210404696237E-5</v>
      </c>
      <c r="E20" s="34">
        <f>Prob!E20*'ER EL'!E20</f>
        <v>7.3704547733591065E-5</v>
      </c>
      <c r="F20" s="34">
        <f>Prob!F20*'ER EL'!F20</f>
        <v>1.0224821022256184E-4</v>
      </c>
      <c r="G20" s="34">
        <f>Prob!G20*'ER EL'!G20</f>
        <v>1.3171766322736626E-4</v>
      </c>
      <c r="H20" s="34">
        <f>Prob!H20*'ER EL'!H20</f>
        <v>7.2378232584859498E-5</v>
      </c>
      <c r="I20" s="34">
        <f>Prob!I20*'ER EL'!I20</f>
        <v>1.2086681350212545E-5</v>
      </c>
      <c r="J20" s="34">
        <f>Prob!J20*'ER EL'!J20</f>
        <v>-6.8423476961023064E-5</v>
      </c>
      <c r="K20" s="46">
        <f>Prob!K20*'ER EL'!K20</f>
        <v>-6.4973705315412862E-4</v>
      </c>
      <c r="L20" s="46">
        <f t="shared" si="0"/>
        <v>-4.2508381075783368E-4</v>
      </c>
    </row>
    <row r="21" spans="1:12">
      <c r="A21" s="45">
        <v>15</v>
      </c>
      <c r="B21" s="34">
        <f>Prob!B21*'ER EL'!B21</f>
        <v>-1.8473891756210431E-4</v>
      </c>
      <c r="C21" s="34">
        <f>Prob!C21*'ER EL'!C21</f>
        <v>6.5309973220317157E-7</v>
      </c>
      <c r="D21" s="34">
        <f>Prob!D21*'ER EL'!D21</f>
        <v>2.7231659366154616E-5</v>
      </c>
      <c r="E21" s="34">
        <f>Prob!E21*'ER EL'!E21</f>
        <v>5.505482201875888E-5</v>
      </c>
      <c r="F21" s="34">
        <f>Prob!F21*'ER EL'!F21</f>
        <v>8.4236495990312174E-5</v>
      </c>
      <c r="G21" s="34">
        <f>Prob!G21*'ER EL'!G21</f>
        <v>1.1443704008855527E-4</v>
      </c>
      <c r="H21" s="34">
        <f>Prob!H21*'ER EL'!H21</f>
        <v>3.3708040308847741E-5</v>
      </c>
      <c r="I21" s="34">
        <f>Prob!I21*'ER EL'!I21</f>
        <v>-2.4628839784161744E-5</v>
      </c>
      <c r="J21" s="34">
        <f>Prob!J21*'ER EL'!J21</f>
        <v>-1.0212905661351197E-4</v>
      </c>
      <c r="K21" s="46">
        <f>Prob!K21*'ER EL'!K21</f>
        <v>-7.5775475732324624E-4</v>
      </c>
      <c r="L21" s="46">
        <f t="shared" si="0"/>
        <v>-7.5393041377819236E-4</v>
      </c>
    </row>
    <row r="22" spans="1:12">
      <c r="A22" s="45">
        <v>16</v>
      </c>
      <c r="B22" s="34">
        <f>Prob!B22*'ER EL'!B22</f>
        <v>-1.9794962769603732E-4</v>
      </c>
      <c r="C22" s="34">
        <f>Prob!C22*'ER EL'!C22</f>
        <v>-1.8025730549097322E-5</v>
      </c>
      <c r="D22" s="34">
        <f>Prob!D22*'ER EL'!D22</f>
        <v>9.2493619732231364E-6</v>
      </c>
      <c r="E22" s="34">
        <f>Prob!E22*'ER EL'!E22</f>
        <v>3.7737219569271789E-5</v>
      </c>
      <c r="F22" s="34">
        <f>Prob!F22*'ER EL'!F22</f>
        <v>6.7511332774651745E-5</v>
      </c>
      <c r="G22" s="34">
        <f>Prob!G22*'ER EL'!G22</f>
        <v>9.8390747173945068E-5</v>
      </c>
      <c r="H22" s="34">
        <f>Prob!H22*'ER EL'!H22</f>
        <v>-4.4516678862229355E-6</v>
      </c>
      <c r="I22" s="34">
        <f>Prob!I22*'ER EL'!I22</f>
        <v>-6.0805505616835785E-5</v>
      </c>
      <c r="J22" s="34">
        <f>Prob!J22*'ER EL'!J22</f>
        <v>-1.3531500649073712E-4</v>
      </c>
      <c r="K22" s="46">
        <f>Prob!K22*'ER EL'!K22</f>
        <v>-8.6417549250210877E-4</v>
      </c>
      <c r="L22" s="46">
        <f t="shared" si="0"/>
        <v>-1.0678343692499476E-3</v>
      </c>
    </row>
    <row r="23" spans="1:12">
      <c r="A23" s="45">
        <v>17</v>
      </c>
      <c r="B23" s="34">
        <f>Prob!B23*'ER EL'!B23</f>
        <v>-1.8966630816317804E-4</v>
      </c>
      <c r="C23" s="34">
        <f>Prob!C23*'ER EL'!C23</f>
        <v>-1.5231429620762296E-6</v>
      </c>
      <c r="D23" s="34">
        <f>Prob!D23*'ER EL'!D23</f>
        <v>2.5408795376881878E-5</v>
      </c>
      <c r="E23" s="34">
        <f>Prob!E23*'ER EL'!E23</f>
        <v>5.3493673878625723E-5</v>
      </c>
      <c r="F23" s="34">
        <f>Prob!F23*'ER EL'!F23</f>
        <v>8.2765384715975885E-5</v>
      </c>
      <c r="G23" s="34">
        <f>Prob!G23*'ER EL'!G23</f>
        <v>1.1335931739092032E-4</v>
      </c>
      <c r="H23" s="34">
        <f>Prob!H23*'ER EL'!H23</f>
        <v>4.8997235972796233E-5</v>
      </c>
      <c r="I23" s="34">
        <f>Prob!I23*'ER EL'!I23</f>
        <v>-6.6377240536770221E-5</v>
      </c>
      <c r="J23" s="34">
        <f>Prob!J23*'ER EL'!J23</f>
        <v>-1.3635584176798656E-4</v>
      </c>
      <c r="K23" s="46">
        <f>Prob!K23*'ER EL'!K23</f>
        <v>-8.3834382613866049E-4</v>
      </c>
      <c r="L23" s="46">
        <f t="shared" si="0"/>
        <v>-9.082419522334715E-4</v>
      </c>
    </row>
    <row r="24" spans="1:12">
      <c r="A24" s="45">
        <v>18</v>
      </c>
      <c r="B24" s="34">
        <f>Prob!B24*'ER EL'!B24</f>
        <v>-1.5220611888735244E-4</v>
      </c>
      <c r="C24" s="34">
        <f>Prob!C24*'ER EL'!C24</f>
        <v>1.0038238565394442E-4</v>
      </c>
      <c r="D24" s="34">
        <f>Prob!D24*'ER EL'!D24</f>
        <v>1.2560518619714482E-4</v>
      </c>
      <c r="E24" s="34">
        <f>Prob!E24*'ER EL'!E24</f>
        <v>1.5136003870967391E-4</v>
      </c>
      <c r="F24" s="34">
        <f>Prob!F24*'ER EL'!F24</f>
        <v>1.7746562192831884E-4</v>
      </c>
      <c r="G24" s="34">
        <f>Prob!G24*'ER EL'!G24</f>
        <v>2.0341028247970193E-4</v>
      </c>
      <c r="H24" s="34">
        <f>Prob!H24*'ER EL'!H24</f>
        <v>3.6372705265047962E-4</v>
      </c>
      <c r="I24" s="34">
        <f>Prob!I24*'ER EL'!I24</f>
        <v>9.6450931833521708E-5</v>
      </c>
      <c r="J24" s="34">
        <f>Prob!J24*'ER EL'!J24</f>
        <v>-9.171079433811128E-5</v>
      </c>
      <c r="K24" s="46">
        <f>Prob!K24*'ER EL'!K24</f>
        <v>-6.7593577416848378E-4</v>
      </c>
      <c r="L24" s="46">
        <f t="shared" si="0"/>
        <v>2.9854881205883764E-4</v>
      </c>
    </row>
    <row r="25" spans="1:12">
      <c r="A25" s="45">
        <v>19</v>
      </c>
      <c r="B25" s="34">
        <f>Prob!B25*'ER EL'!B25</f>
        <v>-1.176018958466328E-5</v>
      </c>
      <c r="C25" s="34">
        <f>Prob!C25*'ER EL'!C25</f>
        <v>3.4420619601326237E-4</v>
      </c>
      <c r="D25" s="34">
        <f>Prob!D25*'ER EL'!D25</f>
        <v>3.6139237624885655E-4</v>
      </c>
      <c r="E25" s="34">
        <f>Prob!E25*'ER EL'!E25</f>
        <v>3.790006242821943E-4</v>
      </c>
      <c r="F25" s="34">
        <f>Prob!F25*'ER EL'!F25</f>
        <v>3.9710107064004049E-4</v>
      </c>
      <c r="G25" s="34">
        <f>Prob!G25*'ER EL'!G25</f>
        <v>4.1971638444072653E-4</v>
      </c>
      <c r="H25" s="34">
        <f>Prob!H25*'ER EL'!H25</f>
        <v>5.6074328243371102E-4</v>
      </c>
      <c r="I25" s="34">
        <f>Prob!I25*'ER EL'!I25</f>
        <v>5.4060415865880254E-4</v>
      </c>
      <c r="J25" s="34">
        <f>Prob!J25*'ER EL'!J25</f>
        <v>2.6180860907381106E-4</v>
      </c>
      <c r="K25" s="46">
        <f>Prob!K25*'ER EL'!K25</f>
        <v>-6.272101111820412E-5</v>
      </c>
      <c r="L25" s="46">
        <f t="shared" si="0"/>
        <v>3.1900915010885374E-3</v>
      </c>
    </row>
    <row r="26" spans="1:12">
      <c r="A26" s="45">
        <v>20</v>
      </c>
      <c r="B26" s="34">
        <f>Prob!B26*'ER EL'!B26</f>
        <v>1.2868573971802589E-4</v>
      </c>
      <c r="C26" s="34">
        <f>Prob!C26*'ER EL'!C26</f>
        <v>5.7812477687467099E-4</v>
      </c>
      <c r="D26" s="34">
        <f>Prob!D26*'ER EL'!D26</f>
        <v>5.8793631996217281E-4</v>
      </c>
      <c r="E26" s="34">
        <f>Prob!E26*'ER EL'!E26</f>
        <v>5.9803542878103608E-4</v>
      </c>
      <c r="F26" s="34">
        <f>Prob!F26*'ER EL'!F26</f>
        <v>6.0844947091044199E-4</v>
      </c>
      <c r="G26" s="34">
        <f>Prob!G26*'ER EL'!G26</f>
        <v>6.1742854918662787E-4</v>
      </c>
      <c r="H26" s="34">
        <f>Prob!H26*'ER EL'!H26</f>
        <v>7.0389369734836138E-4</v>
      </c>
      <c r="I26" s="34">
        <f>Prob!I26*'ER EL'!I26</f>
        <v>7.2081489262803688E-4</v>
      </c>
      <c r="J26" s="34">
        <f>Prob!J26*'ER EL'!J26</f>
        <v>6.9035673264323746E-4</v>
      </c>
      <c r="K26" s="46">
        <f>Prob!K26*'ER EL'!K26</f>
        <v>1.4619916792703695E-3</v>
      </c>
      <c r="L26" s="46">
        <f t="shared" si="0"/>
        <v>6.6957172873229808E-3</v>
      </c>
    </row>
    <row r="27" spans="1:12">
      <c r="A27" s="45">
        <v>21</v>
      </c>
      <c r="B27" s="34">
        <f>Prob!B27*'ER EL'!B27</f>
        <v>3.781380203774378E-3</v>
      </c>
      <c r="C27" s="34">
        <f>Prob!C27*'ER EL'!C27</f>
        <v>5.461993627674102E-3</v>
      </c>
      <c r="D27" s="34">
        <f>Prob!D27*'ER EL'!D27</f>
        <v>5.461993627674102E-3</v>
      </c>
      <c r="E27" s="34">
        <f>Prob!E27*'ER EL'!E27</f>
        <v>5.461993627674102E-3</v>
      </c>
      <c r="F27" s="34">
        <f>Prob!F27*'ER EL'!F27</f>
        <v>5.461993627674102E-3</v>
      </c>
      <c r="G27" s="34">
        <f>Prob!G27*'ER EL'!G27</f>
        <v>5.461993627674102E-3</v>
      </c>
      <c r="H27" s="34">
        <f>Prob!H27*'ER EL'!H27</f>
        <v>5.461993627674102E-3</v>
      </c>
      <c r="I27" s="34">
        <f>Prob!I27*'ER EL'!I27</f>
        <v>5.461993627674102E-3</v>
      </c>
      <c r="J27" s="34">
        <f>Prob!J27*'ER EL'!J27</f>
        <v>5.461993627674102E-3</v>
      </c>
      <c r="K27" s="46">
        <f>Prob!K27*'ER EL'!K27</f>
        <v>2.0167361086796686E-2</v>
      </c>
      <c r="L27" s="46">
        <f t="shared" si="0"/>
        <v>6.7644690311963893E-2</v>
      </c>
    </row>
    <row r="28" spans="1:12">
      <c r="A28" s="45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7">
        <v>10</v>
      </c>
      <c r="L28" s="47" t="s">
        <v>2</v>
      </c>
    </row>
    <row r="29" spans="1:12">
      <c r="A29" s="45" t="s">
        <v>1</v>
      </c>
      <c r="B29" s="34">
        <f>Prob!B29*'ER EL'!B29</f>
        <v>-3.7233092652879131E-5</v>
      </c>
      <c r="C29" s="34">
        <f>Prob!C29*'ER EL'!C29</f>
        <v>2.1398337734083908E-4</v>
      </c>
      <c r="D29" s="34">
        <f>Prob!D29*'ER EL'!D29</f>
        <v>2.3547011367300072E-4</v>
      </c>
      <c r="E29" s="34">
        <f>Prob!E29*'ER EL'!E29</f>
        <v>2.5744493568754205E-4</v>
      </c>
      <c r="F29" s="34">
        <f>Prob!F29*'ER EL'!F29</f>
        <v>2.7969505784456843E-4</v>
      </c>
      <c r="G29" s="34">
        <f>Prob!G29*'ER EL'!G29</f>
        <v>3.0253227546150457E-4</v>
      </c>
      <c r="H29" s="34">
        <f>Prob!H29*'ER EL'!H29</f>
        <v>2.1069137408479333E-4</v>
      </c>
      <c r="I29" s="34">
        <f>Prob!I29*'ER EL'!I29</f>
        <v>1.5962339138384852E-4</v>
      </c>
      <c r="J29" s="34">
        <f>Prob!J29*'ER EL'!J29</f>
        <v>1.0367930047904183E-4</v>
      </c>
      <c r="K29" s="46">
        <f>Prob!K29*'ER EL'!K29</f>
        <v>9.9757249738836165E-5</v>
      </c>
      <c r="L29" s="46">
        <f t="shared" si="0"/>
        <v>1.8256439830410956E-3</v>
      </c>
    </row>
    <row r="30" spans="1:12">
      <c r="A30" s="45">
        <v>2</v>
      </c>
      <c r="B30" s="34">
        <f>Prob!B30*'ER EL'!B30</f>
        <v>-1.2144069743887804E-4</v>
      </c>
      <c r="C30" s="34">
        <f>Prob!C30*'ER EL'!C30</f>
        <v>-5.1367973468929081E-5</v>
      </c>
      <c r="D30" s="34">
        <f>Prob!D30*'ER EL'!D30</f>
        <v>-3.6759923774845394E-5</v>
      </c>
      <c r="E30" s="34">
        <f>Prob!E30*'ER EL'!E30</f>
        <v>-1.8352489482664626E-5</v>
      </c>
      <c r="F30" s="34">
        <f>Prob!F30*'ER EL'!F30</f>
        <v>1.3349297978651374E-5</v>
      </c>
      <c r="G30" s="34">
        <f>Prob!G30*'ER EL'!G30</f>
        <v>4.6452109265586259E-5</v>
      </c>
      <c r="H30" s="34">
        <f>Prob!H30*'ER EL'!H30</f>
        <v>-2.4812946177389394E-5</v>
      </c>
      <c r="I30" s="34">
        <f>Prob!I30*'ER EL'!I30</f>
        <v>-7.2523510541741069E-5</v>
      </c>
      <c r="J30" s="34">
        <f>Prob!J30*'ER EL'!J30</f>
        <v>-1.0954309474436299E-4</v>
      </c>
      <c r="K30" s="46">
        <f>Prob!K30*'ER EL'!K30</f>
        <v>-5.6317333039629315E-4</v>
      </c>
      <c r="L30" s="46">
        <f t="shared" si="0"/>
        <v>-9.3817255878086612E-4</v>
      </c>
    </row>
    <row r="31" spans="1:12">
      <c r="A31" s="45">
        <v>3</v>
      </c>
      <c r="B31" s="34">
        <f>Prob!B31*'ER EL'!B31</f>
        <v>-1.3224964571405403E-4</v>
      </c>
      <c r="C31" s="34">
        <f>Prob!C31*'ER EL'!C31</f>
        <v>-6.2846167178576024E-5</v>
      </c>
      <c r="D31" s="34">
        <f>Prob!D31*'ER EL'!D31</f>
        <v>-4.7735112124486958E-5</v>
      </c>
      <c r="E31" s="34">
        <f>Prob!E31*'ER EL'!E31</f>
        <v>-3.1023663728702585E-5</v>
      </c>
      <c r="F31" s="34">
        <f>Prob!F31*'ER EL'!F31</f>
        <v>1.1110164235994289E-6</v>
      </c>
      <c r="G31" s="34">
        <f>Prob!G31*'ER EL'!G31</f>
        <v>3.4708903655541428E-5</v>
      </c>
      <c r="H31" s="34">
        <f>Prob!H31*'ER EL'!H31</f>
        <v>-5.228729043273252E-5</v>
      </c>
      <c r="I31" s="34">
        <f>Prob!I31*'ER EL'!I31</f>
        <v>-9.8881147619838314E-5</v>
      </c>
      <c r="J31" s="34">
        <f>Prob!J31*'ER EL'!J31</f>
        <v>-1.3320013663983889E-4</v>
      </c>
      <c r="K31" s="46">
        <f>Prob!K31*'ER EL'!K31</f>
        <v>-6.3948628514614257E-4</v>
      </c>
      <c r="L31" s="46">
        <f t="shared" si="0"/>
        <v>-1.161889528505231E-3</v>
      </c>
    </row>
    <row r="32" spans="1:12">
      <c r="A32" s="45">
        <v>4</v>
      </c>
      <c r="B32" s="34">
        <f>Prob!B32*'ER EL'!B32</f>
        <v>-1.0409520014412331E-4</v>
      </c>
      <c r="C32" s="34">
        <f>Prob!C32*'ER EL'!C32</f>
        <v>-1.1154679239834978E-5</v>
      </c>
      <c r="D32" s="34">
        <f>Prob!D32*'ER EL'!D32</f>
        <v>2.5343335800606229E-6</v>
      </c>
      <c r="E32" s="34">
        <f>Prob!E32*'ER EL'!E32</f>
        <v>1.6846051476793159E-5</v>
      </c>
      <c r="F32" s="34">
        <f>Prob!F32*'ER EL'!F32</f>
        <v>3.1839159378392887E-5</v>
      </c>
      <c r="G32" s="34">
        <f>Prob!G32*'ER EL'!G32</f>
        <v>4.7272696096068771E-5</v>
      </c>
      <c r="H32" s="34">
        <f>Prob!H32*'ER EL'!H32</f>
        <v>3.7418042496014052E-5</v>
      </c>
      <c r="I32" s="34">
        <f>Prob!I32*'ER EL'!I32</f>
        <v>-2.7263666663020618E-5</v>
      </c>
      <c r="J32" s="34">
        <f>Prob!J32*'ER EL'!J32</f>
        <v>-9.5669700499871469E-5</v>
      </c>
      <c r="K32" s="46">
        <f>Prob!K32*'ER EL'!K32</f>
        <v>-5.0717112617678164E-4</v>
      </c>
      <c r="L32" s="46">
        <f t="shared" si="0"/>
        <v>-6.0944408969630247E-4</v>
      </c>
    </row>
    <row r="33" spans="1:12">
      <c r="A33" s="45">
        <v>5</v>
      </c>
      <c r="B33" s="34">
        <f>Prob!B33*'ER EL'!B33</f>
        <v>-4.6217255476812023E-5</v>
      </c>
      <c r="C33" s="34">
        <f>Prob!C33*'ER EL'!C33</f>
        <v>1.6245206986059479E-4</v>
      </c>
      <c r="D33" s="34">
        <f>Prob!D33*'ER EL'!D33</f>
        <v>1.85476564238676E-4</v>
      </c>
      <c r="E33" s="34">
        <f>Prob!E33*'ER EL'!E33</f>
        <v>2.0903149918897749E-4</v>
      </c>
      <c r="F33" s="34">
        <f>Prob!F33*'ER EL'!F33</f>
        <v>2.3290829956840162E-4</v>
      </c>
      <c r="G33" s="34">
        <f>Prob!G33*'ER EL'!G33</f>
        <v>2.5715143173800923E-4</v>
      </c>
      <c r="H33" s="34">
        <f>Prob!H33*'ER EL'!H33</f>
        <v>1.7861286084771861E-4</v>
      </c>
      <c r="I33" s="34">
        <f>Prob!I33*'ER EL'!I33</f>
        <v>1.3046687159139E-4</v>
      </c>
      <c r="J33" s="34">
        <f>Prob!J33*'ER EL'!J33</f>
        <v>6.5693385699031059E-5</v>
      </c>
      <c r="K33" s="46">
        <f>Prob!K33*'ER EL'!K33</f>
        <v>-7.5611235545443954E-5</v>
      </c>
      <c r="L33" s="46">
        <f t="shared" si="0"/>
        <v>1.2999644917105427E-3</v>
      </c>
    </row>
    <row r="34" spans="1:12">
      <c r="A34" s="45">
        <v>6</v>
      </c>
      <c r="B34" s="34">
        <f>Prob!B34*'ER EL'!B34</f>
        <v>-1.4673664276431339E-4</v>
      </c>
      <c r="C34" s="34">
        <f>Prob!C34*'ER EL'!C34</f>
        <v>-1.1549907628255174E-4</v>
      </c>
      <c r="D34" s="34">
        <f>Prob!D34*'ER EL'!D34</f>
        <v>-9.5470224248973915E-5</v>
      </c>
      <c r="E34" s="34">
        <f>Prob!E34*'ER EL'!E34</f>
        <v>-6.3794058577411076E-5</v>
      </c>
      <c r="F34" s="34">
        <f>Prob!F34*'ER EL'!F34</f>
        <v>-3.0540618971474345E-5</v>
      </c>
      <c r="G34" s="34">
        <f>Prob!G34*'ER EL'!G34</f>
        <v>4.3391065446657981E-6</v>
      </c>
      <c r="H34" s="34">
        <f>Prob!H34*'ER EL'!H34</f>
        <v>-9.6881071696547228E-5</v>
      </c>
      <c r="I34" s="34">
        <f>Prob!I34*'ER EL'!I34</f>
        <v>-1.2361165453995732E-4</v>
      </c>
      <c r="J34" s="34">
        <f>Prob!J34*'ER EL'!J34</f>
        <v>-1.5476253100088104E-4</v>
      </c>
      <c r="K34" s="46">
        <f>Prob!K34*'ER EL'!K34</f>
        <v>-7.0702766261394434E-4</v>
      </c>
      <c r="L34" s="46">
        <f t="shared" si="0"/>
        <v>-1.5299844341513887E-3</v>
      </c>
    </row>
    <row r="35" spans="1:12">
      <c r="A35" s="45">
        <v>7</v>
      </c>
      <c r="B35" s="34">
        <f>Prob!B35*'ER EL'!B35</f>
        <v>-1.6993162288602714E-4</v>
      </c>
      <c r="C35" s="34">
        <f>Prob!C35*'ER EL'!C35</f>
        <v>-9.9751920298314458E-5</v>
      </c>
      <c r="D35" s="34">
        <f>Prob!D35*'ER EL'!D35</f>
        <v>-7.0038750919390277E-5</v>
      </c>
      <c r="E35" s="34">
        <f>Prob!E35*'ER EL'!E35</f>
        <v>-3.8986224594511929E-5</v>
      </c>
      <c r="F35" s="34">
        <f>Prob!F35*'ER EL'!F35</f>
        <v>-6.5336975554168964E-6</v>
      </c>
      <c r="G35" s="34">
        <f>Prob!G35*'ER EL'!G35</f>
        <v>2.768189909145368E-5</v>
      </c>
      <c r="H35" s="34">
        <f>Prob!H35*'ER EL'!H35</f>
        <v>-6.26379604737622E-5</v>
      </c>
      <c r="I35" s="34">
        <f>Prob!I35*'ER EL'!I35</f>
        <v>-1.6928497591591588E-4</v>
      </c>
      <c r="J35" s="34">
        <f>Prob!J35*'ER EL'!J35</f>
        <v>-1.961446602113042E-4</v>
      </c>
      <c r="K35" s="46">
        <f>Prob!K35*'ER EL'!K35</f>
        <v>-8.4114406850535259E-4</v>
      </c>
      <c r="L35" s="46">
        <f t="shared" si="0"/>
        <v>-1.6267719822685421E-3</v>
      </c>
    </row>
    <row r="36" spans="1:12">
      <c r="A36" s="45">
        <v>8</v>
      </c>
      <c r="B36" s="34">
        <f>Prob!B36*'ER EL'!B36</f>
        <v>-1.8143750642069309E-4</v>
      </c>
      <c r="C36" s="34">
        <f>Prob!C36*'ER EL'!C36</f>
        <v>-2.2309358479669956E-5</v>
      </c>
      <c r="D36" s="34">
        <f>Prob!D36*'ER EL'!D36</f>
        <v>5.0686671601212457E-6</v>
      </c>
      <c r="E36" s="34">
        <f>Prob!E36*'ER EL'!E36</f>
        <v>3.3692102953586318E-5</v>
      </c>
      <c r="F36" s="34">
        <f>Prob!F36*'ER EL'!F36</f>
        <v>6.3678318756785774E-5</v>
      </c>
      <c r="G36" s="34">
        <f>Prob!G36*'ER EL'!G36</f>
        <v>9.4545392192137541E-5</v>
      </c>
      <c r="H36" s="34">
        <f>Prob!H36*'ER EL'!H36</f>
        <v>7.4836084992028104E-5</v>
      </c>
      <c r="I36" s="34">
        <f>Prob!I36*'ER EL'!I36</f>
        <v>-5.4527333326041236E-5</v>
      </c>
      <c r="J36" s="34">
        <f>Prob!J36*'ER EL'!J36</f>
        <v>-1.9133940099974294E-4</v>
      </c>
      <c r="K36" s="46">
        <f>Prob!K36*'ER EL'!K36</f>
        <v>-9.5678525521784245E-4</v>
      </c>
      <c r="L36" s="46">
        <f t="shared" si="0"/>
        <v>-1.1345782883893307E-3</v>
      </c>
    </row>
    <row r="37" spans="1:12">
      <c r="A37" s="45">
        <v>9</v>
      </c>
      <c r="B37" s="34">
        <f>Prob!B37*'ER EL'!B37</f>
        <v>-7.6103059443676218E-5</v>
      </c>
      <c r="C37" s="34">
        <f>Prob!C37*'ER EL'!C37</f>
        <v>6.575585704432701E-5</v>
      </c>
      <c r="D37" s="34">
        <f>Prob!D37*'ER EL'!D37</f>
        <v>9.0371561891800889E-5</v>
      </c>
      <c r="E37" s="34">
        <f>Prob!E37*'ER EL'!E37</f>
        <v>1.1614792497740324E-4</v>
      </c>
      <c r="F37" s="34">
        <f>Prob!F37*'ER EL'!F37</f>
        <v>1.4325120471657079E-4</v>
      </c>
      <c r="G37" s="34">
        <f>Prob!G37*'ER EL'!G37</f>
        <v>1.7050845402598352E-4</v>
      </c>
      <c r="H37" s="34">
        <f>Prob!H37*'ER EL'!H37</f>
        <v>1.8186352632523981E-4</v>
      </c>
      <c r="I37" s="34">
        <f>Prob!I37*'ER EL'!I37</f>
        <v>8.9555045457799355E-5</v>
      </c>
      <c r="J37" s="34">
        <f>Prob!J37*'ER EL'!J37</f>
        <v>-4.7499365919573688E-5</v>
      </c>
      <c r="K37" s="46">
        <f>Prob!K37*'ER EL'!K37</f>
        <v>-4.0588298369960657E-4</v>
      </c>
      <c r="L37" s="46">
        <f t="shared" si="0"/>
        <v>3.2796816537626801E-4</v>
      </c>
    </row>
    <row r="38" spans="1:12" ht="16" thickBot="1">
      <c r="A38" s="67">
        <v>10</v>
      </c>
      <c r="B38" s="68">
        <f>Prob!B38*'ER EL'!B38</f>
        <v>1.0294859177442071E-3</v>
      </c>
      <c r="C38" s="68">
        <f>Prob!C38*'ER EL'!C38</f>
        <v>4.624998214997368E-3</v>
      </c>
      <c r="D38" s="68">
        <f>Prob!D38*'ER EL'!D38</f>
        <v>4.7034905596973825E-3</v>
      </c>
      <c r="E38" s="68">
        <f>Prob!E38*'ER EL'!E38</f>
        <v>4.7842834302482887E-3</v>
      </c>
      <c r="F38" s="68">
        <f>Prob!F38*'ER EL'!F38</f>
        <v>4.8675957672835359E-3</v>
      </c>
      <c r="G38" s="68">
        <f>Prob!G38*'ER EL'!G38</f>
        <v>4.9394283934930229E-3</v>
      </c>
      <c r="H38" s="68">
        <f>Prob!H38*'ER EL'!H38</f>
        <v>5.631149578786891E-3</v>
      </c>
      <c r="I38" s="68">
        <f>Prob!I38*'ER EL'!I38</f>
        <v>5.766519141024295E-3</v>
      </c>
      <c r="J38" s="68">
        <f>Prob!J38*'ER EL'!J38</f>
        <v>5.5228538611458997E-3</v>
      </c>
      <c r="K38" s="145">
        <f>Prob!K38*'ER EL'!K38</f>
        <v>1.1695933434162956E-2</v>
      </c>
      <c r="L38" s="145">
        <f t="shared" si="0"/>
        <v>5.3565738298583847E-2</v>
      </c>
    </row>
    <row r="39" spans="1:12" ht="16" thickBot="1">
      <c r="A39" s="146" t="s">
        <v>2</v>
      </c>
      <c r="B39" s="69">
        <f>SUM(B3:B17,B19:B27,B29:B38)</f>
        <v>-1.1840110332996083E-2</v>
      </c>
      <c r="C39" s="69">
        <f t="shared" ref="C39:K39" si="1">SUM(C3:C17,C19:C27,C29:C38)</f>
        <v>6.8217629898799717E-3</v>
      </c>
      <c r="D39" s="69">
        <f t="shared" si="1"/>
        <v>9.2165412924907278E-3</v>
      </c>
      <c r="E39" s="69">
        <f t="shared" si="1"/>
        <v>1.1779306217034982E-2</v>
      </c>
      <c r="F39" s="69">
        <f t="shared" si="1"/>
        <v>1.4499098204314591E-2</v>
      </c>
      <c r="G39" s="69">
        <f t="shared" si="1"/>
        <v>1.7312420844690889E-2</v>
      </c>
      <c r="H39" s="69">
        <f t="shared" si="1"/>
        <v>1.0912640666032539E-2</v>
      </c>
      <c r="I39" s="69">
        <f t="shared" si="1"/>
        <v>4.418871278493882E-3</v>
      </c>
      <c r="J39" s="69">
        <f t="shared" si="1"/>
        <v>-3.1475527690042445E-3</v>
      </c>
      <c r="K39" s="70">
        <f t="shared" si="1"/>
        <v>-4.6975271445113077E-2</v>
      </c>
      <c r="L39" s="70">
        <f>SUM(L3:L17,L19:L27,L29:L38)</f>
        <v>1.2997706945824201E-2</v>
      </c>
    </row>
    <row r="40" spans="1:1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2">
      <c r="F41" s="357" t="s">
        <v>11</v>
      </c>
      <c r="G41" s="358"/>
      <c r="H41" s="39">
        <f>Blackjack!C3*'ER EL'!C40</f>
        <v>-4.5096460207975919E-2</v>
      </c>
    </row>
    <row r="42" spans="1:12" ht="16" thickBot="1"/>
    <row r="43" spans="1:12">
      <c r="B43" s="362" t="s">
        <v>16</v>
      </c>
      <c r="C43" s="363"/>
      <c r="D43" s="113">
        <f>SUM(B3:K17)</f>
        <v>-0.11160824229288775</v>
      </c>
      <c r="F43" s="142" t="s">
        <v>28</v>
      </c>
      <c r="G43" s="143"/>
      <c r="H43" s="50">
        <f>H41</f>
        <v>-4.5096460207975919E-2</v>
      </c>
      <c r="J43" s="359">
        <f>SUM(D43:D45)</f>
        <v>1.2997706945824153E-2</v>
      </c>
      <c r="K43" s="110" t="s">
        <v>68</v>
      </c>
      <c r="L43" s="113">
        <f>SUMIF($B$3:$K$17,"&gt;0")+SUMIF($B$19:$K$27,"&gt;0")+ SUMIF($B$29:$K$38,"&gt;0")</f>
        <v>0.18421788537581335</v>
      </c>
    </row>
    <row r="44" spans="1:12" ht="16" thickBot="1">
      <c r="B44" s="364" t="s">
        <v>17</v>
      </c>
      <c r="C44" s="365"/>
      <c r="D44" s="144">
        <f>SUM(B19:K27)</f>
        <v>7.4587475181791818E-2</v>
      </c>
      <c r="F44" s="131" t="s">
        <v>114</v>
      </c>
      <c r="G44" s="132"/>
      <c r="H44" s="50">
        <f>IF(Rules!$B$15=Rules!$D$15,'Three 7 Cards'!$D$2,IF(Rules!$B$15=Rules!$E$15,2*'Three 7 Cards'!$D$2,0))</f>
        <v>0</v>
      </c>
      <c r="J44" s="360"/>
      <c r="K44" s="111" t="s">
        <v>69</v>
      </c>
      <c r="L44" s="114">
        <f>SUMIF($B$3:$K$17,"&lt;0")+SUMIF($B$19:$K$27,"&lt;0")+ SUMIF($B$29:$K$38,"&lt;0")+H41</f>
        <v>-0.21631663863796505</v>
      </c>
    </row>
    <row r="45" spans="1:12" ht="16" thickBot="1">
      <c r="B45" s="366" t="s">
        <v>18</v>
      </c>
      <c r="C45" s="367"/>
      <c r="D45" s="114">
        <f>SUM(B29:K38)</f>
        <v>5.0018474056920087E-2</v>
      </c>
      <c r="F45" s="131" t="s">
        <v>111</v>
      </c>
      <c r="G45" s="132"/>
      <c r="H45" s="50">
        <f>IF(Rules!$B$16=Rules!$D$16,'5 Cards'!$G$122,IF(Rules!$B$16=Rules!$E$16,2*'5 Cards'!$G$122,0))</f>
        <v>0</v>
      </c>
      <c r="J45" s="361"/>
      <c r="K45" s="111" t="s">
        <v>2</v>
      </c>
      <c r="L45" s="114">
        <f>L43+L44</f>
        <v>-3.2098753262151697E-2</v>
      </c>
    </row>
    <row r="46" spans="1:12" ht="16" thickBot="1">
      <c r="F46" s="140" t="s">
        <v>19</v>
      </c>
      <c r="G46" s="141"/>
      <c r="H46" s="51">
        <f>SUM(D43:D45,H43:H45)</f>
        <v>-3.2098753262151766E-2</v>
      </c>
    </row>
    <row r="47" spans="1:12" ht="16" thickBot="1">
      <c r="H47" s="92">
        <f>H46</f>
        <v>-3.2098753262151766E-2</v>
      </c>
    </row>
  </sheetData>
  <sheetProtection sheet="1" objects="1" scenarios="1"/>
  <mergeCells count="6">
    <mergeCell ref="A1:L1"/>
    <mergeCell ref="F41:G41"/>
    <mergeCell ref="J43:J45"/>
    <mergeCell ref="B43:C43"/>
    <mergeCell ref="B44:C44"/>
    <mergeCell ref="B45:C45"/>
  </mergeCells>
  <phoneticPr fontId="16" type="noConversion"/>
  <conditionalFormatting sqref="B29:K40 B19:L27 L29:L39 B3:L17">
    <cfRule type="containsText" dxfId="644" priority="15" operator="containsText" text="R">
      <formula>NOT(ISERROR(SEARCH("R",B3)))</formula>
    </cfRule>
    <cfRule type="containsText" dxfId="643" priority="16" operator="containsText" text="D">
      <formula>NOT(ISERROR(SEARCH("D",B3)))</formula>
    </cfRule>
    <cfRule type="containsText" dxfId="642" priority="17" operator="containsText" text="S">
      <formula>NOT(ISERROR(SEARCH("S",B3)))</formula>
    </cfRule>
    <cfRule type="containsText" dxfId="641" priority="18" operator="containsText" text="H">
      <formula>NOT(ISERROR(SEARCH("H",B3)))</formula>
    </cfRule>
  </conditionalFormatting>
  <conditionalFormatting sqref="B29:K40 B19:L27 L29:L39 B3:L17">
    <cfRule type="containsText" dxfId="640" priority="14" operator="containsText" text="P">
      <formula>NOT(ISERROR(SEARCH("P",B3)))</formula>
    </cfRule>
  </conditionalFormatting>
  <conditionalFormatting sqref="B3: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7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S48"/>
  <sheetViews>
    <sheetView workbookViewId="0">
      <selection activeCell="P15" sqref="P15"/>
    </sheetView>
  </sheetViews>
  <sheetFormatPr baseColWidth="10" defaultColWidth="8.83203125" defaultRowHeight="15"/>
  <cols>
    <col min="1" max="2" width="8.83203125" style="33"/>
    <col min="3" max="3" width="8.83203125" style="33" customWidth="1"/>
    <col min="4" max="15" width="8.83203125" style="33"/>
    <col min="16" max="16" width="9.6640625" style="33" bestFit="1" customWidth="1"/>
    <col min="17" max="17" width="8.6640625" style="33" bestFit="1" customWidth="1"/>
    <col min="18" max="16384" width="8.83203125" style="33"/>
  </cols>
  <sheetData>
    <row r="1" spans="1:19" ht="16" thickBot="1">
      <c r="A1" s="42" t="s">
        <v>9</v>
      </c>
      <c r="B1" s="43" t="s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4">
        <v>10</v>
      </c>
    </row>
    <row r="2" spans="1:19" ht="16" thickBot="1">
      <c r="A2" s="45">
        <v>5</v>
      </c>
      <c r="B2" s="34">
        <f>IF(EV!B3&lt;0,-Prob!B3,Prob!B3)</f>
        <v>-6.3023003396239633E-4</v>
      </c>
      <c r="C2" s="34">
        <f>IF(EV!C3&lt;0,-Prob!C3,Prob!C3)</f>
        <v>-9.1033227127901696E-4</v>
      </c>
      <c r="D2" s="34">
        <f>IF(EV!D3&lt;0,-Prob!D3,Prob!D3)</f>
        <v>-9.1033227127901696E-4</v>
      </c>
      <c r="E2" s="34">
        <f>IF(EV!E3&lt;0,-Prob!E3,Prob!E3)</f>
        <v>-9.1033227127901696E-4</v>
      </c>
      <c r="F2" s="34">
        <f>IF(EV!F3&lt;0,-Prob!F3,Prob!F3)</f>
        <v>-9.1033227127901696E-4</v>
      </c>
      <c r="G2" s="34">
        <f>IF(EV!G3&lt;0,-Prob!G3,Prob!G3)</f>
        <v>9.1033227127901696E-4</v>
      </c>
      <c r="H2" s="34">
        <f>IF(EV!H3&lt;0,-Prob!H3,Prob!H3)</f>
        <v>-9.1033227127901696E-4</v>
      </c>
      <c r="I2" s="34">
        <f>IF(EV!I3&lt;0,-Prob!I3,Prob!I3)</f>
        <v>-9.1033227127901696E-4</v>
      </c>
      <c r="J2" s="34">
        <f>IF(EV!J3&lt;0,-Prob!J3,Prob!J3)</f>
        <v>-9.1033227127901696E-4</v>
      </c>
      <c r="K2" s="34">
        <f>IF(EV!K3&lt;0,-Prob!K3,Prob!K3)</f>
        <v>-3.3612268477994475E-3</v>
      </c>
      <c r="M2" s="372" t="s">
        <v>182</v>
      </c>
      <c r="N2" s="373"/>
      <c r="O2" s="373"/>
      <c r="P2" s="373"/>
      <c r="Q2" s="373"/>
      <c r="R2" s="374"/>
    </row>
    <row r="3" spans="1:19" ht="16" customHeight="1" thickBot="1">
      <c r="A3" s="45">
        <v>6</v>
      </c>
      <c r="B3" s="34">
        <f>IF(EV!B4&lt;0,-Prob!B4,Prob!B4)</f>
        <v>-6.3023003396239633E-4</v>
      </c>
      <c r="C3" s="34">
        <f>IF(EV!C4&lt;0,-Prob!C4,Prob!C4)</f>
        <v>-9.1033227127901696E-4</v>
      </c>
      <c r="D3" s="34">
        <f>IF(EV!D4&lt;0,-Prob!D4,Prob!D4)</f>
        <v>-9.1033227127901696E-4</v>
      </c>
      <c r="E3" s="34">
        <f>IF(EV!E4&lt;0,-Prob!E4,Prob!E4)</f>
        <v>-9.1033227127901696E-4</v>
      </c>
      <c r="F3" s="34">
        <f>IF(EV!F4&lt;0,-Prob!F4,Prob!F4)</f>
        <v>-9.1033227127901696E-4</v>
      </c>
      <c r="G3" s="34">
        <f>IF(EV!G4&lt;0,-Prob!G4,Prob!G4)</f>
        <v>9.1033227127901696E-4</v>
      </c>
      <c r="H3" s="34">
        <f>IF(EV!H4&lt;0,-Prob!H4,Prob!H4)</f>
        <v>-9.1033227127901696E-4</v>
      </c>
      <c r="I3" s="34">
        <f>IF(EV!I4&lt;0,-Prob!I4,Prob!I4)</f>
        <v>-9.1033227127901696E-4</v>
      </c>
      <c r="J3" s="34">
        <f>IF(EV!J4&lt;0,-Prob!J4,Prob!J4)</f>
        <v>-9.1033227127901696E-4</v>
      </c>
      <c r="K3" s="34">
        <f>IF(EV!K4&lt;0,-Prob!K4,Prob!K4)</f>
        <v>-3.3612268477994475E-3</v>
      </c>
      <c r="M3" s="378"/>
      <c r="N3" s="379"/>
      <c r="O3" s="208" t="s">
        <v>8</v>
      </c>
      <c r="P3" s="209" t="s">
        <v>36</v>
      </c>
      <c r="Q3" s="209" t="s">
        <v>35</v>
      </c>
      <c r="R3" s="210" t="s">
        <v>37</v>
      </c>
    </row>
    <row r="4" spans="1:19">
      <c r="A4" s="45">
        <v>7</v>
      </c>
      <c r="B4" s="34">
        <f>IF(EV!B5&lt;0,-Prob!B5,Prob!B5)</f>
        <v>-1.2604600679247927E-3</v>
      </c>
      <c r="C4" s="34">
        <f>IF(EV!C5&lt;0,-Prob!C5,Prob!C5)</f>
        <v>-1.8206645425580339E-3</v>
      </c>
      <c r="D4" s="34">
        <f>IF(EV!D5&lt;0,-Prob!D5,Prob!D5)</f>
        <v>-1.8206645425580339E-3</v>
      </c>
      <c r="E4" s="34">
        <f>IF(EV!E5&lt;0,-Prob!E5,Prob!E5)</f>
        <v>-1.8206645425580339E-3</v>
      </c>
      <c r="F4" s="34">
        <f>IF(EV!F5&lt;0,-Prob!F5,Prob!F5)</f>
        <v>-1.8206645425580339E-3</v>
      </c>
      <c r="G4" s="34">
        <f>IF(EV!G5&lt;0,-Prob!G5,Prob!G5)</f>
        <v>1.8206645425580339E-3</v>
      </c>
      <c r="H4" s="34">
        <f>IF(EV!H5&lt;0,-Prob!H5,Prob!H5)</f>
        <v>-1.8206645425580339E-3</v>
      </c>
      <c r="I4" s="34">
        <f>IF(EV!I5&lt;0,-Prob!I5,Prob!I5)</f>
        <v>-1.8206645425580339E-3</v>
      </c>
      <c r="J4" s="34">
        <f>IF(EV!J5&lt;0,-Prob!J5,Prob!J5)</f>
        <v>-1.8206645425580339E-3</v>
      </c>
      <c r="K4" s="34">
        <f>IF(EV!K5&lt;0,-Prob!K5,Prob!K5)</f>
        <v>-6.7224536955988951E-3</v>
      </c>
      <c r="M4" s="380" t="s">
        <v>34</v>
      </c>
      <c r="N4" s="381"/>
      <c r="O4" s="211">
        <f>-(SUMIF(B2:K16,"&lt;0")+SUMIF(B18:K26,"&lt;0")+SUMIF(B28:K37,"&lt;0")+C46)</f>
        <v>0.64304471131963103</v>
      </c>
      <c r="P4" s="212">
        <f>O4</f>
        <v>0.64304471131963103</v>
      </c>
      <c r="Q4" s="213">
        <f>O4</f>
        <v>0.64304471131963103</v>
      </c>
      <c r="R4" s="214">
        <f>ROUND(Q4*10,0)</f>
        <v>6</v>
      </c>
    </row>
    <row r="5" spans="1:19" ht="16" thickBot="1">
      <c r="A5" s="45">
        <v>8</v>
      </c>
      <c r="B5" s="34">
        <f>IF(EV!B6&lt;0,-Prob!B6,Prob!B6)</f>
        <v>-1.2604600679247927E-3</v>
      </c>
      <c r="C5" s="34">
        <f>IF(EV!C6&lt;0,-Prob!C6,Prob!C6)</f>
        <v>-1.8206645425580339E-3</v>
      </c>
      <c r="D5" s="34">
        <f>IF(EV!D6&lt;0,-Prob!D6,Prob!D6)</f>
        <v>1.8206645425580339E-3</v>
      </c>
      <c r="E5" s="34">
        <f>IF(EV!E6&lt;0,-Prob!E6,Prob!E6)</f>
        <v>1.8206645425580339E-3</v>
      </c>
      <c r="F5" s="34">
        <f>IF(EV!F6&lt;0,-Prob!F6,Prob!F6)</f>
        <v>1.8206645425580339E-3</v>
      </c>
      <c r="G5" s="34">
        <f>IF(EV!G6&lt;0,-Prob!G6,Prob!G6)</f>
        <v>1.8206645425580339E-3</v>
      </c>
      <c r="H5" s="34">
        <f>IF(EV!H6&lt;0,-Prob!H6,Prob!H6)</f>
        <v>1.8206645425580339E-3</v>
      </c>
      <c r="I5" s="34">
        <f>IF(EV!I6&lt;0,-Prob!I6,Prob!I6)</f>
        <v>-1.8206645425580339E-3</v>
      </c>
      <c r="J5" s="34">
        <f>IF(EV!J6&lt;0,-Prob!J6,Prob!J6)</f>
        <v>-1.8206645425580339E-3</v>
      </c>
      <c r="K5" s="34">
        <f>IF(EV!K6&lt;0,-Prob!K6,Prob!K6)</f>
        <v>-6.7224536955988951E-3</v>
      </c>
      <c r="M5" s="382" t="s">
        <v>33</v>
      </c>
      <c r="N5" s="383"/>
      <c r="O5" s="215">
        <f>SUMIF(B2:K16,"&gt;0")+SUMIF(B18:K26,"&gt;0")+SUMIF(B28:K37,"&gt;0")</f>
        <v>0.35695528868036852</v>
      </c>
      <c r="P5" s="216">
        <f>O5</f>
        <v>0.35695528868036852</v>
      </c>
      <c r="Q5" s="217">
        <f>O5</f>
        <v>0.35695528868036852</v>
      </c>
      <c r="R5" s="218">
        <f>ROUND(Q5*10,0)</f>
        <v>4</v>
      </c>
    </row>
    <row r="6" spans="1:19" ht="16" thickBot="1">
      <c r="A6" s="45">
        <v>9</v>
      </c>
      <c r="B6" s="34">
        <f>IF(EV!B7&lt;0,-Prob!B7,Prob!B7)</f>
        <v>-1.890690101887189E-3</v>
      </c>
      <c r="C6" s="34">
        <f>IF(EV!C7&lt;0,-Prob!C7,Prob!C7)</f>
        <v>2.730996813837051E-3</v>
      </c>
      <c r="D6" s="34">
        <f>IF(EV!D7&lt;0,-Prob!D7,Prob!D7)</f>
        <v>2.730996813837051E-3</v>
      </c>
      <c r="E6" s="34">
        <f>IF(EV!E7&lt;0,-Prob!E7,Prob!E7)</f>
        <v>2.730996813837051E-3</v>
      </c>
      <c r="F6" s="34">
        <f>IF(EV!F7&lt;0,-Prob!F7,Prob!F7)</f>
        <v>2.730996813837051E-3</v>
      </c>
      <c r="G6" s="34">
        <f>IF(EV!G7&lt;0,-Prob!G7,Prob!G7)</f>
        <v>2.730996813837051E-3</v>
      </c>
      <c r="H6" s="34">
        <f>IF(EV!H7&lt;0,-Prob!H7,Prob!H7)</f>
        <v>2.730996813837051E-3</v>
      </c>
      <c r="I6" s="34">
        <f>IF(EV!I7&lt;0,-Prob!I7,Prob!I7)</f>
        <v>2.730996813837051E-3</v>
      </c>
      <c r="J6" s="34">
        <f>IF(EV!J7&lt;0,-Prob!J7,Prob!J7)</f>
        <v>-2.730996813837051E-3</v>
      </c>
      <c r="K6" s="34">
        <f>IF(EV!K7&lt;0,-Prob!K7,Prob!K7)</f>
        <v>-1.0083680543398343E-2</v>
      </c>
      <c r="M6" s="368" t="s">
        <v>2</v>
      </c>
      <c r="N6" s="369"/>
      <c r="O6" s="219">
        <f>SUM(O4:O5)</f>
        <v>0.99999999999999956</v>
      </c>
      <c r="P6" s="220">
        <f>O6</f>
        <v>0.99999999999999956</v>
      </c>
      <c r="Q6" s="221">
        <f>O6</f>
        <v>0.99999999999999956</v>
      </c>
      <c r="R6" s="222">
        <f>ROUND(Q6*10,0)</f>
        <v>10</v>
      </c>
    </row>
    <row r="7" spans="1:19" ht="16" thickBot="1">
      <c r="A7" s="45">
        <v>10</v>
      </c>
      <c r="B7" s="34">
        <f>IF(EV!B8&lt;0,-Prob!B8,Prob!B8)</f>
        <v>-1.890690101887189E-3</v>
      </c>
      <c r="C7" s="34">
        <f>IF(EV!C8&lt;0,-Prob!C8,Prob!C8)</f>
        <v>2.730996813837051E-3</v>
      </c>
      <c r="D7" s="34">
        <f>IF(EV!D8&lt;0,-Prob!D8,Prob!D8)</f>
        <v>2.730996813837051E-3</v>
      </c>
      <c r="E7" s="34">
        <f>IF(EV!E8&lt;0,-Prob!E8,Prob!E8)</f>
        <v>2.730996813837051E-3</v>
      </c>
      <c r="F7" s="34">
        <f>IF(EV!F8&lt;0,-Prob!F8,Prob!F8)</f>
        <v>2.730996813837051E-3</v>
      </c>
      <c r="G7" s="34">
        <f>IF(EV!G8&lt;0,-Prob!G8,Prob!G8)</f>
        <v>2.730996813837051E-3</v>
      </c>
      <c r="H7" s="34">
        <f>IF(EV!H8&lt;0,-Prob!H8,Prob!H8)</f>
        <v>2.730996813837051E-3</v>
      </c>
      <c r="I7" s="34">
        <f>IF(EV!I8&lt;0,-Prob!I8,Prob!I8)</f>
        <v>2.730996813837051E-3</v>
      </c>
      <c r="J7" s="34">
        <f>IF(EV!J8&lt;0,-Prob!J8,Prob!J8)</f>
        <v>2.730996813837051E-3</v>
      </c>
      <c r="K7" s="34">
        <f>IF(EV!K8&lt;0,-Prob!K8,Prob!K8)</f>
        <v>-1.0083680543398343E-2</v>
      </c>
      <c r="M7" s="370" t="s">
        <v>38</v>
      </c>
      <c r="N7" s="371"/>
      <c r="O7" s="223">
        <f>O5-O4</f>
        <v>-0.28608942263926251</v>
      </c>
      <c r="P7" s="224">
        <f>P5-P4</f>
        <v>-0.28608942263926251</v>
      </c>
      <c r="Q7" s="225"/>
      <c r="R7" s="226"/>
    </row>
    <row r="8" spans="1:19">
      <c r="A8" s="45">
        <v>11</v>
      </c>
      <c r="B8" s="34">
        <f>IF(EV!B9&lt;0,-Prob!B9,Prob!B9)</f>
        <v>-2.5209201358495858E-3</v>
      </c>
      <c r="C8" s="34">
        <f>IF(EV!C9&lt;0,-Prob!C9,Prob!C9)</f>
        <v>3.6413290851160683E-3</v>
      </c>
      <c r="D8" s="34">
        <f>IF(EV!D9&lt;0,-Prob!D9,Prob!D9)</f>
        <v>3.6413290851160683E-3</v>
      </c>
      <c r="E8" s="34">
        <f>IF(EV!E9&lt;0,-Prob!E9,Prob!E9)</f>
        <v>3.6413290851160683E-3</v>
      </c>
      <c r="F8" s="34">
        <f>IF(EV!F9&lt;0,-Prob!F9,Prob!F9)</f>
        <v>3.6413290851160683E-3</v>
      </c>
      <c r="G8" s="34">
        <f>IF(EV!G9&lt;0,-Prob!G9,Prob!G9)</f>
        <v>3.6413290851160683E-3</v>
      </c>
      <c r="H8" s="34">
        <f>IF(EV!H9&lt;0,-Prob!H9,Prob!H9)</f>
        <v>3.6413290851160683E-3</v>
      </c>
      <c r="I8" s="34">
        <f>IF(EV!I9&lt;0,-Prob!I9,Prob!I9)</f>
        <v>3.6413290851160683E-3</v>
      </c>
      <c r="J8" s="34">
        <f>IF(EV!J9&lt;0,-Prob!J9,Prob!J9)</f>
        <v>3.6413290851160683E-3</v>
      </c>
      <c r="K8" s="34">
        <f>IF(EV!K9&lt;0,-Prob!K9,Prob!K9)</f>
        <v>1.3444907391197792E-2</v>
      </c>
    </row>
    <row r="9" spans="1:19">
      <c r="A9" s="45">
        <v>12</v>
      </c>
      <c r="B9" s="34">
        <f>IF(EV!B10&lt;0,-Prob!B10,Prob!B10)</f>
        <v>-4.4116102377367745E-3</v>
      </c>
      <c r="C9" s="34">
        <f>IF(EV!C10&lt;0,-Prob!C10,Prob!C10)</f>
        <v>-6.3723258989531193E-3</v>
      </c>
      <c r="D9" s="34">
        <f>IF(EV!D10&lt;0,-Prob!D10,Prob!D10)</f>
        <v>-6.3723258989531193E-3</v>
      </c>
      <c r="E9" s="34">
        <f>IF(EV!E10&lt;0,-Prob!E10,Prob!E10)</f>
        <v>-6.3723258989531193E-3</v>
      </c>
      <c r="F9" s="34">
        <f>IF(EV!F10&lt;0,-Prob!F10,Prob!F10)</f>
        <v>-6.3723258989531193E-3</v>
      </c>
      <c r="G9" s="34">
        <f>IF(EV!G10&lt;0,-Prob!G10,Prob!G10)</f>
        <v>-6.3723258989531193E-3</v>
      </c>
      <c r="H9" s="34">
        <f>IF(EV!H10&lt;0,-Prob!H10,Prob!H10)</f>
        <v>-6.3723258989531193E-3</v>
      </c>
      <c r="I9" s="34">
        <f>IF(EV!I10&lt;0,-Prob!I10,Prob!I10)</f>
        <v>-6.3723258989531193E-3</v>
      </c>
      <c r="J9" s="34">
        <f>IF(EV!J10&lt;0,-Prob!J10,Prob!J10)</f>
        <v>-6.3723258989531193E-3</v>
      </c>
      <c r="K9" s="34">
        <f>IF(EV!K10&lt;0,-Prob!K10,Prob!K10)</f>
        <v>-2.3528587934596133E-2</v>
      </c>
    </row>
    <row r="10" spans="1:19">
      <c r="A10" s="45">
        <v>13</v>
      </c>
      <c r="B10" s="34">
        <f>IF(EV!B11&lt;0,-Prob!B11,Prob!B11)</f>
        <v>-4.4116102377367745E-3</v>
      </c>
      <c r="C10" s="34">
        <f>IF(EV!C11&lt;0,-Prob!C11,Prob!C11)</f>
        <v>-6.3723258989531193E-3</v>
      </c>
      <c r="D10" s="34">
        <f>IF(EV!D11&lt;0,-Prob!D11,Prob!D11)</f>
        <v>-6.3723258989531193E-3</v>
      </c>
      <c r="E10" s="34">
        <f>IF(EV!E11&lt;0,-Prob!E11,Prob!E11)</f>
        <v>-6.3723258989531193E-3</v>
      </c>
      <c r="F10" s="34">
        <f>IF(EV!F11&lt;0,-Prob!F11,Prob!F11)</f>
        <v>-6.3723258989531193E-3</v>
      </c>
      <c r="G10" s="34">
        <f>IF(EV!G11&lt;0,-Prob!G11,Prob!G11)</f>
        <v>-6.3723258989531193E-3</v>
      </c>
      <c r="H10" s="34">
        <f>IF(EV!H11&lt;0,-Prob!H11,Prob!H11)</f>
        <v>-6.3723258989531193E-3</v>
      </c>
      <c r="I10" s="34">
        <f>IF(EV!I11&lt;0,-Prob!I11,Prob!I11)</f>
        <v>-6.3723258989531193E-3</v>
      </c>
      <c r="J10" s="34">
        <f>IF(EV!J11&lt;0,-Prob!J11,Prob!J11)</f>
        <v>-6.3723258989531193E-3</v>
      </c>
      <c r="K10" s="34">
        <f>IF(EV!K11&lt;0,-Prob!K11,Prob!K11)</f>
        <v>-2.3528587934596133E-2</v>
      </c>
    </row>
    <row r="11" spans="1:19" ht="16" thickBot="1">
      <c r="A11" s="45">
        <v>14</v>
      </c>
      <c r="B11" s="34">
        <f>IF(EV!B12&lt;0,-Prob!B12,Prob!B12)</f>
        <v>-3.781380203774378E-3</v>
      </c>
      <c r="C11" s="34">
        <f>IF(EV!C12&lt;0,-Prob!C12,Prob!C12)</f>
        <v>-5.461993627674102E-3</v>
      </c>
      <c r="D11" s="34">
        <f>IF(EV!D12&lt;0,-Prob!D12,Prob!D12)</f>
        <v>-5.461993627674102E-3</v>
      </c>
      <c r="E11" s="34">
        <f>IF(EV!E12&lt;0,-Prob!E12,Prob!E12)</f>
        <v>-5.461993627674102E-3</v>
      </c>
      <c r="F11" s="34">
        <f>IF(EV!F12&lt;0,-Prob!F12,Prob!F12)</f>
        <v>-5.461993627674102E-3</v>
      </c>
      <c r="G11" s="34">
        <f>IF(EV!G12&lt;0,-Prob!G12,Prob!G12)</f>
        <v>-5.461993627674102E-3</v>
      </c>
      <c r="H11" s="34">
        <f>IF(EV!H12&lt;0,-Prob!H12,Prob!H12)</f>
        <v>-5.461993627674102E-3</v>
      </c>
      <c r="I11" s="34">
        <f>IF(EV!I12&lt;0,-Prob!I12,Prob!I12)</f>
        <v>-5.461993627674102E-3</v>
      </c>
      <c r="J11" s="34">
        <f>IF(EV!J12&lt;0,-Prob!J12,Prob!J12)</f>
        <v>-5.461993627674102E-3</v>
      </c>
      <c r="K11" s="34">
        <f>IF(EV!K12&lt;0,-Prob!K12,Prob!K12)</f>
        <v>-2.0167361086796686E-2</v>
      </c>
    </row>
    <row r="12" spans="1:19" ht="16.5" customHeight="1" thickBot="1">
      <c r="A12" s="45">
        <v>15</v>
      </c>
      <c r="B12" s="34">
        <f>IF(EV!B13&lt;0,-Prob!B13,Prob!B13)</f>
        <v>-3.781380203774378E-3</v>
      </c>
      <c r="C12" s="34">
        <f>IF(EV!C13&lt;0,-Prob!C13,Prob!C13)</f>
        <v>-5.461993627674102E-3</v>
      </c>
      <c r="D12" s="34">
        <f>IF(EV!D13&lt;0,-Prob!D13,Prob!D13)</f>
        <v>-5.461993627674102E-3</v>
      </c>
      <c r="E12" s="34">
        <f>IF(EV!E13&lt;0,-Prob!E13,Prob!E13)</f>
        <v>-5.461993627674102E-3</v>
      </c>
      <c r="F12" s="34">
        <f>IF(EV!F13&lt;0,-Prob!F13,Prob!F13)</f>
        <v>-5.461993627674102E-3</v>
      </c>
      <c r="G12" s="34">
        <f>IF(EV!G13&lt;0,-Prob!G13,Prob!G13)</f>
        <v>-5.461993627674102E-3</v>
      </c>
      <c r="H12" s="34">
        <f>IF(EV!H13&lt;0,-Prob!H13,Prob!H13)</f>
        <v>-5.461993627674102E-3</v>
      </c>
      <c r="I12" s="34">
        <f>IF(EV!I13&lt;0,-Prob!I13,Prob!I13)</f>
        <v>-5.461993627674102E-3</v>
      </c>
      <c r="J12" s="34">
        <f>IF(EV!J13&lt;0,-Prob!J13,Prob!J13)</f>
        <v>-5.461993627674102E-3</v>
      </c>
      <c r="K12" s="34">
        <f>IF(EV!K13&lt;0,-Prob!K13,Prob!K13)</f>
        <v>-2.0167361086796686E-2</v>
      </c>
      <c r="M12" s="375" t="s">
        <v>178</v>
      </c>
      <c r="N12" s="376"/>
      <c r="O12" s="376"/>
      <c r="P12" s="376"/>
      <c r="Q12" s="376"/>
      <c r="R12" s="376"/>
      <c r="S12" s="377"/>
    </row>
    <row r="13" spans="1:19" ht="16" thickBot="1">
      <c r="A13" s="45">
        <v>16</v>
      </c>
      <c r="B13" s="34">
        <f>IF(EV!B14&lt;0,-Prob!B14,Prob!B14)</f>
        <v>-3.1511501698119814E-3</v>
      </c>
      <c r="C13" s="34">
        <f>IF(EV!C14&lt;0,-Prob!C14,Prob!C14)</f>
        <v>-4.5516613563950847E-3</v>
      </c>
      <c r="D13" s="34">
        <f>IF(EV!D14&lt;0,-Prob!D14,Prob!D14)</f>
        <v>-4.5516613563950847E-3</v>
      </c>
      <c r="E13" s="34">
        <f>IF(EV!E14&lt;0,-Prob!E14,Prob!E14)</f>
        <v>-4.5516613563950847E-3</v>
      </c>
      <c r="F13" s="34">
        <f>IF(EV!F14&lt;0,-Prob!F14,Prob!F14)</f>
        <v>-4.5516613563950847E-3</v>
      </c>
      <c r="G13" s="34">
        <f>IF(EV!G14&lt;0,-Prob!G14,Prob!G14)</f>
        <v>-4.5516613563950847E-3</v>
      </c>
      <c r="H13" s="34">
        <f>IF(EV!H14&lt;0,-Prob!H14,Prob!H14)</f>
        <v>-4.5516613563950847E-3</v>
      </c>
      <c r="I13" s="34">
        <f>IF(EV!I14&lt;0,-Prob!I14,Prob!I14)</f>
        <v>-4.5516613563950847E-3</v>
      </c>
      <c r="J13" s="34">
        <f>IF(EV!J14&lt;0,-Prob!J14,Prob!J14)</f>
        <v>-4.5516613563950847E-3</v>
      </c>
      <c r="K13" s="34">
        <f>IF(EV!K14&lt;0,-Prob!K14,Prob!K14)</f>
        <v>-1.6806134238997236E-2</v>
      </c>
      <c r="M13" s="250" t="s">
        <v>19</v>
      </c>
      <c r="N13" s="180">
        <f>P13+R13</f>
        <v>-3.2098753262151697E-2</v>
      </c>
      <c r="O13" s="246" t="s">
        <v>45</v>
      </c>
      <c r="P13" s="251">
        <f>EV!L43</f>
        <v>0.18421788537581335</v>
      </c>
      <c r="Q13" s="246" t="s">
        <v>179</v>
      </c>
      <c r="R13" s="180">
        <f>EV!L44</f>
        <v>-0.21631663863796505</v>
      </c>
      <c r="S13" s="196"/>
    </row>
    <row r="14" spans="1:19" ht="16" thickBot="1">
      <c r="A14" s="45">
        <v>17</v>
      </c>
      <c r="B14" s="34">
        <f>IF(EV!B15&lt;0,-Prob!B15,Prob!B15)</f>
        <v>-3.1511501698119814E-3</v>
      </c>
      <c r="C14" s="34">
        <f>IF(EV!C15&lt;0,-Prob!C15,Prob!C15)</f>
        <v>-4.5516613563950847E-3</v>
      </c>
      <c r="D14" s="34">
        <f>IF(EV!D15&lt;0,-Prob!D15,Prob!D15)</f>
        <v>-4.5516613563950847E-3</v>
      </c>
      <c r="E14" s="34">
        <f>IF(EV!E15&lt;0,-Prob!E15,Prob!E15)</f>
        <v>-4.5516613563950847E-3</v>
      </c>
      <c r="F14" s="34">
        <f>IF(EV!F15&lt;0,-Prob!F15,Prob!F15)</f>
        <v>-4.5516613563950847E-3</v>
      </c>
      <c r="G14" s="34">
        <f>IF(EV!G15&lt;0,-Prob!G15,Prob!G15)</f>
        <v>-4.5516613563950847E-3</v>
      </c>
      <c r="H14" s="34">
        <f>IF(EV!H15&lt;0,-Prob!H15,Prob!H15)</f>
        <v>-4.5516613563950847E-3</v>
      </c>
      <c r="I14" s="34">
        <f>IF(EV!I15&lt;0,-Prob!I15,Prob!I15)</f>
        <v>-4.5516613563950847E-3</v>
      </c>
      <c r="J14" s="34">
        <f>IF(EV!J15&lt;0,-Prob!J15,Prob!J15)</f>
        <v>-4.5516613563950847E-3</v>
      </c>
      <c r="K14" s="34">
        <f>IF(EV!K15&lt;0,-Prob!K15,Prob!K15)</f>
        <v>-1.6806134238997236E-2</v>
      </c>
      <c r="M14" s="178"/>
      <c r="N14" s="181"/>
      <c r="O14" s="248" t="s">
        <v>46</v>
      </c>
      <c r="P14" s="176">
        <f>'ER EL'!N3</f>
        <v>58.185789030925747</v>
      </c>
      <c r="Q14" s="248" t="s">
        <v>153</v>
      </c>
      <c r="R14" s="177">
        <f>'ER EL'!N4</f>
        <v>-41.769555803110698</v>
      </c>
      <c r="S14" s="249" t="s">
        <v>2</v>
      </c>
    </row>
    <row r="15" spans="1:19" ht="16" thickBot="1">
      <c r="A15" s="45">
        <v>18</v>
      </c>
      <c r="B15" s="34">
        <f>IF(EV!B16&lt;0,-Prob!B16,Prob!B16)</f>
        <v>-2.5209201358495853E-3</v>
      </c>
      <c r="C15" s="34">
        <f>IF(EV!C16&lt;0,-Prob!C16,Prob!C16)</f>
        <v>3.6413290851160678E-3</v>
      </c>
      <c r="D15" s="34">
        <f>IF(EV!D16&lt;0,-Prob!D16,Prob!D16)</f>
        <v>3.6413290851160678E-3</v>
      </c>
      <c r="E15" s="34">
        <f>IF(EV!E16&lt;0,-Prob!E16,Prob!E16)</f>
        <v>3.6413290851160678E-3</v>
      </c>
      <c r="F15" s="34">
        <f>IF(EV!F16&lt;0,-Prob!F16,Prob!F16)</f>
        <v>3.6413290851160678E-3</v>
      </c>
      <c r="G15" s="34">
        <f>IF(EV!G16&lt;0,-Prob!G16,Prob!G16)</f>
        <v>3.6413290851160678E-3</v>
      </c>
      <c r="H15" s="34">
        <f>IF(EV!H16&lt;0,-Prob!H16,Prob!H16)</f>
        <v>3.6413290851160678E-3</v>
      </c>
      <c r="I15" s="34">
        <f>IF(EV!I16&lt;0,-Prob!I16,Prob!I16)</f>
        <v>3.6413290851160678E-3</v>
      </c>
      <c r="J15" s="34">
        <f>IF(EV!J16&lt;0,-Prob!J16,Prob!J16)</f>
        <v>-3.6413290851160678E-3</v>
      </c>
      <c r="K15" s="34">
        <f>IF(EV!K16&lt;0,-Prob!K16,Prob!K16)</f>
        <v>-1.344490739119779E-2</v>
      </c>
      <c r="M15" s="173"/>
      <c r="N15" s="182"/>
      <c r="O15" s="247" t="s">
        <v>40</v>
      </c>
      <c r="P15" s="244">
        <f>(N13-R14)/(P14-R14)</f>
        <v>0.41756103307080233</v>
      </c>
      <c r="Q15" s="247" t="s">
        <v>41</v>
      </c>
      <c r="R15" s="242">
        <f>(N13-P14)/(R14-P14)</f>
        <v>0.58243896692919761</v>
      </c>
      <c r="S15" s="201">
        <f>P15+R15</f>
        <v>1</v>
      </c>
    </row>
    <row r="16" spans="1:19" ht="16" thickBot="1">
      <c r="A16" s="45">
        <v>19</v>
      </c>
      <c r="B16" s="34">
        <f>IF(EV!B17&lt;0,-Prob!B17,Prob!B17)</f>
        <v>-2.5209201358495853E-3</v>
      </c>
      <c r="C16" s="34">
        <f>IF(EV!C17&lt;0,-Prob!C17,Prob!C17)</f>
        <v>3.6413290851160678E-3</v>
      </c>
      <c r="D16" s="34">
        <f>IF(EV!D17&lt;0,-Prob!D17,Prob!D17)</f>
        <v>3.6413290851160678E-3</v>
      </c>
      <c r="E16" s="34">
        <f>IF(EV!E17&lt;0,-Prob!E17,Prob!E17)</f>
        <v>3.6413290851160678E-3</v>
      </c>
      <c r="F16" s="34">
        <f>IF(EV!F17&lt;0,-Prob!F17,Prob!F17)</f>
        <v>3.6413290851160678E-3</v>
      </c>
      <c r="G16" s="34">
        <f>IF(EV!G17&lt;0,-Prob!G17,Prob!G17)</f>
        <v>3.6413290851160678E-3</v>
      </c>
      <c r="H16" s="34">
        <f>IF(EV!H17&lt;0,-Prob!H17,Prob!H17)</f>
        <v>3.6413290851160678E-3</v>
      </c>
      <c r="I16" s="34">
        <f>IF(EV!I17&lt;0,-Prob!I17,Prob!I17)</f>
        <v>3.6413290851160678E-3</v>
      </c>
      <c r="J16" s="34">
        <f>IF(EV!J17&lt;0,-Prob!J17,Prob!J17)</f>
        <v>3.6413290851160678E-3</v>
      </c>
      <c r="K16" s="34">
        <f>IF(EV!K17&lt;0,-Prob!K17,Prob!K17)</f>
        <v>-1.344490739119779E-2</v>
      </c>
      <c r="M16" s="174"/>
      <c r="N16" s="183"/>
      <c r="O16" s="246" t="s">
        <v>40</v>
      </c>
      <c r="P16" s="245">
        <f>P15</f>
        <v>0.41756103307080233</v>
      </c>
      <c r="Q16" s="246" t="s">
        <v>41</v>
      </c>
      <c r="R16" s="243">
        <f>R15</f>
        <v>0.58243896692919761</v>
      </c>
      <c r="S16" s="202">
        <f>P16+R16</f>
        <v>1</v>
      </c>
    </row>
    <row r="17" spans="1:11">
      <c r="A17" s="45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47">
        <v>10</v>
      </c>
    </row>
    <row r="18" spans="1:11">
      <c r="A18" s="45">
        <v>13</v>
      </c>
      <c r="B18" s="34">
        <f>IF(EV!B19&lt;0,-Prob!B19,Prob!B19)</f>
        <v>-6.3023003396239633E-4</v>
      </c>
      <c r="C18" s="34">
        <f>IF(EV!C19&lt;0,-Prob!C19,Prob!C19)</f>
        <v>9.1033227127901696E-4</v>
      </c>
      <c r="D18" s="34">
        <f>IF(EV!D19&lt;0,-Prob!D19,Prob!D19)</f>
        <v>9.1033227127901696E-4</v>
      </c>
      <c r="E18" s="34">
        <f>IF(EV!E19&lt;0,-Prob!E19,Prob!E19)</f>
        <v>9.1033227127901696E-4</v>
      </c>
      <c r="F18" s="34">
        <f>IF(EV!F19&lt;0,-Prob!F19,Prob!F19)</f>
        <v>9.1033227127901696E-4</v>
      </c>
      <c r="G18" s="34">
        <f>IF(EV!G19&lt;0,-Prob!G19,Prob!G19)</f>
        <v>9.1033227127901696E-4</v>
      </c>
      <c r="H18" s="34">
        <f>IF(EV!H19&lt;0,-Prob!H19,Prob!H19)</f>
        <v>9.1033227127901696E-4</v>
      </c>
      <c r="I18" s="34">
        <f>IF(EV!I19&lt;0,-Prob!I19,Prob!I19)</f>
        <v>9.1033227127901696E-4</v>
      </c>
      <c r="J18" s="34">
        <f>IF(EV!J19&lt;0,-Prob!J19,Prob!J19)</f>
        <v>-9.1033227127901696E-4</v>
      </c>
      <c r="K18" s="34">
        <f>IF(EV!K19&lt;0,-Prob!K19,Prob!K19)</f>
        <v>-3.3612268477994475E-3</v>
      </c>
    </row>
    <row r="19" spans="1:11">
      <c r="A19" s="45">
        <v>14</v>
      </c>
      <c r="B19" s="34">
        <f>IF(EV!B20&lt;0,-Prob!B20,Prob!B20)</f>
        <v>-6.3023003396239633E-4</v>
      </c>
      <c r="C19" s="34">
        <f>IF(EV!C20&lt;0,-Prob!C20,Prob!C20)</f>
        <v>9.1033227127901696E-4</v>
      </c>
      <c r="D19" s="34">
        <f>IF(EV!D20&lt;0,-Prob!D20,Prob!D20)</f>
        <v>9.1033227127901696E-4</v>
      </c>
      <c r="E19" s="34">
        <f>IF(EV!E20&lt;0,-Prob!E20,Prob!E20)</f>
        <v>9.1033227127901696E-4</v>
      </c>
      <c r="F19" s="34">
        <f>IF(EV!F20&lt;0,-Prob!F20,Prob!F20)</f>
        <v>9.1033227127901696E-4</v>
      </c>
      <c r="G19" s="34">
        <f>IF(EV!G20&lt;0,-Prob!G20,Prob!G20)</f>
        <v>9.1033227127901696E-4</v>
      </c>
      <c r="H19" s="34">
        <f>IF(EV!H20&lt;0,-Prob!H20,Prob!H20)</f>
        <v>9.1033227127901696E-4</v>
      </c>
      <c r="I19" s="34">
        <f>IF(EV!I20&lt;0,-Prob!I20,Prob!I20)</f>
        <v>9.1033227127901696E-4</v>
      </c>
      <c r="J19" s="34">
        <f>IF(EV!J20&lt;0,-Prob!J20,Prob!J20)</f>
        <v>-9.1033227127901696E-4</v>
      </c>
      <c r="K19" s="34">
        <f>IF(EV!K20&lt;0,-Prob!K20,Prob!K20)</f>
        <v>-3.3612268477994475E-3</v>
      </c>
    </row>
    <row r="20" spans="1:11">
      <c r="A20" s="45">
        <v>15</v>
      </c>
      <c r="B20" s="34">
        <f>IF(EV!B21&lt;0,-Prob!B21,Prob!B21)</f>
        <v>-6.3023003396239633E-4</v>
      </c>
      <c r="C20" s="34">
        <f>IF(EV!C21&lt;0,-Prob!C21,Prob!C21)</f>
        <v>9.1033227127901696E-4</v>
      </c>
      <c r="D20" s="34">
        <f>IF(EV!D21&lt;0,-Prob!D21,Prob!D21)</f>
        <v>9.1033227127901696E-4</v>
      </c>
      <c r="E20" s="34">
        <f>IF(EV!E21&lt;0,-Prob!E21,Prob!E21)</f>
        <v>9.1033227127901696E-4</v>
      </c>
      <c r="F20" s="34">
        <f>IF(EV!F21&lt;0,-Prob!F21,Prob!F21)</f>
        <v>9.1033227127901696E-4</v>
      </c>
      <c r="G20" s="34">
        <f>IF(EV!G21&lt;0,-Prob!G21,Prob!G21)</f>
        <v>9.1033227127901696E-4</v>
      </c>
      <c r="H20" s="34">
        <f>IF(EV!H21&lt;0,-Prob!H21,Prob!H21)</f>
        <v>9.1033227127901696E-4</v>
      </c>
      <c r="I20" s="34">
        <f>IF(EV!I21&lt;0,-Prob!I21,Prob!I21)</f>
        <v>-9.1033227127901696E-4</v>
      </c>
      <c r="J20" s="34">
        <f>IF(EV!J21&lt;0,-Prob!J21,Prob!J21)</f>
        <v>-9.1033227127901696E-4</v>
      </c>
      <c r="K20" s="34">
        <f>IF(EV!K21&lt;0,-Prob!K21,Prob!K21)</f>
        <v>-3.3612268477994475E-3</v>
      </c>
    </row>
    <row r="21" spans="1:11">
      <c r="A21" s="45">
        <v>16</v>
      </c>
      <c r="B21" s="34">
        <f>IF(EV!B22&lt;0,-Prob!B22,Prob!B22)</f>
        <v>-6.3023003396239633E-4</v>
      </c>
      <c r="C21" s="34">
        <f>IF(EV!C22&lt;0,-Prob!C22,Prob!C22)</f>
        <v>-9.1033227127901696E-4</v>
      </c>
      <c r="D21" s="34">
        <f>IF(EV!D22&lt;0,-Prob!D22,Prob!D22)</f>
        <v>9.1033227127901696E-4</v>
      </c>
      <c r="E21" s="34">
        <f>IF(EV!E22&lt;0,-Prob!E22,Prob!E22)</f>
        <v>9.1033227127901696E-4</v>
      </c>
      <c r="F21" s="34">
        <f>IF(EV!F22&lt;0,-Prob!F22,Prob!F22)</f>
        <v>9.1033227127901696E-4</v>
      </c>
      <c r="G21" s="34">
        <f>IF(EV!G22&lt;0,-Prob!G22,Prob!G22)</f>
        <v>9.1033227127901696E-4</v>
      </c>
      <c r="H21" s="34">
        <f>IF(EV!H22&lt;0,-Prob!H22,Prob!H22)</f>
        <v>-9.1033227127901696E-4</v>
      </c>
      <c r="I21" s="34">
        <f>IF(EV!I22&lt;0,-Prob!I22,Prob!I22)</f>
        <v>-9.1033227127901696E-4</v>
      </c>
      <c r="J21" s="34">
        <f>IF(EV!J22&lt;0,-Prob!J22,Prob!J22)</f>
        <v>-9.1033227127901696E-4</v>
      </c>
      <c r="K21" s="34">
        <f>IF(EV!K22&lt;0,-Prob!K22,Prob!K22)</f>
        <v>-3.3612268477994475E-3</v>
      </c>
    </row>
    <row r="22" spans="1:11">
      <c r="A22" s="45">
        <v>17</v>
      </c>
      <c r="B22" s="34">
        <f>IF(EV!B23&lt;0,-Prob!B23,Prob!B23)</f>
        <v>-6.3023003396239633E-4</v>
      </c>
      <c r="C22" s="34">
        <f>IF(EV!C23&lt;0,-Prob!C23,Prob!C23)</f>
        <v>-9.1033227127901696E-4</v>
      </c>
      <c r="D22" s="34">
        <f>IF(EV!D23&lt;0,-Prob!D23,Prob!D23)</f>
        <v>9.1033227127901696E-4</v>
      </c>
      <c r="E22" s="34">
        <f>IF(EV!E23&lt;0,-Prob!E23,Prob!E23)</f>
        <v>9.1033227127901696E-4</v>
      </c>
      <c r="F22" s="34">
        <f>IF(EV!F23&lt;0,-Prob!F23,Prob!F23)</f>
        <v>9.1033227127901696E-4</v>
      </c>
      <c r="G22" s="34">
        <f>IF(EV!G23&lt;0,-Prob!G23,Prob!G23)</f>
        <v>9.1033227127901696E-4</v>
      </c>
      <c r="H22" s="34">
        <f>IF(EV!H23&lt;0,-Prob!H23,Prob!H23)</f>
        <v>9.1033227127901696E-4</v>
      </c>
      <c r="I22" s="34">
        <f>IF(EV!I23&lt;0,-Prob!I23,Prob!I23)</f>
        <v>-9.1033227127901696E-4</v>
      </c>
      <c r="J22" s="34">
        <f>IF(EV!J23&lt;0,-Prob!J23,Prob!J23)</f>
        <v>-9.1033227127901696E-4</v>
      </c>
      <c r="K22" s="34">
        <f>IF(EV!K23&lt;0,-Prob!K23,Prob!K23)</f>
        <v>-3.3612268477994475E-3</v>
      </c>
    </row>
    <row r="23" spans="1:11">
      <c r="A23" s="45">
        <v>18</v>
      </c>
      <c r="B23" s="34">
        <f>IF(EV!B24&lt;0,-Prob!B24,Prob!B24)</f>
        <v>-6.3023003396239633E-4</v>
      </c>
      <c r="C23" s="34">
        <f>IF(EV!C24&lt;0,-Prob!C24,Prob!C24)</f>
        <v>9.1033227127901696E-4</v>
      </c>
      <c r="D23" s="34">
        <f>IF(EV!D24&lt;0,-Prob!D24,Prob!D24)</f>
        <v>9.1033227127901696E-4</v>
      </c>
      <c r="E23" s="34">
        <f>IF(EV!E24&lt;0,-Prob!E24,Prob!E24)</f>
        <v>9.1033227127901696E-4</v>
      </c>
      <c r="F23" s="34">
        <f>IF(EV!F24&lt;0,-Prob!F24,Prob!F24)</f>
        <v>9.1033227127901696E-4</v>
      </c>
      <c r="G23" s="34">
        <f>IF(EV!G24&lt;0,-Prob!G24,Prob!G24)</f>
        <v>9.1033227127901696E-4</v>
      </c>
      <c r="H23" s="34">
        <f>IF(EV!H24&lt;0,-Prob!H24,Prob!H24)</f>
        <v>9.1033227127901696E-4</v>
      </c>
      <c r="I23" s="34">
        <f>IF(EV!I24&lt;0,-Prob!I24,Prob!I24)</f>
        <v>9.1033227127901696E-4</v>
      </c>
      <c r="J23" s="34">
        <f>IF(EV!J24&lt;0,-Prob!J24,Prob!J24)</f>
        <v>-9.1033227127901696E-4</v>
      </c>
      <c r="K23" s="34">
        <f>IF(EV!K24&lt;0,-Prob!K24,Prob!K24)</f>
        <v>-3.3612268477994475E-3</v>
      </c>
    </row>
    <row r="24" spans="1:11">
      <c r="A24" s="45">
        <v>19</v>
      </c>
      <c r="B24" s="34">
        <f>IF(EV!B25&lt;0,-Prob!B25,Prob!B25)</f>
        <v>-6.3023003396239633E-4</v>
      </c>
      <c r="C24" s="34">
        <f>IF(EV!C25&lt;0,-Prob!C25,Prob!C25)</f>
        <v>9.1033227127901696E-4</v>
      </c>
      <c r="D24" s="34">
        <f>IF(EV!D25&lt;0,-Prob!D25,Prob!D25)</f>
        <v>9.1033227127901696E-4</v>
      </c>
      <c r="E24" s="34">
        <f>IF(EV!E25&lt;0,-Prob!E25,Prob!E25)</f>
        <v>9.1033227127901696E-4</v>
      </c>
      <c r="F24" s="34">
        <f>IF(EV!F25&lt;0,-Prob!F25,Prob!F25)</f>
        <v>9.1033227127901696E-4</v>
      </c>
      <c r="G24" s="34">
        <f>IF(EV!G25&lt;0,-Prob!G25,Prob!G25)</f>
        <v>9.1033227127901696E-4</v>
      </c>
      <c r="H24" s="34">
        <f>IF(EV!H25&lt;0,-Prob!H25,Prob!H25)</f>
        <v>9.1033227127901696E-4</v>
      </c>
      <c r="I24" s="34">
        <f>IF(EV!I25&lt;0,-Prob!I25,Prob!I25)</f>
        <v>9.1033227127901696E-4</v>
      </c>
      <c r="J24" s="34">
        <f>IF(EV!J25&lt;0,-Prob!J25,Prob!J25)</f>
        <v>9.1033227127901696E-4</v>
      </c>
      <c r="K24" s="34">
        <f>IF(EV!K25&lt;0,-Prob!K25,Prob!K25)</f>
        <v>-3.3612268477994475E-3</v>
      </c>
    </row>
    <row r="25" spans="1:11">
      <c r="A25" s="45">
        <v>20</v>
      </c>
      <c r="B25" s="34">
        <f>IF(EV!B26&lt;0,-Prob!B26,Prob!B26)</f>
        <v>6.3023003396239633E-4</v>
      </c>
      <c r="C25" s="34">
        <f>IF(EV!C26&lt;0,-Prob!C26,Prob!C26)</f>
        <v>9.1033227127901696E-4</v>
      </c>
      <c r="D25" s="34">
        <f>IF(EV!D26&lt;0,-Prob!D26,Prob!D26)</f>
        <v>9.1033227127901696E-4</v>
      </c>
      <c r="E25" s="34">
        <f>IF(EV!E26&lt;0,-Prob!E26,Prob!E26)</f>
        <v>9.1033227127901696E-4</v>
      </c>
      <c r="F25" s="34">
        <f>IF(EV!F26&lt;0,-Prob!F26,Prob!F26)</f>
        <v>9.1033227127901696E-4</v>
      </c>
      <c r="G25" s="34">
        <f>IF(EV!G26&lt;0,-Prob!G26,Prob!G26)</f>
        <v>9.1033227127901696E-4</v>
      </c>
      <c r="H25" s="34">
        <f>IF(EV!H26&lt;0,-Prob!H26,Prob!H26)</f>
        <v>9.1033227127901696E-4</v>
      </c>
      <c r="I25" s="34">
        <f>IF(EV!I26&lt;0,-Prob!I26,Prob!I26)</f>
        <v>9.1033227127901696E-4</v>
      </c>
      <c r="J25" s="34">
        <f>IF(EV!J26&lt;0,-Prob!J26,Prob!J26)</f>
        <v>9.1033227127901696E-4</v>
      </c>
      <c r="K25" s="34">
        <f>IF(EV!K26&lt;0,-Prob!K26,Prob!K26)</f>
        <v>3.3612268477994475E-3</v>
      </c>
    </row>
    <row r="26" spans="1:11">
      <c r="A26" s="45">
        <v>21</v>
      </c>
      <c r="B26" s="34">
        <f>IF(EV!B27&lt;0,-Prob!B27,Prob!B27)</f>
        <v>2.5209201358495853E-3</v>
      </c>
      <c r="C26" s="34">
        <f>IF(EV!C27&lt;0,-Prob!C27,Prob!C27)</f>
        <v>3.6413290851160678E-3</v>
      </c>
      <c r="D26" s="34">
        <f>IF(EV!D27&lt;0,-Prob!D27,Prob!D27)</f>
        <v>3.6413290851160678E-3</v>
      </c>
      <c r="E26" s="34">
        <f>IF(EV!E27&lt;0,-Prob!E27,Prob!E27)</f>
        <v>3.6413290851160678E-3</v>
      </c>
      <c r="F26" s="34">
        <f>IF(EV!F27&lt;0,-Prob!F27,Prob!F27)</f>
        <v>3.6413290851160678E-3</v>
      </c>
      <c r="G26" s="34">
        <f>IF(EV!G27&lt;0,-Prob!G27,Prob!G27)</f>
        <v>3.6413290851160678E-3</v>
      </c>
      <c r="H26" s="34">
        <f>IF(EV!H27&lt;0,-Prob!H27,Prob!H27)</f>
        <v>3.6413290851160678E-3</v>
      </c>
      <c r="I26" s="34">
        <f>IF(EV!I27&lt;0,-Prob!I27,Prob!I27)</f>
        <v>3.6413290851160678E-3</v>
      </c>
      <c r="J26" s="34">
        <f>IF(EV!J27&lt;0,-Prob!J27,Prob!J27)</f>
        <v>3.6413290851160678E-3</v>
      </c>
      <c r="K26" s="34">
        <f>IF(EV!K27&lt;0,-Prob!K27,Prob!K27)</f>
        <v>1.344490739119779E-2</v>
      </c>
    </row>
    <row r="27" spans="1:11">
      <c r="A27" s="45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47">
        <v>10</v>
      </c>
    </row>
    <row r="28" spans="1:11">
      <c r="A28" s="45" t="s">
        <v>1</v>
      </c>
      <c r="B28" s="34">
        <f>IF(EV!B29&lt;0,-Prob!B29,Prob!B29)</f>
        <v>-3.1511501698119817E-4</v>
      </c>
      <c r="C28" s="34">
        <f>IF(EV!C29&lt;0,-Prob!C29,Prob!C29)</f>
        <v>4.5516613563950848E-4</v>
      </c>
      <c r="D28" s="34">
        <f>IF(EV!D29&lt;0,-Prob!D29,Prob!D29)</f>
        <v>4.5516613563950848E-4</v>
      </c>
      <c r="E28" s="34">
        <f>IF(EV!E29&lt;0,-Prob!E29,Prob!E29)</f>
        <v>4.5516613563950848E-4</v>
      </c>
      <c r="F28" s="34">
        <f>IF(EV!F29&lt;0,-Prob!F29,Prob!F29)</f>
        <v>4.5516613563950848E-4</v>
      </c>
      <c r="G28" s="34">
        <f>IF(EV!G29&lt;0,-Prob!G29,Prob!G29)</f>
        <v>4.5516613563950848E-4</v>
      </c>
      <c r="H28" s="34">
        <f>IF(EV!H29&lt;0,-Prob!H29,Prob!H29)</f>
        <v>4.5516613563950848E-4</v>
      </c>
      <c r="I28" s="34">
        <f>IF(EV!I29&lt;0,-Prob!I29,Prob!I29)</f>
        <v>4.5516613563950848E-4</v>
      </c>
      <c r="J28" s="34">
        <f>IF(EV!J29&lt;0,-Prob!J29,Prob!J29)</f>
        <v>4.5516613563950848E-4</v>
      </c>
      <c r="K28" s="34">
        <f>IF(EV!K29&lt;0,-Prob!K29,Prob!K29)</f>
        <v>1.6806134238997238E-3</v>
      </c>
    </row>
    <row r="29" spans="1:11">
      <c r="A29" s="45">
        <v>2</v>
      </c>
      <c r="B29" s="34">
        <f>IF(EV!B30&lt;0,-Prob!B30,Prob!B30)</f>
        <v>-3.1511501698119817E-4</v>
      </c>
      <c r="C29" s="34">
        <f>IF(EV!C30&lt;0,-Prob!C30,Prob!C30)</f>
        <v>-4.5516613563950848E-4</v>
      </c>
      <c r="D29" s="34">
        <f>IF(EV!D30&lt;0,-Prob!D30,Prob!D30)</f>
        <v>-4.5516613563950848E-4</v>
      </c>
      <c r="E29" s="34">
        <f>IF(EV!E30&lt;0,-Prob!E30,Prob!E30)</f>
        <v>-4.5516613563950848E-4</v>
      </c>
      <c r="F29" s="34">
        <f>IF(EV!F30&lt;0,-Prob!F30,Prob!F30)</f>
        <v>4.5516613563950848E-4</v>
      </c>
      <c r="G29" s="34">
        <f>IF(EV!G30&lt;0,-Prob!G30,Prob!G30)</f>
        <v>4.5516613563950848E-4</v>
      </c>
      <c r="H29" s="34">
        <f>IF(EV!H30&lt;0,-Prob!H30,Prob!H30)</f>
        <v>-4.5516613563950848E-4</v>
      </c>
      <c r="I29" s="34">
        <f>IF(EV!I30&lt;0,-Prob!I30,Prob!I30)</f>
        <v>-4.5516613563950848E-4</v>
      </c>
      <c r="J29" s="34">
        <f>IF(EV!J30&lt;0,-Prob!J30,Prob!J30)</f>
        <v>-4.5516613563950848E-4</v>
      </c>
      <c r="K29" s="34">
        <f>IF(EV!K30&lt;0,-Prob!K30,Prob!K30)</f>
        <v>-1.6806134238997238E-3</v>
      </c>
    </row>
    <row r="30" spans="1:11">
      <c r="A30" s="45">
        <v>3</v>
      </c>
      <c r="B30" s="34">
        <f>IF(EV!B31&lt;0,-Prob!B31,Prob!B31)</f>
        <v>-3.1511501698119817E-4</v>
      </c>
      <c r="C30" s="34">
        <f>IF(EV!C31&lt;0,-Prob!C31,Prob!C31)</f>
        <v>-4.5516613563950848E-4</v>
      </c>
      <c r="D30" s="34">
        <f>IF(EV!D31&lt;0,-Prob!D31,Prob!D31)</f>
        <v>-4.5516613563950848E-4</v>
      </c>
      <c r="E30" s="34">
        <f>IF(EV!E31&lt;0,-Prob!E31,Prob!E31)</f>
        <v>-4.5516613563950848E-4</v>
      </c>
      <c r="F30" s="34">
        <f>IF(EV!F31&lt;0,-Prob!F31,Prob!F31)</f>
        <v>4.5516613563950848E-4</v>
      </c>
      <c r="G30" s="34">
        <f>IF(EV!G31&lt;0,-Prob!G31,Prob!G31)</f>
        <v>4.5516613563950848E-4</v>
      </c>
      <c r="H30" s="34">
        <f>IF(EV!H31&lt;0,-Prob!H31,Prob!H31)</f>
        <v>-4.5516613563950848E-4</v>
      </c>
      <c r="I30" s="34">
        <f>IF(EV!I31&lt;0,-Prob!I31,Prob!I31)</f>
        <v>-4.5516613563950848E-4</v>
      </c>
      <c r="J30" s="34">
        <f>IF(EV!J31&lt;0,-Prob!J31,Prob!J31)</f>
        <v>-4.5516613563950848E-4</v>
      </c>
      <c r="K30" s="34">
        <f>IF(EV!K31&lt;0,-Prob!K31,Prob!K31)</f>
        <v>-1.6806134238997238E-3</v>
      </c>
    </row>
    <row r="31" spans="1:11">
      <c r="A31" s="45">
        <v>4</v>
      </c>
      <c r="B31" s="34">
        <f>IF(EV!B32&lt;0,-Prob!B32,Prob!B32)</f>
        <v>-3.1511501698119817E-4</v>
      </c>
      <c r="C31" s="34">
        <f>IF(EV!C32&lt;0,-Prob!C32,Prob!C32)</f>
        <v>-4.5516613563950848E-4</v>
      </c>
      <c r="D31" s="34">
        <f>IF(EV!D32&lt;0,-Prob!D32,Prob!D32)</f>
        <v>4.5516613563950848E-4</v>
      </c>
      <c r="E31" s="34">
        <f>IF(EV!E32&lt;0,-Prob!E32,Prob!E32)</f>
        <v>4.5516613563950848E-4</v>
      </c>
      <c r="F31" s="34">
        <f>IF(EV!F32&lt;0,-Prob!F32,Prob!F32)</f>
        <v>4.5516613563950848E-4</v>
      </c>
      <c r="G31" s="34">
        <f>IF(EV!G32&lt;0,-Prob!G32,Prob!G32)</f>
        <v>4.5516613563950848E-4</v>
      </c>
      <c r="H31" s="34">
        <f>IF(EV!H32&lt;0,-Prob!H32,Prob!H32)</f>
        <v>4.5516613563950848E-4</v>
      </c>
      <c r="I31" s="34">
        <f>IF(EV!I32&lt;0,-Prob!I32,Prob!I32)</f>
        <v>-4.5516613563950848E-4</v>
      </c>
      <c r="J31" s="34">
        <f>IF(EV!J32&lt;0,-Prob!J32,Prob!J32)</f>
        <v>-4.5516613563950848E-4</v>
      </c>
      <c r="K31" s="34">
        <f>IF(EV!K32&lt;0,-Prob!K32,Prob!K32)</f>
        <v>-1.6806134238997238E-3</v>
      </c>
    </row>
    <row r="32" spans="1:11">
      <c r="A32" s="45">
        <v>5</v>
      </c>
      <c r="B32" s="34">
        <f>IF(EV!B33&lt;0,-Prob!B33,Prob!B33)</f>
        <v>-3.1511501698119817E-4</v>
      </c>
      <c r="C32" s="34">
        <f>IF(EV!C33&lt;0,-Prob!C33,Prob!C33)</f>
        <v>4.5516613563950848E-4</v>
      </c>
      <c r="D32" s="34">
        <f>IF(EV!D33&lt;0,-Prob!D33,Prob!D33)</f>
        <v>4.5516613563950848E-4</v>
      </c>
      <c r="E32" s="34">
        <f>IF(EV!E33&lt;0,-Prob!E33,Prob!E33)</f>
        <v>4.5516613563950848E-4</v>
      </c>
      <c r="F32" s="34">
        <f>IF(EV!F33&lt;0,-Prob!F33,Prob!F33)</f>
        <v>4.5516613563950848E-4</v>
      </c>
      <c r="G32" s="34">
        <f>IF(EV!G33&lt;0,-Prob!G33,Prob!G33)</f>
        <v>4.5516613563950848E-4</v>
      </c>
      <c r="H32" s="34">
        <f>IF(EV!H33&lt;0,-Prob!H33,Prob!H33)</f>
        <v>4.5516613563950848E-4</v>
      </c>
      <c r="I32" s="34">
        <f>IF(EV!I33&lt;0,-Prob!I33,Prob!I33)</f>
        <v>4.5516613563950848E-4</v>
      </c>
      <c r="J32" s="34">
        <f>IF(EV!J33&lt;0,-Prob!J33,Prob!J33)</f>
        <v>4.5516613563950848E-4</v>
      </c>
      <c r="K32" s="34">
        <f>IF(EV!K33&lt;0,-Prob!K33,Prob!K33)</f>
        <v>-1.6806134238997238E-3</v>
      </c>
    </row>
    <row r="33" spans="1:12">
      <c r="A33" s="45">
        <v>6</v>
      </c>
      <c r="B33" s="34">
        <f>IF(EV!B34&lt;0,-Prob!B34,Prob!B34)</f>
        <v>-3.1511501698119817E-4</v>
      </c>
      <c r="C33" s="34">
        <f>IF(EV!C34&lt;0,-Prob!C34,Prob!C34)</f>
        <v>-4.5516613563950848E-4</v>
      </c>
      <c r="D33" s="34">
        <f>IF(EV!D34&lt;0,-Prob!D34,Prob!D34)</f>
        <v>-4.5516613563950848E-4</v>
      </c>
      <c r="E33" s="34">
        <f>IF(EV!E34&lt;0,-Prob!E34,Prob!E34)</f>
        <v>-4.5516613563950848E-4</v>
      </c>
      <c r="F33" s="34">
        <f>IF(EV!F34&lt;0,-Prob!F34,Prob!F34)</f>
        <v>-4.5516613563950848E-4</v>
      </c>
      <c r="G33" s="34">
        <f>IF(EV!G34&lt;0,-Prob!G34,Prob!G34)</f>
        <v>4.5516613563950848E-4</v>
      </c>
      <c r="H33" s="34">
        <f>IF(EV!H34&lt;0,-Prob!H34,Prob!H34)</f>
        <v>-4.5516613563950848E-4</v>
      </c>
      <c r="I33" s="34">
        <f>IF(EV!I34&lt;0,-Prob!I34,Prob!I34)</f>
        <v>-4.5516613563950848E-4</v>
      </c>
      <c r="J33" s="34">
        <f>IF(EV!J34&lt;0,-Prob!J34,Prob!J34)</f>
        <v>-4.5516613563950848E-4</v>
      </c>
      <c r="K33" s="34">
        <f>IF(EV!K34&lt;0,-Prob!K34,Prob!K34)</f>
        <v>-1.6806134238997238E-3</v>
      </c>
    </row>
    <row r="34" spans="1:12">
      <c r="A34" s="45">
        <v>7</v>
      </c>
      <c r="B34" s="34">
        <f>IF(EV!B35&lt;0,-Prob!B35,Prob!B35)</f>
        <v>-3.1511501698119817E-4</v>
      </c>
      <c r="C34" s="34">
        <f>IF(EV!C35&lt;0,-Prob!C35,Prob!C35)</f>
        <v>-4.5516613563950848E-4</v>
      </c>
      <c r="D34" s="34">
        <f>IF(EV!D35&lt;0,-Prob!D35,Prob!D35)</f>
        <v>-4.5516613563950848E-4</v>
      </c>
      <c r="E34" s="34">
        <f>IF(EV!E35&lt;0,-Prob!E35,Prob!E35)</f>
        <v>-4.5516613563950848E-4</v>
      </c>
      <c r="F34" s="34">
        <f>IF(EV!F35&lt;0,-Prob!F35,Prob!F35)</f>
        <v>-4.5516613563950848E-4</v>
      </c>
      <c r="G34" s="34">
        <f>IF(EV!G35&lt;0,-Prob!G35,Prob!G35)</f>
        <v>4.5516613563950848E-4</v>
      </c>
      <c r="H34" s="34">
        <f>IF(EV!H35&lt;0,-Prob!H35,Prob!H35)</f>
        <v>-4.5516613563950848E-4</v>
      </c>
      <c r="I34" s="34">
        <f>IF(EV!I35&lt;0,-Prob!I35,Prob!I35)</f>
        <v>-4.5516613563950848E-4</v>
      </c>
      <c r="J34" s="34">
        <f>IF(EV!J35&lt;0,-Prob!J35,Prob!J35)</f>
        <v>-4.5516613563950848E-4</v>
      </c>
      <c r="K34" s="34">
        <f>IF(EV!K35&lt;0,-Prob!K35,Prob!K35)</f>
        <v>-1.6806134238997238E-3</v>
      </c>
    </row>
    <row r="35" spans="1:12">
      <c r="A35" s="45">
        <v>8</v>
      </c>
      <c r="B35" s="34">
        <f>IF(EV!B36&lt;0,-Prob!B36,Prob!B36)</f>
        <v>-3.1511501698119817E-4</v>
      </c>
      <c r="C35" s="34">
        <f>IF(EV!C36&lt;0,-Prob!C36,Prob!C36)</f>
        <v>-4.5516613563950848E-4</v>
      </c>
      <c r="D35" s="34">
        <f>IF(EV!D36&lt;0,-Prob!D36,Prob!D36)</f>
        <v>4.5516613563950848E-4</v>
      </c>
      <c r="E35" s="34">
        <f>IF(EV!E36&lt;0,-Prob!E36,Prob!E36)</f>
        <v>4.5516613563950848E-4</v>
      </c>
      <c r="F35" s="34">
        <f>IF(EV!F36&lt;0,-Prob!F36,Prob!F36)</f>
        <v>4.5516613563950848E-4</v>
      </c>
      <c r="G35" s="34">
        <f>IF(EV!G36&lt;0,-Prob!G36,Prob!G36)</f>
        <v>4.5516613563950848E-4</v>
      </c>
      <c r="H35" s="34">
        <f>IF(EV!H36&lt;0,-Prob!H36,Prob!H36)</f>
        <v>4.5516613563950848E-4</v>
      </c>
      <c r="I35" s="34">
        <f>IF(EV!I36&lt;0,-Prob!I36,Prob!I36)</f>
        <v>-4.5516613563950848E-4</v>
      </c>
      <c r="J35" s="34">
        <f>IF(EV!J36&lt;0,-Prob!J36,Prob!J36)</f>
        <v>-4.5516613563950848E-4</v>
      </c>
      <c r="K35" s="34">
        <f>IF(EV!K36&lt;0,-Prob!K36,Prob!K36)</f>
        <v>-1.6806134238997238E-3</v>
      </c>
    </row>
    <row r="36" spans="1:12">
      <c r="A36" s="45">
        <v>9</v>
      </c>
      <c r="B36" s="34">
        <f>IF(EV!B37&lt;0,-Prob!B37,Prob!B37)</f>
        <v>-3.1511501698119817E-4</v>
      </c>
      <c r="C36" s="34">
        <f>IF(EV!C37&lt;0,-Prob!C37,Prob!C37)</f>
        <v>4.5516613563950848E-4</v>
      </c>
      <c r="D36" s="34">
        <f>IF(EV!D37&lt;0,-Prob!D37,Prob!D37)</f>
        <v>4.5516613563950848E-4</v>
      </c>
      <c r="E36" s="34">
        <f>IF(EV!E37&lt;0,-Prob!E37,Prob!E37)</f>
        <v>4.5516613563950848E-4</v>
      </c>
      <c r="F36" s="34">
        <f>IF(EV!F37&lt;0,-Prob!F37,Prob!F37)</f>
        <v>4.5516613563950848E-4</v>
      </c>
      <c r="G36" s="34">
        <f>IF(EV!G37&lt;0,-Prob!G37,Prob!G37)</f>
        <v>4.5516613563950848E-4</v>
      </c>
      <c r="H36" s="34">
        <f>IF(EV!H37&lt;0,-Prob!H37,Prob!H37)</f>
        <v>4.5516613563950848E-4</v>
      </c>
      <c r="I36" s="34">
        <f>IF(EV!I37&lt;0,-Prob!I37,Prob!I37)</f>
        <v>4.5516613563950848E-4</v>
      </c>
      <c r="J36" s="34">
        <f>IF(EV!J37&lt;0,-Prob!J37,Prob!J37)</f>
        <v>-4.5516613563950848E-4</v>
      </c>
      <c r="K36" s="34">
        <f>IF(EV!K37&lt;0,-Prob!K37,Prob!K37)</f>
        <v>-1.6806134238997238E-3</v>
      </c>
    </row>
    <row r="37" spans="1:12">
      <c r="A37" s="67">
        <v>10</v>
      </c>
      <c r="B37" s="68">
        <f>IF(EV!B38&lt;0,-Prob!B38,Prob!B38)</f>
        <v>5.0418402716991707E-3</v>
      </c>
      <c r="C37" s="68">
        <f>IF(EV!C38&lt;0,-Prob!C38,Prob!C38)</f>
        <v>7.2826581702321357E-3</v>
      </c>
      <c r="D37" s="68">
        <f>IF(EV!D38&lt;0,-Prob!D38,Prob!D38)</f>
        <v>7.2826581702321357E-3</v>
      </c>
      <c r="E37" s="68">
        <f>IF(EV!E38&lt;0,-Prob!E38,Prob!E38)</f>
        <v>7.2826581702321357E-3</v>
      </c>
      <c r="F37" s="68">
        <f>IF(EV!F38&lt;0,-Prob!F38,Prob!F38)</f>
        <v>7.2826581702321357E-3</v>
      </c>
      <c r="G37" s="68">
        <f>IF(EV!G38&lt;0,-Prob!G38,Prob!G38)</f>
        <v>7.2826581702321357E-3</v>
      </c>
      <c r="H37" s="68">
        <f>IF(EV!H38&lt;0,-Prob!H38,Prob!H38)</f>
        <v>7.2826581702321357E-3</v>
      </c>
      <c r="I37" s="68">
        <f>IF(EV!I38&lt;0,-Prob!I38,Prob!I38)</f>
        <v>7.2826581702321357E-3</v>
      </c>
      <c r="J37" s="68">
        <f>IF(EV!J38&lt;0,-Prob!J38,Prob!J38)</f>
        <v>7.2826581702321357E-3</v>
      </c>
      <c r="K37" s="68">
        <f>IF(EV!K38&lt;0,-Prob!K38,Prob!K38)</f>
        <v>2.688981478239558E-2</v>
      </c>
    </row>
    <row r="38" spans="1:12" ht="16" thickBot="1">
      <c r="A38" s="74" t="s">
        <v>39</v>
      </c>
      <c r="B38" s="79" t="s">
        <v>1</v>
      </c>
      <c r="C38" s="80">
        <v>2</v>
      </c>
      <c r="D38" s="80">
        <v>3</v>
      </c>
      <c r="E38" s="80">
        <v>4</v>
      </c>
      <c r="F38" s="80">
        <v>5</v>
      </c>
      <c r="G38" s="80">
        <v>6</v>
      </c>
      <c r="H38" s="80">
        <v>7</v>
      </c>
      <c r="I38" s="80">
        <v>8</v>
      </c>
      <c r="J38" s="80">
        <v>9</v>
      </c>
      <c r="K38" s="81">
        <v>10</v>
      </c>
    </row>
    <row r="39" spans="1:12">
      <c r="A39" s="78" t="s">
        <v>41</v>
      </c>
      <c r="B39" s="82">
        <f>-(SUMIF(B28:B37,"&lt;0")+SUMIF(B18:B26,"&lt;0") +SUMIF(B2:B16,"&lt;0"))</f>
        <v>4.5061447428311328E-2</v>
      </c>
      <c r="C39" s="83">
        <f t="shared" ref="C39:K39" si="0">-(SUMIF(C28:C37,"&lt;0")+SUMIF(C18:C26,"&lt;0") +SUMIF(C2:C16,"&lt;0"))</f>
        <v>4.2785616750113796E-2</v>
      </c>
      <c r="D39" s="83">
        <f t="shared" si="0"/>
        <v>3.823395539371871E-2</v>
      </c>
      <c r="E39" s="83">
        <f t="shared" si="0"/>
        <v>3.823395539371871E-2</v>
      </c>
      <c r="F39" s="83">
        <f t="shared" si="0"/>
        <v>3.7323623122439697E-2</v>
      </c>
      <c r="G39" s="83">
        <f t="shared" si="0"/>
        <v>3.2771961766044612E-2</v>
      </c>
      <c r="H39" s="83">
        <f t="shared" si="0"/>
        <v>3.914428766499773E-2</v>
      </c>
      <c r="I39" s="83">
        <f t="shared" si="0"/>
        <v>4.3695949021392816E-2</v>
      </c>
      <c r="J39" s="83">
        <f t="shared" si="0"/>
        <v>5.3254437869822494E-2</v>
      </c>
      <c r="K39" s="84">
        <f t="shared" si="0"/>
        <v>0.22520219880256301</v>
      </c>
    </row>
    <row r="40" spans="1:12" ht="16" thickBot="1">
      <c r="A40" s="78" t="s">
        <v>42</v>
      </c>
      <c r="B40" s="85">
        <f>B39</f>
        <v>4.5061447428311328E-2</v>
      </c>
      <c r="C40" s="86">
        <f t="shared" ref="C40:K40" si="1">C39</f>
        <v>4.2785616750113796E-2</v>
      </c>
      <c r="D40" s="86">
        <f t="shared" si="1"/>
        <v>3.823395539371871E-2</v>
      </c>
      <c r="E40" s="86">
        <f t="shared" si="1"/>
        <v>3.823395539371871E-2</v>
      </c>
      <c r="F40" s="86">
        <f t="shared" si="1"/>
        <v>3.7323623122439697E-2</v>
      </c>
      <c r="G40" s="86">
        <f t="shared" si="1"/>
        <v>3.2771961766044612E-2</v>
      </c>
      <c r="H40" s="86">
        <f t="shared" si="1"/>
        <v>3.914428766499773E-2</v>
      </c>
      <c r="I40" s="86">
        <f t="shared" si="1"/>
        <v>4.3695949021392816E-2</v>
      </c>
      <c r="J40" s="86">
        <f t="shared" si="1"/>
        <v>5.3254437869822494E-2</v>
      </c>
      <c r="K40" s="87">
        <f t="shared" si="1"/>
        <v>0.22520219880256301</v>
      </c>
    </row>
    <row r="41" spans="1:12">
      <c r="A41" s="78" t="s">
        <v>40</v>
      </c>
      <c r="B41" s="82">
        <f>SUMIF(B28:B37,"&gt;0")+SUMIF(B18:B26,"&gt;0") +SUMIF(B2:B16,"&gt;0")</f>
        <v>8.1929904415111512E-3</v>
      </c>
      <c r="C41" s="83">
        <f t="shared" ref="C41:K41" si="2">SUMIF(C28:C37,"&gt;0")+SUMIF(C18:C26,"&gt;0") +SUMIF(C2:C16,"&gt;0")</f>
        <v>3.4137460172963138E-2</v>
      </c>
      <c r="D41" s="83">
        <f t="shared" si="2"/>
        <v>3.8689121529358217E-2</v>
      </c>
      <c r="E41" s="83">
        <f t="shared" si="2"/>
        <v>3.8689121529358217E-2</v>
      </c>
      <c r="F41" s="83">
        <f t="shared" si="2"/>
        <v>3.9599453800637244E-2</v>
      </c>
      <c r="G41" s="83">
        <f t="shared" si="2"/>
        <v>4.4151115157032322E-2</v>
      </c>
      <c r="H41" s="83">
        <f t="shared" si="2"/>
        <v>3.7778789258079204E-2</v>
      </c>
      <c r="I41" s="83">
        <f t="shared" si="2"/>
        <v>3.3227127901684125E-2</v>
      </c>
      <c r="J41" s="83">
        <f t="shared" si="2"/>
        <v>2.3668639053254441E-2</v>
      </c>
      <c r="K41" s="84">
        <f t="shared" si="2"/>
        <v>5.8821469836490337E-2</v>
      </c>
    </row>
    <row r="42" spans="1:12" ht="16" thickBot="1">
      <c r="A42" s="78" t="s">
        <v>43</v>
      </c>
      <c r="B42" s="85">
        <f>B41</f>
        <v>8.1929904415111512E-3</v>
      </c>
      <c r="C42" s="86">
        <f t="shared" ref="C42:K42" si="3">C41</f>
        <v>3.4137460172963138E-2</v>
      </c>
      <c r="D42" s="86">
        <f t="shared" si="3"/>
        <v>3.8689121529358217E-2</v>
      </c>
      <c r="E42" s="86">
        <f t="shared" si="3"/>
        <v>3.8689121529358217E-2</v>
      </c>
      <c r="F42" s="86">
        <f t="shared" si="3"/>
        <v>3.9599453800637244E-2</v>
      </c>
      <c r="G42" s="86">
        <f t="shared" si="3"/>
        <v>4.4151115157032322E-2</v>
      </c>
      <c r="H42" s="86">
        <f t="shared" si="3"/>
        <v>3.7778789258079204E-2</v>
      </c>
      <c r="I42" s="86">
        <f t="shared" si="3"/>
        <v>3.3227127901684125E-2</v>
      </c>
      <c r="J42" s="86">
        <f t="shared" si="3"/>
        <v>2.3668639053254441E-2</v>
      </c>
      <c r="K42" s="87">
        <f t="shared" si="3"/>
        <v>5.8821469836490337E-2</v>
      </c>
    </row>
    <row r="43" spans="1:12" ht="16" thickBot="1">
      <c r="A43" s="78" t="s">
        <v>2</v>
      </c>
      <c r="B43" s="89">
        <f>B41+B39</f>
        <v>5.325443786982248E-2</v>
      </c>
      <c r="C43" s="75">
        <f t="shared" ref="C43:K43" si="4">C41+C39</f>
        <v>7.6923076923076927E-2</v>
      </c>
      <c r="D43" s="75">
        <f t="shared" si="4"/>
        <v>7.6923076923076927E-2</v>
      </c>
      <c r="E43" s="75">
        <f t="shared" si="4"/>
        <v>7.6923076923076927E-2</v>
      </c>
      <c r="F43" s="75">
        <f t="shared" si="4"/>
        <v>7.6923076923076941E-2</v>
      </c>
      <c r="G43" s="75">
        <f t="shared" si="4"/>
        <v>7.6923076923076927E-2</v>
      </c>
      <c r="H43" s="75">
        <f t="shared" si="4"/>
        <v>7.6923076923076927E-2</v>
      </c>
      <c r="I43" s="75">
        <f t="shared" si="4"/>
        <v>7.6923076923076941E-2</v>
      </c>
      <c r="J43" s="75">
        <f t="shared" si="4"/>
        <v>7.6923076923076927E-2</v>
      </c>
      <c r="K43" s="90">
        <f t="shared" si="4"/>
        <v>0.28402366863905337</v>
      </c>
      <c r="L43" s="76">
        <f>SUM(B43:K43)-C46</f>
        <v>1.0000000000000002</v>
      </c>
    </row>
    <row r="44" spans="1:12" ht="16" thickBot="1">
      <c r="A44" s="88" t="s">
        <v>44</v>
      </c>
      <c r="B44" s="91">
        <f>B41-B39</f>
        <v>-3.6868456986800177E-2</v>
      </c>
      <c r="C44" s="69">
        <f t="shared" ref="C44:K44" si="5">C41-C39</f>
        <v>-8.6481565771506577E-3</v>
      </c>
      <c r="D44" s="69">
        <f t="shared" si="5"/>
        <v>4.5516613563950648E-4</v>
      </c>
      <c r="E44" s="69">
        <f t="shared" si="5"/>
        <v>4.5516613563950648E-4</v>
      </c>
      <c r="F44" s="69">
        <f t="shared" si="5"/>
        <v>2.2758306781975463E-3</v>
      </c>
      <c r="G44" s="69">
        <f t="shared" si="5"/>
        <v>1.137915339098771E-2</v>
      </c>
      <c r="H44" s="69">
        <f t="shared" si="5"/>
        <v>-1.3654984069185264E-3</v>
      </c>
      <c r="I44" s="69">
        <f t="shared" si="5"/>
        <v>-1.0468821119708691E-2</v>
      </c>
      <c r="J44" s="69">
        <f t="shared" si="5"/>
        <v>-2.9585798816568053E-2</v>
      </c>
      <c r="K44" s="70">
        <f t="shared" si="5"/>
        <v>-0.16638072896607267</v>
      </c>
      <c r="L44" s="77">
        <f>SUM(B44:K44)</f>
        <v>-0.23875214453275451</v>
      </c>
    </row>
    <row r="45" spans="1:1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>
      <c r="A46" s="357" t="s">
        <v>11</v>
      </c>
      <c r="B46" s="358"/>
      <c r="C46" s="34">
        <f>IF(EV!H41&lt;0,-Prob!C40,Prob!C40)</f>
        <v>-4.7337278106508882E-2</v>
      </c>
    </row>
    <row r="47" spans="1:12">
      <c r="C47" s="73">
        <f>SUM(B44:K44)</f>
        <v>-0.23875214453275451</v>
      </c>
    </row>
    <row r="48" spans="1:12">
      <c r="B48" s="40" t="s">
        <v>2</v>
      </c>
      <c r="C48" s="73">
        <f>C47+C46</f>
        <v>-0.2860894226392634</v>
      </c>
    </row>
  </sheetData>
  <sheetProtection sheet="1" objects="1" scenarios="1"/>
  <mergeCells count="8">
    <mergeCell ref="A46:B46"/>
    <mergeCell ref="M6:N6"/>
    <mergeCell ref="M7:N7"/>
    <mergeCell ref="M2:R2"/>
    <mergeCell ref="M12:S12"/>
    <mergeCell ref="M3:N3"/>
    <mergeCell ref="M4:N4"/>
    <mergeCell ref="M5:N5"/>
  </mergeCells>
  <phoneticPr fontId="16" type="noConversion"/>
  <conditionalFormatting sqref="B2:K16 B18:K26 B28:K37 B39:K45">
    <cfRule type="containsText" dxfId="639" priority="19" operator="containsText" text="R">
      <formula>NOT(ISERROR(SEARCH("R",B2)))</formula>
    </cfRule>
    <cfRule type="containsText" dxfId="638" priority="20" operator="containsText" text="D">
      <formula>NOT(ISERROR(SEARCH("D",B2)))</formula>
    </cfRule>
    <cfRule type="containsText" dxfId="637" priority="21" operator="containsText" text="S">
      <formula>NOT(ISERROR(SEARCH("S",B2)))</formula>
    </cfRule>
    <cfRule type="containsText" dxfId="636" priority="22" operator="containsText" text="H">
      <formula>NOT(ISERROR(SEARCH("H",B2)))</formula>
    </cfRule>
  </conditionalFormatting>
  <conditionalFormatting sqref="B2:K16 B18:K26 B28:K37 B39:K45">
    <cfRule type="containsText" dxfId="635" priority="18" operator="containsText" text="P">
      <formula>NOT(ISERROR(SEARCH("P",B2)))</formula>
    </cfRule>
  </conditionalFormatting>
  <conditionalFormatting sqref="B2:K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 B39:K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ntainsText" dxfId="634" priority="8" operator="containsText" text="R">
      <formula>NOT(ISERROR(SEARCH("R",C46)))</formula>
    </cfRule>
    <cfRule type="containsText" dxfId="633" priority="9" operator="containsText" text="D">
      <formula>NOT(ISERROR(SEARCH("D",C46)))</formula>
    </cfRule>
    <cfRule type="containsText" dxfId="632" priority="10" operator="containsText" text="S">
      <formula>NOT(ISERROR(SEARCH("S",C46)))</formula>
    </cfRule>
    <cfRule type="containsText" dxfId="631" priority="11" operator="containsText" text="H">
      <formula>NOT(ISERROR(SEARCH("H",C46)))</formula>
    </cfRule>
  </conditionalFormatting>
  <conditionalFormatting sqref="C46">
    <cfRule type="containsText" dxfId="630" priority="7" operator="containsText" text="P">
      <formula>NOT(ISERROR(SEARCH("P",C46)))</formula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2:W63"/>
  <sheetViews>
    <sheetView zoomScale="90" zoomScaleNormal="90" zoomScalePageLayoutView="90" workbookViewId="0">
      <selection activeCell="I3" sqref="I3"/>
    </sheetView>
  </sheetViews>
  <sheetFormatPr baseColWidth="10" defaultColWidth="8.83203125" defaultRowHeight="16"/>
  <cols>
    <col min="2" max="3" width="8.83203125" customWidth="1"/>
    <col min="18" max="18" width="8.6640625" style="163" customWidth="1"/>
    <col min="21" max="21" width="8.6640625" style="163" customWidth="1"/>
    <col min="22" max="22" width="9.6640625" bestFit="1" customWidth="1"/>
  </cols>
  <sheetData>
    <row r="2" spans="1:23">
      <c r="A2" t="s">
        <v>39</v>
      </c>
      <c r="B2" s="133" t="s">
        <v>124</v>
      </c>
      <c r="C2" s="134">
        <f>'WL Prob'!P15</f>
        <v>0.41756103307080233</v>
      </c>
      <c r="D2" s="133" t="s">
        <v>125</v>
      </c>
      <c r="E2" s="134">
        <f>'WL Prob'!R15</f>
        <v>0.58243896692919761</v>
      </c>
      <c r="F2" t="s">
        <v>46</v>
      </c>
      <c r="G2">
        <f>'ER EL'!N3</f>
        <v>58.185789030925747</v>
      </c>
      <c r="H2" t="s">
        <v>200</v>
      </c>
      <c r="I2">
        <f>'ER EL'!N4</f>
        <v>-41.769555803110698</v>
      </c>
      <c r="J2" s="133" t="s">
        <v>126</v>
      </c>
      <c r="K2" s="134">
        <f>I2*E2+G2*C2</f>
        <v>-3.2098753262150836E-2</v>
      </c>
    </row>
    <row r="4" spans="1:23">
      <c r="A4" s="384" t="s">
        <v>127</v>
      </c>
      <c r="B4" s="384"/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</row>
    <row r="5" spans="1:23">
      <c r="A5" t="s">
        <v>122</v>
      </c>
      <c r="B5">
        <f>$C$2</f>
        <v>0.41756103307080233</v>
      </c>
      <c r="C5" t="s">
        <v>123</v>
      </c>
      <c r="D5">
        <f>$E$2</f>
        <v>0.58243896692919761</v>
      </c>
      <c r="E5" t="s">
        <v>46</v>
      </c>
      <c r="F5">
        <f>G2</f>
        <v>58.185789030925747</v>
      </c>
      <c r="G5" t="s">
        <v>153</v>
      </c>
      <c r="H5">
        <f>I2</f>
        <v>-41.769555803110698</v>
      </c>
      <c r="I5" t="s">
        <v>47</v>
      </c>
      <c r="J5">
        <f>B5*F5+D5*H5</f>
        <v>-3.2098753262150836E-2</v>
      </c>
    </row>
    <row r="6" spans="1:23" ht="17" thickBot="1"/>
    <row r="7" spans="1:23" ht="17" thickBot="1">
      <c r="A7" s="102"/>
      <c r="B7" s="102">
        <v>1</v>
      </c>
      <c r="C7" s="138">
        <v>0</v>
      </c>
      <c r="D7" s="135">
        <v>-1</v>
      </c>
      <c r="E7" s="116">
        <v>-2</v>
      </c>
      <c r="F7" s="116">
        <v>-3</v>
      </c>
      <c r="G7" s="116">
        <v>-4</v>
      </c>
      <c r="H7" s="116">
        <v>-5</v>
      </c>
      <c r="I7" s="116">
        <v>-6</v>
      </c>
      <c r="J7" s="116">
        <v>-7</v>
      </c>
      <c r="K7" s="116">
        <v>-8</v>
      </c>
      <c r="L7" s="116">
        <v>-9</v>
      </c>
      <c r="M7" s="104">
        <v>-10</v>
      </c>
      <c r="N7" t="s">
        <v>133</v>
      </c>
      <c r="R7" s="166" t="s">
        <v>48</v>
      </c>
      <c r="S7" s="148" t="s">
        <v>129</v>
      </c>
      <c r="T7" s="149" t="s">
        <v>134</v>
      </c>
      <c r="U7" s="164" t="s">
        <v>47</v>
      </c>
      <c r="V7" s="159" t="s">
        <v>46</v>
      </c>
      <c r="W7" s="152" t="s">
        <v>200</v>
      </c>
    </row>
    <row r="8" spans="1:23">
      <c r="A8" s="100">
        <v>1</v>
      </c>
      <c r="B8" s="95">
        <f>C8*B5</f>
        <v>0.41756103307080233</v>
      </c>
      <c r="C8" s="95">
        <v>1</v>
      </c>
      <c r="D8" s="136">
        <f>C8*D5</f>
        <v>0.58243896692919761</v>
      </c>
      <c r="E8" s="108"/>
      <c r="F8" s="108"/>
      <c r="G8" s="108"/>
      <c r="H8" s="108"/>
      <c r="I8" s="108"/>
      <c r="J8" s="108"/>
      <c r="K8" s="108"/>
      <c r="L8" s="108"/>
      <c r="M8" s="57"/>
      <c r="N8">
        <f>B8+D8</f>
        <v>1</v>
      </c>
      <c r="R8" s="167">
        <f>B8-D8</f>
        <v>-0.16487793385839528</v>
      </c>
      <c r="S8" s="107">
        <f>SUM(C8)*B5*F5</f>
        <v>24.296118177793115</v>
      </c>
      <c r="T8" s="57">
        <f>SUM(C8)*D5*H5</f>
        <v>-24.328216931055266</v>
      </c>
      <c r="U8" s="238">
        <f>S8+T8</f>
        <v>-3.2098753262150836E-2</v>
      </c>
      <c r="V8" s="282">
        <f>S8/B5</f>
        <v>58.185789030925754</v>
      </c>
      <c r="W8" s="57">
        <f>T8/D5</f>
        <v>-41.769555803110698</v>
      </c>
    </row>
    <row r="9" spans="1:23">
      <c r="A9" s="98">
        <v>2</v>
      </c>
      <c r="B9" s="97">
        <f>C9*B5</f>
        <v>0.55174833370260112</v>
      </c>
      <c r="C9" s="97">
        <f>1/(1-B5*D5)</f>
        <v>1.321359729486649</v>
      </c>
      <c r="D9" s="128">
        <f>C9*D5</f>
        <v>0.76961139578404791</v>
      </c>
      <c r="E9" s="1">
        <f>D9*D5</f>
        <v>0.44825166629739871</v>
      </c>
      <c r="F9" s="1"/>
      <c r="G9" s="1"/>
      <c r="H9" s="1"/>
      <c r="I9" s="1"/>
      <c r="J9" s="1"/>
      <c r="K9" s="1"/>
      <c r="L9" s="1"/>
      <c r="M9" s="9"/>
      <c r="N9">
        <f>B9+E9</f>
        <v>0.99999999999999978</v>
      </c>
      <c r="R9" s="168">
        <f>B9-E9</f>
        <v>0.10349666740520241</v>
      </c>
      <c r="S9" s="93">
        <f>SUM(C9:D9)*B5*F5</f>
        <v>50.802481565929902</v>
      </c>
      <c r="T9" s="9">
        <f>SUM(C9:D9)*D5*H5</f>
        <v>-50.86959913215825</v>
      </c>
      <c r="U9" s="239">
        <f>S9+T9</f>
        <v>-6.7117566228347414E-2</v>
      </c>
      <c r="V9" s="93">
        <f>S9/B5</f>
        <v>121.66480476475819</v>
      </c>
      <c r="W9" s="9">
        <f>T9/D5</f>
        <v>-87.338935099687546</v>
      </c>
    </row>
    <row r="10" spans="1:23">
      <c r="A10" s="98">
        <v>3</v>
      </c>
      <c r="B10" s="97">
        <f>C10*B5</f>
        <v>0.61529067933876413</v>
      </c>
      <c r="C10" s="97">
        <f>1/(1-D5*B5/(1-D5*B5))</f>
        <v>1.4735347185388212</v>
      </c>
      <c r="D10" s="128">
        <f>C10*D5*C9</f>
        <v>1.1340491114709164</v>
      </c>
      <c r="E10" s="1">
        <f>D10*(D5)</f>
        <v>0.66051439293209502</v>
      </c>
      <c r="F10" s="1">
        <f>E10*D5</f>
        <v>0.38470932066123553</v>
      </c>
      <c r="G10" s="1"/>
      <c r="H10" s="1"/>
      <c r="I10" s="1"/>
      <c r="J10" s="1"/>
      <c r="K10" s="1"/>
      <c r="L10" s="1"/>
      <c r="M10" s="9"/>
      <c r="N10">
        <f>B10+F10</f>
        <v>0.99999999999999967</v>
      </c>
      <c r="R10" s="168">
        <f>B10-F10</f>
        <v>0.2305813586775286</v>
      </c>
      <c r="S10" s="93">
        <f>SUM(C10:E10)*B5*F5</f>
        <v>79.402100641230433</v>
      </c>
      <c r="T10" s="9">
        <f>SUM(C10:E10)*D5*H5</f>
        <v>-79.50700251972512</v>
      </c>
      <c r="U10" s="239">
        <f t="shared" ref="U10:U17" si="0">S10+T10</f>
        <v>-0.10490187849468668</v>
      </c>
      <c r="V10" s="93">
        <f>S10/B5</f>
        <v>190.15687373243682</v>
      </c>
      <c r="W10" s="9">
        <f>T10/D5</f>
        <v>-136.50701109321579</v>
      </c>
    </row>
    <row r="11" spans="1:23">
      <c r="A11" s="98">
        <v>4</v>
      </c>
      <c r="B11" s="97">
        <f>C11*B5</f>
        <v>0.65078091183671594</v>
      </c>
      <c r="C11" s="97">
        <f>1/(1-D5*B5/(1-D5*B5/(1-D5*B5)))</f>
        <v>1.5585288384090392</v>
      </c>
      <c r="D11" s="128">
        <f>C11*D5*C10</f>
        <v>1.3375980854859468</v>
      </c>
      <c r="E11" s="1">
        <f>D11*D5*C9</f>
        <v>1.0294307295689098</v>
      </c>
      <c r="F11" s="1">
        <f>E11*D5</f>
        <v>0.59958057065528603</v>
      </c>
      <c r="G11" s="1">
        <f>F11*D5</f>
        <v>0.34921908816328356</v>
      </c>
      <c r="H11" s="1"/>
      <c r="I11" s="1"/>
      <c r="J11" s="1"/>
      <c r="K11" s="1"/>
      <c r="L11" s="1"/>
      <c r="M11" s="9"/>
      <c r="N11">
        <f>B11+G11</f>
        <v>0.99999999999999956</v>
      </c>
      <c r="R11" s="168">
        <f>B11-G11</f>
        <v>0.30156182367343237</v>
      </c>
      <c r="S11" s="93">
        <f>SUM(C11:F11)*B5*F5</f>
        <v>109.9432930640485</v>
      </c>
      <c r="T11" s="9">
        <f>SUM(C11:F11)*D5*H5</f>
        <v>-110.08854435938164</v>
      </c>
      <c r="U11" s="239">
        <f t="shared" si="0"/>
        <v>-0.1452512953331393</v>
      </c>
      <c r="V11" s="93">
        <f>S11/B5</f>
        <v>263.29873804437671</v>
      </c>
      <c r="W11" s="9">
        <f>T11/D5</f>
        <v>-189.01301356913541</v>
      </c>
    </row>
    <row r="12" spans="1:23">
      <c r="A12" s="98">
        <v>5</v>
      </c>
      <c r="B12" s="97">
        <f>C12*B5</f>
        <v>0.67244450850030923</v>
      </c>
      <c r="C12" s="97">
        <f>1/(1-D5*B5/(1-D5*B5/(1-D5*B5/(1-D5*B5))))</f>
        <v>1.6104101083261007</v>
      </c>
      <c r="D12" s="128">
        <f>C12*D5*C11</f>
        <v>1.4618464367641282</v>
      </c>
      <c r="E12" s="1">
        <f>D12*D5*C10</f>
        <v>1.2546209905786561</v>
      </c>
      <c r="F12" s="1">
        <f>E12*D5*C9</f>
        <v>0.96557061173920422</v>
      </c>
      <c r="G12" s="1">
        <f>F12*D5</f>
        <v>0.56238594959857546</v>
      </c>
      <c r="H12" s="1">
        <f>G12*D5</f>
        <v>0.3275554914996901</v>
      </c>
      <c r="I12" s="1"/>
      <c r="J12" s="1"/>
      <c r="K12" s="1"/>
      <c r="L12" s="1"/>
      <c r="M12" s="9"/>
      <c r="N12">
        <f>B12+H12</f>
        <v>0.99999999999999933</v>
      </c>
      <c r="R12" s="168">
        <f>B12-H12</f>
        <v>0.34488901700061914</v>
      </c>
      <c r="S12" s="93">
        <f>SUM(C12:G12)*B5*F5</f>
        <v>142.24974113224658</v>
      </c>
      <c r="T12" s="9">
        <f>SUM(C12:G12)*D5*H5</f>
        <v>-142.43767400731724</v>
      </c>
      <c r="U12" s="239">
        <f t="shared" si="0"/>
        <v>-0.1879328750706577</v>
      </c>
      <c r="V12" s="93">
        <f>S12/B5</f>
        <v>340.66814157950051</v>
      </c>
      <c r="W12" s="9">
        <f>T12/D5</f>
        <v>-244.55381953287517</v>
      </c>
    </row>
    <row r="13" spans="1:23">
      <c r="A13" s="98">
        <v>6</v>
      </c>
      <c r="B13" s="97">
        <f>C13*B5</f>
        <v>0.68639178953862423</v>
      </c>
      <c r="C13" s="97">
        <f>1/(1-D5*B5/(1-D5*B5/(1-D5*B5/(1-D5*B5/(1-D5*B5)))))</f>
        <v>1.6438118865900941</v>
      </c>
      <c r="D13" s="128">
        <f>C13*D5*C12</f>
        <v>1.5418390022062434</v>
      </c>
      <c r="E13" s="1">
        <f>D13*D5*C11</f>
        <v>1.3996011573610569</v>
      </c>
      <c r="F13" s="1">
        <f>E13*D5*C10</f>
        <v>1.2011993505626282</v>
      </c>
      <c r="G13" s="1">
        <f>F13*D5*C9</f>
        <v>0.92445670880139608</v>
      </c>
      <c r="H13" s="1">
        <f>G13*D5</f>
        <v>0.53843961044505118</v>
      </c>
      <c r="I13" s="1">
        <f>H13*D5</f>
        <v>0.31360821046137521</v>
      </c>
      <c r="J13" s="1"/>
      <c r="K13" s="1"/>
      <c r="L13" s="1"/>
      <c r="M13" s="9"/>
      <c r="N13">
        <f>B13+I13</f>
        <v>0.99999999999999944</v>
      </c>
      <c r="R13" s="168">
        <f>B13-I13</f>
        <v>0.37278357907724902</v>
      </c>
      <c r="S13" s="93">
        <f>SUM(C13:H13)*B5*F5</f>
        <v>176.13100881903597</v>
      </c>
      <c r="T13" s="9">
        <f>SUM(C13:H13)*D5*H5</f>
        <v>-176.36370384268233</v>
      </c>
      <c r="U13" s="239">
        <f t="shared" si="0"/>
        <v>-0.23269502364635741</v>
      </c>
      <c r="V13" s="93">
        <f>S13/B5</f>
        <v>421.80901681304852</v>
      </c>
      <c r="W13" s="9">
        <f>T13/D5</f>
        <v>-302.80203395821462</v>
      </c>
    </row>
    <row r="14" spans="1:23">
      <c r="A14" s="98">
        <v>7</v>
      </c>
      <c r="B14" s="97">
        <f>C14*B5</f>
        <v>0.69568150797194872</v>
      </c>
      <c r="C14" s="97">
        <f>1/(1-D5*B5/(1-D5*B5/(1-D5*B5/(1-D5*B5/(1-D5*B5/(1-D5*B5))))))</f>
        <v>1.6660594568794158</v>
      </c>
      <c r="D14" s="128">
        <f>C14*D5*C13</f>
        <v>1.5951188068990092</v>
      </c>
      <c r="E14" s="1">
        <f>D14*D5*C12</f>
        <v>1.4961665685064296</v>
      </c>
      <c r="F14" s="1">
        <f>E14*D5*C11</f>
        <v>1.358142100368539</v>
      </c>
      <c r="G14" s="1">
        <f>F14*D5*C10</f>
        <v>1.1656173620279442</v>
      </c>
      <c r="H14" s="1">
        <f>G14*D5*C9</f>
        <v>0.89707240494044593</v>
      </c>
      <c r="I14" s="1">
        <f>H14*D5</f>
        <v>0.5224899247942042</v>
      </c>
      <c r="J14" s="1">
        <f>I14*D5</f>
        <v>0.30431849202805045</v>
      </c>
      <c r="K14" s="1"/>
      <c r="L14" s="1"/>
      <c r="M14" s="9"/>
      <c r="N14">
        <f>B14+J14</f>
        <v>0.99999999999999911</v>
      </c>
      <c r="R14" s="168">
        <f>B14-J14</f>
        <v>0.39136301594389827</v>
      </c>
      <c r="S14" s="93">
        <f>SUM(C14:I14)*B5*F5</f>
        <v>211.39242453239112</v>
      </c>
      <c r="T14" s="9">
        <f>SUM(C14:I14)*D5*H5</f>
        <v>-211.6717050835845</v>
      </c>
      <c r="U14" s="239">
        <f t="shared" si="0"/>
        <v>-0.27928055119338069</v>
      </c>
      <c r="V14" s="93">
        <f>S14/B5</f>
        <v>506.25515263668552</v>
      </c>
      <c r="W14" s="9">
        <f>T14/D5</f>
        <v>-363.42298009280637</v>
      </c>
    </row>
    <row r="15" spans="1:23">
      <c r="A15" s="98">
        <v>8</v>
      </c>
      <c r="B15" s="97">
        <f>C15*B5</f>
        <v>0.70200980195132934</v>
      </c>
      <c r="C15" s="97">
        <f>1/(1-D5*B5/(1-D5*B5/(1-D5*B5/(1-D5*B5/(1-D5*B5/(1-D5*B5/(1-D5*B5)))))))</f>
        <v>1.681214831730468</v>
      </c>
      <c r="D15" s="128">
        <f>C15*D5*C14</f>
        <v>1.6314138000874239</v>
      </c>
      <c r="E15" s="1">
        <f>D15*D5*C13</f>
        <v>1.5619483588108085</v>
      </c>
      <c r="F15" s="1">
        <f>E15*D5*C12</f>
        <v>1.4650538292688904</v>
      </c>
      <c r="G15" s="1">
        <f>F15*D5*C11</f>
        <v>1.3298995758356775</v>
      </c>
      <c r="H15" s="1">
        <f>G15*D5*C10</f>
        <v>1.1413783836956544</v>
      </c>
      <c r="I15" s="1">
        <f>H15*D5*C9</f>
        <v>0.87841781099375305</v>
      </c>
      <c r="J15" s="1">
        <f>I15*D5</f>
        <v>0.51162476236740873</v>
      </c>
      <c r="K15" s="1">
        <f>J15*D5</f>
        <v>0.29799019804866977</v>
      </c>
      <c r="L15" s="1"/>
      <c r="M15" s="9"/>
      <c r="N15">
        <f>B15+K15</f>
        <v>0.99999999999999911</v>
      </c>
      <c r="R15" s="168">
        <f>B15-K15</f>
        <v>0.40401960390265956</v>
      </c>
      <c r="S15" s="93">
        <f>SUM(C15:J15)*B5*F5</f>
        <v>247.84351959330644</v>
      </c>
      <c r="T15" s="9">
        <f>SUM(C15:J15)*D5*H5</f>
        <v>-248.17095741381885</v>
      </c>
      <c r="U15" s="239">
        <f t="shared" si="0"/>
        <v>-0.3274378205124151</v>
      </c>
      <c r="V15" s="93">
        <f>S15/B5</f>
        <v>593.55040332818055</v>
      </c>
      <c r="W15" s="9">
        <f>T15/D5</f>
        <v>-426.08920677518302</v>
      </c>
    </row>
    <row r="16" spans="1:23">
      <c r="A16" s="98">
        <v>9</v>
      </c>
      <c r="B16" s="97">
        <f>C16*B5</f>
        <v>0.70638706878938795</v>
      </c>
      <c r="C16" s="97">
        <f>1/(1-D5*B5/(1-D5*B5/(1-D5*B5/(1-D5*B5/(1-D5*B5/(1-D5*B5/(1-D5*B5/(1-D5*B5))))))))</f>
        <v>1.6916977707295111</v>
      </c>
      <c r="D16" s="128">
        <f>C16*D5*C15</f>
        <v>1.6565189659644932</v>
      </c>
      <c r="E16" s="1">
        <f>D16*D5*C14</f>
        <v>1.6074494765189431</v>
      </c>
      <c r="F16" s="1">
        <f>E16*D5*C13</f>
        <v>1.5390044338141007</v>
      </c>
      <c r="G16" s="1">
        <f>F16*D5*C12</f>
        <v>1.4435332168969952</v>
      </c>
      <c r="H16" s="1">
        <f>G16*D5*C11</f>
        <v>1.3103642845765231</v>
      </c>
      <c r="I16" s="1">
        <f>H16*D5*C10</f>
        <v>1.1246123364184482</v>
      </c>
      <c r="J16" s="1">
        <f>I16*D5*C9</f>
        <v>0.86551446994696113</v>
      </c>
      <c r="K16" s="1">
        <f>J16*D5</f>
        <v>0.50410935373818011</v>
      </c>
      <c r="L16" s="1">
        <f>K16*D5</f>
        <v>0.29361293121061105</v>
      </c>
      <c r="M16" s="9"/>
      <c r="N16">
        <f>B16+L16</f>
        <v>0.999999999999999</v>
      </c>
      <c r="R16" s="168">
        <f>B16-L16</f>
        <v>0.4127741375787769</v>
      </c>
      <c r="S16" s="93">
        <f>SUM(C16:K16)*B5*F5</f>
        <v>285.30456122054471</v>
      </c>
      <c r="T16" s="9">
        <f>SUM(C16:K16)*D5*H5</f>
        <v>-285.68149059865232</v>
      </c>
      <c r="U16" s="239">
        <f t="shared" si="0"/>
        <v>-0.37692937810760441</v>
      </c>
      <c r="V16" s="93">
        <f>S16/B5</f>
        <v>683.26433413188727</v>
      </c>
      <c r="W16" s="9">
        <f>T16/D5</f>
        <v>-490.49171985324995</v>
      </c>
    </row>
    <row r="17" spans="1:23" ht="17" thickBot="1">
      <c r="A17" s="99">
        <v>10</v>
      </c>
      <c r="B17" s="129">
        <f>C17*B5</f>
        <v>0.70944689042673348</v>
      </c>
      <c r="C17" s="129">
        <f>1/(1-D5*B5/(1-D5*B5/(1-D5*B5/(1-D5*B5/(1-D5*B5/(1-D5*B5/(1-D5*B5/(1-D5*B5/(1-D5*B5)))))))))</f>
        <v>1.6990256135956021</v>
      </c>
      <c r="D17" s="137">
        <f>C17*D5*C16</f>
        <v>1.6740681199461309</v>
      </c>
      <c r="E17" s="109">
        <f>D17*D5*C15</f>
        <v>1.6392559232441577</v>
      </c>
      <c r="F17" s="109">
        <f>E17*D5*C14</f>
        <v>1.590697800532082</v>
      </c>
      <c r="G17" s="109">
        <f>F17*D5*C13</f>
        <v>1.5229660425649854</v>
      </c>
      <c r="H17" s="109">
        <f>G17*D5*C12</f>
        <v>1.4284897576287781</v>
      </c>
      <c r="I17" s="109">
        <f>H17*D5*C11</f>
        <v>1.2967086156173238</v>
      </c>
      <c r="J17" s="109">
        <f>I17*D5*C10</f>
        <v>1.1128924399329261</v>
      </c>
      <c r="K17" s="109">
        <f>J17*D5*C9</f>
        <v>0.85649470405429384</v>
      </c>
      <c r="L17" s="109">
        <f>K17*D5</f>
        <v>0.49885589060971175</v>
      </c>
      <c r="M17" s="10">
        <f>L17*D5</f>
        <v>0.2905531095732653</v>
      </c>
      <c r="N17">
        <f>B17+M17</f>
        <v>0.99999999999999878</v>
      </c>
      <c r="R17" s="169">
        <f>B17-M17</f>
        <v>0.41889378085346818</v>
      </c>
      <c r="S17" s="94">
        <f>SUM(C17:L17)*B5*F5</f>
        <v>323.61105050189718</v>
      </c>
      <c r="T17" s="10">
        <f>SUM(C17:L17)*D5*H5</f>
        <v>-324.03858839856662</v>
      </c>
      <c r="U17" s="240">
        <f t="shared" si="0"/>
        <v>-0.42753789666943476</v>
      </c>
      <c r="V17" s="94">
        <f>S17/B5</f>
        <v>775.00299326787319</v>
      </c>
      <c r="W17" s="10">
        <f>T17/D5</f>
        <v>-556.34771503527747</v>
      </c>
    </row>
    <row r="20" spans="1:23">
      <c r="A20" s="384" t="s">
        <v>128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</row>
    <row r="21" spans="1:23">
      <c r="A21" t="s">
        <v>122</v>
      </c>
      <c r="B21">
        <f>$C$2</f>
        <v>0.41756103307080233</v>
      </c>
      <c r="C21" t="s">
        <v>123</v>
      </c>
      <c r="D21">
        <f>$E$2</f>
        <v>0.58243896692919761</v>
      </c>
      <c r="E21" t="s">
        <v>46</v>
      </c>
      <c r="F21">
        <f>G2</f>
        <v>58.185789030925747</v>
      </c>
      <c r="G21" t="s">
        <v>153</v>
      </c>
      <c r="H21">
        <f>I2</f>
        <v>-41.769555803110698</v>
      </c>
      <c r="I21" t="s">
        <v>47</v>
      </c>
      <c r="J21">
        <f>B21*F21+D21*H21</f>
        <v>-3.2098753262150836E-2</v>
      </c>
    </row>
    <row r="22" spans="1:23" ht="17" thickBot="1"/>
    <row r="23" spans="1:23" ht="17" thickBot="1">
      <c r="A23" s="102"/>
      <c r="B23" s="115">
        <v>2</v>
      </c>
      <c r="C23" s="102">
        <v>1</v>
      </c>
      <c r="D23" s="138">
        <v>0</v>
      </c>
      <c r="E23" s="135">
        <v>-1</v>
      </c>
      <c r="F23" s="116">
        <v>-2</v>
      </c>
      <c r="G23" s="116">
        <v>-3</v>
      </c>
      <c r="H23" s="116">
        <v>-4</v>
      </c>
      <c r="I23" s="116">
        <v>-5</v>
      </c>
      <c r="J23" s="116">
        <v>-6</v>
      </c>
      <c r="K23" s="116">
        <v>-7</v>
      </c>
      <c r="L23" s="116">
        <v>-8</v>
      </c>
      <c r="M23" s="116">
        <v>-9</v>
      </c>
      <c r="N23" s="104">
        <v>-10</v>
      </c>
      <c r="O23" t="s">
        <v>133</v>
      </c>
      <c r="R23" s="166" t="s">
        <v>48</v>
      </c>
      <c r="S23" s="148" t="s">
        <v>129</v>
      </c>
      <c r="T23" s="149" t="s">
        <v>134</v>
      </c>
      <c r="U23" s="165" t="s">
        <v>47</v>
      </c>
      <c r="V23" s="159" t="s">
        <v>46</v>
      </c>
      <c r="W23" s="152" t="s">
        <v>200</v>
      </c>
    </row>
    <row r="24" spans="1:23">
      <c r="A24" s="100">
        <v>1</v>
      </c>
      <c r="B24" s="107">
        <f>C24*B21</f>
        <v>0.23038860421595192</v>
      </c>
      <c r="C24" s="95">
        <f>D24*B21</f>
        <v>0.55174833370260112</v>
      </c>
      <c r="D24" s="95">
        <f>1/(1-B21*D21)</f>
        <v>1.321359729486649</v>
      </c>
      <c r="E24" s="136">
        <f>D24*D21</f>
        <v>0.76961139578404791</v>
      </c>
      <c r="F24" s="108"/>
      <c r="G24" s="108"/>
      <c r="H24" s="108"/>
      <c r="I24" s="108"/>
      <c r="J24" s="108"/>
      <c r="K24" s="108"/>
      <c r="L24" s="108"/>
      <c r="M24" s="108"/>
      <c r="N24" s="57"/>
      <c r="O24">
        <f>E24+B24</f>
        <v>0.99999999999999978</v>
      </c>
      <c r="R24" s="170">
        <f>B24-E24</f>
        <v>-0.53922279156809605</v>
      </c>
      <c r="S24" s="107">
        <f>SUM(C24:D24)*B21*F21</f>
        <v>45.509254863023195</v>
      </c>
      <c r="T24" s="57">
        <f>SUM(C24:D24)*D21*H21</f>
        <v>-45.569379296576855</v>
      </c>
      <c r="U24" s="238">
        <f>S24+T24</f>
        <v>-6.0124433553660594E-2</v>
      </c>
      <c r="V24" s="282">
        <f>S24/B21</f>
        <v>108.98827059685564</v>
      </c>
      <c r="W24" s="57">
        <f>T24/D21</f>
        <v>-78.238891770639995</v>
      </c>
    </row>
    <row r="25" spans="1:23">
      <c r="A25" s="98">
        <v>2</v>
      </c>
      <c r="B25" s="93">
        <f>C25*B21</f>
        <v>0.33948560706790459</v>
      </c>
      <c r="C25" s="97">
        <f>D25*B21</f>
        <v>0.81302032560672599</v>
      </c>
      <c r="D25" s="97">
        <f>1/(1-B21*D21*2)</f>
        <v>1.9470694370776425</v>
      </c>
      <c r="E25" s="128">
        <f>D25*D21</f>
        <v>1.1340491114709164</v>
      </c>
      <c r="F25" s="1">
        <f>E25*D21</f>
        <v>0.66051439293209502</v>
      </c>
      <c r="G25" s="1"/>
      <c r="H25" s="1"/>
      <c r="I25" s="1"/>
      <c r="J25" s="1"/>
      <c r="K25" s="1"/>
      <c r="L25" s="1"/>
      <c r="M25" s="1"/>
      <c r="N25" s="9"/>
      <c r="O25">
        <f>F25+B25</f>
        <v>0.99999999999999956</v>
      </c>
      <c r="R25" s="171">
        <f>B25-F25</f>
        <v>-0.32102878586419042</v>
      </c>
      <c r="S25" s="93">
        <f>SUM(C25:E25)*B21*F21</f>
        <v>94.612458287215034</v>
      </c>
      <c r="T25" s="9">
        <f>SUM(C25:E25)*D21*H21</f>
        <v>-94.737455290105089</v>
      </c>
      <c r="U25" s="239">
        <f>S25+T25</f>
        <v>-0.12499700289005489</v>
      </c>
      <c r="V25" s="93">
        <f>S25/B21</f>
        <v>226.58354298872612</v>
      </c>
      <c r="W25" s="9">
        <f>T25/D21</f>
        <v>-162.65645100909182</v>
      </c>
    </row>
    <row r="26" spans="1:23">
      <c r="A26" s="98">
        <v>3</v>
      </c>
      <c r="B26" s="93">
        <f>C26*B21</f>
        <v>0.40041942934471342</v>
      </c>
      <c r="C26" s="97">
        <f>D26*B21</f>
        <v>0.95894826775375286</v>
      </c>
      <c r="D26" s="97">
        <f>1/(1-B21*D21-D21*B21/(1-D21*B21))</f>
        <v>2.2965463532396999</v>
      </c>
      <c r="E26" s="128">
        <f>D26*D21/(1-B21*D21)</f>
        <v>1.7674482443995707</v>
      </c>
      <c r="F26" s="1">
        <f>E26*(D21)</f>
        <v>1.02943072956891</v>
      </c>
      <c r="G26" s="1">
        <f>F26*D21</f>
        <v>0.59958057065528614</v>
      </c>
      <c r="H26" s="1"/>
      <c r="I26" s="1"/>
      <c r="J26" s="1"/>
      <c r="K26" s="1"/>
      <c r="L26" s="1"/>
      <c r="M26" s="1"/>
      <c r="N26" s="9"/>
      <c r="O26">
        <f>G26+B26</f>
        <v>0.99999999999999956</v>
      </c>
      <c r="R26" s="171">
        <f>B26-G26</f>
        <v>-0.19916114131057272</v>
      </c>
      <c r="S26" s="93">
        <f>SUM(C26:F26)*B21*F21</f>
        <v>147.04918411934969</v>
      </c>
      <c r="T26" s="9">
        <f>SUM(C26:F26)*D21*H21</f>
        <v>-147.24345776602473</v>
      </c>
      <c r="U26" s="239">
        <f t="shared" ref="U26:U33" si="1">S26+T26</f>
        <v>-0.19427364667504321</v>
      </c>
      <c r="V26" s="93">
        <f>S26/B21</f>
        <v>352.1621331328007</v>
      </c>
      <c r="W26" s="9">
        <f>T26/D21</f>
        <v>-252.80495661603618</v>
      </c>
    </row>
    <row r="27" spans="1:23">
      <c r="A27" s="98">
        <v>4</v>
      </c>
      <c r="B27" s="93">
        <f>C27*B21</f>
        <v>0.43761405040142359</v>
      </c>
      <c r="C27" s="97">
        <f>D27*B21</f>
        <v>1.0480241587275243</v>
      </c>
      <c r="D27" s="97">
        <f>1/(1-B21*D21-D21*B21/(1-D21*B21/(1-D21*B21)))</f>
        <v>2.5098705954916527</v>
      </c>
      <c r="E27" s="128">
        <f>D27*D21/(1-D21*B21/(1-D21*B21))</f>
        <v>2.1540814777442083</v>
      </c>
      <c r="F27" s="1">
        <f>E27*D21/(1-B21*D21)</f>
        <v>1.6578056527192848</v>
      </c>
      <c r="G27" s="1">
        <f>F27*D21</f>
        <v>0.96557061173920444</v>
      </c>
      <c r="H27" s="1">
        <f>G27*D21</f>
        <v>0.56238594959857557</v>
      </c>
      <c r="I27" s="1"/>
      <c r="J27" s="1"/>
      <c r="K27" s="1"/>
      <c r="L27" s="1"/>
      <c r="M27" s="1"/>
      <c r="N27" s="9"/>
      <c r="O27">
        <f>H27+B27</f>
        <v>0.99999999999999911</v>
      </c>
      <c r="R27" s="171">
        <f>B27-H27</f>
        <v>-0.12477189919715198</v>
      </c>
      <c r="S27" s="93">
        <f>SUM(C27:G27)*B21*F21</f>
        <v>202.51670930662871</v>
      </c>
      <c r="T27" s="9">
        <f>SUM(C27:G27)*D21*H21</f>
        <v>-202.78426372976443</v>
      </c>
      <c r="U27" s="239">
        <f t="shared" si="1"/>
        <v>-0.26755442313572075</v>
      </c>
      <c r="V27" s="93">
        <f>S27/B21</f>
        <v>484.99906185520342</v>
      </c>
      <c r="W27" s="9">
        <f>T27/D21</f>
        <v>-348.16397123789159</v>
      </c>
    </row>
    <row r="28" spans="1:23">
      <c r="A28" s="98">
        <v>5</v>
      </c>
      <c r="B28" s="93">
        <f>C28*B21</f>
        <v>0.46156038955494794</v>
      </c>
      <c r="C28" s="97">
        <f>D28*B21</f>
        <v>1.105372276145042</v>
      </c>
      <c r="D28" s="97">
        <f>1/(1-B21*D21-D21*B21/(1-D21*B21/(1-D21*B21/(1-D21*B21))))</f>
        <v>2.6472112783512851</v>
      </c>
      <c r="E28" s="128">
        <f>D28*D21/(1-D21*B21/(1-D21*B21/(1-D21*B21)))</f>
        <v>2.4030005491222481</v>
      </c>
      <c r="F28" s="1">
        <f>E28*D21/(1-B21*D21/(1-B21*D21))</f>
        <v>2.0623608974786332</v>
      </c>
      <c r="G28" s="1">
        <f>F28*D21/(1-B21*D21)</f>
        <v>1.5872164489189726</v>
      </c>
      <c r="H28" s="1">
        <f>G28*D21</f>
        <v>0.92445670880139597</v>
      </c>
      <c r="I28" s="1">
        <f>H28*D21</f>
        <v>0.53843961044505118</v>
      </c>
      <c r="J28" s="1"/>
      <c r="K28" s="1"/>
      <c r="L28" s="1"/>
      <c r="M28" s="1"/>
      <c r="N28" s="9"/>
      <c r="O28">
        <f>I28+B28</f>
        <v>0.99999999999999911</v>
      </c>
      <c r="R28" s="171">
        <f>B28-I28</f>
        <v>-7.6879220890103239E-2</v>
      </c>
      <c r="S28" s="93">
        <f>SUM(C28:H28)*B21*F21</f>
        <v>260.6880707892268</v>
      </c>
      <c r="T28" s="9">
        <f>SUM(C28:H28)*D21*H21</f>
        <v>-261.03247815510377</v>
      </c>
      <c r="U28" s="239">
        <f t="shared" si="1"/>
        <v>-0.34440736587697529</v>
      </c>
      <c r="V28" s="93">
        <f>S28/B21</f>
        <v>624.31129857134943</v>
      </c>
      <c r="W28" s="9">
        <f>T28/D21</f>
        <v>-448.17138443080057</v>
      </c>
    </row>
    <row r="29" spans="1:23">
      <c r="A29" s="98">
        <v>6</v>
      </c>
      <c r="B29" s="93">
        <f>C29*B21</f>
        <v>0.47751007520579447</v>
      </c>
      <c r="C29" s="97">
        <f>D29*B21</f>
        <v>1.1435695320852104</v>
      </c>
      <c r="D29" s="97">
        <f>1/(1-B21*D21-D21*B21/(1-D21*B21/(1-D21*B21/(1-D21*B21/(1-D21*B21)))))</f>
        <v>2.7386883389842196</v>
      </c>
      <c r="E29" s="128">
        <f>D29*D21/(1-B21*D21/(1-D21*B21/(1-D21*B21/(1-D21*B21))))</f>
        <v>2.5687954506112334</v>
      </c>
      <c r="F29" s="1">
        <f>E29*D21/(1-D21*B21/(1-D21*B21/(1-D21*B21)))</f>
        <v>2.3318187440807634</v>
      </c>
      <c r="G29" s="1">
        <f>F29*D21/(1-D21*B21/(1-D21*B21))</f>
        <v>2.0012695376022784</v>
      </c>
      <c r="H29" s="1">
        <f>G29*D21/(1-D21*B21)</f>
        <v>1.5401998421741856</v>
      </c>
      <c r="I29" s="1">
        <f>H29*D21</f>
        <v>0.89707240494044582</v>
      </c>
      <c r="J29" s="1">
        <f>I29*D21</f>
        <v>0.52248992479420409</v>
      </c>
      <c r="K29" s="1"/>
      <c r="L29" s="1"/>
      <c r="M29" s="1"/>
      <c r="N29" s="9"/>
      <c r="O29">
        <f>J29+B29</f>
        <v>0.99999999999999856</v>
      </c>
      <c r="R29" s="171">
        <f>B29-J29</f>
        <v>-4.4979849588409615E-2</v>
      </c>
      <c r="S29" s="93">
        <f>SUM(C29:I29)*B21*F21</f>
        <v>321.22903338873232</v>
      </c>
      <c r="T29" s="9">
        <f>SUM(C29:I29)*D21*H21</f>
        <v>-321.65342428969569</v>
      </c>
      <c r="U29" s="239">
        <f t="shared" si="1"/>
        <v>-0.42439090096337395</v>
      </c>
      <c r="V29" s="93">
        <f>S29/B21</f>
        <v>769.29839699449201</v>
      </c>
      <c r="W29" s="9">
        <f>T29/D21</f>
        <v>-552.25258362357556</v>
      </c>
    </row>
    <row r="30" spans="1:23">
      <c r="A30" s="98">
        <v>7</v>
      </c>
      <c r="B30" s="93">
        <f>C30*B21</f>
        <v>0.48837523763258989</v>
      </c>
      <c r="C30" s="97">
        <f>D30*B21</f>
        <v>1.1695900693630581</v>
      </c>
      <c r="D30" s="97">
        <f>1/(1-B21*D21-D21*B21/(1-D21*B21/(1-D21*B21/(1-D21*B21/(1-D21*B21/(1-D21*B21))))))</f>
        <v>2.8010038694504824</v>
      </c>
      <c r="E30" s="128">
        <f>D30*D21/(1-D21*B21/(1-D21*B21/(1-D21*B21/(1-D21*B21/(1-D21*B21)))))</f>
        <v>2.6817373965308233</v>
      </c>
      <c r="F30" s="1">
        <f>E30*D21/(1-D21*B21/(1-D21*B21/(1-D21*B21/(1-D21*B21))))</f>
        <v>2.5153774257122898</v>
      </c>
      <c r="G30" s="1">
        <f>F30*D21/(1-D21*B21/(1-D21*B21/(1-D21*B21)))</f>
        <v>2.2833286427371591</v>
      </c>
      <c r="H30" s="1">
        <f>G30*D21/(1-D21*B21/(1-D21*B21))</f>
        <v>1.9596531971639233</v>
      </c>
      <c r="I30" s="1">
        <f>H30*D21/(1-D21*B21)</f>
        <v>1.508171432321999</v>
      </c>
      <c r="J30" s="1">
        <f>I30*D21</f>
        <v>0.87841781099375338</v>
      </c>
      <c r="K30" s="1">
        <f>J30*D21</f>
        <v>0.51162476236740884</v>
      </c>
      <c r="L30" s="1"/>
      <c r="M30" s="1"/>
      <c r="N30" s="9"/>
      <c r="O30">
        <f>K30+B30</f>
        <v>0.99999999999999867</v>
      </c>
      <c r="R30" s="171">
        <f>B30-K30</f>
        <v>-2.3249524734818949E-2</v>
      </c>
      <c r="S30" s="93">
        <f>SUM(C30:J30)*B21*F21</f>
        <v>383.81257798413787</v>
      </c>
      <c r="T30" s="9">
        <f>SUM(C30:J30)*D21*H21</f>
        <v>-384.3196509720724</v>
      </c>
      <c r="U30" s="239">
        <f t="shared" si="1"/>
        <v>-0.50707298793452082</v>
      </c>
      <c r="V30" s="93">
        <f>S30/B21</f>
        <v>919.17719228139276</v>
      </c>
      <c r="W30" s="9">
        <f>T30/D21</f>
        <v>-659.84536199273737</v>
      </c>
    </row>
    <row r="31" spans="1:23">
      <c r="A31" s="98">
        <v>8</v>
      </c>
      <c r="B31" s="93">
        <f>C31*B21</f>
        <v>0.49589064626181828</v>
      </c>
      <c r="C31" s="97">
        <f>D31*B21</f>
        <v>1.1875884169913293</v>
      </c>
      <c r="D31" s="97">
        <f>1/(1-B21*D21-D21*B21/(1-D21*B21/(1-D21*B21/(1-D21*B21/(1-D21*B21/(1-D21*B21/(1-D21*B21)))))))</f>
        <v>2.8441073829558228</v>
      </c>
      <c r="E31" s="128">
        <f>D31*D21/(1-D21*B21/(1-D21*B21/(1-D21*B21/(1-D21*B21/(1-D21*B21/(1-D21*B21))))))</f>
        <v>2.7598590887452552</v>
      </c>
      <c r="F31" s="1">
        <f>E31*D21/(1-D21*B21/(1-D21*B21/(1-D21*B21/(1-D21*B21/(1-D21*B21)))))</f>
        <v>2.6423445565948631</v>
      </c>
      <c r="G31" s="1">
        <f>F31*D21/(1-D21*B21/(1-D21*B21/(1-D21*B21/(1-D21*B21))))</f>
        <v>2.4784282969729157</v>
      </c>
      <c r="H31" s="1">
        <f>G31*D21/(1-D21*B21/(1-D21*B21/(1-D21*B21)))</f>
        <v>2.2497881477353383</v>
      </c>
      <c r="I31" s="1">
        <f>H31*D21/(1-D21*B21/(1-D21*B21))</f>
        <v>1.9308672672567915</v>
      </c>
      <c r="J31" s="1">
        <f>I31*D21/(1-D21*B21)</f>
        <v>1.4860174526272296</v>
      </c>
      <c r="K31" s="1">
        <f>J31*D21</f>
        <v>0.86551446994696146</v>
      </c>
      <c r="L31" s="1">
        <f>K31*D21</f>
        <v>0.50410935373818033</v>
      </c>
      <c r="M31" s="1"/>
      <c r="N31" s="9"/>
      <c r="O31">
        <f>L31+B31</f>
        <v>0.99999999999999867</v>
      </c>
      <c r="R31" s="171">
        <f>B31-L31</f>
        <v>-8.2187074763620527E-3</v>
      </c>
      <c r="S31" s="93">
        <f>SUM(C31:K31)*B21*F21</f>
        <v>448.13011811155195</v>
      </c>
      <c r="T31" s="9">
        <f>SUM(C31:K31)*D21*H21</f>
        <v>-448.72216405013938</v>
      </c>
      <c r="U31" s="239">
        <f t="shared" si="1"/>
        <v>-0.59204593858743237</v>
      </c>
      <c r="V31" s="93">
        <f>S31/B21</f>
        <v>1073.2086632125136</v>
      </c>
      <c r="W31" s="9">
        <f>T31/D21</f>
        <v>-770.41920188813003</v>
      </c>
    </row>
    <row r="32" spans="1:23">
      <c r="A32" s="98">
        <v>9</v>
      </c>
      <c r="B32" s="93">
        <f>C32*B21</f>
        <v>0.50114410939028642</v>
      </c>
      <c r="C32" s="97">
        <f>D32*B21</f>
        <v>1.2001697229858888</v>
      </c>
      <c r="D32" s="97">
        <f>1/(1-B21*D21-D21*B21/(1-D21*B21/(1-D21*B21/(1-D21*B21/(1-D21*B21/(1-D21*B21/(1-D21*B21/(1-D21*B21))))))))</f>
        <v>2.8742378429320201</v>
      </c>
      <c r="E32" s="128">
        <f>D32*D21/(1-D21*B21/(1-D21*B21/(1-D21*B21/(1-D21*B21/(1-D21*B21/(1-D21*B21/(1-D21*B21)))))))</f>
        <v>2.8144681525805759</v>
      </c>
      <c r="F32" s="1">
        <f>E32*D21/(1-D21*B21/(1-D21*B21/(1-D21*B21/(1-D21*B21/(1-D21*B21/(1-D21*B21))))))</f>
        <v>2.731097833166527</v>
      </c>
      <c r="G32" s="1">
        <f>F32*D21/(1-D21*B21/(1-D21*B21/(1-D21*B21/(1-D21*B21/(1-D21*B21)))))</f>
        <v>2.6148079524873546</v>
      </c>
      <c r="H32" s="1">
        <f>G32*D21/(1-D21*B21/(1-D21*B21/(1-D21*B21/(1-D21*B21))))</f>
        <v>2.4525999095840509</v>
      </c>
      <c r="I32" s="1">
        <f>H32*D21/(1-D21*B21/(1-D21*B21/(1-D21*B21)))</f>
        <v>2.2263424826363893</v>
      </c>
      <c r="J32" s="1">
        <f>I32*D21/(1-D21*B21/(1-D21*B21))</f>
        <v>1.9107451649405378</v>
      </c>
      <c r="K32" s="1">
        <f>J32*D21/(1-D21*B21)</f>
        <v>1.4705312533775081</v>
      </c>
      <c r="L32" s="1">
        <f>K32*D21</f>
        <v>0.85649470405429395</v>
      </c>
      <c r="M32" s="1">
        <f>L32*D21</f>
        <v>0.49885589060971181</v>
      </c>
      <c r="N32" s="9"/>
      <c r="O32">
        <f>M32+B32</f>
        <v>0.99999999999999822</v>
      </c>
      <c r="R32" s="171">
        <f>B32-M32</f>
        <v>2.2882187805746135E-3</v>
      </c>
      <c r="S32" s="93">
        <f>SUM(C32:L32)*B21*F21</f>
        <v>513.89922261243453</v>
      </c>
      <c r="T32" s="9">
        <f>SUM(C32:L32)*D21*H21</f>
        <v>-514.57815923216685</v>
      </c>
      <c r="U32" s="239">
        <f t="shared" si="1"/>
        <v>-0.67893661973232611</v>
      </c>
      <c r="V32" s="93">
        <f>S32/B21</f>
        <v>1230.7164268493821</v>
      </c>
      <c r="W32" s="9">
        <f>T32/D21</f>
        <v>-883.48855150469342</v>
      </c>
    </row>
    <row r="33" spans="1:23" ht="17" thickBot="1">
      <c r="A33" s="99">
        <v>10</v>
      </c>
      <c r="B33" s="94">
        <f>C33*B21</f>
        <v>0.5048435234017381</v>
      </c>
      <c r="C33" s="129">
        <f>D33*B21</f>
        <v>1.2090292997146983</v>
      </c>
      <c r="D33" s="129">
        <f>1/(1-B21*D21-D21*B21/(1-D21*B21/(1-D21*B21/(1-D21*B21/(1-D21*B21/(1-D21*B21/(1-D21*B21/(1-D21*B21/(1-D21*B21)))))))))</f>
        <v>2.8954552842810246</v>
      </c>
      <c r="E33" s="137">
        <f>D33*D21/(1-D21*B21/(1-D21*B21/(1-D21*B21/(1-D21*B21/(1-D21*B21/(1-D21*B21/(1-D21*B21/(1-D21*B21))))))))</f>
        <v>2.8529230785911746</v>
      </c>
      <c r="F33" s="109">
        <f>E33*D21/(1-D21*B21/(1-D21*B21/(1-D21*B21/(1-D21*B21/(1-D21*B21/(1-D21*B21/(1-D21*B21)))))))</f>
        <v>2.7935966281294631</v>
      </c>
      <c r="G33" s="109">
        <f>F33*D21/(1-D21*B21/(1-D21*B21/(1-D21*B21/(1-D21*B21/(1-D21*B21/(1-D21*B21))))))</f>
        <v>2.7108445660790843</v>
      </c>
      <c r="H33" s="109">
        <f>G33*D21/(1-D21*B21/(1-D21*B21/(1-D21*B21/(1-D21*B21/(1-D21*B21)))))</f>
        <v>2.5954170675468866</v>
      </c>
      <c r="I33" s="109">
        <f>H33*D21/(1-D21*B21/(1-D21*B21/(1-D21*B21/(1-D21*B21))))</f>
        <v>2.4344119265597115</v>
      </c>
      <c r="J33" s="109">
        <f>I33*D21/(1-D21*B21/(1-D21*B21/(1-D21*B21)))</f>
        <v>2.2098323787575129</v>
      </c>
      <c r="K33" s="109">
        <f>J33*D21/(1-D21*B21/(1-D21*B21))</f>
        <v>1.8965754666999184</v>
      </c>
      <c r="L33" s="109">
        <f>K33*D21/(1-D21*B21)</f>
        <v>1.4596260921367064</v>
      </c>
      <c r="M33" s="109">
        <f>L33*D21</f>
        <v>0.85014311320700509</v>
      </c>
      <c r="N33" s="10">
        <f>M33*D21</f>
        <v>0.49515647659825995</v>
      </c>
      <c r="O33">
        <f>N33+B33</f>
        <v>0.999999999999998</v>
      </c>
      <c r="R33" s="172">
        <f>B33-N33</f>
        <v>9.6870468034781498E-3</v>
      </c>
      <c r="S33" s="94">
        <f>SUM(C33:M33)*B21*F21</f>
        <v>580.86806806931088</v>
      </c>
      <c r="T33" s="10">
        <f>SUM(C33:M33)*D21*H21</f>
        <v>-581.63548040482806</v>
      </c>
      <c r="U33" s="240">
        <f t="shared" si="1"/>
        <v>-0.76741233551717869</v>
      </c>
      <c r="V33" s="94">
        <f>S33/B21</f>
        <v>1391.0974014924855</v>
      </c>
      <c r="W33" s="10">
        <f>T33/D21</f>
        <v>-998.62047944936478</v>
      </c>
    </row>
    <row r="35" spans="1:23">
      <c r="A35" s="384" t="s">
        <v>138</v>
      </c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84"/>
      <c r="O35" s="384"/>
      <c r="P35" s="384"/>
      <c r="Q35" s="384"/>
      <c r="R35" s="384"/>
      <c r="S35" s="384"/>
      <c r="T35" s="384"/>
      <c r="U35" s="384"/>
      <c r="V35" s="384"/>
      <c r="W35" s="384"/>
    </row>
    <row r="36" spans="1:23">
      <c r="A36" t="s">
        <v>122</v>
      </c>
      <c r="B36">
        <f>$C$2</f>
        <v>0.41756103307080233</v>
      </c>
      <c r="C36" t="s">
        <v>123</v>
      </c>
      <c r="D36">
        <f>$E$2</f>
        <v>0.58243896692919761</v>
      </c>
      <c r="E36" t="s">
        <v>46</v>
      </c>
      <c r="F36">
        <f>G2</f>
        <v>58.185789030925747</v>
      </c>
      <c r="G36" t="s">
        <v>177</v>
      </c>
      <c r="H36">
        <f>I2</f>
        <v>-41.769555803110698</v>
      </c>
      <c r="I36" t="s">
        <v>47</v>
      </c>
      <c r="J36">
        <f>B36*F36+D36*H36</f>
        <v>-3.2098753262150836E-2</v>
      </c>
    </row>
    <row r="37" spans="1:23" ht="17" thickBot="1"/>
    <row r="38" spans="1:23" ht="17" thickBot="1">
      <c r="A38" s="102"/>
      <c r="B38" s="102">
        <v>3</v>
      </c>
      <c r="C38" s="138">
        <v>2</v>
      </c>
      <c r="D38" s="112">
        <v>1</v>
      </c>
      <c r="E38" s="138">
        <v>0</v>
      </c>
      <c r="F38" s="135">
        <v>-1</v>
      </c>
      <c r="G38" s="116">
        <v>-2</v>
      </c>
      <c r="H38" s="116">
        <v>-3</v>
      </c>
      <c r="I38" s="116">
        <v>-4</v>
      </c>
      <c r="J38" s="116">
        <v>-5</v>
      </c>
      <c r="K38" s="116">
        <v>-6</v>
      </c>
      <c r="L38" s="116">
        <v>-7</v>
      </c>
      <c r="M38" s="116">
        <v>-8</v>
      </c>
      <c r="N38" s="116">
        <v>-9</v>
      </c>
      <c r="O38" s="104">
        <v>-10</v>
      </c>
      <c r="P38" t="s">
        <v>133</v>
      </c>
      <c r="R38" s="166" t="s">
        <v>48</v>
      </c>
      <c r="S38" s="148" t="s">
        <v>129</v>
      </c>
      <c r="T38" s="149" t="s">
        <v>134</v>
      </c>
      <c r="U38" s="165" t="s">
        <v>47</v>
      </c>
      <c r="V38" s="159" t="s">
        <v>46</v>
      </c>
      <c r="W38" s="152" t="s">
        <v>200</v>
      </c>
    </row>
    <row r="39" spans="1:23">
      <c r="A39" s="100">
        <v>1</v>
      </c>
      <c r="B39" s="100">
        <f>C39*$B$36</f>
        <v>0.14175596079994271</v>
      </c>
      <c r="C39" s="95">
        <f>D39*$B$36</f>
        <v>0.33948560706790459</v>
      </c>
      <c r="D39" s="155">
        <f t="shared" ref="D39:D48" si="2">E39*$B$36/(1-$B$36*$D$36)</f>
        <v>0.81302032560672599</v>
      </c>
      <c r="E39" s="155">
        <f>1/(1-D36*B36/(1-D36*B36))</f>
        <v>1.4735347185388212</v>
      </c>
      <c r="F39" s="136">
        <f>E39*D36</f>
        <v>0.85824403920005699</v>
      </c>
      <c r="G39" s="108"/>
      <c r="H39" s="108"/>
      <c r="I39" s="108"/>
      <c r="J39" s="108"/>
      <c r="K39" s="108"/>
      <c r="L39" s="108"/>
      <c r="M39" s="108"/>
      <c r="N39" s="108"/>
      <c r="O39" s="57"/>
      <c r="P39">
        <f>F39+B39</f>
        <v>0.99999999999999967</v>
      </c>
      <c r="R39" s="170">
        <f>B39-F39</f>
        <v>-0.7164880784001143</v>
      </c>
      <c r="S39" s="107">
        <f>SUM(C39:E39)*B36*F36</f>
        <v>63.80259400157081</v>
      </c>
      <c r="T39" s="57">
        <f>SUM(C39:E39)*D36*H36</f>
        <v>-63.886886632490501</v>
      </c>
      <c r="U39" s="238">
        <f>S39+T39</f>
        <v>-8.4292630919691192E-2</v>
      </c>
      <c r="V39" s="282">
        <f>S39/B36</f>
        <v>152.79824731814077</v>
      </c>
      <c r="W39" s="57">
        <f>T39/D36</f>
        <v>-109.68855152209744</v>
      </c>
    </row>
    <row r="40" spans="1:23">
      <c r="A40" s="98">
        <v>2</v>
      </c>
      <c r="B40" s="98">
        <f>C40*$B$36</f>
        <v>0.22093075292309206</v>
      </c>
      <c r="C40" s="97">
        <f>D40*$B$36</f>
        <v>0.52909810884012898</v>
      </c>
      <c r="D40" s="156">
        <f t="shared" si="2"/>
        <v>1.2671156236707897</v>
      </c>
      <c r="E40" s="156">
        <f>1/(1-D36*B36-B36*D36/(1-D36*B36))</f>
        <v>2.2965463532396999</v>
      </c>
      <c r="F40" s="128">
        <f>E40*D36</f>
        <v>1.3375980854859471</v>
      </c>
      <c r="G40" s="1">
        <f>F40*D36</f>
        <v>0.7790692470769075</v>
      </c>
      <c r="H40" s="1"/>
      <c r="I40" s="1"/>
      <c r="J40" s="1"/>
      <c r="K40" s="1"/>
      <c r="L40" s="1"/>
      <c r="M40" s="1"/>
      <c r="N40" s="1"/>
      <c r="O40" s="9"/>
      <c r="P40">
        <f>G40+B40</f>
        <v>0.99999999999999956</v>
      </c>
      <c r="R40" s="171">
        <f>B40-G40</f>
        <v>-0.55813849415381545</v>
      </c>
      <c r="S40" s="93">
        <f>SUM(C40:F40)*B36*F36</f>
        <v>131.93662387610809</v>
      </c>
      <c r="T40" s="9">
        <f>SUM(C40:F40)*D36*H36</f>
        <v>-132.11093160317174</v>
      </c>
      <c r="U40" s="239">
        <f>S40+T40</f>
        <v>-0.17430772706364905</v>
      </c>
      <c r="V40" s="93">
        <f>S40/B36</f>
        <v>315.96967491393457</v>
      </c>
      <c r="W40" s="9">
        <f>T40/D36</f>
        <v>-226.82364866434389</v>
      </c>
    </row>
    <row r="41" spans="1:23">
      <c r="A41" s="98">
        <v>3</v>
      </c>
      <c r="B41" s="98">
        <f t="shared" ref="B41:C41" si="3">C41*$B$36</f>
        <v>0.26925984635968014</v>
      </c>
      <c r="C41" s="97">
        <f t="shared" si="3"/>
        <v>0.64483949658689532</v>
      </c>
      <c r="D41" s="156">
        <f t="shared" si="2"/>
        <v>1.5442999837524476</v>
      </c>
      <c r="E41" s="156">
        <f>1/(1-B36*D36/(1-D36*B36)-D36*B36/(1-D36*B36))</f>
        <v>2.7989209743311041</v>
      </c>
      <c r="F41" s="128">
        <f>E41*D36/(1-B36*D36)</f>
        <v>2.1540814777442083</v>
      </c>
      <c r="G41" s="1">
        <f>F41*(D36)</f>
        <v>1.2546209905786561</v>
      </c>
      <c r="H41" s="1">
        <f>G41*D36</f>
        <v>0.73074015364031897</v>
      </c>
      <c r="I41" s="1"/>
      <c r="J41" s="1"/>
      <c r="K41" s="1"/>
      <c r="L41" s="1"/>
      <c r="M41" s="1"/>
      <c r="N41" s="1"/>
      <c r="O41" s="9"/>
      <c r="P41">
        <f>H41+B41</f>
        <v>0.99999999999999911</v>
      </c>
      <c r="R41" s="171">
        <f>B41-H41</f>
        <v>-0.46148030728063882</v>
      </c>
      <c r="S41" s="93">
        <f>SUM(C41:G41)*B36*F36</f>
        <v>204.00874428795703</v>
      </c>
      <c r="T41" s="9">
        <f>SUM(C41:G41)*D36*H36</f>
        <v>-204.27826990922296</v>
      </c>
      <c r="U41" s="239">
        <f t="shared" ref="U41:U48" si="4">S41+T41</f>
        <v>-0.26952562126592738</v>
      </c>
      <c r="V41" s="93">
        <f>S41/B36</f>
        <v>488.57227597998821</v>
      </c>
      <c r="W41" s="9">
        <f>T41/D36</f>
        <v>-350.72905747745995</v>
      </c>
    </row>
    <row r="42" spans="1:23">
      <c r="A42" s="98">
        <v>4</v>
      </c>
      <c r="B42" s="98">
        <f t="shared" ref="B42:C42" si="5">C42*$B$36</f>
        <v>0.30037469118227877</v>
      </c>
      <c r="C42" s="97">
        <f t="shared" si="5"/>
        <v>0.7193551777886964</v>
      </c>
      <c r="D42" s="156">
        <f t="shared" si="2"/>
        <v>1.7227545695498876</v>
      </c>
      <c r="E42" s="156">
        <f>1/(1-B36*D36/(1-D36*B36)-D36*B36/(1-D36*B36/(1-D36*B36)))</f>
        <v>3.122355726910945</v>
      </c>
      <c r="F42" s="128">
        <f>E42*D36/(1-D36*B36/(1-D36*B36))</f>
        <v>2.6797431908834799</v>
      </c>
      <c r="G42" s="1">
        <f>F42*D36/(1-B36*D36)</f>
        <v>2.0623608974786336</v>
      </c>
      <c r="H42" s="1">
        <f>G42*D36</f>
        <v>1.2011993505626282</v>
      </c>
      <c r="I42" s="1">
        <f>H42*D36</f>
        <v>0.69962530881772023</v>
      </c>
      <c r="J42" s="1"/>
      <c r="K42" s="1"/>
      <c r="L42" s="1"/>
      <c r="M42" s="1"/>
      <c r="N42" s="1"/>
      <c r="O42" s="9"/>
      <c r="P42">
        <f>I42+B42</f>
        <v>0.999999999999999</v>
      </c>
      <c r="R42" s="171">
        <f>B42-I42</f>
        <v>-0.39925061763544145</v>
      </c>
      <c r="S42" s="93">
        <f>SUM(C42:H42)*B36*F36</f>
        <v>279.5941134772159</v>
      </c>
      <c r="T42" s="9">
        <f>SUM(C42:H42)*D36*H36</f>
        <v>-279.96349851215774</v>
      </c>
      <c r="U42" s="239">
        <f t="shared" si="4"/>
        <v>-0.3693850349418426</v>
      </c>
      <c r="V42" s="93">
        <f>S42/B36</f>
        <v>669.58861419860375</v>
      </c>
      <c r="W42" s="9">
        <f>T42/D36</f>
        <v>-480.67439578813526</v>
      </c>
    </row>
    <row r="43" spans="1:23">
      <c r="A43" s="98">
        <v>5</v>
      </c>
      <c r="B43" s="98">
        <f t="shared" ref="B43:C43" si="6">C43*$B$36</f>
        <v>0.32109902782570626</v>
      </c>
      <c r="C43" s="97">
        <f t="shared" si="6"/>
        <v>0.7689870519389681</v>
      </c>
      <c r="D43" s="156">
        <f t="shared" si="2"/>
        <v>1.8416159340437721</v>
      </c>
      <c r="E43" s="156">
        <f>1/(1-B36*D36/(1-D36*B36)-D36*B36/(1-D36*B36/(1-D36*B36/(1-D36*B36))))</f>
        <v>3.3377825025502021</v>
      </c>
      <c r="F43" s="128">
        <f>E43*D36/(1-D36*B36/(1-D36*B36/(1-D36*B36)))</f>
        <v>3.029865146039326</v>
      </c>
      <c r="G43" s="1">
        <f>F43*D36/(1-B36*D36/(1-B36*D36))</f>
        <v>2.6003637011682619</v>
      </c>
      <c r="H43" s="1">
        <f>G43*D36/(1-B36*D36)</f>
        <v>2.0012695376022789</v>
      </c>
      <c r="I43" s="1">
        <f>H43*D36</f>
        <v>1.1656173620279442</v>
      </c>
      <c r="J43" s="1">
        <f>I43*D36</f>
        <v>0.67890097217429235</v>
      </c>
      <c r="K43" s="1"/>
      <c r="L43" s="1"/>
      <c r="M43" s="1"/>
      <c r="N43" s="1"/>
      <c r="O43" s="9"/>
      <c r="P43">
        <f>J43+B43</f>
        <v>0.99999999999999867</v>
      </c>
      <c r="R43" s="171">
        <f>B43-J43</f>
        <v>-0.35780194434858609</v>
      </c>
      <c r="S43" s="93">
        <f>SUM(C43:I43)*B36*F36</f>
        <v>358.25844060536218</v>
      </c>
      <c r="T43" s="9">
        <f>SUM(C43:I43)*D36*H36</f>
        <v>-358.7317528112431</v>
      </c>
      <c r="U43" s="239">
        <f t="shared" si="4"/>
        <v>-0.47331220588091583</v>
      </c>
      <c r="V43" s="93">
        <f>S43/B36</f>
        <v>857.97862403653767</v>
      </c>
      <c r="W43" s="9">
        <f>T43/D36</f>
        <v>-615.91303669565639</v>
      </c>
    </row>
    <row r="44" spans="1:23">
      <c r="A44" s="98">
        <v>6</v>
      </c>
      <c r="B44" s="98">
        <f t="shared" ref="B44:C44" si="7">C44*$B$36</f>
        <v>0.33521675332498418</v>
      </c>
      <c r="C44" s="97">
        <f t="shared" si="7"/>
        <v>0.802797020736713</v>
      </c>
      <c r="D44" s="156">
        <f t="shared" si="2"/>
        <v>1.9225860584567271</v>
      </c>
      <c r="E44" s="156">
        <f>1/(1-B36*D36/(1-D36*B36)-D36*B36/(1-D36*B36/(1-D36*B36/(1-D36*B36/(1-D36*B36)))))</f>
        <v>3.4845344172675361</v>
      </c>
      <c r="F44" s="128">
        <f>E44*D36/(1-B36*D36/(1-D36*B36/(1-D36*B36/(1-D36*B36))))</f>
        <v>3.2683734148059589</v>
      </c>
      <c r="G44" s="1">
        <f>F44*D36/(1-D36*B36/(1-D36*B36/(1-D36*B36)))</f>
        <v>2.9668591905542123</v>
      </c>
      <c r="H44" s="1">
        <f>G44*D36/(1-D36*B36/(1-D36*B36))</f>
        <v>2.5462892154390588</v>
      </c>
      <c r="I44" s="1">
        <f>H44*D36/(1-D36*B36)</f>
        <v>1.9596531971639224</v>
      </c>
      <c r="J44" s="1">
        <f>I44*D36</f>
        <v>1.1413783836956541</v>
      </c>
      <c r="K44" s="1">
        <f>J44*D36</f>
        <v>0.66478324667501409</v>
      </c>
      <c r="L44" s="1"/>
      <c r="M44" s="1"/>
      <c r="N44" s="1"/>
      <c r="O44" s="9"/>
      <c r="P44">
        <f>K44+B44</f>
        <v>0.99999999999999822</v>
      </c>
      <c r="R44" s="171">
        <f>B44-K44</f>
        <v>-0.32956649335002991</v>
      </c>
      <c r="S44" s="93">
        <f>SUM(C44:J44)*B36*F36</f>
        <v>439.57681106900094</v>
      </c>
      <c r="T44" s="9">
        <f>SUM(C44:J44)*D36*H36</f>
        <v>-440.15755682826239</v>
      </c>
      <c r="U44" s="239">
        <f t="shared" si="4"/>
        <v>-0.58074575926144689</v>
      </c>
      <c r="V44" s="93">
        <f>S44/B36</f>
        <v>1052.7246947261613</v>
      </c>
      <c r="W44" s="9">
        <f>T44/D36</f>
        <v>-755.71447279517065</v>
      </c>
    </row>
    <row r="45" spans="1:23">
      <c r="A45" s="98">
        <v>7</v>
      </c>
      <c r="B45" s="98">
        <f t="shared" ref="B45:C45" si="8">C45*$B$36</f>
        <v>0.34498195258060599</v>
      </c>
      <c r="C45" s="97">
        <f t="shared" si="8"/>
        <v>0.82618330078254765</v>
      </c>
      <c r="D45" s="156">
        <f t="shared" si="2"/>
        <v>1.9785929130088598</v>
      </c>
      <c r="E45" s="156">
        <f>1/(1-B36*D36/(1-D36*B36)-D36*B36/(1-D36*B36/(1-D36*B36/(1-D36*B36/(1-D36*B36/(1-D36*B36))))))</f>
        <v>3.5860423895278037</v>
      </c>
      <c r="F45" s="128">
        <f>E45*D36/(1-D36*B36/(1-D36*B36/(1-D36*B36/(1-D36*B36/(1-D36*B36)))))</f>
        <v>3.4333490526123942</v>
      </c>
      <c r="G45" s="1">
        <f>F45*D36/(1-D36*B36/(1-D36*B36/(1-D36*B36/(1-D36*B36))))</f>
        <v>3.2203633035448966</v>
      </c>
      <c r="H45" s="1">
        <f>G45*D36/(1-D36*B36/(1-D36*B36/(1-D36*B36)))</f>
        <v>2.9232781116024769</v>
      </c>
      <c r="I45" s="1">
        <f>H45*D36/(1-D36*B36/(1-D36*B36))</f>
        <v>2.508886014206825</v>
      </c>
      <c r="J45" s="1">
        <f>I45*D36/(1-D36*B36)</f>
        <v>1.9308672672567913</v>
      </c>
      <c r="K45" s="1">
        <f>J45*D36</f>
        <v>1.1246123364184484</v>
      </c>
      <c r="L45" s="1">
        <f>K45*D36</f>
        <v>0.65501804741939229</v>
      </c>
      <c r="M45" s="1"/>
      <c r="N45" s="1"/>
      <c r="O45" s="9"/>
      <c r="P45">
        <f>L45+B45</f>
        <v>0.99999999999999822</v>
      </c>
      <c r="R45" s="171">
        <f>B45-L45</f>
        <v>-0.3100360948387863</v>
      </c>
      <c r="S45" s="93">
        <f>SUM(C45:K45)*B36*F36</f>
        <v>523.14826086788321</v>
      </c>
      <c r="T45" s="9">
        <f>SUM(C45:K45)*D36*H36</f>
        <v>-523.83941683042167</v>
      </c>
      <c r="U45" s="239">
        <f t="shared" si="4"/>
        <v>-0.69115596253845979</v>
      </c>
      <c r="V45" s="93">
        <f>S45/B36</f>
        <v>1252.8665738289264</v>
      </c>
      <c r="W45" s="9">
        <f>T45/D36</f>
        <v>-899.38937223288599</v>
      </c>
    </row>
    <row r="46" spans="1:23">
      <c r="A46" s="98">
        <v>8</v>
      </c>
      <c r="B46" s="98">
        <f t="shared" ref="B46:C46" si="9">C46*$B$36</f>
        <v>0.35180807698215028</v>
      </c>
      <c r="C46" s="97">
        <f t="shared" si="9"/>
        <v>0.84253090954130561</v>
      </c>
      <c r="D46" s="156">
        <f t="shared" si="2"/>
        <v>2.0177431388777234</v>
      </c>
      <c r="E46" s="156">
        <f>1/(1-B36*D36/(1-D36*B36)-D36*B36/(1-D36*B36/(1-D36*B36/(1-D36*B36/(1-D36*B36/(1-D36*B36/(1-D36*B36)))))))</f>
        <v>3.6569990621218817</v>
      </c>
      <c r="F46" s="128">
        <f>E46*D36/(1-D36*B36/(1-D36*B36/(1-D36*B36/(1-D36*B36/(1-D36*B36/(1-D36*B36))))))</f>
        <v>3.5486712490583621</v>
      </c>
      <c r="G46" s="1">
        <f>F46*D36/(1-D36*B36/(1-D36*B36/(1-D36*B36/(1-D36*B36/(1-D36*B36)))))</f>
        <v>3.3975691716772176</v>
      </c>
      <c r="H46" s="1">
        <f>G46*D36/(1-D36*B36/(1-D36*B36/(1-D36*B36/(1-D36*B36))))</f>
        <v>3.1868030060618384</v>
      </c>
      <c r="I46" s="1">
        <f>H46*D36/(1-D36*B36/(1-D36*B36/(1-D36*B36)))</f>
        <v>2.8928138211470804</v>
      </c>
      <c r="J46" s="1">
        <f>I46*D36/(1-D36*B36/(1-D36*B36))</f>
        <v>2.4827402185150218</v>
      </c>
      <c r="K46" s="1">
        <f>J46*D36/(1-D36*B36)</f>
        <v>1.910745164940538</v>
      </c>
      <c r="L46" s="1">
        <f>K46*D36</f>
        <v>1.1128924399329263</v>
      </c>
      <c r="M46" s="1">
        <f>L46*D36</f>
        <v>0.64819192301784767</v>
      </c>
      <c r="N46" s="1"/>
      <c r="O46" s="9"/>
      <c r="P46">
        <f>M46+B46</f>
        <v>0.999999999999998</v>
      </c>
      <c r="R46" s="171">
        <f>B46-M46</f>
        <v>-0.2963838460356974</v>
      </c>
      <c r="S46" s="93">
        <f>SUM(C46:L46)*B36*F36</f>
        <v>608.60581108240365</v>
      </c>
      <c r="T46" s="9">
        <f>SUM(C46:L46)*D36*H36</f>
        <v>-609.40986906487194</v>
      </c>
      <c r="U46" s="239">
        <f t="shared" si="4"/>
        <v>-0.80405798246829363</v>
      </c>
      <c r="V46" s="93">
        <f>S46/B36</f>
        <v>1457.5253983989628</v>
      </c>
      <c r="W46" s="9">
        <f>T46/D36</f>
        <v>-1046.3068298432597</v>
      </c>
    </row>
    <row r="47" spans="1:23">
      <c r="A47" s="98">
        <v>9</v>
      </c>
      <c r="B47" s="98">
        <f t="shared" ref="B47:C47" si="10">C47*$B$36</f>
        <v>0.3566149366930606</v>
      </c>
      <c r="C47" s="97">
        <f t="shared" si="10"/>
        <v>0.85404266310595223</v>
      </c>
      <c r="D47" s="156">
        <f t="shared" si="2"/>
        <v>2.0453121710740172</v>
      </c>
      <c r="E47" s="156">
        <f>1/(1-B36*D36/(1-D36*B36)-D36*B36/(1-D36*B36/(1-D36*B36/(1-D36*B36/(1-D36*B36/(1-D36*B36/(1-D36*B36/(1-D36*B36))))))))</f>
        <v>3.706965741697128</v>
      </c>
      <c r="F47" s="128">
        <f>E47*D36/(1-D36*B36/(1-D36*B36/(1-D36*B36/(1-D36*B36/(1-D36*B36/(1-D36*B36/(1-D36*B36)))))))</f>
        <v>3.6298794994887831</v>
      </c>
      <c r="G47" s="1">
        <f>F47*D36/(1-D36*B36/(1-D36*B36/(1-D36*B36/(1-D36*B36/(1-D36*B36/(1-D36*B36))))))</f>
        <v>3.5223550234951881</v>
      </c>
      <c r="H47" s="1">
        <f>G47*D36/(1-D36*B36/(1-D36*B36/(1-D36*B36/(1-D36*B36/(1-D36*B36)))))</f>
        <v>3.3723734884444951</v>
      </c>
      <c r="I47" s="1">
        <f>H47*D36/(1-D36*B36/(1-D36*B36/(1-D36*B36/(1-D36*B36))))</f>
        <v>3.163170321925437</v>
      </c>
      <c r="J47" s="1">
        <f>I47*D36/(1-D36*B36/(1-D36*B36/(1-D36*B36)))</f>
        <v>2.8713613011229233</v>
      </c>
      <c r="K47" s="1">
        <f>J47*D36/(1-D36*B36/(1-D36*B36))</f>
        <v>2.464328721078469</v>
      </c>
      <c r="L47" s="1">
        <f>K47*D36/(1-D36*B36)</f>
        <v>1.8965754666999182</v>
      </c>
      <c r="M47" s="1">
        <f>L47*D36</f>
        <v>1.1046394555279611</v>
      </c>
      <c r="N47" s="1">
        <f>M47*D36</f>
        <v>0.64338506330693701</v>
      </c>
      <c r="O47" s="9"/>
      <c r="P47">
        <f>N47+B47</f>
        <v>0.99999999999999756</v>
      </c>
      <c r="R47" s="171">
        <f>B47-N47</f>
        <v>-0.28677012661387641</v>
      </c>
      <c r="S47" s="93">
        <f>SUM(C47:M47)*B36*F36</f>
        <v>695.62225317738023</v>
      </c>
      <c r="T47" s="9">
        <f>SUM(C47:M47)*D36*H36</f>
        <v>-696.54127270572656</v>
      </c>
      <c r="U47" s="239">
        <f t="shared" si="4"/>
        <v>-0.91901952834632539</v>
      </c>
      <c r="V47" s="93">
        <f>S47/B36</f>
        <v>1665.9175499726991</v>
      </c>
      <c r="W47" s="9">
        <f>T47/D36</f>
        <v>-1195.9043131645406</v>
      </c>
    </row>
    <row r="48" spans="1:23" ht="17" thickBot="1">
      <c r="A48" s="99">
        <v>10</v>
      </c>
      <c r="B48" s="99">
        <f t="shared" ref="B48:C48" si="11">C48*$B$36</f>
        <v>0.36001741627851891</v>
      </c>
      <c r="C48" s="129">
        <f t="shared" si="11"/>
        <v>0.86219112360868633</v>
      </c>
      <c r="D48" s="157">
        <f t="shared" si="2"/>
        <v>2.0648265889851167</v>
      </c>
      <c r="E48" s="157">
        <f>1/(1-B36*D36/(1-D36*B36)-D36*B36/(1-D36*B36/(1-D36*B36/(1-D36*B36/(1-D36*B36/(1-D36*B36/(1-D36*B36/(1-D36*B36/(1-D36*B36)))))))))</f>
        <v>3.7423340730886241</v>
      </c>
      <c r="F48" s="137">
        <f>E48*D36/(1-D36*B36/(1-D36*B36/(1-D36*B36/(1-D36*B36/(1-D36*B36/(1-D36*B36/(1-D36*B36/(1-D36*B36))))))))</f>
        <v>3.6873618124493919</v>
      </c>
      <c r="G48" s="109">
        <f>F48*D36/(1-D36*B36/(1-D36*B36/(1-D36*B36/(1-D36*B36/(1-D36*B36/(1-D36*B36/(1-D36*B36)))))))</f>
        <v>3.6106832333659655</v>
      </c>
      <c r="H48" s="109">
        <f>G48*D36/(1-D36*B36/(1-D36*B36/(1-D36*B36/(1-D36*B36/(1-D36*B36/(1-D36*B36))))))</f>
        <v>3.5037273901482466</v>
      </c>
      <c r="I48" s="109">
        <f>H48*D36/(1-D36*B36/(1-D36*B36/(1-D36*B36/(1-D36*B36/(1-D36*B36)))))</f>
        <v>3.3545390179176273</v>
      </c>
      <c r="J48" s="109">
        <f>I48*D36/(1-D36*B36/(1-D36*B36/(1-D36*B36/(1-D36*B36))))</f>
        <v>3.1464422020801281</v>
      </c>
      <c r="K48" s="109">
        <f>J48*D36/(1-D36*B36/(1-D36*B36/(1-D36*B36)))</f>
        <v>2.856176385017891</v>
      </c>
      <c r="L48" s="109">
        <f>K48*D36/(1-D36*B36/(1-D36*B36))</f>
        <v>2.4512963573455719</v>
      </c>
      <c r="M48" s="109">
        <f>L48*D36/(1-D36*B36)</f>
        <v>1.886545611057078</v>
      </c>
      <c r="N48" s="109">
        <f>M48*D36</f>
        <v>1.0987976767688963</v>
      </c>
      <c r="O48" s="10">
        <f>N48*D36</f>
        <v>0.63998258372147832</v>
      </c>
      <c r="P48">
        <f>O48+B48</f>
        <v>0.99999999999999722</v>
      </c>
      <c r="R48" s="172">
        <f>B48-O48</f>
        <v>-0.27996516744295941</v>
      </c>
      <c r="S48" s="94">
        <f>SUM(C48:N48)*B36*F36</f>
        <v>783.91234507687432</v>
      </c>
      <c r="T48" s="10">
        <f>SUM(C48:N48)*D36*H36</f>
        <v>-784.94800883022151</v>
      </c>
      <c r="U48" s="240">
        <f t="shared" si="4"/>
        <v>-1.035663753347194</v>
      </c>
      <c r="V48" s="94">
        <f>S48/B36</f>
        <v>1877.3599138594736</v>
      </c>
      <c r="W48" s="10">
        <f>T48/D36</f>
        <v>-1347.6914379007221</v>
      </c>
    </row>
    <row r="50" spans="1:23">
      <c r="A50" s="384" t="s">
        <v>138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</row>
    <row r="51" spans="1:23">
      <c r="A51" t="s">
        <v>122</v>
      </c>
      <c r="B51">
        <f>$C$2</f>
        <v>0.41756103307080233</v>
      </c>
      <c r="C51" t="s">
        <v>123</v>
      </c>
      <c r="D51">
        <f>$E$2</f>
        <v>0.58243896692919761</v>
      </c>
      <c r="E51" t="s">
        <v>46</v>
      </c>
      <c r="F51">
        <f>G2</f>
        <v>58.185789030925747</v>
      </c>
      <c r="G51" t="s">
        <v>177</v>
      </c>
      <c r="H51">
        <f>I2</f>
        <v>-41.769555803110698</v>
      </c>
      <c r="I51" t="s">
        <v>47</v>
      </c>
      <c r="J51">
        <f>B51*F51+D51*H51</f>
        <v>-3.2098753262150836E-2</v>
      </c>
    </row>
    <row r="52" spans="1:23" ht="17" thickBot="1"/>
    <row r="53" spans="1:23" ht="17" thickBot="1">
      <c r="A53" s="102"/>
      <c r="B53" s="102">
        <v>4</v>
      </c>
      <c r="C53" s="102">
        <v>3</v>
      </c>
      <c r="D53" s="138">
        <v>2</v>
      </c>
      <c r="E53" s="112">
        <v>1</v>
      </c>
      <c r="F53" s="138">
        <v>0</v>
      </c>
      <c r="G53" s="135">
        <v>-1</v>
      </c>
      <c r="H53" s="116">
        <v>-2</v>
      </c>
      <c r="I53" s="116">
        <v>-3</v>
      </c>
      <c r="J53" s="116">
        <v>-4</v>
      </c>
      <c r="K53" s="116">
        <v>-5</v>
      </c>
      <c r="L53" s="116">
        <v>-6</v>
      </c>
      <c r="M53" s="116">
        <v>-7</v>
      </c>
      <c r="N53" s="116">
        <v>-8</v>
      </c>
      <c r="O53" s="116">
        <v>-9</v>
      </c>
      <c r="P53" s="104">
        <v>-10</v>
      </c>
      <c r="Q53" t="s">
        <v>133</v>
      </c>
      <c r="R53" s="166" t="s">
        <v>48</v>
      </c>
      <c r="S53" s="148" t="s">
        <v>129</v>
      </c>
      <c r="T53" s="149" t="s">
        <v>134</v>
      </c>
      <c r="U53" s="165" t="s">
        <v>47</v>
      </c>
      <c r="V53" s="159" t="s">
        <v>46</v>
      </c>
      <c r="W53" s="152" t="s">
        <v>200</v>
      </c>
    </row>
    <row r="54" spans="1:23">
      <c r="A54" s="100">
        <v>1</v>
      </c>
      <c r="B54" s="100">
        <f>C54*B51</f>
        <v>9.2252073427676495E-2</v>
      </c>
      <c r="C54" s="100">
        <f>D54*B51</f>
        <v>0.22093075292309203</v>
      </c>
      <c r="D54" s="95">
        <f>E54*B51/(1-B51*D51)</f>
        <v>0.52909810884012887</v>
      </c>
      <c r="E54" s="155">
        <f>F54*B51/(1-B51*D51/(1-B51*D51))</f>
        <v>0.95894826775375275</v>
      </c>
      <c r="F54" s="155">
        <f>1/(1-D51*B51/(1-D51*B51/(1-B51*D51)))</f>
        <v>1.5585288384090392</v>
      </c>
      <c r="G54" s="136">
        <f>F54*D51</f>
        <v>0.90774792657232317</v>
      </c>
      <c r="H54" s="108"/>
      <c r="I54" s="108"/>
      <c r="J54" s="108"/>
      <c r="K54" s="108"/>
      <c r="L54" s="108"/>
      <c r="M54" s="108"/>
      <c r="N54" s="108"/>
      <c r="O54" s="108"/>
      <c r="P54" s="57"/>
      <c r="Q54">
        <f>G54+B54</f>
        <v>0.99999999999999967</v>
      </c>
      <c r="R54" s="170">
        <f>C54-G54</f>
        <v>-0.68681717364923112</v>
      </c>
      <c r="S54" s="107">
        <f>SUM(C54:F54)*B51*F51</f>
        <v>79.387711143374688</v>
      </c>
      <c r="T54" s="57">
        <f>SUM(C54:F54)*D51*H51</f>
        <v>-79.492594011221755</v>
      </c>
      <c r="U54" s="238">
        <f>S54+T54</f>
        <v>-0.10488286784706702</v>
      </c>
      <c r="V54" s="282">
        <f>S54/B51</f>
        <v>190.12241290703383</v>
      </c>
      <c r="W54" s="57">
        <f>T54/D51</f>
        <v>-136.48227286428283</v>
      </c>
    </row>
    <row r="55" spans="1:23">
      <c r="A55" s="98">
        <v>2</v>
      </c>
      <c r="B55" s="98">
        <f>C55*B51</f>
        <v>0.14856367156197189</v>
      </c>
      <c r="C55" s="98">
        <f>D55*B51</f>
        <v>0.35578911774744365</v>
      </c>
      <c r="D55" s="97">
        <f>E55*B51/(1-B51*D51)</f>
        <v>0.852064942772367</v>
      </c>
      <c r="E55" s="156">
        <f>F55*B51/(1-B51*D51/(1-B51*D51))</f>
        <v>1.5442999837524476</v>
      </c>
      <c r="F55" s="156">
        <f>1/(1-D51*B51-D51*B51/(1-D51*B51/(1-B51*D51)))</f>
        <v>2.5098705954916527</v>
      </c>
      <c r="G55" s="128">
        <f>F55*D51</f>
        <v>1.4618464367641282</v>
      </c>
      <c r="H55" s="1">
        <f>G55*D51</f>
        <v>0.85143632843802741</v>
      </c>
      <c r="I55" s="1"/>
      <c r="J55" s="1"/>
      <c r="K55" s="1"/>
      <c r="L55" s="1"/>
      <c r="M55" s="1"/>
      <c r="N55" s="1"/>
      <c r="O55" s="1"/>
      <c r="P55" s="9"/>
      <c r="Q55">
        <f>H55+B55</f>
        <v>0.99999999999999933</v>
      </c>
      <c r="R55" s="171">
        <f>C55-H55</f>
        <v>-0.49564721069058376</v>
      </c>
      <c r="S55" s="93">
        <f>SUM(C55:G55)*B51*F51</f>
        <v>163.36396628757026</v>
      </c>
      <c r="T55" s="9">
        <f>SUM(C55:G55)*D51*H51</f>
        <v>-163.57979416622226</v>
      </c>
      <c r="U55" s="239">
        <f>S55+T55</f>
        <v>-0.21582787865199293</v>
      </c>
      <c r="V55" s="93">
        <f>S55/B51</f>
        <v>391.23374393000415</v>
      </c>
      <c r="W55" s="9">
        <f>T55/D51</f>
        <v>-280.85310814395996</v>
      </c>
    </row>
    <row r="56" spans="1:23">
      <c r="A56" s="98">
        <v>3</v>
      </c>
      <c r="B56" s="98">
        <f>C56*B51</f>
        <v>0.18481774779371582</v>
      </c>
      <c r="C56" s="98">
        <f>D56*B51</f>
        <v>0.44261253602746459</v>
      </c>
      <c r="D56" s="97">
        <f>E56*B51/(1-B51*D51)</f>
        <v>1.0599948294323107</v>
      </c>
      <c r="E56" s="156">
        <f>F56*B51/(1-B51*D51/(1-B51*D51))</f>
        <v>1.9211563763483162</v>
      </c>
      <c r="F56" s="156">
        <f>1/(1-D51*B51/(1-B51*D51)-D51*B51/(1-D51*B51/(1-B51*D51)))</f>
        <v>3.122355726910945</v>
      </c>
      <c r="G56" s="128">
        <f>F56*D51/(1-B51*D51)</f>
        <v>2.4030005491222481</v>
      </c>
      <c r="H56" s="1">
        <f>G56*(D51)</f>
        <v>1.3996011573610567</v>
      </c>
      <c r="I56" s="1">
        <f>H56*D51</f>
        <v>0.81518225220628326</v>
      </c>
      <c r="J56" s="1"/>
      <c r="K56" s="1"/>
      <c r="L56" s="1"/>
      <c r="M56" s="1"/>
      <c r="N56" s="1"/>
      <c r="O56" s="1"/>
      <c r="P56" s="9"/>
      <c r="Q56">
        <f>I56+B56</f>
        <v>0.99999999999999911</v>
      </c>
      <c r="R56" s="171">
        <f>C56-I56</f>
        <v>-0.37256971617881868</v>
      </c>
      <c r="S56" s="93">
        <f>SUM(C56:H56)*B51*F51</f>
        <v>251.4337526617461</v>
      </c>
      <c r="T56" s="9">
        <f>SUM(C56:H56)*D51*H51</f>
        <v>-251.76593370932773</v>
      </c>
      <c r="U56" s="239">
        <f t="shared" ref="U56:U63" si="12">S56+T56</f>
        <v>-0.33218104758162781</v>
      </c>
      <c r="V56" s="93">
        <f>S56/B51</f>
        <v>602.14850704019739</v>
      </c>
      <c r="W56" s="9">
        <f>T56/D51</f>
        <v>-432.26148661844746</v>
      </c>
    </row>
    <row r="57" spans="1:23">
      <c r="A57" s="98">
        <v>4</v>
      </c>
      <c r="B57" s="98">
        <f>C57*B51</f>
        <v>0.20896511811829604</v>
      </c>
      <c r="C57" s="98">
        <f>D57*B51</f>
        <v>0.50044209485146951</v>
      </c>
      <c r="D57" s="97">
        <f>E57*B51/(1-B51*D51)</f>
        <v>1.1984884968100309</v>
      </c>
      <c r="E57" s="156">
        <f>F57*B51/(1-B51*D51/(1-B51*D51))</f>
        <v>2.1721651405222557</v>
      </c>
      <c r="F57" s="156">
        <f>1/(1-D51*B51/(1-B51*D51/(1-B51*D51))-D51*B51/(1-D51*B51/(1-B51*D51)))</f>
        <v>3.5303072408907958</v>
      </c>
      <c r="G57" s="128">
        <f>F57*D51/(1-D51*B51/(1-D51*B51))</f>
        <v>3.0298651460393251</v>
      </c>
      <c r="H57" s="1">
        <f>G57*D51/(1-B51*D51)</f>
        <v>2.3318187440807634</v>
      </c>
      <c r="I57" s="1">
        <f>H57*D51</f>
        <v>1.3581421003685388</v>
      </c>
      <c r="J57" s="1">
        <f>I57*D51</f>
        <v>0.79103488188170235</v>
      </c>
      <c r="K57" s="1"/>
      <c r="L57" s="1"/>
      <c r="M57" s="1"/>
      <c r="N57" s="1"/>
      <c r="O57" s="1"/>
      <c r="P57" s="9"/>
      <c r="Q57">
        <f>J57+B57</f>
        <v>0.99999999999999845</v>
      </c>
      <c r="R57" s="171">
        <f>C57-J57</f>
        <v>-0.29059278703023284</v>
      </c>
      <c r="S57" s="93">
        <f>SUM(C57:I57)*B51*F51</f>
        <v>343.09104771440599</v>
      </c>
      <c r="T57" s="9">
        <f>SUM(C57:I57)*D51*H51</f>
        <v>-343.54432155866573</v>
      </c>
      <c r="U57" s="239">
        <f t="shared" si="12"/>
        <v>-0.4532738442597406</v>
      </c>
      <c r="V57" s="93">
        <f>S57/B51</f>
        <v>821.65484933128539</v>
      </c>
      <c r="W57" s="9">
        <f>T57/D51</f>
        <v>-589.83746120205524</v>
      </c>
    </row>
    <row r="58" spans="1:23">
      <c r="A58" s="98">
        <v>5</v>
      </c>
      <c r="B58" s="98">
        <f>C58*B51</f>
        <v>0.22541466493068843</v>
      </c>
      <c r="C58" s="98">
        <f>D58*B51</f>
        <v>0.53983644803481157</v>
      </c>
      <c r="D58" s="97">
        <f>E58*B51/(1-B51*D51)</f>
        <v>1.2928324371284809</v>
      </c>
      <c r="E58" s="156">
        <f>F58*B51/(1-B51*D51/(1-B51*D51))</f>
        <v>2.34315603357188</v>
      </c>
      <c r="F58" s="156">
        <f>1/(1-D51*B51/(1-B51*D51/(1-B51*D51/(1-B51*D51)))-D51*B51/(1-D51*B51/(1-B51*D51)))</f>
        <v>3.8082098628407706</v>
      </c>
      <c r="G58" s="128">
        <f>F58*D51/(1-D51*B51/(1-D51*B51/(1-D51*B51)))</f>
        <v>3.4568946069459803</v>
      </c>
      <c r="H58" s="1">
        <f>G58*D51/(1-B51*D51/(1-B51*D51))</f>
        <v>2.9668591905542114</v>
      </c>
      <c r="I58" s="1">
        <f>H58*D51/(1-B51*D51)</f>
        <v>2.2833286427371573</v>
      </c>
      <c r="J58" s="1">
        <f>I58*D51</f>
        <v>1.3298995758356769</v>
      </c>
      <c r="K58" s="1">
        <f>J58*D51</f>
        <v>0.77458533506930971</v>
      </c>
      <c r="L58" s="1"/>
      <c r="M58" s="1"/>
      <c r="N58" s="1"/>
      <c r="O58" s="1"/>
      <c r="P58" s="9"/>
      <c r="Q58">
        <f>K58+B58</f>
        <v>0.99999999999999811</v>
      </c>
      <c r="R58" s="171">
        <f>C58-K58</f>
        <v>-0.23474888703449814</v>
      </c>
      <c r="S58" s="93">
        <f>SUM(C58:J58)*B51*F51</f>
        <v>437.84075379967413</v>
      </c>
      <c r="T58" s="9">
        <f>SUM(C58:J58)*D51*H51</f>
        <v>-438.419205971395</v>
      </c>
      <c r="U58" s="239">
        <f t="shared" si="12"/>
        <v>-0.57845217172086905</v>
      </c>
      <c r="V58" s="93">
        <f>S58/B51</f>
        <v>1048.5670815107719</v>
      </c>
      <c r="W58" s="9">
        <f>T58/D51</f>
        <v>-752.72986675819391</v>
      </c>
    </row>
    <row r="59" spans="1:23">
      <c r="A59" s="98">
        <v>6</v>
      </c>
      <c r="B59" s="98">
        <f>C59*B51</f>
        <v>0.23679277979033095</v>
      </c>
      <c r="C59" s="98">
        <f>D59*B51</f>
        <v>0.56708543431106029</v>
      </c>
      <c r="D59" s="97">
        <f>E59*B51/(1-B51*D51)</f>
        <v>1.3580899303285907</v>
      </c>
      <c r="E59" s="156">
        <f>F59*B51/(1-B51*D51/(1-B51*D51))</f>
        <v>2.4614300531093534</v>
      </c>
      <c r="F59" s="156">
        <f>1/(1-D51*B51/(1-B51*D51/(1-B51*D51/(1-B51*D51/(1-B51*D51))))-D51*B51/(1-D51*B51/(1-B51*D51)))</f>
        <v>4.0004344869234556</v>
      </c>
      <c r="G59" s="128">
        <f>F59*D51/(1-B51*D51/(1-D51*B51/(1-D51*B51/(1-D51*B51))))</f>
        <v>3.7522699330909406</v>
      </c>
      <c r="H59" s="1">
        <f>G59*D51/(1-D51*B51/(1-D51*B51/(1-D51*B51)))</f>
        <v>3.4061152517029711</v>
      </c>
      <c r="I59" s="1">
        <f>H59*D51/(1-D51*B51/(1-D51*B51))</f>
        <v>2.9232781116024769</v>
      </c>
      <c r="J59" s="1">
        <f>I59*D51/(1-D51*B51)</f>
        <v>2.2497881477353383</v>
      </c>
      <c r="K59" s="1">
        <f>J59*D51</f>
        <v>1.3103642845765235</v>
      </c>
      <c r="L59" s="1">
        <f>K59*D51</f>
        <v>0.76320722020966747</v>
      </c>
      <c r="M59" s="1"/>
      <c r="N59" s="1"/>
      <c r="O59" s="1"/>
      <c r="P59" s="9"/>
      <c r="Q59">
        <f>L59+B59</f>
        <v>0.99999999999999845</v>
      </c>
      <c r="R59" s="171">
        <f>C59-L59</f>
        <v>-0.19612178589860718</v>
      </c>
      <c r="S59" s="93">
        <f>SUM(C59:K59)*B51*F51</f>
        <v>535.21567979016129</v>
      </c>
      <c r="T59" s="9">
        <f>SUM(C59:K59)*D51*H51</f>
        <v>-535.92277859178466</v>
      </c>
      <c r="U59" s="239">
        <f t="shared" si="12"/>
        <v>-0.70709880162337413</v>
      </c>
      <c r="V59" s="93">
        <f>S59/B51</f>
        <v>1281.7663464766101</v>
      </c>
      <c r="W59" s="9">
        <f>T59/D51</f>
        <v>-920.13551465716489</v>
      </c>
    </row>
    <row r="60" spans="1:23">
      <c r="A60" s="98">
        <v>7</v>
      </c>
      <c r="B60" s="98">
        <f>C60*B51</f>
        <v>0.24474637351165371</v>
      </c>
      <c r="C60" s="98">
        <f>D60*B51</f>
        <v>0.58613317366267292</v>
      </c>
      <c r="D60" s="97">
        <f>E60*B51/(1-B51*D51)</f>
        <v>1.4037065895545076</v>
      </c>
      <c r="E60" s="156">
        <f>F60*B51/(1-B51*D51/(1-B51*D51))</f>
        <v>2.5441066221889526</v>
      </c>
      <c r="F60" s="156">
        <f>1/(1-D51*B51/(1-B51*D51/(1-B51*D51/(1-B51*D51/(1-B51*D51/(1-B51*D51)))))-D51*B51/(1-D51*B51/(1-B51*D51)))</f>
        <v>4.1348044227210359</v>
      </c>
      <c r="G60" s="128">
        <f>F60*D51/(1-D51*B51/(1-D51*B51/(1-D51*B51/(1-D51*B51/(1-D51*B51)))))</f>
        <v>3.9587448516904207</v>
      </c>
      <c r="H60" s="1">
        <f>G60*D51/(1-D51*B51/(1-D51*B51/(1-D51*B51/(1-D51*B51))))</f>
        <v>3.7131664893730685</v>
      </c>
      <c r="I60" s="1">
        <f>H60*D51/(1-D51*B51/(1-D51*B51/(1-D51*B51)))</f>
        <v>3.370619181746235</v>
      </c>
      <c r="J60" s="1">
        <f>I60*D51/(1-D51*B51/(1-D51*B51))</f>
        <v>2.89281382114708</v>
      </c>
      <c r="K60" s="1">
        <f>J60*D51/(1-D51*B51)</f>
        <v>2.2263424826363893</v>
      </c>
      <c r="L60" s="1">
        <f>K60*D51</f>
        <v>1.2967086156173238</v>
      </c>
      <c r="M60" s="1">
        <f>L60*D51</f>
        <v>0.75525362648834404</v>
      </c>
      <c r="N60" s="1"/>
      <c r="O60" s="1"/>
      <c r="P60" s="9"/>
      <c r="Q60">
        <f>M60+B60</f>
        <v>0.99999999999999778</v>
      </c>
      <c r="R60" s="171">
        <f>C60-M60</f>
        <v>-0.16912045282567112</v>
      </c>
      <c r="S60" s="93">
        <f>SUM(C60:L60)*B51*F51</f>
        <v>634.78823294668859</v>
      </c>
      <c r="T60" s="9">
        <f>SUM(C60:L60)*D51*H51</f>
        <v>-635.62688176762231</v>
      </c>
      <c r="U60" s="239">
        <f t="shared" si="12"/>
        <v>-0.83864882093371307</v>
      </c>
      <c r="V60" s="93">
        <f>S60/B51</f>
        <v>1520.2286197022911</v>
      </c>
      <c r="W60" s="9">
        <f>T60/D51</f>
        <v>-1091.3192932795143</v>
      </c>
    </row>
    <row r="61" spans="1:23">
      <c r="A61" s="98">
        <v>8</v>
      </c>
      <c r="B61" s="98">
        <f>C61*B51</f>
        <v>0.2503471810807813</v>
      </c>
      <c r="C61" s="98">
        <f>D61*B51</f>
        <v>0.59954632078499537</v>
      </c>
      <c r="D61" s="97">
        <f>E61*B51/(1-B51*D51)</f>
        <v>1.4358291921443143</v>
      </c>
      <c r="E61" s="156">
        <f>F61*B51/(1-B51*D51/(1-B51*D51))</f>
        <v>2.6023262861691632</v>
      </c>
      <c r="F61" s="156">
        <f>1/(1-D51*B51/(1-B51*D51/(1-B51*D51/(1-B51*D51/(1-B51*D51/(1-B51*D51/(1-B51*D51))))))-D51*B51/(1-D51*B51/(1-B51*D51)))</f>
        <v>4.2294258202737787</v>
      </c>
      <c r="G61" s="128">
        <f>F61*D51/(1-D51*B51/(1-D51*B51/(1-D51*B51/(1-D51*B51/(1-D51*B51/(1-D51*B51))))))</f>
        <v>4.1041415525335507</v>
      </c>
      <c r="H61" s="1">
        <f>G61*D51/(1-D51*B51/(1-D51*B51/(1-D51*B51/(1-D51*B51/(1-D51*B51)))))</f>
        <v>3.929387603539642</v>
      </c>
      <c r="I61" s="1">
        <f>H61*D51/(1-D51*B51/(1-D51*B51/(1-D51*B51/(1-D51*B51))))</f>
        <v>3.685630400502089</v>
      </c>
      <c r="J61" s="1">
        <f>I61*D51/(1-D51*B51/(1-D51*B51/(1-D51*B51)))</f>
        <v>3.3456233541676923</v>
      </c>
      <c r="K61" s="1">
        <f>J61*D51/(1-D51*B51/(1-D51*B51))</f>
        <v>2.8713613011229233</v>
      </c>
      <c r="L61" s="1">
        <f>K61*D51/(1-D51*B51)</f>
        <v>2.2098323787575129</v>
      </c>
      <c r="M61" s="1">
        <f>L61*D51</f>
        <v>1.2870924877702172</v>
      </c>
      <c r="N61" s="1">
        <f>M61*D51</f>
        <v>0.7496528189192162</v>
      </c>
      <c r="O61" s="1"/>
      <c r="P61" s="9"/>
      <c r="Q61">
        <f>N61+B61</f>
        <v>0.99999999999999756</v>
      </c>
      <c r="R61" s="171">
        <f>C61-N61</f>
        <v>-0.15010649813422083</v>
      </c>
      <c r="S61" s="93">
        <f>SUM(C61:M61)*B51*F51</f>
        <v>736.1771597792964</v>
      </c>
      <c r="T61" s="9">
        <f>SUM(C61:M61)*D51*H51</f>
        <v>-737.14975831689264</v>
      </c>
      <c r="U61" s="239">
        <f t="shared" si="12"/>
        <v>-0.97259853759624093</v>
      </c>
      <c r="V61" s="93">
        <f>S61/B51</f>
        <v>1763.0408526517583</v>
      </c>
      <c r="W61" s="9">
        <f>T61/D51</f>
        <v>-1265.6257568125623</v>
      </c>
    </row>
    <row r="62" spans="1:23">
      <c r="A62" s="98">
        <v>9</v>
      </c>
      <c r="B62" s="98">
        <f>C62*B51</f>
        <v>0.2543116473981118</v>
      </c>
      <c r="C62" s="98">
        <f>D62*B51</f>
        <v>0.60904066054216865</v>
      </c>
      <c r="D62" s="97">
        <f>E62*B51/(1-B51*D51)</f>
        <v>1.4585668017515867</v>
      </c>
      <c r="E62" s="156">
        <f>F62*B51/(1-B51*D51/(1-B51*D51))</f>
        <v>2.6435363963197238</v>
      </c>
      <c r="F62" s="156">
        <f>1/(1-D51*B51/(1-B51*D51/(1-B51*D51/(1-B51*D51/(1-B51*D51/(1-B51*D51/(1-B51*D51/(1-B51*D51)))))))-D51*B51/(1-D51*B51/(1-B51*D51)))</f>
        <v>4.2964024729915611</v>
      </c>
      <c r="G62" s="128">
        <f>F62*D51/(1-D51*B51/(1-D51*B51/(1-D51*B51/(1-D51*B51/(1-D51*B51/(1-D51*B51/(1-D51*B51)))))))</f>
        <v>4.2070589115088666</v>
      </c>
      <c r="H62" s="1">
        <f>G62*D51/(1-D51*B51/(1-D51*B51/(1-D51*B51/(1-D51*B51/(1-D51*B51/(1-D51*B51))))))</f>
        <v>4.0824371974828546</v>
      </c>
      <c r="I62" s="1">
        <f>H62*D51/(1-D51*B51/(1-D51*B51/(1-D51*B51/(1-D51*B51/(1-D51*B51)))))</f>
        <v>3.9086074178205643</v>
      </c>
      <c r="J62" s="1">
        <f>I62*D51/(1-D51*B51/(1-D51*B51/(1-D51*B51/(1-D51*B51))))</f>
        <v>3.6661393011396033</v>
      </c>
      <c r="K62" s="1">
        <f>J62*D51/(1-D51*B51/(1-D51*B51/(1-D51*B51)))</f>
        <v>3.3279303491347805</v>
      </c>
      <c r="L62" s="1">
        <f>K62*D51/(1-D51*B51/(1-D51*B51))</f>
        <v>2.8561763850178901</v>
      </c>
      <c r="M62" s="1">
        <f>L62*D51/(1-D51*B51)</f>
        <v>2.1981458942790546</v>
      </c>
      <c r="N62" s="1">
        <f>M62*D51</f>
        <v>1.2802858238235497</v>
      </c>
      <c r="O62" s="1">
        <f>N62*D51</f>
        <v>0.74568835260188504</v>
      </c>
      <c r="P62" s="9"/>
      <c r="Q62">
        <f>O62+B62</f>
        <v>0.99999999999999689</v>
      </c>
      <c r="R62" s="171">
        <f>C62-O62</f>
        <v>-0.13664769205971639</v>
      </c>
      <c r="S62" s="93">
        <f>SUM(C62:N62)*B51*F51</f>
        <v>839.05010484721311</v>
      </c>
      <c r="T62" s="9">
        <f>SUM(C62:N62)*D51*H51</f>
        <v>-840.15861370829896</v>
      </c>
      <c r="U62" s="239">
        <f t="shared" si="12"/>
        <v>-1.108508861085852</v>
      </c>
      <c r="V62" s="93">
        <f>S62/B51</f>
        <v>2009.4071007457787</v>
      </c>
      <c r="W62" s="9">
        <f>T62/D51</f>
        <v>-1442.4835243044963</v>
      </c>
    </row>
    <row r="63" spans="1:23" ht="17" thickBot="1">
      <c r="A63" s="99">
        <v>10</v>
      </c>
      <c r="B63" s="99">
        <f>C63*B51</f>
        <v>0.25712813604106566</v>
      </c>
      <c r="C63" s="99">
        <f>D63*B51</f>
        <v>0.61578575507898647</v>
      </c>
      <c r="D63" s="129">
        <f>E63*B51/(1-B51*D51)</f>
        <v>1.4747203553703556</v>
      </c>
      <c r="E63" s="157">
        <f>F63*B51/(1-B51*D51/(1-B51*D51))</f>
        <v>2.6728134283143068</v>
      </c>
      <c r="F63" s="157">
        <f>1/(1-D51*B51/(1-B51*D51/(1-B51*D51/(1-B51*D51/(1-B51*D51/(1-B51*D51/(1-B51*D51/(1-B51*D51/(1-B51*D51))))))))-D51*B51/(1-D51*B51/(1-B51*D51)))</f>
        <v>4.34398491325548</v>
      </c>
      <c r="G63" s="137">
        <f>F63*D51/(1-D51*B51/(1-D51*B51/(1-D51*B51/(1-D51*B51/(1-D51*B51/(1-D51*B51/(1-D51*B51/(1-D51*B51))))))))</f>
        <v>4.2801748240970614</v>
      </c>
      <c r="H63" s="109">
        <f>G63*D51/(1-D51*B51/(1-D51*B51/(1-D51*B51/(1-D51*B51/(1-D51*B51/(1-D51*B51/(1-D51*B51)))))))</f>
        <v>4.1911687160898827</v>
      </c>
      <c r="I63" s="109">
        <f>H63*D51/(1-D51*B51/(1-D51*B51/(1-D51*B51/(1-D51*B51/(1-D51*B51/(1-D51*B51))))))</f>
        <v>4.067017702244442</v>
      </c>
      <c r="J63" s="109">
        <f>I63*D51/(1-D51*B51/(1-D51*B51/(1-D51*B51/(1-D51*B51/(1-D51*B51)))))</f>
        <v>3.8938444831929191</v>
      </c>
      <c r="K63" s="109">
        <f>J63*D51/(1-D51*B51/(1-D51*B51/(1-D51*B51/(1-D51*B51))))</f>
        <v>3.6522921763063949</v>
      </c>
      <c r="L63" s="109">
        <f>K63*D51/(1-D51*B51/(1-D51*B51/(1-D51*B51)))</f>
        <v>3.3153606502784476</v>
      </c>
      <c r="M63" s="109">
        <f>L63*D51/(1-D51*B51/(1-D51*B51))</f>
        <v>2.8453885158999026</v>
      </c>
      <c r="N63" s="109">
        <f>M63*D51/(1-D51*B51)</f>
        <v>2.1898434272696248</v>
      </c>
      <c r="O63" s="109">
        <f>N63*D51</f>
        <v>1.2754501435156138</v>
      </c>
      <c r="P63" s="10">
        <f>O63*D51</f>
        <v>0.7428718639589309</v>
      </c>
      <c r="Q63">
        <f>P63+B63</f>
        <v>0.99999999999999656</v>
      </c>
      <c r="R63" s="172">
        <f>C63-P63</f>
        <v>-0.12708610887994443</v>
      </c>
      <c r="S63" s="94">
        <f>SUM(C63:O63)*B51*F51</f>
        <v>943.12295173609868</v>
      </c>
      <c r="T63" s="10">
        <f>SUM(C63:O63)*D51*H51</f>
        <v>-944.36895616784034</v>
      </c>
      <c r="U63" s="240">
        <f t="shared" si="12"/>
        <v>-1.2460044317416532</v>
      </c>
      <c r="V63" s="94">
        <f>S63/B51</f>
        <v>2258.6469450950449</v>
      </c>
      <c r="W63" s="10">
        <f>T63/D51</f>
        <v>-1621.4041466814147</v>
      </c>
    </row>
  </sheetData>
  <sheetProtection sheet="1" objects="1" scenarios="1"/>
  <mergeCells count="4">
    <mergeCell ref="A4:W4"/>
    <mergeCell ref="A20:W20"/>
    <mergeCell ref="A35:W35"/>
    <mergeCell ref="A50:W50"/>
  </mergeCells>
  <phoneticPr fontId="16" type="noConversion"/>
  <conditionalFormatting sqref="R24">
    <cfRule type="cellIs" dxfId="629" priority="51" operator="lessThanOrEqual">
      <formula>0</formula>
    </cfRule>
    <cfRule type="cellIs" dxfId="628" priority="52" operator="greaterThan">
      <formula>0</formula>
    </cfRule>
  </conditionalFormatting>
  <conditionalFormatting sqref="R25:R33">
    <cfRule type="cellIs" dxfId="627" priority="49" operator="lessThanOrEqual">
      <formula>0</formula>
    </cfRule>
    <cfRule type="cellIs" dxfId="626" priority="50" operator="greaterThan">
      <formula>0</formula>
    </cfRule>
  </conditionalFormatting>
  <conditionalFormatting sqref="R8:R17 U8:U17">
    <cfRule type="cellIs" dxfId="625" priority="47" operator="lessThanOrEqual">
      <formula>0</formula>
    </cfRule>
    <cfRule type="cellIs" dxfId="624" priority="48" operator="greaterThan">
      <formula>0</formula>
    </cfRule>
  </conditionalFormatting>
  <conditionalFormatting sqref="R39">
    <cfRule type="cellIs" dxfId="623" priority="37" operator="lessThanOrEqual">
      <formula>0</formula>
    </cfRule>
    <cfRule type="cellIs" dxfId="622" priority="38" operator="greaterThan">
      <formula>0</formula>
    </cfRule>
  </conditionalFormatting>
  <conditionalFormatting sqref="R40:R48">
    <cfRule type="cellIs" dxfId="621" priority="35" operator="lessThanOrEqual">
      <formula>0</formula>
    </cfRule>
    <cfRule type="cellIs" dxfId="620" priority="36" operator="greaterThan">
      <formula>0</formula>
    </cfRule>
  </conditionalFormatting>
  <conditionalFormatting sqref="S8:T17">
    <cfRule type="cellIs" dxfId="619" priority="33" operator="lessThanOrEqual">
      <formula>0</formula>
    </cfRule>
    <cfRule type="cellIs" dxfId="618" priority="34" operator="greaterThan">
      <formula>0</formula>
    </cfRule>
  </conditionalFormatting>
  <conditionalFormatting sqref="U39:U48">
    <cfRule type="cellIs" dxfId="617" priority="25" operator="lessThanOrEqual">
      <formula>0</formula>
    </cfRule>
    <cfRule type="cellIs" dxfId="616" priority="26" operator="greaterThan">
      <formula>0</formula>
    </cfRule>
  </conditionalFormatting>
  <conditionalFormatting sqref="U24:U33">
    <cfRule type="cellIs" dxfId="615" priority="27" operator="lessThanOrEqual">
      <formula>0</formula>
    </cfRule>
    <cfRule type="cellIs" dxfId="614" priority="28" operator="greaterThan">
      <formula>0</formula>
    </cfRule>
  </conditionalFormatting>
  <conditionalFormatting sqref="R54">
    <cfRule type="cellIs" dxfId="613" priority="15" operator="lessThanOrEqual">
      <formula>0</formula>
    </cfRule>
    <cfRule type="cellIs" dxfId="612" priority="16" operator="greaterThan">
      <formula>0</formula>
    </cfRule>
  </conditionalFormatting>
  <conditionalFormatting sqref="R55:R63">
    <cfRule type="cellIs" dxfId="611" priority="13" operator="lessThanOrEqual">
      <formula>0</formula>
    </cfRule>
    <cfRule type="cellIs" dxfId="610" priority="14" operator="greaterThan">
      <formula>0</formula>
    </cfRule>
  </conditionalFormatting>
  <conditionalFormatting sqref="U54:U63">
    <cfRule type="cellIs" dxfId="609" priority="9" operator="lessThanOrEqual">
      <formula>0</formula>
    </cfRule>
    <cfRule type="cellIs" dxfId="608" priority="10" operator="greaterThan">
      <formula>0</formula>
    </cfRule>
  </conditionalFormatting>
  <conditionalFormatting sqref="S54:T63">
    <cfRule type="cellIs" dxfId="607" priority="1" operator="lessThanOrEqual">
      <formula>0</formula>
    </cfRule>
    <cfRule type="cellIs" dxfId="606" priority="2" operator="greaterThan">
      <formula>0</formula>
    </cfRule>
  </conditionalFormatting>
  <conditionalFormatting sqref="S24:T33">
    <cfRule type="cellIs" dxfId="605" priority="5" operator="lessThanOrEqual">
      <formula>0</formula>
    </cfRule>
    <cfRule type="cellIs" dxfId="604" priority="6" operator="greaterThan">
      <formula>0</formula>
    </cfRule>
  </conditionalFormatting>
  <conditionalFormatting sqref="S39:T48">
    <cfRule type="cellIs" dxfId="603" priority="3" operator="lessThanOrEqual">
      <formula>0</formula>
    </cfRule>
    <cfRule type="cellIs" dxfId="602" priority="4" operator="greaterThan">
      <formula>0</formula>
    </cfRule>
  </conditionalFormatting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6"/>
  <sheetViews>
    <sheetView workbookViewId="0">
      <selection activeCell="K9" sqref="K9"/>
    </sheetView>
  </sheetViews>
  <sheetFormatPr baseColWidth="10" defaultColWidth="8.83203125" defaultRowHeight="16"/>
  <cols>
    <col min="3" max="4" width="9" customWidth="1"/>
    <col min="7" max="7" width="9" customWidth="1"/>
    <col min="10" max="10" width="8.83203125" customWidth="1"/>
    <col min="13" max="13" width="9" customWidth="1"/>
  </cols>
  <sheetData>
    <row r="1" spans="1:32" ht="17" thickBot="1">
      <c r="A1" s="337" t="s">
        <v>65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</row>
    <row r="2" spans="1:32" ht="17" thickBot="1">
      <c r="A2" s="4" t="s">
        <v>3</v>
      </c>
      <c r="B2" s="21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20">
        <v>11</v>
      </c>
    </row>
    <row r="3" spans="1:32">
      <c r="A3" s="23" t="s">
        <v>0</v>
      </c>
      <c r="B3" s="22">
        <f t="shared" ref="B3:B9" si="0">L3</f>
        <v>0.20066277668368979</v>
      </c>
      <c r="C3" s="2">
        <f>C14</f>
        <v>0.35672784957985243</v>
      </c>
      <c r="D3" s="2">
        <f t="shared" ref="D3:J3" si="1">D14</f>
        <v>0.37668211310391386</v>
      </c>
      <c r="E3" s="2">
        <f t="shared" si="1"/>
        <v>0.39707515695847267</v>
      </c>
      <c r="F3" s="2">
        <f t="shared" si="1"/>
        <v>0.41765875287585824</v>
      </c>
      <c r="G3" s="2">
        <f t="shared" si="1"/>
        <v>0.43946657490174384</v>
      </c>
      <c r="H3" s="2">
        <f t="shared" si="1"/>
        <v>0.2623124083615333</v>
      </c>
      <c r="I3" s="2">
        <f t="shared" si="1"/>
        <v>0.2447412422511914</v>
      </c>
      <c r="J3" s="2">
        <f t="shared" si="1"/>
        <v>0.2284251594344453</v>
      </c>
      <c r="K3" s="2">
        <f>(SUM(M14:T14)+Rules!$B$5*U14)/(8+Rules!$B$5)</f>
        <v>0.22978483300250749</v>
      </c>
      <c r="L3" s="8">
        <f t="shared" ref="L3:L9" si="2">SUM(C24:K24)/9</f>
        <v>0.20066277668368979</v>
      </c>
    </row>
    <row r="4" spans="1:32">
      <c r="A4" s="24">
        <v>17</v>
      </c>
      <c r="B4" s="22">
        <f t="shared" si="0"/>
        <v>8.3045810420938462E-2</v>
      </c>
      <c r="C4" s="2">
        <f t="shared" ref="C4:J4" si="3">C15</f>
        <v>0.1301340825832272</v>
      </c>
      <c r="D4" s="2">
        <f t="shared" si="3"/>
        <v>0.12632803105865636</v>
      </c>
      <c r="E4" s="2">
        <f t="shared" si="3"/>
        <v>0.12240563315086352</v>
      </c>
      <c r="F4" s="2">
        <f t="shared" si="3"/>
        <v>0.11835893952671556</v>
      </c>
      <c r="G4" s="2">
        <f t="shared" si="3"/>
        <v>0.11483768183348828</v>
      </c>
      <c r="H4" s="2">
        <f t="shared" si="3"/>
        <v>0.36856619379423861</v>
      </c>
      <c r="I4" s="2">
        <f t="shared" si="3"/>
        <v>0.12856654444917001</v>
      </c>
      <c r="J4" s="2">
        <f t="shared" si="3"/>
        <v>0.119995441485892</v>
      </c>
      <c r="K4" s="2">
        <f>(SUM(M15:T15)+Rules!$B$5*U15)/(8+Rules!$B$5)</f>
        <v>0.12070970006616517</v>
      </c>
      <c r="L4" s="8">
        <f t="shared" si="2"/>
        <v>8.3045810420938462E-2</v>
      </c>
    </row>
    <row r="5" spans="1:32">
      <c r="A5" s="24">
        <v>18</v>
      </c>
      <c r="B5" s="22">
        <f t="shared" si="0"/>
        <v>0.20685063100162074</v>
      </c>
      <c r="C5" s="2">
        <f t="shared" ref="C5:J5" si="4">C16</f>
        <v>0.13654618631469867</v>
      </c>
      <c r="D5" s="2">
        <f t="shared" si="4"/>
        <v>0.13195700871242308</v>
      </c>
      <c r="E5" s="2">
        <f t="shared" si="4"/>
        <v>0.12730742230390438</v>
      </c>
      <c r="F5" s="2">
        <f t="shared" si="4"/>
        <v>0.12291060088311065</v>
      </c>
      <c r="G5" s="2">
        <f t="shared" si="4"/>
        <v>0.11483768183348828</v>
      </c>
      <c r="H5" s="2">
        <f t="shared" si="4"/>
        <v>0.13779696302500785</v>
      </c>
      <c r="I5" s="2">
        <f t="shared" si="4"/>
        <v>0.35933577521840082</v>
      </c>
      <c r="J5" s="2">
        <f t="shared" si="4"/>
        <v>0.119995441485892</v>
      </c>
      <c r="K5" s="2">
        <f>(SUM(M16:T16)+Rules!$B$5*U16)/(8+Rules!$B$5)</f>
        <v>0.12070970006616517</v>
      </c>
      <c r="L5" s="8">
        <f t="shared" si="2"/>
        <v>0.20685063100162074</v>
      </c>
    </row>
    <row r="6" spans="1:32">
      <c r="A6" s="24">
        <v>19</v>
      </c>
      <c r="B6" s="22">
        <f t="shared" si="0"/>
        <v>0.20685063100162074</v>
      </c>
      <c r="C6" s="2">
        <f t="shared" ref="C6:J6" si="5">C17</f>
        <v>0.13129426936501204</v>
      </c>
      <c r="D6" s="2">
        <f t="shared" si="5"/>
        <v>0.12705521955938223</v>
      </c>
      <c r="E6" s="2">
        <f t="shared" si="5"/>
        <v>0.1227557609475093</v>
      </c>
      <c r="F6" s="2">
        <f t="shared" si="5"/>
        <v>0.11835893952671553</v>
      </c>
      <c r="G6" s="2">
        <f t="shared" si="5"/>
        <v>0.11483768183348828</v>
      </c>
      <c r="H6" s="2">
        <f t="shared" si="5"/>
        <v>7.8625365391871746E-2</v>
      </c>
      <c r="I6" s="2">
        <f t="shared" si="5"/>
        <v>0.12856654444917001</v>
      </c>
      <c r="J6" s="2">
        <f t="shared" si="5"/>
        <v>0.35076467225512281</v>
      </c>
      <c r="K6" s="2">
        <f>(SUM(M17:T17)+Rules!$B$5*U17)/(8+Rules!$B$5)</f>
        <v>0.12070970006616517</v>
      </c>
      <c r="L6" s="8">
        <f t="shared" si="2"/>
        <v>0.20685063100162074</v>
      </c>
    </row>
    <row r="7" spans="1:32">
      <c r="A7" s="24">
        <v>20</v>
      </c>
      <c r="B7" s="22">
        <f t="shared" si="0"/>
        <v>0.20685063100162074</v>
      </c>
      <c r="C7" s="2">
        <f t="shared" ref="C7:J7" si="6">C18</f>
        <v>0.12566529171124532</v>
      </c>
      <c r="D7" s="2">
        <f t="shared" si="6"/>
        <v>0.1218033026096956</v>
      </c>
      <c r="E7" s="2">
        <f t="shared" si="6"/>
        <v>0.11785397179446842</v>
      </c>
      <c r="F7" s="2">
        <f t="shared" si="6"/>
        <v>0.11380727817032046</v>
      </c>
      <c r="G7" s="2">
        <f t="shared" si="6"/>
        <v>0.11028602047709318</v>
      </c>
      <c r="H7" s="2">
        <f t="shared" si="6"/>
        <v>7.8625365391871746E-2</v>
      </c>
      <c r="I7" s="2">
        <f t="shared" si="6"/>
        <v>6.9394946816033906E-2</v>
      </c>
      <c r="J7" s="2">
        <f t="shared" si="6"/>
        <v>0.119995441485892</v>
      </c>
      <c r="K7" s="2">
        <f>(SUM(M18:T18)+Rules!$B$5*U18)/(8+Rules!$B$5)</f>
        <v>0.37070970006616516</v>
      </c>
      <c r="L7" s="8">
        <f t="shared" si="2"/>
        <v>0.20685063100162074</v>
      </c>
    </row>
    <row r="8" spans="1:32">
      <c r="A8" s="25">
        <v>21</v>
      </c>
      <c r="B8" s="22">
        <f t="shared" si="0"/>
        <v>9.5739519890509606E-2</v>
      </c>
      <c r="C8" s="2">
        <f t="shared" ref="C8:J9" si="7">C19</f>
        <v>0.11963232044596427</v>
      </c>
      <c r="D8" s="2">
        <f t="shared" si="7"/>
        <v>0.11617432495592889</v>
      </c>
      <c r="E8" s="2">
        <f t="shared" si="7"/>
        <v>0.11260205484478177</v>
      </c>
      <c r="F8" s="2">
        <f t="shared" si="7"/>
        <v>0.10890548901727959</v>
      </c>
      <c r="G8" s="2">
        <f t="shared" si="7"/>
        <v>0.10573435912069809</v>
      </c>
      <c r="H8" s="2">
        <f t="shared" si="7"/>
        <v>7.4073704035476653E-2</v>
      </c>
      <c r="I8" s="2">
        <f t="shared" si="7"/>
        <v>6.9394946816033906E-2</v>
      </c>
      <c r="J8" s="2">
        <f t="shared" si="7"/>
        <v>6.0823843852755896E-2</v>
      </c>
      <c r="K8" s="2">
        <f>(SUM(M19:T19)+Rules!$B$5*U19)/(8+Rules!$B$5)</f>
        <v>3.7376366732831838E-2</v>
      </c>
      <c r="L8" s="8">
        <f t="shared" si="2"/>
        <v>9.5739519890509606E-2</v>
      </c>
    </row>
    <row r="9" spans="1:32" ht="17" thickBot="1">
      <c r="A9" s="123">
        <v>22</v>
      </c>
      <c r="B9" s="22">
        <f t="shared" si="0"/>
        <v>0</v>
      </c>
      <c r="C9" s="2">
        <f t="shared" si="7"/>
        <v>0</v>
      </c>
      <c r="D9" s="2">
        <f t="shared" si="7"/>
        <v>0</v>
      </c>
      <c r="E9" s="2">
        <f t="shared" si="7"/>
        <v>0</v>
      </c>
      <c r="F9" s="2">
        <f t="shared" si="7"/>
        <v>0</v>
      </c>
      <c r="G9" s="2">
        <f t="shared" si="7"/>
        <v>0</v>
      </c>
      <c r="H9" s="2">
        <f t="shared" si="7"/>
        <v>0</v>
      </c>
      <c r="I9" s="2">
        <f t="shared" si="7"/>
        <v>0</v>
      </c>
      <c r="J9" s="2">
        <f t="shared" si="7"/>
        <v>0</v>
      </c>
      <c r="K9" s="2">
        <f>(SUM(M20:T20)+Rules!$B$5*U20)/(8+Rules!$B$5)</f>
        <v>0</v>
      </c>
      <c r="L9" s="8">
        <f t="shared" si="2"/>
        <v>0</v>
      </c>
    </row>
    <row r="10" spans="1:32" ht="17" thickBot="1">
      <c r="A10" s="4" t="s">
        <v>2</v>
      </c>
      <c r="B10" s="21">
        <f>SUM(B3:B9)</f>
        <v>1</v>
      </c>
      <c r="C10" s="21">
        <f t="shared" ref="C10:L10" si="8">SUM(C3:C9)</f>
        <v>0.99999999999999989</v>
      </c>
      <c r="D10" s="21">
        <f t="shared" si="8"/>
        <v>1.0000000000000002</v>
      </c>
      <c r="E10" s="21">
        <f t="shared" si="8"/>
        <v>1</v>
      </c>
      <c r="F10" s="21">
        <f t="shared" si="8"/>
        <v>1</v>
      </c>
      <c r="G10" s="21">
        <f t="shared" si="8"/>
        <v>1</v>
      </c>
      <c r="H10" s="21">
        <f t="shared" si="8"/>
        <v>0.99999999999999989</v>
      </c>
      <c r="I10" s="21">
        <f t="shared" si="8"/>
        <v>1</v>
      </c>
      <c r="J10" s="21">
        <f t="shared" si="8"/>
        <v>1</v>
      </c>
      <c r="K10" s="21">
        <f t="shared" si="8"/>
        <v>1</v>
      </c>
      <c r="L10" s="21">
        <f t="shared" si="8"/>
        <v>1</v>
      </c>
    </row>
    <row r="12" spans="1:32" ht="17" thickBot="1">
      <c r="A12" s="337" t="s">
        <v>66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7"/>
    </row>
    <row r="13" spans="1:32" ht="17" thickBot="1">
      <c r="A13" s="4" t="s">
        <v>3</v>
      </c>
      <c r="B13" s="21">
        <v>1</v>
      </c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19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  <c r="X13" s="19">
        <v>23</v>
      </c>
      <c r="Y13" s="19">
        <v>24</v>
      </c>
      <c r="Z13" s="19">
        <v>25</v>
      </c>
      <c r="AA13" s="19">
        <v>26</v>
      </c>
      <c r="AB13" s="19">
        <v>27</v>
      </c>
      <c r="AC13" s="19">
        <v>28</v>
      </c>
      <c r="AD13" s="19">
        <v>29</v>
      </c>
      <c r="AE13" s="19">
        <v>30</v>
      </c>
      <c r="AF13" s="20">
        <v>31</v>
      </c>
    </row>
    <row r="14" spans="1:32">
      <c r="A14" s="23" t="s">
        <v>0</v>
      </c>
      <c r="B14" s="22">
        <f>L14</f>
        <v>0.2121090766176992</v>
      </c>
      <c r="C14" s="2">
        <f>(SUM(E14:L14)+Rules!$B$5*M14+D24)/(9+Rules!$B$5)</f>
        <v>0.35672784957985243</v>
      </c>
      <c r="D14" s="2">
        <f>(SUM(F14:M14)+Rules!$B$5*N14+E24)/(9+Rules!$B$5)</f>
        <v>0.37668211310391386</v>
      </c>
      <c r="E14" s="2">
        <f>(SUM(G14:N14)+Rules!$B$5*O14+F24)/(9+Rules!$B$5)</f>
        <v>0.39707515695847267</v>
      </c>
      <c r="F14" s="2">
        <f>(SUM(H14:O14)+Rules!$B$5*P14+G24)/(9+Rules!$B$5)</f>
        <v>0.41765875287585824</v>
      </c>
      <c r="G14" s="2">
        <f>(SUM(I14:P14)+Rules!$B$5*Q14+H24)/(9+Rules!$B$5)</f>
        <v>0.43946657490174384</v>
      </c>
      <c r="H14" s="2">
        <f>(SUM(J14:Q14)+Rules!$B$5*R14+I24)/(9+Rules!$B$5)</f>
        <v>0.2623124083615333</v>
      </c>
      <c r="I14" s="2">
        <f>(SUM(K14:R14)+Rules!$B$5*S14+J24)/(9+Rules!$B$5)</f>
        <v>0.2447412422511914</v>
      </c>
      <c r="J14" s="2">
        <f>(SUM(L14:S14)+Rules!$B$5*T14+K24)/(9+Rules!$B$5)</f>
        <v>0.2284251594344453</v>
      </c>
      <c r="K14" s="2">
        <f>(SUM(M14:T14)+Rules!$B$5*U14+L24)/(9+Rules!$B$5)</f>
        <v>0.2121090766176992</v>
      </c>
      <c r="L14" s="2">
        <f>(SUM(M14:U14)+Rules!$B$5*V14)/(9+Rules!$B$5)</f>
        <v>0.2121090766176992</v>
      </c>
      <c r="M14" s="2">
        <f>(SUM(N14:V14)+Rules!$B$5*W14)/(9+Rules!$B$5)</f>
        <v>0.48267271400214923</v>
      </c>
      <c r="N14" s="2">
        <f>(SUM(O14:W14)+Rules!$B$5*X14)/(9+Rules!$B$5)</f>
        <v>0.51962466300199572</v>
      </c>
      <c r="O14" s="2">
        <f>(SUM(P14:X14)+Rules!$B$5*Y14)/(9+Rules!$B$5)</f>
        <v>0.55393718707328177</v>
      </c>
      <c r="P14" s="2">
        <f>(SUM(Q14:Y14)+Rules!$B$5*Z14)/(9+Rules!$B$5)</f>
        <v>0.58579881656804733</v>
      </c>
      <c r="Q14" s="2">
        <f>(SUM(R14:Z14)+Rules!$B$5*AA14)/(9+Rules!$B$5)</f>
        <v>0.61538461538461542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>IF(Rules!$B$14=Rules!$D$14,1,0)</f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8">
        <v>1</v>
      </c>
    </row>
    <row r="15" spans="1:32">
      <c r="A15" s="24">
        <v>17</v>
      </c>
      <c r="B15" s="22">
        <f t="shared" ref="B15:B20" si="9">L15</f>
        <v>0.11142433852261401</v>
      </c>
      <c r="C15" s="2">
        <f>(SUM(E15:L15)+Rules!$B$5*M15+D25)/(9+Rules!$B$5)</f>
        <v>0.1301340825832272</v>
      </c>
      <c r="D15" s="2">
        <f>(SUM(F15:M15)+Rules!$B$5*N15+E25)/(9+Rules!$B$5)</f>
        <v>0.12632803105865636</v>
      </c>
      <c r="E15" s="2">
        <f>(SUM(G15:N15)+Rules!$B$5*O15+F25)/(9+Rules!$B$5)</f>
        <v>0.12240563315086352</v>
      </c>
      <c r="F15" s="2">
        <f>(SUM(H15:O15)+Rules!$B$5*P15+G25)/(9+Rules!$B$5)</f>
        <v>0.11835893952671556</v>
      </c>
      <c r="G15" s="2">
        <f>(SUM(I15:P15)+Rules!$B$5*Q15+H25)/(9+Rules!$B$5)</f>
        <v>0.11483768183348828</v>
      </c>
      <c r="H15" s="2">
        <f>(SUM(J15:Q15)+Rules!$B$5*R15+I25)/(9+Rules!$B$5)</f>
        <v>0.36856619379423861</v>
      </c>
      <c r="I15" s="2">
        <f>(SUM(K15:R15)+Rules!$B$5*S15+J25)/(9+Rules!$B$5)</f>
        <v>0.12856654444917001</v>
      </c>
      <c r="J15" s="2">
        <f>(SUM(L15:S15)+Rules!$B$5*T15+K25)/(9+Rules!$B$5)</f>
        <v>0.119995441485892</v>
      </c>
      <c r="K15" s="2">
        <f>(SUM(M15:T15)+Rules!$B$5*U15+L25)/(9+Rules!$B$5)</f>
        <v>0.11142433852261401</v>
      </c>
      <c r="L15" s="2">
        <f>(SUM(M15:U15)+Rules!$B$5*V15)/(9+Rules!$B$5)</f>
        <v>0.11142433852261401</v>
      </c>
      <c r="M15" s="2">
        <f>(SUM(N15:V15)+Rules!$B$5*W15)/(9+Rules!$B$5)</f>
        <v>0.10346545719957015</v>
      </c>
      <c r="N15" s="2">
        <f>(SUM(O15:W15)+Rules!$B$5*X15)/(9+Rules!$B$5)</f>
        <v>9.6075067399600853E-2</v>
      </c>
      <c r="O15" s="2">
        <f>(SUM(P15:X15)+Rules!$B$5*Y15)/(9+Rules!$B$5)</f>
        <v>8.9212562585343644E-2</v>
      </c>
      <c r="P15" s="2">
        <f>(SUM(Q15:Y15)+Rules!$B$5*Z15)/(9+Rules!$B$5)</f>
        <v>8.2840236686390525E-2</v>
      </c>
      <c r="Q15" s="2">
        <f>(SUM(R15:Z15)+Rules!$B$5*AA15)/(9+Rules!$B$5)</f>
        <v>7.6923076923076927E-2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9">
        <v>0</v>
      </c>
    </row>
    <row r="16" spans="1:32">
      <c r="A16" s="24">
        <v>18</v>
      </c>
      <c r="B16" s="22">
        <f t="shared" si="9"/>
        <v>0.11142433852261401</v>
      </c>
      <c r="C16" s="2">
        <f>(SUM(E16:L16)+Rules!$B$5*M16+D26)/(9+Rules!$B$5)</f>
        <v>0.13654618631469867</v>
      </c>
      <c r="D16" s="2">
        <f>(SUM(F16:M16)+Rules!$B$5*N16+E26)/(9+Rules!$B$5)</f>
        <v>0.13195700871242308</v>
      </c>
      <c r="E16" s="2">
        <f>(SUM(G16:N16)+Rules!$B$5*O16+F26)/(9+Rules!$B$5)</f>
        <v>0.12730742230390438</v>
      </c>
      <c r="F16" s="2">
        <f>(SUM(H16:O16)+Rules!$B$5*P16+G26)/(9+Rules!$B$5)</f>
        <v>0.12291060088311065</v>
      </c>
      <c r="G16" s="2">
        <f>(SUM(I16:P16)+Rules!$B$5*Q16+H26)/(9+Rules!$B$5)</f>
        <v>0.11483768183348828</v>
      </c>
      <c r="H16" s="2">
        <f>(SUM(J16:Q16)+Rules!$B$5*R16+I26)/(9+Rules!$B$5)</f>
        <v>0.13779696302500785</v>
      </c>
      <c r="I16" s="2">
        <f>(SUM(K16:R16)+Rules!$B$5*S16+J26)/(9+Rules!$B$5)</f>
        <v>0.35933577521840082</v>
      </c>
      <c r="J16" s="2">
        <f>(SUM(L16:S16)+Rules!$B$5*T16+K26)/(9+Rules!$B$5)</f>
        <v>0.119995441485892</v>
      </c>
      <c r="K16" s="2">
        <f>(SUM(M16:T16)+Rules!$B$5*U16+L26)/(9+Rules!$B$5)</f>
        <v>0.11142433852261401</v>
      </c>
      <c r="L16" s="2">
        <f>(SUM(M16:U16)+Rules!$B$5*V16)/(9+Rules!$B$5)</f>
        <v>0.11142433852261401</v>
      </c>
      <c r="M16" s="2">
        <f>(SUM(N16:V16)+Rules!$B$5*W16)/(9+Rules!$B$5)</f>
        <v>0.10346545719957015</v>
      </c>
      <c r="N16" s="2">
        <f>(SUM(O16:W16)+Rules!$B$5*X16)/(9+Rules!$B$5)</f>
        <v>9.6075067399600853E-2</v>
      </c>
      <c r="O16" s="2">
        <f>(SUM(P16:X16)+Rules!$B$5*Y16)/(9+Rules!$B$5)</f>
        <v>8.9212562585343644E-2</v>
      </c>
      <c r="P16" s="2">
        <f>(SUM(Q16:Y16)+Rules!$B$5*Z16)/(9+Rules!$B$5)</f>
        <v>8.2840236686390525E-2</v>
      </c>
      <c r="Q16" s="2">
        <f>(SUM(R16:Z16)+Rules!$B$5*AA16)/(9+Rules!$B$5)</f>
        <v>7.6923076923076927E-2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>
      <c r="A17" s="24">
        <v>19</v>
      </c>
      <c r="B17" s="22">
        <f t="shared" si="9"/>
        <v>0.11142433852261401</v>
      </c>
      <c r="C17" s="2">
        <f>(SUM(E17:L17)+Rules!$B$5*M17+D27)/(9+Rules!$B$5)</f>
        <v>0.13129426936501204</v>
      </c>
      <c r="D17" s="2">
        <f>(SUM(F17:M17)+Rules!$B$5*N17+E27)/(9+Rules!$B$5)</f>
        <v>0.12705521955938223</v>
      </c>
      <c r="E17" s="2">
        <f>(SUM(G17:N17)+Rules!$B$5*O17+F27)/(9+Rules!$B$5)</f>
        <v>0.1227557609475093</v>
      </c>
      <c r="F17" s="2">
        <f>(SUM(H17:O17)+Rules!$B$5*P17+G27)/(9+Rules!$B$5)</f>
        <v>0.11835893952671553</v>
      </c>
      <c r="G17" s="2">
        <f>(SUM(I17:P17)+Rules!$B$5*Q17+H27)/(9+Rules!$B$5)</f>
        <v>0.11483768183348828</v>
      </c>
      <c r="H17" s="2">
        <f>(SUM(J17:Q17)+Rules!$B$5*R17+I27)/(9+Rules!$B$5)</f>
        <v>7.8625365391871746E-2</v>
      </c>
      <c r="I17" s="2">
        <f>(SUM(K17:R17)+Rules!$B$5*S17+J27)/(9+Rules!$B$5)</f>
        <v>0.12856654444917001</v>
      </c>
      <c r="J17" s="2">
        <f>(SUM(L17:S17)+Rules!$B$5*T17+K27)/(9+Rules!$B$5)</f>
        <v>0.35076467225512281</v>
      </c>
      <c r="K17" s="2">
        <f>(SUM(M17:T17)+Rules!$B$5*U17+L27)/(9+Rules!$B$5)</f>
        <v>0.11142433852261401</v>
      </c>
      <c r="L17" s="2">
        <f>(SUM(M17:U17)+Rules!$B$5*V17)/(9+Rules!$B$5)</f>
        <v>0.11142433852261401</v>
      </c>
      <c r="M17" s="2">
        <f>(SUM(N17:V17)+Rules!$B$5*W17)/(9+Rules!$B$5)</f>
        <v>0.10346545719957015</v>
      </c>
      <c r="N17" s="2">
        <f>(SUM(O17:W17)+Rules!$B$5*X17)/(9+Rules!$B$5)</f>
        <v>9.6075067399600853E-2</v>
      </c>
      <c r="O17" s="2">
        <f>(SUM(P17:X17)+Rules!$B$5*Y17)/(9+Rules!$B$5)</f>
        <v>8.9212562585343644E-2</v>
      </c>
      <c r="P17" s="2">
        <f>(SUM(Q17:Y17)+Rules!$B$5*Z17)/(9+Rules!$B$5)</f>
        <v>8.2840236686390525E-2</v>
      </c>
      <c r="Q17" s="2">
        <f>(SUM(R17:Z17)+Rules!$B$5*AA17)/(9+Rules!$B$5)</f>
        <v>7.6923076923076927E-2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>
      <c r="A18" s="24">
        <v>20</v>
      </c>
      <c r="B18" s="22">
        <f t="shared" si="9"/>
        <v>0.11142433852261401</v>
      </c>
      <c r="C18" s="2">
        <f>(SUM(E18:L18)+Rules!$B$5*M18+D28)/(9+Rules!$B$5)</f>
        <v>0.12566529171124532</v>
      </c>
      <c r="D18" s="2">
        <f>(SUM(F18:M18)+Rules!$B$5*N18+E28)/(9+Rules!$B$5)</f>
        <v>0.1218033026096956</v>
      </c>
      <c r="E18" s="2">
        <f>(SUM(G18:N18)+Rules!$B$5*O18+F28)/(9+Rules!$B$5)</f>
        <v>0.11785397179446842</v>
      </c>
      <c r="F18" s="2">
        <f>(SUM(H18:O18)+Rules!$B$5*P18+G28)/(9+Rules!$B$5)</f>
        <v>0.11380727817032046</v>
      </c>
      <c r="G18" s="2">
        <f>(SUM(I18:P18)+Rules!$B$5*Q18+H28)/(9+Rules!$B$5)</f>
        <v>0.11028602047709318</v>
      </c>
      <c r="H18" s="2">
        <f>(SUM(J18:Q18)+Rules!$B$5*R18+I28)/(9+Rules!$B$5)</f>
        <v>7.8625365391871746E-2</v>
      </c>
      <c r="I18" s="2">
        <f>(SUM(K18:R18)+Rules!$B$5*S18+J28)/(9+Rules!$B$5)</f>
        <v>6.9394946816033906E-2</v>
      </c>
      <c r="J18" s="2">
        <f>(SUM(L18:S18)+Rules!$B$5*T18+K28)/(9+Rules!$B$5)</f>
        <v>0.119995441485892</v>
      </c>
      <c r="K18" s="2">
        <f>(SUM(M18:T18)+Rules!$B$5*U18+L28)/(9+Rules!$B$5)</f>
        <v>0.34219356929184475</v>
      </c>
      <c r="L18" s="2">
        <f>(SUM(M18:U18)+Rules!$B$5*V18)/(9+Rules!$B$5)</f>
        <v>0.11142433852261401</v>
      </c>
      <c r="M18" s="2">
        <f>(SUM(N18:V18)+Rules!$B$5*W18)/(9+Rules!$B$5)</f>
        <v>0.10346545719957015</v>
      </c>
      <c r="N18" s="2">
        <f>(SUM(O18:W18)+Rules!$B$5*X18)/(9+Rules!$B$5)</f>
        <v>9.6075067399600853E-2</v>
      </c>
      <c r="O18" s="2">
        <f>(SUM(P18:X18)+Rules!$B$5*Y18)/(9+Rules!$B$5)</f>
        <v>8.9212562585343644E-2</v>
      </c>
      <c r="P18" s="2">
        <f>(SUM(Q18:Y18)+Rules!$B$5*Z18)/(9+Rules!$B$5)</f>
        <v>8.2840236686390525E-2</v>
      </c>
      <c r="Q18" s="2">
        <f>(SUM(R18:Z18)+Rules!$B$5*AA18)/(9+Rules!$B$5)</f>
        <v>7.6923076923076927E-2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>
      <c r="A19" s="25">
        <v>21</v>
      </c>
      <c r="B19" s="22">
        <f t="shared" si="9"/>
        <v>0.34219356929184475</v>
      </c>
      <c r="C19" s="2">
        <f>(SUM(E19:L19)+Rules!$B$5*M19+D29)/(9+Rules!$B$5)</f>
        <v>0.11963232044596427</v>
      </c>
      <c r="D19" s="2">
        <f>(SUM(F19:M19)+Rules!$B$5*N19+E29)/(9+Rules!$B$5)</f>
        <v>0.11617432495592889</v>
      </c>
      <c r="E19" s="2">
        <f>(SUM(G19:N19)+Rules!$B$5*O19+F29)/(9+Rules!$B$5)</f>
        <v>0.11260205484478177</v>
      </c>
      <c r="F19" s="2">
        <f>(SUM(H19:O19)+Rules!$B$5*P19+G29)/(9+Rules!$B$5)</f>
        <v>0.10890548901727959</v>
      </c>
      <c r="G19" s="2">
        <f>(SUM(I19:P19)+Rules!$B$5*Q19+H29)/(9+Rules!$B$5)</f>
        <v>0.10573435912069809</v>
      </c>
      <c r="H19" s="2">
        <f>(SUM(J19:Q19)+Rules!$B$5*R19+I29)/(9+Rules!$B$5)</f>
        <v>7.4073704035476653E-2</v>
      </c>
      <c r="I19" s="2">
        <f>(SUM(K19:R19)+Rules!$B$5*S19+J29)/(9+Rules!$B$5)</f>
        <v>6.9394946816033906E-2</v>
      </c>
      <c r="J19" s="2">
        <f>(SUM(L19:S19)+Rules!$B$5*T19+K29)/(9+Rules!$B$5)</f>
        <v>6.0823843852755896E-2</v>
      </c>
      <c r="K19" s="2">
        <f>(SUM(M19:T19)+Rules!$B$5*U19+L29)/(9+Rules!$B$5)</f>
        <v>0.11142433852261401</v>
      </c>
      <c r="L19" s="2">
        <f>(SUM(M19:U19)+Rules!$B$5*V19)/(9+Rules!$B$5)</f>
        <v>0.34219356929184475</v>
      </c>
      <c r="M19" s="2">
        <f>(SUM(N19:V19)+Rules!$B$5*W19)/(9+Rules!$B$5)</f>
        <v>0.10346545719957015</v>
      </c>
      <c r="N19" s="2">
        <f>(SUM(O19:W19)+Rules!$B$5*X19)/(9+Rules!$B$5)</f>
        <v>9.6075067399600853E-2</v>
      </c>
      <c r="O19" s="2">
        <f>(SUM(P19:X19)+Rules!$B$5*Y19)/(9+Rules!$B$5)</f>
        <v>8.9212562585343644E-2</v>
      </c>
      <c r="P19" s="2">
        <f>(SUM(Q19:Y19)+Rules!$B$5*Z19)/(9+Rules!$B$5)</f>
        <v>8.2840236686390525E-2</v>
      </c>
      <c r="Q19" s="2">
        <f>(SUM(R19:Z19)+Rules!$B$5*AA19)/(9+Rules!$B$5)</f>
        <v>7.6923076923076927E-2</v>
      </c>
      <c r="R19" s="26">
        <v>0</v>
      </c>
      <c r="S19" s="26">
        <v>0</v>
      </c>
      <c r="T19" s="26">
        <v>0</v>
      </c>
      <c r="U19" s="26">
        <v>0</v>
      </c>
      <c r="V19" s="26">
        <v>1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7">
        <v>0</v>
      </c>
    </row>
    <row r="20" spans="1:32" ht="17" thickBot="1">
      <c r="A20" s="123">
        <v>22</v>
      </c>
      <c r="B20" s="22">
        <f t="shared" si="9"/>
        <v>0</v>
      </c>
      <c r="C20" s="2">
        <f>(SUM(E20:L20)+Rules!$B$5*M20+D30)/(9+Rules!$B$5)</f>
        <v>0</v>
      </c>
      <c r="D20" s="2">
        <f>(SUM(F20:M20)+Rules!$B$5*N20+E30)/(9+Rules!$B$5)</f>
        <v>0</v>
      </c>
      <c r="E20" s="2">
        <f>(SUM(G20:N20)+Rules!$B$5*O20+F30)/(9+Rules!$B$5)</f>
        <v>0</v>
      </c>
      <c r="F20" s="2">
        <f>(SUM(H20:O20)+Rules!$B$5*P20+G30)/(9+Rules!$B$5)</f>
        <v>0</v>
      </c>
      <c r="G20" s="2">
        <f>(SUM(I20:P20)+Rules!$B$5*Q20+H30)/(9+Rules!$B$5)</f>
        <v>0</v>
      </c>
      <c r="H20" s="2">
        <f>(SUM(J20:Q20)+Rules!$B$5*R20+I30)/(9+Rules!$B$5)</f>
        <v>0</v>
      </c>
      <c r="I20" s="2">
        <f>(SUM(K20:R20)+Rules!$B$5*S20+J30)/(9+Rules!$B$5)</f>
        <v>0</v>
      </c>
      <c r="J20" s="2">
        <f>(SUM(L20:S20)+Rules!$B$5*T20+K30)/(9+Rules!$B$5)</f>
        <v>0</v>
      </c>
      <c r="K20" s="2">
        <f>(SUM(M20:T20)+Rules!$B$5*U20+L30)/(9+Rules!$B$5)</f>
        <v>0</v>
      </c>
      <c r="L20" s="2">
        <f>(SUM(M20:U20)+Rules!$B$5*V20)/(9+Rules!$B$5)</f>
        <v>0</v>
      </c>
      <c r="M20" s="2">
        <f>(SUM(N20:V20)+Rules!$B$5*W20)/(9+Rules!$B$5)</f>
        <v>0</v>
      </c>
      <c r="N20" s="2">
        <f>(SUM(O20:W20)+Rules!$B$5*X20)/(9+Rules!$B$5)</f>
        <v>0</v>
      </c>
      <c r="O20" s="2">
        <f>(SUM(P20:X20)+Rules!$B$5*Y20)/(9+Rules!$B$5)</f>
        <v>0</v>
      </c>
      <c r="P20" s="2">
        <f>(SUM(Q20:Y20)+Rules!$B$5*Z20)/(9+Rules!$B$5)</f>
        <v>0</v>
      </c>
      <c r="Q20" s="2">
        <f>(SUM(R20:Z20)+Rules!$B$5*AA20)/(9+Rules!$B$5)</f>
        <v>0</v>
      </c>
      <c r="R20" s="117">
        <v>0</v>
      </c>
      <c r="S20" s="117">
        <v>0</v>
      </c>
      <c r="T20" s="117">
        <v>0</v>
      </c>
      <c r="U20" s="117">
        <v>0</v>
      </c>
      <c r="V20" s="117">
        <v>0</v>
      </c>
      <c r="W20" s="117">
        <f>IF(Rules!$B$14=Rules!$D$14,0,1)</f>
        <v>0</v>
      </c>
      <c r="X20" s="117">
        <v>0</v>
      </c>
      <c r="Y20" s="117">
        <v>0</v>
      </c>
      <c r="Z20" s="117">
        <v>0</v>
      </c>
      <c r="AA20" s="117">
        <v>0</v>
      </c>
      <c r="AB20" s="117">
        <v>0</v>
      </c>
      <c r="AC20" s="117">
        <v>0</v>
      </c>
      <c r="AD20" s="117">
        <v>0</v>
      </c>
      <c r="AE20" s="117">
        <v>0</v>
      </c>
      <c r="AF20" s="101">
        <v>0</v>
      </c>
    </row>
    <row r="21" spans="1:32" ht="17" thickBot="1">
      <c r="A21" s="4" t="s">
        <v>2</v>
      </c>
      <c r="B21" s="21">
        <f>SUM(B14:B20)</f>
        <v>1</v>
      </c>
      <c r="C21" s="21">
        <f t="shared" ref="C21:Q21" si="10">SUM(C14:C20)</f>
        <v>0.99999999999999989</v>
      </c>
      <c r="D21" s="21">
        <f t="shared" si="10"/>
        <v>1.0000000000000002</v>
      </c>
      <c r="E21" s="21">
        <f t="shared" si="10"/>
        <v>1</v>
      </c>
      <c r="F21" s="21">
        <f t="shared" si="10"/>
        <v>1</v>
      </c>
      <c r="G21" s="21">
        <f t="shared" si="10"/>
        <v>1</v>
      </c>
      <c r="H21" s="21">
        <f t="shared" si="10"/>
        <v>0.99999999999999989</v>
      </c>
      <c r="I21" s="21">
        <f t="shared" si="10"/>
        <v>1</v>
      </c>
      <c r="J21" s="21">
        <f t="shared" si="10"/>
        <v>1</v>
      </c>
      <c r="K21" s="21">
        <f t="shared" si="10"/>
        <v>1</v>
      </c>
      <c r="L21" s="21">
        <f t="shared" si="10"/>
        <v>1</v>
      </c>
      <c r="M21" s="21">
        <f t="shared" si="10"/>
        <v>0.99999999999999989</v>
      </c>
      <c r="N21" s="21">
        <f t="shared" si="10"/>
        <v>0.99999999999999978</v>
      </c>
      <c r="O21" s="21">
        <f t="shared" si="10"/>
        <v>0.99999999999999978</v>
      </c>
      <c r="P21" s="21">
        <f t="shared" si="10"/>
        <v>0.99999999999999989</v>
      </c>
      <c r="Q21" s="21">
        <f t="shared" si="10"/>
        <v>0.99999999999999978</v>
      </c>
      <c r="R21" s="19">
        <f t="shared" ref="R21:AF21" si="11">SUM(R14:R19)</f>
        <v>1</v>
      </c>
      <c r="S21" s="19">
        <f t="shared" si="11"/>
        <v>1</v>
      </c>
      <c r="T21" s="19">
        <f t="shared" si="11"/>
        <v>1</v>
      </c>
      <c r="U21" s="19">
        <f t="shared" si="11"/>
        <v>1</v>
      </c>
      <c r="V21" s="19">
        <f t="shared" si="11"/>
        <v>1</v>
      </c>
      <c r="W21" s="19">
        <f t="shared" si="11"/>
        <v>1</v>
      </c>
      <c r="X21" s="19">
        <f t="shared" si="11"/>
        <v>1</v>
      </c>
      <c r="Y21" s="19">
        <f t="shared" si="11"/>
        <v>1</v>
      </c>
      <c r="Z21" s="19">
        <f t="shared" si="11"/>
        <v>1</v>
      </c>
      <c r="AA21" s="19">
        <f t="shared" si="11"/>
        <v>1</v>
      </c>
      <c r="AB21" s="19">
        <f t="shared" si="11"/>
        <v>1</v>
      </c>
      <c r="AC21" s="19">
        <f t="shared" si="11"/>
        <v>1</v>
      </c>
      <c r="AD21" s="19">
        <f t="shared" si="11"/>
        <v>1</v>
      </c>
      <c r="AE21" s="19">
        <f t="shared" si="11"/>
        <v>1</v>
      </c>
      <c r="AF21" s="20">
        <f t="shared" si="11"/>
        <v>1</v>
      </c>
    </row>
    <row r="22" spans="1:32" ht="17" thickBot="1"/>
    <row r="23" spans="1:32" ht="17" thickBot="1">
      <c r="A23" s="125" t="s">
        <v>4</v>
      </c>
      <c r="B23" s="115">
        <v>11</v>
      </c>
      <c r="C23" s="116">
        <v>12</v>
      </c>
      <c r="D23" s="116">
        <v>13</v>
      </c>
      <c r="E23" s="116">
        <v>14</v>
      </c>
      <c r="F23" s="116">
        <v>15</v>
      </c>
      <c r="G23" s="116">
        <v>16</v>
      </c>
      <c r="H23" s="116">
        <v>17</v>
      </c>
      <c r="I23" s="116">
        <v>18</v>
      </c>
      <c r="J23" s="116">
        <v>19</v>
      </c>
      <c r="K23" s="116">
        <v>20</v>
      </c>
      <c r="L23" s="116">
        <v>21</v>
      </c>
      <c r="M23" s="116">
        <v>22</v>
      </c>
      <c r="N23" s="116">
        <v>23</v>
      </c>
      <c r="O23" s="116">
        <v>24</v>
      </c>
      <c r="P23" s="116">
        <v>25</v>
      </c>
      <c r="Q23" s="116">
        <v>26</v>
      </c>
      <c r="R23" s="116">
        <v>27</v>
      </c>
      <c r="S23" s="116">
        <v>28</v>
      </c>
      <c r="T23" s="116">
        <v>29</v>
      </c>
      <c r="U23" s="116">
        <v>30</v>
      </c>
      <c r="V23" s="116">
        <v>31</v>
      </c>
      <c r="W23" s="104">
        <v>32</v>
      </c>
    </row>
    <row r="24" spans="1:32">
      <c r="A24" s="125" t="s">
        <v>0</v>
      </c>
      <c r="B24" s="107">
        <f t="shared" ref="B24:B30" si="12">L14</f>
        <v>0.2121090766176992</v>
      </c>
      <c r="C24" s="108">
        <f>(SUM(D24:L24)+Rules!$B$5*M24)/(9+Rules!$B$5)</f>
        <v>0.26690398901155749</v>
      </c>
      <c r="D24" s="108">
        <f>(SUM(E24:M24)+Rules!$B$5*N24)/(9+Rules!$B$5)</f>
        <v>0.29287374051084158</v>
      </c>
      <c r="E24" s="108">
        <f>(SUM(F24:N24)+Rules!$B$5*O24)/(9+Rules!$B$5)</f>
        <v>0.31887381328057718</v>
      </c>
      <c r="F24" s="108">
        <f>(SUM(G24:O24)+Rules!$B$5*P24)/(9+Rules!$B$5)</f>
        <v>0.34476737697856052</v>
      </c>
      <c r="G24" s="108">
        <f>(SUM(H24:P24)+Rules!$B$5*Q24)/(9+Rules!$B$5)</f>
        <v>0.37043699375397193</v>
      </c>
      <c r="H24" s="108">
        <f>IF(Rules!$B$4=Rules!$E$4,0,(SUM(I24:Q24)+Rules!$B$5*R24)/(9+Rules!$B$5))</f>
        <v>0.2121090766176992</v>
      </c>
      <c r="I24" s="108">
        <v>0</v>
      </c>
      <c r="J24" s="108">
        <v>0</v>
      </c>
      <c r="K24" s="108">
        <v>0</v>
      </c>
      <c r="L24" s="108">
        <v>0</v>
      </c>
      <c r="M24" s="108">
        <f t="shared" ref="M24:V24" si="13">M14</f>
        <v>0.48267271400214923</v>
      </c>
      <c r="N24" s="108">
        <f t="shared" si="13"/>
        <v>0.51962466300199572</v>
      </c>
      <c r="O24" s="108">
        <f t="shared" si="13"/>
        <v>0.55393718707328177</v>
      </c>
      <c r="P24" s="108">
        <f t="shared" si="13"/>
        <v>0.58579881656804733</v>
      </c>
      <c r="Q24" s="108">
        <f t="shared" si="13"/>
        <v>0.61538461538461542</v>
      </c>
      <c r="R24" s="108">
        <f t="shared" si="13"/>
        <v>0</v>
      </c>
      <c r="S24" s="108">
        <f t="shared" si="13"/>
        <v>0</v>
      </c>
      <c r="T24" s="108">
        <f t="shared" si="13"/>
        <v>0</v>
      </c>
      <c r="U24" s="108">
        <f t="shared" si="13"/>
        <v>0</v>
      </c>
      <c r="V24" s="108">
        <f t="shared" si="13"/>
        <v>0</v>
      </c>
      <c r="W24" s="57">
        <f t="shared" ref="W24:W30" si="14">W14</f>
        <v>1</v>
      </c>
    </row>
    <row r="25" spans="1:32">
      <c r="A25" s="124">
        <v>17</v>
      </c>
      <c r="B25" s="28">
        <f t="shared" si="12"/>
        <v>0.11142433852261401</v>
      </c>
      <c r="C25" s="2">
        <f>(SUM(D25:L25)+Rules!$B$5*M25)/(9+Rules!$B$5)</f>
        <v>8.2948151613337628E-2</v>
      </c>
      <c r="D25" s="2">
        <f>(SUM(E25:M25)+Rules!$B$5*N25)/(9+Rules!$B$5)</f>
        <v>8.2302133498077301E-2</v>
      </c>
      <c r="E25" s="2">
        <f>(SUM(F25:N25)+Rules!$B$5*O25)/(9+Rules!$B$5)</f>
        <v>8.1325198829826917E-2</v>
      </c>
      <c r="F25" s="2">
        <f>(SUM(G25:O25)+Rules!$B$5*P25)/(9+Rules!$B$5)</f>
        <v>8.0067917412662934E-2</v>
      </c>
      <c r="G25" s="2">
        <f>(SUM(H25:P25)+Rules!$B$5*Q25)/(9+Rules!$B$5)</f>
        <v>7.8575323142696732E-2</v>
      </c>
      <c r="H25" s="2">
        <f>IF(Rules!$B$4=Rules!$E$4,1,(SUM(I25:Q25)+Rules!$B$5*R25)/(9+Rules!$B$5))</f>
        <v>0.34219356929184475</v>
      </c>
      <c r="I25" s="1">
        <v>0</v>
      </c>
      <c r="J25" s="1">
        <v>0</v>
      </c>
      <c r="K25" s="1">
        <v>0</v>
      </c>
      <c r="L25" s="1">
        <v>0</v>
      </c>
      <c r="M25" s="2">
        <f t="shared" ref="M25:V25" si="15">M15</f>
        <v>0.10346545719957015</v>
      </c>
      <c r="N25" s="2">
        <f t="shared" si="15"/>
        <v>9.6075067399600853E-2</v>
      </c>
      <c r="O25" s="2">
        <f t="shared" si="15"/>
        <v>8.9212562585343644E-2</v>
      </c>
      <c r="P25" s="2">
        <f t="shared" si="15"/>
        <v>8.2840236686390525E-2</v>
      </c>
      <c r="Q25" s="2">
        <f t="shared" si="15"/>
        <v>7.6923076923076927E-2</v>
      </c>
      <c r="R25" s="1">
        <f t="shared" si="15"/>
        <v>1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9">
        <f t="shared" si="14"/>
        <v>0</v>
      </c>
    </row>
    <row r="26" spans="1:32">
      <c r="A26" s="124">
        <v>18</v>
      </c>
      <c r="B26" s="28">
        <f t="shared" si="12"/>
        <v>0.11142433852261401</v>
      </c>
      <c r="C26" s="2">
        <f>(SUM(D26:L26)+Rules!$B$5*M26)/(9+Rules!$B$5)</f>
        <v>0.16253696484377622</v>
      </c>
      <c r="D26" s="2">
        <f>(SUM(E26:M26)+Rules!$B$5*N26)/(9+Rules!$B$5)</f>
        <v>0.15620603149777026</v>
      </c>
      <c r="E26" s="2">
        <f>(SUM(F26:N26)+Rules!$B$5*O26)/(9+Rules!$B$5)</f>
        <v>0.14995024697239898</v>
      </c>
      <c r="F26" s="2">
        <f>(SUM(G26:O26)+Rules!$B$5*P26)/(9+Rules!$B$5)</f>
        <v>0.14379117640219413</v>
      </c>
      <c r="G26" s="2">
        <f>(SUM(H26:P26)+Rules!$B$5*Q26)/(9+Rules!$B$5)</f>
        <v>0.13774692077583284</v>
      </c>
      <c r="H26" s="2">
        <f>IF(Rules!$B$4=Rules!$E$4,0,(SUM(I26:Q26)+Rules!$B$5*R26)/(9+Rules!$B$5))</f>
        <v>0.11142433852261401</v>
      </c>
      <c r="I26" s="1">
        <v>1</v>
      </c>
      <c r="J26" s="1">
        <v>0</v>
      </c>
      <c r="K26" s="1">
        <v>0</v>
      </c>
      <c r="L26" s="1">
        <v>0</v>
      </c>
      <c r="M26" s="2">
        <f t="shared" ref="M26:V26" si="16">M16</f>
        <v>0.10346545719957015</v>
      </c>
      <c r="N26" s="2">
        <f t="shared" si="16"/>
        <v>9.6075067399600853E-2</v>
      </c>
      <c r="O26" s="2">
        <f t="shared" si="16"/>
        <v>8.9212562585343644E-2</v>
      </c>
      <c r="P26" s="2">
        <f t="shared" si="16"/>
        <v>8.2840236686390525E-2</v>
      </c>
      <c r="Q26" s="2">
        <f t="shared" si="16"/>
        <v>7.6923076923076927E-2</v>
      </c>
      <c r="R26" s="1">
        <f t="shared" si="16"/>
        <v>0</v>
      </c>
      <c r="S26" s="1">
        <f t="shared" si="16"/>
        <v>1</v>
      </c>
      <c r="T26" s="1">
        <f t="shared" si="16"/>
        <v>0</v>
      </c>
      <c r="U26" s="1">
        <f t="shared" si="16"/>
        <v>0</v>
      </c>
      <c r="V26" s="1">
        <f t="shared" si="16"/>
        <v>0</v>
      </c>
      <c r="W26" s="9">
        <f t="shared" si="14"/>
        <v>0</v>
      </c>
    </row>
    <row r="27" spans="1:32">
      <c r="A27" s="124">
        <v>19</v>
      </c>
      <c r="B27" s="28">
        <f t="shared" si="12"/>
        <v>0.11142433852261401</v>
      </c>
      <c r="C27" s="2">
        <f>(SUM(D27:L27)+Rules!$B$5*M27)/(9+Rules!$B$5)</f>
        <v>0.16253696484377622</v>
      </c>
      <c r="D27" s="2">
        <f>(SUM(E27:M27)+Rules!$B$5*N27)/(9+Rules!$B$5)</f>
        <v>0.15620603149777026</v>
      </c>
      <c r="E27" s="2">
        <f>(SUM(F27:N27)+Rules!$B$5*O27)/(9+Rules!$B$5)</f>
        <v>0.14995024697239898</v>
      </c>
      <c r="F27" s="2">
        <f>(SUM(G27:O27)+Rules!$B$5*P27)/(9+Rules!$B$5)</f>
        <v>0.14379117640219413</v>
      </c>
      <c r="G27" s="2">
        <f>(SUM(H27:P27)+Rules!$B$5*Q27)/(9+Rules!$B$5)</f>
        <v>0.13774692077583284</v>
      </c>
      <c r="H27" s="2">
        <f>IF(Rules!$B$4=Rules!$E$4,0,(SUM(I27:Q27)+Rules!$B$5*R27)/(9+Rules!$B$5))</f>
        <v>0.11142433852261401</v>
      </c>
      <c r="I27" s="1">
        <v>0</v>
      </c>
      <c r="J27" s="1">
        <v>1</v>
      </c>
      <c r="K27" s="1">
        <v>0</v>
      </c>
      <c r="L27" s="1">
        <v>0</v>
      </c>
      <c r="M27" s="2">
        <f t="shared" ref="M27:V27" si="17">M17</f>
        <v>0.10346545719957015</v>
      </c>
      <c r="N27" s="2">
        <f t="shared" si="17"/>
        <v>9.6075067399600853E-2</v>
      </c>
      <c r="O27" s="2">
        <f t="shared" si="17"/>
        <v>8.9212562585343644E-2</v>
      </c>
      <c r="P27" s="2">
        <f t="shared" si="17"/>
        <v>8.2840236686390525E-2</v>
      </c>
      <c r="Q27" s="2">
        <f t="shared" si="17"/>
        <v>7.6923076923076927E-2</v>
      </c>
      <c r="R27" s="1">
        <f t="shared" si="17"/>
        <v>0</v>
      </c>
      <c r="S27" s="1">
        <f t="shared" si="17"/>
        <v>0</v>
      </c>
      <c r="T27" s="1">
        <f t="shared" si="17"/>
        <v>1</v>
      </c>
      <c r="U27" s="1">
        <f t="shared" si="17"/>
        <v>0</v>
      </c>
      <c r="V27" s="1">
        <f t="shared" si="17"/>
        <v>0</v>
      </c>
      <c r="W27" s="9">
        <f t="shared" si="14"/>
        <v>0</v>
      </c>
    </row>
    <row r="28" spans="1:32">
      <c r="A28" s="124">
        <v>20</v>
      </c>
      <c r="B28" s="28">
        <f t="shared" si="12"/>
        <v>0.11142433852261401</v>
      </c>
      <c r="C28" s="2">
        <f>(SUM(D28:L28)+Rules!$B$5*M28)/(9+Rules!$B$5)</f>
        <v>0.16253696484377622</v>
      </c>
      <c r="D28" s="2">
        <f>(SUM(E28:M28)+Rules!$B$5*N28)/(9+Rules!$B$5)</f>
        <v>0.15620603149777026</v>
      </c>
      <c r="E28" s="2">
        <f>(SUM(F28:N28)+Rules!$B$5*O28)/(9+Rules!$B$5)</f>
        <v>0.14995024697239898</v>
      </c>
      <c r="F28" s="2">
        <f>(SUM(G28:O28)+Rules!$B$5*P28)/(9+Rules!$B$5)</f>
        <v>0.14379117640219413</v>
      </c>
      <c r="G28" s="2">
        <f>(SUM(H28:P28)+Rules!$B$5*Q28)/(9+Rules!$B$5)</f>
        <v>0.13774692077583284</v>
      </c>
      <c r="H28" s="2">
        <f>IF(Rules!$B$4=Rules!$E$4,0,(SUM(I28:Q28)+Rules!$B$5*R28)/(9+Rules!$B$5))</f>
        <v>0.11142433852261401</v>
      </c>
      <c r="I28" s="1">
        <v>0</v>
      </c>
      <c r="J28" s="1">
        <v>0</v>
      </c>
      <c r="K28" s="1">
        <v>1</v>
      </c>
      <c r="L28" s="1">
        <v>0</v>
      </c>
      <c r="M28" s="2">
        <f t="shared" ref="M28:V28" si="18">M18</f>
        <v>0.10346545719957015</v>
      </c>
      <c r="N28" s="2">
        <f t="shared" si="18"/>
        <v>9.6075067399600853E-2</v>
      </c>
      <c r="O28" s="2">
        <f t="shared" si="18"/>
        <v>8.9212562585343644E-2</v>
      </c>
      <c r="P28" s="2">
        <f t="shared" si="18"/>
        <v>8.2840236686390525E-2</v>
      </c>
      <c r="Q28" s="2">
        <f t="shared" si="18"/>
        <v>7.6923076923076927E-2</v>
      </c>
      <c r="R28" s="1">
        <f t="shared" si="18"/>
        <v>0</v>
      </c>
      <c r="S28" s="1">
        <f t="shared" si="18"/>
        <v>0</v>
      </c>
      <c r="T28" s="1">
        <f t="shared" si="18"/>
        <v>0</v>
      </c>
      <c r="U28" s="1">
        <f t="shared" si="18"/>
        <v>1</v>
      </c>
      <c r="V28" s="1">
        <f t="shared" si="18"/>
        <v>0</v>
      </c>
      <c r="W28" s="9">
        <f t="shared" si="14"/>
        <v>0</v>
      </c>
    </row>
    <row r="29" spans="1:32">
      <c r="A29" s="124">
        <v>21</v>
      </c>
      <c r="B29" s="28">
        <f t="shared" si="12"/>
        <v>0.34219356929184475</v>
      </c>
      <c r="C29" s="2">
        <f>(SUM(D29:L29)+Rules!$B$5*M29)/(9+Rules!$B$5)</f>
        <v>0.16253696484377622</v>
      </c>
      <c r="D29" s="2">
        <f>(SUM(E29:M29)+Rules!$B$5*N29)/(9+Rules!$B$5)</f>
        <v>0.15620603149777026</v>
      </c>
      <c r="E29" s="2">
        <f>(SUM(F29:N29)+Rules!$B$5*O29)/(9+Rules!$B$5)</f>
        <v>0.14995024697239898</v>
      </c>
      <c r="F29" s="2">
        <f>(SUM(G29:O29)+Rules!$B$5*P29)/(9+Rules!$B$5)</f>
        <v>0.14379117640219413</v>
      </c>
      <c r="G29" s="2">
        <f>(SUM(H29:P29)+Rules!$B$5*Q29)/(9+Rules!$B$5)</f>
        <v>0.13774692077583284</v>
      </c>
      <c r="H29" s="2">
        <f>IF(Rules!$B$4=Rules!$E$4,0,(SUM(I29:Q29)+Rules!$B$5*R29)/(9+Rules!$B$5))</f>
        <v>0.11142433852261401</v>
      </c>
      <c r="I29" s="26">
        <v>0</v>
      </c>
      <c r="J29" s="26">
        <v>0</v>
      </c>
      <c r="K29" s="26">
        <v>0</v>
      </c>
      <c r="L29" s="26">
        <v>1</v>
      </c>
      <c r="M29" s="2">
        <f t="shared" ref="M29:Q30" si="19">M19</f>
        <v>0.10346545719957015</v>
      </c>
      <c r="N29" s="2">
        <f t="shared" si="19"/>
        <v>9.6075067399600853E-2</v>
      </c>
      <c r="O29" s="2">
        <f t="shared" si="19"/>
        <v>8.9212562585343644E-2</v>
      </c>
      <c r="P29" s="2">
        <f t="shared" si="19"/>
        <v>8.2840236686390525E-2</v>
      </c>
      <c r="Q29" s="2">
        <f t="shared" si="19"/>
        <v>7.6923076923076927E-2</v>
      </c>
      <c r="R29" s="26">
        <f t="shared" ref="R29:V30" si="20">R19</f>
        <v>0</v>
      </c>
      <c r="S29" s="26">
        <f t="shared" si="20"/>
        <v>0</v>
      </c>
      <c r="T29" s="26">
        <f t="shared" si="20"/>
        <v>0</v>
      </c>
      <c r="U29" s="1">
        <f t="shared" si="20"/>
        <v>0</v>
      </c>
      <c r="V29" s="1">
        <f t="shared" si="20"/>
        <v>1</v>
      </c>
      <c r="W29" s="9">
        <f t="shared" si="14"/>
        <v>0</v>
      </c>
    </row>
    <row r="30" spans="1:32" ht="17" thickBot="1">
      <c r="A30" s="126">
        <v>22</v>
      </c>
      <c r="B30" s="105">
        <f t="shared" si="12"/>
        <v>0</v>
      </c>
      <c r="C30" s="106">
        <f>(SUM(D30:L30)+Rules!$B$5*M30)/(9+Rules!$B$5)</f>
        <v>0</v>
      </c>
      <c r="D30" s="106">
        <f>(SUM(E30:M30)+Rules!$B$5*N30)/(9+Rules!$B$5)</f>
        <v>0</v>
      </c>
      <c r="E30" s="106">
        <f>(SUM(F30:N30)+Rules!$B$5*O30)/(9+Rules!$B$5)</f>
        <v>0</v>
      </c>
      <c r="F30" s="106">
        <f>(SUM(G30:O30)+Rules!$B$5*P30)/(9+Rules!$B$5)</f>
        <v>0</v>
      </c>
      <c r="G30" s="106">
        <f>(SUM(H30:P30)+Rules!$B$5*Q30)/(9+Rules!$B$5)</f>
        <v>0</v>
      </c>
      <c r="H30" s="106">
        <f>IF(Rules!$B$4=Rules!$E$4,0,(SUM(I30:Q30)+Rules!$B$5*R30)/(9+Rules!$B$5))</f>
        <v>0</v>
      </c>
      <c r="I30" s="109">
        <v>0</v>
      </c>
      <c r="J30" s="109">
        <v>0</v>
      </c>
      <c r="K30" s="109">
        <v>0</v>
      </c>
      <c r="L30" s="109">
        <v>0</v>
      </c>
      <c r="M30" s="106">
        <f t="shared" si="19"/>
        <v>0</v>
      </c>
      <c r="N30" s="106">
        <f t="shared" si="19"/>
        <v>0</v>
      </c>
      <c r="O30" s="106">
        <f t="shared" si="19"/>
        <v>0</v>
      </c>
      <c r="P30" s="106">
        <f t="shared" si="19"/>
        <v>0</v>
      </c>
      <c r="Q30" s="106">
        <f t="shared" si="19"/>
        <v>0</v>
      </c>
      <c r="R30" s="109">
        <f t="shared" si="20"/>
        <v>0</v>
      </c>
      <c r="S30" s="109">
        <f t="shared" si="20"/>
        <v>0</v>
      </c>
      <c r="T30" s="109">
        <f t="shared" si="20"/>
        <v>0</v>
      </c>
      <c r="U30" s="109">
        <f t="shared" si="20"/>
        <v>0</v>
      </c>
      <c r="V30" s="109">
        <f t="shared" si="20"/>
        <v>0</v>
      </c>
      <c r="W30" s="10">
        <f t="shared" si="14"/>
        <v>0</v>
      </c>
    </row>
    <row r="31" spans="1:32" ht="17" thickBot="1">
      <c r="A31" s="103"/>
      <c r="B31" s="127">
        <f t="shared" ref="B31:W31" si="21">SUM(B24:B30)</f>
        <v>1</v>
      </c>
      <c r="C31" s="106">
        <f t="shared" si="21"/>
        <v>1</v>
      </c>
      <c r="D31" s="106">
        <f t="shared" si="21"/>
        <v>0.99999999999999989</v>
      </c>
      <c r="E31" s="106">
        <f t="shared" si="21"/>
        <v>1</v>
      </c>
      <c r="F31" s="106">
        <f t="shared" si="21"/>
        <v>1.0000000000000002</v>
      </c>
      <c r="G31" s="106">
        <f t="shared" si="21"/>
        <v>1</v>
      </c>
      <c r="H31" s="106">
        <f t="shared" si="21"/>
        <v>1</v>
      </c>
      <c r="I31" s="106">
        <f t="shared" si="21"/>
        <v>1</v>
      </c>
      <c r="J31" s="106">
        <f t="shared" si="21"/>
        <v>1</v>
      </c>
      <c r="K31" s="106">
        <f t="shared" si="21"/>
        <v>1</v>
      </c>
      <c r="L31" s="106">
        <f t="shared" si="21"/>
        <v>1</v>
      </c>
      <c r="M31" s="106">
        <f t="shared" si="21"/>
        <v>0.99999999999999989</v>
      </c>
      <c r="N31" s="106">
        <f t="shared" si="21"/>
        <v>0.99999999999999978</v>
      </c>
      <c r="O31" s="106">
        <f t="shared" si="21"/>
        <v>0.99999999999999978</v>
      </c>
      <c r="P31" s="106">
        <f t="shared" si="21"/>
        <v>0.99999999999999989</v>
      </c>
      <c r="Q31" s="106">
        <f t="shared" si="21"/>
        <v>0.99999999999999978</v>
      </c>
      <c r="R31" s="106">
        <f t="shared" si="21"/>
        <v>1</v>
      </c>
      <c r="S31" s="106">
        <f t="shared" si="21"/>
        <v>1</v>
      </c>
      <c r="T31" s="106">
        <f t="shared" si="21"/>
        <v>1</v>
      </c>
      <c r="U31" s="106">
        <f t="shared" si="21"/>
        <v>1</v>
      </c>
      <c r="V31" s="106">
        <f t="shared" si="21"/>
        <v>1</v>
      </c>
      <c r="W31" s="106">
        <f t="shared" si="21"/>
        <v>1</v>
      </c>
    </row>
    <row r="32" spans="1:32" ht="17" thickBot="1"/>
    <row r="33" spans="2:15" ht="17" thickBot="1">
      <c r="B33" s="4" t="s">
        <v>5</v>
      </c>
      <c r="C33" s="15" t="s">
        <v>0</v>
      </c>
      <c r="D33" s="11" t="s">
        <v>6</v>
      </c>
      <c r="E33" s="3"/>
      <c r="F33" s="30" t="s">
        <v>8</v>
      </c>
      <c r="I33" s="1" t="s">
        <v>29</v>
      </c>
      <c r="J33" s="1">
        <f>2*(1/(9+Rules!$B$5))*(Rules!$B$5/(9+Rules!$B$5))</f>
        <v>4.7337278106508882E-2</v>
      </c>
      <c r="L33" s="60" t="s">
        <v>32</v>
      </c>
      <c r="M33" s="63" t="s">
        <v>0</v>
      </c>
      <c r="N33" s="62" t="s">
        <v>6</v>
      </c>
      <c r="O33" s="61"/>
    </row>
    <row r="34" spans="2:15" ht="17" thickBot="1">
      <c r="B34" s="5" t="s">
        <v>1</v>
      </c>
      <c r="C34" s="16">
        <f>B14</f>
        <v>0.2121090766176992</v>
      </c>
      <c r="D34" s="12">
        <f>SUM(B15:B19)</f>
        <v>0.78789092338230082</v>
      </c>
      <c r="E34" s="8">
        <f>SUM(C34:D34)</f>
        <v>1</v>
      </c>
      <c r="F34" s="30">
        <f>1/(9+Rules!$B$5)</f>
        <v>7.6923076923076927E-2</v>
      </c>
      <c r="G34" s="30">
        <f>(C34-D34)*F34</f>
        <v>-4.4290911289584747E-2</v>
      </c>
      <c r="L34" s="54">
        <v>5</v>
      </c>
      <c r="M34" s="55">
        <f>F14</f>
        <v>0.41765875287585824</v>
      </c>
      <c r="N34" s="56">
        <f>1-M34</f>
        <v>0.58234124712414181</v>
      </c>
      <c r="O34" s="57">
        <f t="shared" ref="O34:O45" si="22">SUM(M34:N34)</f>
        <v>1</v>
      </c>
    </row>
    <row r="35" spans="2:15" ht="17" thickBot="1">
      <c r="B35" s="6">
        <v>2</v>
      </c>
      <c r="C35" s="17">
        <f>C14</f>
        <v>0.35672784957985243</v>
      </c>
      <c r="D35" s="13">
        <f>SUM(C15:C19)</f>
        <v>0.64327215042014751</v>
      </c>
      <c r="E35" s="9">
        <f t="shared" ref="E35:E43" si="23">SUM(C35:D35)</f>
        <v>1</v>
      </c>
      <c r="F35" s="30">
        <f>1/(9+Rules!$B$5)</f>
        <v>7.6923076923076927E-2</v>
      </c>
      <c r="G35" s="30">
        <f t="shared" ref="G35:G43" si="24">(C35-D35)*F35</f>
        <v>-2.2041869295407315E-2</v>
      </c>
      <c r="L35" s="58">
        <v>6</v>
      </c>
      <c r="M35" s="53">
        <f>G14</f>
        <v>0.43946657490174384</v>
      </c>
      <c r="N35" s="56">
        <f t="shared" ref="N35:N45" si="25">1-M35</f>
        <v>0.5605334250982561</v>
      </c>
      <c r="O35" s="9">
        <f t="shared" si="22"/>
        <v>1</v>
      </c>
    </row>
    <row r="36" spans="2:15" ht="17" thickBot="1">
      <c r="B36" s="6">
        <v>3</v>
      </c>
      <c r="C36" s="17">
        <f>D14</f>
        <v>0.37668211310391386</v>
      </c>
      <c r="D36" s="13">
        <f>SUM(D15:D19)</f>
        <v>0.62331788689608625</v>
      </c>
      <c r="E36" s="9">
        <f t="shared" si="23"/>
        <v>1</v>
      </c>
      <c r="F36" s="30">
        <f>1/(9+Rules!$B$5)</f>
        <v>7.6923076923076927E-2</v>
      </c>
      <c r="G36" s="30">
        <f t="shared" si="24"/>
        <v>-1.8971982599397877E-2</v>
      </c>
      <c r="L36" s="58">
        <v>7</v>
      </c>
      <c r="M36" s="53">
        <f>H14</f>
        <v>0.2623124083615333</v>
      </c>
      <c r="N36" s="56">
        <f t="shared" si="25"/>
        <v>0.73768759163846664</v>
      </c>
      <c r="O36" s="9">
        <f t="shared" si="22"/>
        <v>1</v>
      </c>
    </row>
    <row r="37" spans="2:15" ht="17" thickBot="1">
      <c r="B37" s="6">
        <v>4</v>
      </c>
      <c r="C37" s="17">
        <f>E14</f>
        <v>0.39707515695847267</v>
      </c>
      <c r="D37" s="13">
        <f>SUM(E15:E19)</f>
        <v>0.60292484304152738</v>
      </c>
      <c r="E37" s="9">
        <f t="shared" si="23"/>
        <v>1</v>
      </c>
      <c r="F37" s="30">
        <f>1/(9+Rules!$B$5)</f>
        <v>7.6923076923076927E-2</v>
      </c>
      <c r="G37" s="30">
        <f t="shared" si="24"/>
        <v>-1.5834591237158056E-2</v>
      </c>
      <c r="L37" s="58">
        <v>8</v>
      </c>
      <c r="M37" s="53">
        <f>I14</f>
        <v>0.2447412422511914</v>
      </c>
      <c r="N37" s="56">
        <f t="shared" si="25"/>
        <v>0.75525875774880857</v>
      </c>
      <c r="O37" s="9">
        <f t="shared" si="22"/>
        <v>1</v>
      </c>
    </row>
    <row r="38" spans="2:15" ht="17" thickBot="1">
      <c r="B38" s="6">
        <v>5</v>
      </c>
      <c r="C38" s="17">
        <f>F14</f>
        <v>0.41765875287585824</v>
      </c>
      <c r="D38" s="13">
        <f>SUM(F15:F19)</f>
        <v>0.58234124712414181</v>
      </c>
      <c r="E38" s="9">
        <f t="shared" si="23"/>
        <v>1</v>
      </c>
      <c r="F38" s="30">
        <f>1/(9+Rules!$B$5)</f>
        <v>7.6923076923076927E-2</v>
      </c>
      <c r="G38" s="30">
        <f t="shared" si="24"/>
        <v>-1.266788417294489E-2</v>
      </c>
      <c r="L38" s="58">
        <v>9</v>
      </c>
      <c r="M38" s="53">
        <f>J14</f>
        <v>0.2284251594344453</v>
      </c>
      <c r="N38" s="56">
        <f t="shared" si="25"/>
        <v>0.7715748405655547</v>
      </c>
      <c r="O38" s="9">
        <f t="shared" si="22"/>
        <v>1</v>
      </c>
    </row>
    <row r="39" spans="2:15" ht="17" thickBot="1">
      <c r="B39" s="6">
        <v>6</v>
      </c>
      <c r="C39" s="17">
        <f>G14</f>
        <v>0.43946657490174384</v>
      </c>
      <c r="D39" s="13">
        <f>SUM(G15:G19)</f>
        <v>0.5605334250982561</v>
      </c>
      <c r="E39" s="9">
        <f t="shared" si="23"/>
        <v>1</v>
      </c>
      <c r="F39" s="30">
        <f>1/(9+Rules!$B$5)</f>
        <v>7.6923076923076927E-2</v>
      </c>
      <c r="G39" s="30">
        <f t="shared" si="24"/>
        <v>-9.3128346305009439E-3</v>
      </c>
      <c r="L39" s="58">
        <v>10</v>
      </c>
      <c r="M39" s="53">
        <f>K14</f>
        <v>0.2121090766176992</v>
      </c>
      <c r="N39" s="56">
        <f t="shared" si="25"/>
        <v>0.78789092338230082</v>
      </c>
      <c r="O39" s="9">
        <f t="shared" si="22"/>
        <v>1</v>
      </c>
    </row>
    <row r="40" spans="2:15" ht="17" thickBot="1">
      <c r="B40" s="6">
        <v>7</v>
      </c>
      <c r="C40" s="17">
        <f>H14</f>
        <v>0.2623124083615333</v>
      </c>
      <c r="D40" s="13">
        <f>SUM(H15:H19)</f>
        <v>0.73768759163846653</v>
      </c>
      <c r="E40" s="9">
        <f t="shared" si="23"/>
        <v>0.99999999999999978</v>
      </c>
      <c r="F40" s="30">
        <f>1/(9+Rules!$B$5)</f>
        <v>7.6923076923076927E-2</v>
      </c>
      <c r="G40" s="30">
        <f t="shared" si="24"/>
        <v>-3.6567321790533326E-2</v>
      </c>
      <c r="L40" s="58">
        <v>11</v>
      </c>
      <c r="M40" s="53">
        <f>L14</f>
        <v>0.2121090766176992</v>
      </c>
      <c r="N40" s="56">
        <f t="shared" si="25"/>
        <v>0.78789092338230082</v>
      </c>
      <c r="O40" s="9">
        <f t="shared" si="22"/>
        <v>1</v>
      </c>
    </row>
    <row r="41" spans="2:15" ht="17" thickBot="1">
      <c r="B41" s="6">
        <v>8</v>
      </c>
      <c r="C41" s="17">
        <f>I14</f>
        <v>0.2447412422511914</v>
      </c>
      <c r="D41" s="13">
        <f>SUM(I15:I19)</f>
        <v>0.75525875774880857</v>
      </c>
      <c r="E41" s="9">
        <f t="shared" si="23"/>
        <v>1</v>
      </c>
      <c r="F41" s="30">
        <f>1/(9+Rules!$B$5)</f>
        <v>7.6923076923076927E-2</v>
      </c>
      <c r="G41" s="30">
        <f t="shared" si="24"/>
        <v>-3.9270578115201321E-2</v>
      </c>
      <c r="L41" s="58">
        <v>12</v>
      </c>
      <c r="M41" s="53">
        <f>M14</f>
        <v>0.48267271400214923</v>
      </c>
      <c r="N41" s="56">
        <f t="shared" si="25"/>
        <v>0.51732728599785083</v>
      </c>
      <c r="O41" s="9">
        <f t="shared" si="22"/>
        <v>1</v>
      </c>
    </row>
    <row r="42" spans="2:15" ht="17" thickBot="1">
      <c r="B42" s="6">
        <v>9</v>
      </c>
      <c r="C42" s="17">
        <f>J14</f>
        <v>0.2284251594344453</v>
      </c>
      <c r="D42" s="13">
        <f>SUM(J15:J19)</f>
        <v>0.7715748405655547</v>
      </c>
      <c r="E42" s="9">
        <f t="shared" si="23"/>
        <v>1</v>
      </c>
      <c r="F42" s="30">
        <f>1/(9+Rules!$B$5)</f>
        <v>7.6923076923076927E-2</v>
      </c>
      <c r="G42" s="30">
        <f t="shared" si="24"/>
        <v>-4.1780744702393034E-2</v>
      </c>
      <c r="L42" s="58">
        <v>13</v>
      </c>
      <c r="M42" s="53">
        <f>N14</f>
        <v>0.51962466300199572</v>
      </c>
      <c r="N42" s="56">
        <f t="shared" si="25"/>
        <v>0.48037533699800428</v>
      </c>
      <c r="O42" s="9">
        <f t="shared" si="22"/>
        <v>1</v>
      </c>
    </row>
    <row r="43" spans="2:15" ht="17" thickBot="1">
      <c r="B43" s="7">
        <v>10</v>
      </c>
      <c r="C43" s="18">
        <f>K14</f>
        <v>0.2121090766176992</v>
      </c>
      <c r="D43" s="14">
        <f>SUM(K15:K19)</f>
        <v>0.78789092338230071</v>
      </c>
      <c r="E43" s="10">
        <f t="shared" si="23"/>
        <v>0.99999999999999989</v>
      </c>
      <c r="F43" s="30">
        <f>4/(9+Rules!$B$5)</f>
        <v>0.30769230769230771</v>
      </c>
      <c r="G43" s="30">
        <f t="shared" si="24"/>
        <v>-0.17716364515833893</v>
      </c>
      <c r="L43" s="58">
        <v>14</v>
      </c>
      <c r="M43" s="53">
        <f>O14</f>
        <v>0.55393718707328177</v>
      </c>
      <c r="N43" s="56">
        <f t="shared" si="25"/>
        <v>0.44606281292671823</v>
      </c>
      <c r="O43" s="9">
        <f t="shared" si="22"/>
        <v>1</v>
      </c>
    </row>
    <row r="44" spans="2:15" ht="17" thickBot="1">
      <c r="C44" s="66">
        <f>SUM(C34:C43)/SUM($C$34:$D$43)</f>
        <v>0.3147307410702409</v>
      </c>
      <c r="D44" s="66">
        <f>SUM(D34:D43)/SUM($C$34:$D$43)</f>
        <v>0.6852692589297591</v>
      </c>
      <c r="F44">
        <f>SUM(F34:F43)</f>
        <v>1</v>
      </c>
      <c r="L44" s="58">
        <v>15</v>
      </c>
      <c r="M44" s="53">
        <f>P14</f>
        <v>0.58579881656804733</v>
      </c>
      <c r="N44" s="56">
        <f t="shared" si="25"/>
        <v>0.41420118343195267</v>
      </c>
      <c r="O44" s="9">
        <f t="shared" si="22"/>
        <v>1</v>
      </c>
    </row>
    <row r="45" spans="2:15" ht="17" thickBot="1">
      <c r="L45" s="59">
        <v>16</v>
      </c>
      <c r="M45" s="64">
        <f>Q14</f>
        <v>0.61538461538461542</v>
      </c>
      <c r="N45" s="65">
        <f t="shared" si="25"/>
        <v>0.38461538461538458</v>
      </c>
      <c r="O45" s="10">
        <f t="shared" si="22"/>
        <v>1</v>
      </c>
    </row>
    <row r="46" spans="2:15">
      <c r="M46" s="66">
        <f>SUM(M34:M45)/SUM($M$34:$N$45)</f>
        <v>0.39785335725752163</v>
      </c>
      <c r="N46" s="66">
        <f>SUM(N34:N45)/SUM($M$34:$N$45)</f>
        <v>0.60214664274247831</v>
      </c>
    </row>
  </sheetData>
  <sheetProtection sheet="1" objects="1" scenarios="1"/>
  <mergeCells count="2">
    <mergeCell ref="A1:L1"/>
    <mergeCell ref="A12:L12"/>
  </mergeCells>
  <phoneticPr fontId="16" type="noConversion"/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CB9F-0BB7-4EA8-99CD-255636AF0A76}">
  <sheetPr>
    <pageSetUpPr fitToPage="1"/>
  </sheetPr>
  <dimension ref="A1:W54"/>
  <sheetViews>
    <sheetView zoomScale="90" zoomScaleNormal="90" workbookViewId="0">
      <selection activeCell="R28" sqref="R28"/>
    </sheetView>
  </sheetViews>
  <sheetFormatPr baseColWidth="10" defaultColWidth="8.6640625" defaultRowHeight="16"/>
  <cols>
    <col min="14" max="14" width="5.6640625" bestFit="1" customWidth="1"/>
    <col min="19" max="19" width="9.1640625" customWidth="1"/>
  </cols>
  <sheetData>
    <row r="1" spans="1:23">
      <c r="C1" t="s">
        <v>94</v>
      </c>
      <c r="D1">
        <f>C2+E2</f>
        <v>1</v>
      </c>
    </row>
    <row r="2" spans="1:23">
      <c r="A2" t="s">
        <v>39</v>
      </c>
      <c r="B2" s="133" t="s">
        <v>124</v>
      </c>
      <c r="C2" s="139">
        <f>Analysis!B8</f>
        <v>0.41756103307080233</v>
      </c>
      <c r="D2" s="133" t="s">
        <v>125</v>
      </c>
      <c r="E2" s="139">
        <f>Analysis!D8</f>
        <v>0.58243896692919761</v>
      </c>
      <c r="F2" s="133" t="s">
        <v>46</v>
      </c>
      <c r="G2" s="139">
        <f>Analysis!S8</f>
        <v>24.296118177793115</v>
      </c>
      <c r="H2" t="s">
        <v>200</v>
      </c>
      <c r="I2" s="153">
        <f>Analysis!T8</f>
        <v>-24.328216931055266</v>
      </c>
      <c r="J2" t="s">
        <v>47</v>
      </c>
      <c r="K2" s="153">
        <f>G2*C2+I2*E2</f>
        <v>-4.02458933062365</v>
      </c>
      <c r="L2" t="s">
        <v>46</v>
      </c>
      <c r="M2" s="160">
        <v>1</v>
      </c>
      <c r="N2" t="s">
        <v>153</v>
      </c>
      <c r="O2" s="160">
        <v>2</v>
      </c>
    </row>
    <row r="4" spans="1:23">
      <c r="A4" t="s">
        <v>122</v>
      </c>
      <c r="B4">
        <f>$C$2</f>
        <v>0.41756103307080233</v>
      </c>
      <c r="C4" t="s">
        <v>123</v>
      </c>
      <c r="D4">
        <f>$E$2</f>
        <v>0.58243896692919761</v>
      </c>
      <c r="E4" t="s">
        <v>46</v>
      </c>
      <c r="F4">
        <f>G2</f>
        <v>24.296118177793115</v>
      </c>
      <c r="G4" t="s">
        <v>153</v>
      </c>
      <c r="H4">
        <f>I2</f>
        <v>-24.328216931055266</v>
      </c>
      <c r="I4" t="s">
        <v>47</v>
      </c>
      <c r="J4">
        <f>B4*F4+D4*H4</f>
        <v>-4.02458933062365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164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0.41756103307080233</v>
      </c>
      <c r="C7" s="95">
        <v>1</v>
      </c>
      <c r="D7" s="107">
        <f>C7*D4</f>
        <v>0.58243896692919761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1</v>
      </c>
      <c r="R7" s="265">
        <f>B7-D7</f>
        <v>-0.16487793385839528</v>
      </c>
      <c r="S7" s="266">
        <f>IF(Rules!B20=Rules!D20,SUM(C7)*B4*F4,SUM(C7)*B4*F4*POWER(O2,A7-1))</f>
        <v>10.145112205929593</v>
      </c>
      <c r="T7" s="252">
        <f>IF(Rules!B20=Rules!D20,SUM(C7)*D4*H4,SUM(C7)*D4*H4*POWER(O2,A7-1))</f>
        <v>-14.169701536553243</v>
      </c>
      <c r="U7" s="263">
        <f>S7+T7</f>
        <v>-4.02458933062365</v>
      </c>
      <c r="V7" s="282">
        <f>S7/B4</f>
        <v>24.296118177793115</v>
      </c>
      <c r="W7" s="57">
        <f>T7/D4</f>
        <v>-24.328216931055266</v>
      </c>
    </row>
    <row r="8" spans="1:23">
      <c r="A8" s="98">
        <v>2</v>
      </c>
      <c r="B8" s="97">
        <f>C8*B4</f>
        <v>0.55174833370260112</v>
      </c>
      <c r="C8" s="97">
        <f>1/(1-B4*D4)</f>
        <v>1.321359729486649</v>
      </c>
      <c r="D8" s="93">
        <f>C8*D4</f>
        <v>0.76961139578404791</v>
      </c>
      <c r="E8" s="1">
        <f>D8*D4</f>
        <v>0.44825166629739871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0.99999999999999978</v>
      </c>
      <c r="R8" s="267">
        <f>B8-E8</f>
        <v>0.10349666740520241</v>
      </c>
      <c r="S8" s="268">
        <f>IF(Rules!B20=Rules!D20,SUM(C8:D8)*B4*F4,SUM(C8:D8)*B4*F4*POWER(O2,A8-1))</f>
        <v>21.213136685230083</v>
      </c>
      <c r="T8" s="253">
        <f>IF(Rules!B20=Rules!D20,SUM(C8:D8)*D4*H4,SUM(C8:D8)*D4*H4*POWER(O2,A8-1))</f>
        <v>-29.628436766636661</v>
      </c>
      <c r="U8" s="264">
        <f>S8+T8+U7</f>
        <v>-12.439889412030228</v>
      </c>
      <c r="V8" s="93">
        <f>S8/B4</f>
        <v>50.802481565929902</v>
      </c>
      <c r="W8" s="9">
        <f>T8/D4</f>
        <v>-50.869599132158257</v>
      </c>
    </row>
    <row r="9" spans="1:23">
      <c r="A9" s="98">
        <v>3</v>
      </c>
      <c r="B9" s="97">
        <f>C9*B4</f>
        <v>0.61529067933876413</v>
      </c>
      <c r="C9" s="97">
        <f>1/(1-D4*B4/(1-D4*B4))</f>
        <v>1.4735347185388212</v>
      </c>
      <c r="D9" s="93">
        <f>C9*D4*C8</f>
        <v>1.1340491114709164</v>
      </c>
      <c r="E9" s="1">
        <f>D9*(D4)</f>
        <v>0.66051439293209502</v>
      </c>
      <c r="F9" s="1">
        <f>E9*D4</f>
        <v>0.38470932066123553</v>
      </c>
      <c r="G9" s="1"/>
      <c r="H9" s="1"/>
      <c r="I9" s="1"/>
      <c r="J9" s="1"/>
      <c r="K9" s="1"/>
      <c r="L9" s="1"/>
      <c r="M9" s="235"/>
      <c r="N9" s="97">
        <f>B9+F9</f>
        <v>0.99999999999999967</v>
      </c>
      <c r="R9" s="267">
        <f>B9-F9</f>
        <v>0.2305813586775286</v>
      </c>
      <c r="S9" s="268">
        <f>IF(Rules!B20=Rules!D20,SUM(C9:E9)*B4*F4,SUM(C9:E9)*B4*F4*POWER(O2,A9-1))</f>
        <v>33.155223171743998</v>
      </c>
      <c r="T9" s="253">
        <f>IF(Rules!B20=Rules!D20,SUM(C9:E9)*D4*H4,SUM(C9:E9)*D4*H4*POWER(O2,A9-1))</f>
        <v>-46.307976411225809</v>
      </c>
      <c r="U9" s="264">
        <f t="shared" ref="U9:U16" si="0">S9+T9+U8</f>
        <v>-25.592642651512037</v>
      </c>
      <c r="V9" s="93">
        <f>S9/B4</f>
        <v>79.402100641230433</v>
      </c>
      <c r="W9" s="9">
        <f>T9/D4</f>
        <v>-79.50700251972512</v>
      </c>
    </row>
    <row r="10" spans="1:23">
      <c r="A10" s="98">
        <v>4</v>
      </c>
      <c r="B10" s="97">
        <f>C10*B4</f>
        <v>0.65078091183671594</v>
      </c>
      <c r="C10" s="97">
        <f>1/(1-D4*B4/(1-D4*B4/(1-D4*B4)))</f>
        <v>1.5585288384090392</v>
      </c>
      <c r="D10" s="93">
        <f>C10*D4*C9</f>
        <v>1.3375980854859468</v>
      </c>
      <c r="E10" s="1">
        <f>D10*D4*C8</f>
        <v>1.0294307295689098</v>
      </c>
      <c r="F10" s="1">
        <f>E10*D4</f>
        <v>0.59958057065528603</v>
      </c>
      <c r="G10" s="1">
        <f>F10*D4</f>
        <v>0.34921908816328356</v>
      </c>
      <c r="H10" s="1"/>
      <c r="I10" s="1"/>
      <c r="J10" s="1"/>
      <c r="K10" s="1"/>
      <c r="L10" s="1"/>
      <c r="M10" s="235"/>
      <c r="N10" s="97">
        <f>B10+G10</f>
        <v>0.99999999999999956</v>
      </c>
      <c r="R10" s="267">
        <f>B10-G10</f>
        <v>0.30156182367343237</v>
      </c>
      <c r="S10" s="268">
        <f>IF(Rules!B20=Rules!D20,SUM(C10:F10)*B4*F4,SUM(C10:F10)*B4*F4*POWER(O2,A10-1))</f>
        <v>45.908035031030074</v>
      </c>
      <c r="T10" s="253">
        <f>IF(Rules!B20=Rules!D20,SUM(C10:F10)*D4*H4,SUM(C10:F10)*D4*H4*POWER(O2,A10-1))</f>
        <v>-64.119858047417381</v>
      </c>
      <c r="U10" s="264">
        <f t="shared" si="0"/>
        <v>-43.804465667899343</v>
      </c>
      <c r="V10" s="93">
        <f>S10/B4</f>
        <v>109.94329306404852</v>
      </c>
      <c r="W10" s="9">
        <f>T10/D4</f>
        <v>-110.08854435938163</v>
      </c>
    </row>
    <row r="11" spans="1:23">
      <c r="A11" s="98">
        <v>5</v>
      </c>
      <c r="B11" s="97">
        <f>C11*B4</f>
        <v>0.67244450850030923</v>
      </c>
      <c r="C11" s="97">
        <f>1/(1-D4*B4/(1-D4*B4/(1-D4*B4/(1-D4*B4))))</f>
        <v>1.6104101083261007</v>
      </c>
      <c r="D11" s="93">
        <f>C11*D4*C10</f>
        <v>1.4618464367641282</v>
      </c>
      <c r="E11" s="1">
        <f>D11*D4*C9</f>
        <v>1.2546209905786561</v>
      </c>
      <c r="F11" s="1">
        <f>E11*D4*C8</f>
        <v>0.96557061173920422</v>
      </c>
      <c r="G11" s="1">
        <f>F11*D4</f>
        <v>0.56238594959857546</v>
      </c>
      <c r="H11" s="1">
        <f>G11*D4</f>
        <v>0.3275554914996901</v>
      </c>
      <c r="I11" s="1"/>
      <c r="J11" s="1"/>
      <c r="K11" s="1"/>
      <c r="L11" s="1"/>
      <c r="M11" s="235"/>
      <c r="N11" s="97">
        <f>B11+H11</f>
        <v>0.99999999999999933</v>
      </c>
      <c r="R11" s="267">
        <f>B11-H11</f>
        <v>0.34488901700061914</v>
      </c>
      <c r="S11" s="268">
        <f>IF(Rules!B20=Rules!D20,SUM(C11:G11)*B4*F4,SUM(C11:G11)*B4*F4*POWER(O2,A11-1))</f>
        <v>59.397948861235086</v>
      </c>
      <c r="T11" s="253">
        <f>IF(Rules!B20=Rules!D20,SUM(C11:G11)*D4*H4,SUM(C11:G11)*D4*H4*POWER(O2,A11-1))</f>
        <v>-82.96125170061967</v>
      </c>
      <c r="U11" s="264">
        <f t="shared" si="0"/>
        <v>-67.367768507283927</v>
      </c>
      <c r="V11" s="93">
        <f>S11/B4</f>
        <v>142.24974113224658</v>
      </c>
      <c r="W11" s="9">
        <f>T11/D4</f>
        <v>-142.43767400731724</v>
      </c>
    </row>
    <row r="12" spans="1:23">
      <c r="A12" s="98">
        <v>6</v>
      </c>
      <c r="B12" s="97">
        <f>C12*B4</f>
        <v>0.68639178953862423</v>
      </c>
      <c r="C12" s="97">
        <f>1/(1-D4*B4/(1-D4*B4/(1-D4*B4/(1-D4*B4/(1-D4*B4)))))</f>
        <v>1.6438118865900941</v>
      </c>
      <c r="D12" s="93">
        <f>C12*D4*C11</f>
        <v>1.5418390022062434</v>
      </c>
      <c r="E12" s="1">
        <f>D12*D4*C10</f>
        <v>1.3996011573610569</v>
      </c>
      <c r="F12" s="1">
        <f>E12*D4*C9</f>
        <v>1.2011993505626282</v>
      </c>
      <c r="G12" s="1">
        <f>F12*D4*C8</f>
        <v>0.92445670880139608</v>
      </c>
      <c r="H12" s="1">
        <f>G12*D4</f>
        <v>0.53843961044505118</v>
      </c>
      <c r="I12" s="1">
        <f>H12*D4</f>
        <v>0.31360821046137521</v>
      </c>
      <c r="J12" s="1"/>
      <c r="K12" s="1"/>
      <c r="L12" s="1"/>
      <c r="M12" s="235"/>
      <c r="N12" s="97">
        <f>B12+I12</f>
        <v>0.99999999999999944</v>
      </c>
      <c r="R12" s="267">
        <f>B12-I12</f>
        <v>0.37278357907724902</v>
      </c>
      <c r="S12" s="268">
        <f>IF(Rules!B20=Rules!D20,SUM(C12:H12)*B4*F4,SUM(C12:H12)*B4*F4*POWER(O2,A12-1))</f>
        <v>73.545445998279263</v>
      </c>
      <c r="T12" s="253">
        <f>IF(Rules!B20=Rules!D20,SUM(C12:H12)*D4*H4,SUM(C12:H12)*D4*H4*POWER(O2,A12-1))</f>
        <v>-102.72109346993885</v>
      </c>
      <c r="U12" s="264">
        <f t="shared" si="0"/>
        <v>-96.543415978943514</v>
      </c>
      <c r="V12" s="93">
        <f>S12/B4</f>
        <v>176.131008819036</v>
      </c>
      <c r="W12" s="9">
        <f>T12/D4</f>
        <v>-176.36370384268233</v>
      </c>
    </row>
    <row r="13" spans="1:23">
      <c r="A13" s="98">
        <v>7</v>
      </c>
      <c r="B13" s="97">
        <f>C13*B4</f>
        <v>0.69568150797194872</v>
      </c>
      <c r="C13" s="97">
        <f>1/(1-D4*B4/(1-D4*B4/(1-D4*B4/(1-D4*B4/(1-D4*B4/(1-D4*B4))))))</f>
        <v>1.6660594568794158</v>
      </c>
      <c r="D13" s="93">
        <f>C13*D4*C12</f>
        <v>1.5951188068990092</v>
      </c>
      <c r="E13" s="1">
        <f>D13*D4*C11</f>
        <v>1.4961665685064296</v>
      </c>
      <c r="F13" s="1">
        <f>E13*D4*C10</f>
        <v>1.358142100368539</v>
      </c>
      <c r="G13" s="1">
        <f>F13*D4*C9</f>
        <v>1.1656173620279442</v>
      </c>
      <c r="H13" s="1">
        <f>G13*D4*C8</f>
        <v>0.89707240494044593</v>
      </c>
      <c r="I13" s="1">
        <f>H13*D4</f>
        <v>0.5224899247942042</v>
      </c>
      <c r="J13" s="1">
        <f>I13*D4</f>
        <v>0.30431849202805045</v>
      </c>
      <c r="K13" s="1"/>
      <c r="L13" s="1"/>
      <c r="M13" s="235"/>
      <c r="N13" s="97">
        <f>B13+J13</f>
        <v>0.99999999999999911</v>
      </c>
      <c r="R13" s="267">
        <f>B13-J13</f>
        <v>0.39136301594389827</v>
      </c>
      <c r="S13" s="268">
        <f>IF(Rules!B20=Rules!D20,SUM(C13:I13)*B4*F4,SUM(C13:I13)*B4*F4*POWER(O2,A13-1))</f>
        <v>88.269239171086866</v>
      </c>
      <c r="T13" s="253">
        <f>IF(Rules!B20=Rules!D20,SUM(C13:I13)*D4*H4,SUM(C13:I13)*D4*H4*POWER(O2,A13-1))</f>
        <v>-123.28584923702475</v>
      </c>
      <c r="U13" s="264">
        <f t="shared" si="0"/>
        <v>-131.5600260448814</v>
      </c>
      <c r="V13" s="93">
        <f>S13/B4</f>
        <v>211.39242453239115</v>
      </c>
      <c r="W13" s="9">
        <f>T13/D4</f>
        <v>-211.6717050835845</v>
      </c>
    </row>
    <row r="14" spans="1:23">
      <c r="A14" s="98">
        <v>8</v>
      </c>
      <c r="B14" s="97">
        <f>C14*B4</f>
        <v>0.70200980195132934</v>
      </c>
      <c r="C14" s="97">
        <f>1/(1-D4*B4/(1-D4*B4/(1-D4*B4/(1-D4*B4/(1-D4*B4/(1-D4*B4/(1-D4*B4)))))))</f>
        <v>1.681214831730468</v>
      </c>
      <c r="D14" s="93">
        <f>C14*D4*C13</f>
        <v>1.6314138000874239</v>
      </c>
      <c r="E14" s="1">
        <f>D14*D4*C12</f>
        <v>1.5619483588108085</v>
      </c>
      <c r="F14" s="1">
        <f>E14*D4*C11</f>
        <v>1.4650538292688904</v>
      </c>
      <c r="G14" s="1">
        <f>F14*D4*C10</f>
        <v>1.3298995758356775</v>
      </c>
      <c r="H14" s="1">
        <f>G14*D4*C9</f>
        <v>1.1413783836956544</v>
      </c>
      <c r="I14" s="1">
        <f>H14*D4*C8</f>
        <v>0.87841781099375305</v>
      </c>
      <c r="J14" s="1">
        <f>I14*D4</f>
        <v>0.51162476236740873</v>
      </c>
      <c r="K14" s="1">
        <f>J14*D4</f>
        <v>0.29799019804866977</v>
      </c>
      <c r="L14" s="1"/>
      <c r="M14" s="235"/>
      <c r="N14" s="97">
        <f>B14+K14</f>
        <v>0.99999999999999911</v>
      </c>
      <c r="R14" s="267">
        <f>B14-K14</f>
        <v>0.40401960390265956</v>
      </c>
      <c r="S14" s="268">
        <f>IF(Rules!B20=Rules!D20,SUM(C14:J14)*B4*F4,SUM(C14:J14)*B4*F4*POWER(O2,A14-1))</f>
        <v>103.48979608128468</v>
      </c>
      <c r="T14" s="253">
        <f>IF(Rules!B20=Rules!D20,SUM(C14:J14)*D4*H4,SUM(C14:J14)*D4*H4*POWER(O2,A14-1))</f>
        <v>-144.54443605793455</v>
      </c>
      <c r="U14" s="264">
        <f t="shared" si="0"/>
        <v>-172.61466602153126</v>
      </c>
      <c r="V14" s="93">
        <f>S14/B4</f>
        <v>247.84351959330644</v>
      </c>
      <c r="W14" s="9">
        <f>T14/D4</f>
        <v>-248.17095741381885</v>
      </c>
    </row>
    <row r="15" spans="1:23">
      <c r="A15" s="98">
        <v>9</v>
      </c>
      <c r="B15" s="97">
        <f>C15*B4</f>
        <v>0.70638706878938795</v>
      </c>
      <c r="C15" s="97">
        <f>1/(1-D4*B4/(1-D4*B4/(1-D4*B4/(1-D4*B4/(1-D4*B4/(1-D4*B4/(1-D4*B4/(1-D4*B4))))))))</f>
        <v>1.6916977707295111</v>
      </c>
      <c r="D15" s="93">
        <f>C15*D4*C14</f>
        <v>1.6565189659644932</v>
      </c>
      <c r="E15" s="1">
        <f>D15*D4*C13</f>
        <v>1.6074494765189431</v>
      </c>
      <c r="F15" s="1">
        <f>E15*D4*C12</f>
        <v>1.5390044338141007</v>
      </c>
      <c r="G15" s="1">
        <f>F15*D4*C11</f>
        <v>1.4435332168969952</v>
      </c>
      <c r="H15" s="1">
        <f>G15*D4*C10</f>
        <v>1.3103642845765231</v>
      </c>
      <c r="I15" s="1">
        <f>H15*D4*C9</f>
        <v>1.1246123364184482</v>
      </c>
      <c r="J15" s="1">
        <f>I15*D4*C8</f>
        <v>0.86551446994696113</v>
      </c>
      <c r="K15" s="1">
        <f>J15*D4</f>
        <v>0.50410935373818011</v>
      </c>
      <c r="L15" s="1">
        <f>K15*D4</f>
        <v>0.29361293121061105</v>
      </c>
      <c r="M15" s="235"/>
      <c r="N15" s="97">
        <f>B15+L15</f>
        <v>0.999999999999999</v>
      </c>
      <c r="R15" s="267">
        <f>B15-L15</f>
        <v>0.4127741375787769</v>
      </c>
      <c r="S15" s="268">
        <f>IF(Rules!B20=Rules!D20,SUM(C15:K15)*B4*F4,SUM(C15:K15)*B4*F4*POWER(O2,A15-1))</f>
        <v>119.13206732306261</v>
      </c>
      <c r="T15" s="253">
        <f>IF(Rules!B20=Rules!D20,SUM(C15:K15)*D4*H4,SUM(C15:K15)*D4*H4*POWER(O2,A15-1))</f>
        <v>-166.39203225507234</v>
      </c>
      <c r="U15" s="264">
        <f t="shared" si="0"/>
        <v>-219.87463095354099</v>
      </c>
      <c r="V15" s="93">
        <f>S15/B4</f>
        <v>285.30456122054471</v>
      </c>
      <c r="W15" s="9">
        <f>T15/D4</f>
        <v>-285.68149059865232</v>
      </c>
    </row>
    <row r="16" spans="1:23" ht="17" thickBot="1">
      <c r="A16" s="99">
        <v>10</v>
      </c>
      <c r="B16" s="129">
        <f>C16*B4</f>
        <v>0.70944689042673348</v>
      </c>
      <c r="C16" s="129">
        <f>1/(1-D4*B4/(1-D4*B4/(1-D4*B4/(1-D4*B4/(1-D4*B4/(1-D4*B4/(1-D4*B4/(1-D4*B4/(1-D4*B4)))))))))</f>
        <v>1.6990256135956021</v>
      </c>
      <c r="D16" s="94">
        <f>C16*D4*C15</f>
        <v>1.6740681199461309</v>
      </c>
      <c r="E16" s="109">
        <f>D16*D4*C14</f>
        <v>1.6392559232441577</v>
      </c>
      <c r="F16" s="109">
        <f>E16*D4*C13</f>
        <v>1.590697800532082</v>
      </c>
      <c r="G16" s="109">
        <f>F16*D4*C12</f>
        <v>1.5229660425649854</v>
      </c>
      <c r="H16" s="109">
        <f>G16*D4*C11</f>
        <v>1.4284897576287781</v>
      </c>
      <c r="I16" s="109">
        <f>H16*D4*C10</f>
        <v>1.2967086156173238</v>
      </c>
      <c r="J16" s="109">
        <f>I16*D4*C9</f>
        <v>1.1128924399329261</v>
      </c>
      <c r="K16" s="109">
        <f>J16*D4*C8</f>
        <v>0.85649470405429384</v>
      </c>
      <c r="L16" s="109">
        <f>K16*D4</f>
        <v>0.49885589060971175</v>
      </c>
      <c r="M16" s="237">
        <f>L16*D4</f>
        <v>0.2905531095732653</v>
      </c>
      <c r="N16" s="129">
        <f>B16+M16</f>
        <v>0.99999999999999878</v>
      </c>
      <c r="R16" s="269">
        <f>B16-M16</f>
        <v>0.41889378085346818</v>
      </c>
      <c r="S16" s="270">
        <f>IF(Rules!B20=Rules!D20,SUM(C16:L16)*B4*F4,SUM(C16:L16)*B4*F4*POWER(O2,A16-1))</f>
        <v>135.12736456069979</v>
      </c>
      <c r="T16" s="254">
        <f>IF(Rules!B20=Rules!D20,SUM(C16:L16)*D4*H4,SUM(C16:L16)*D4*H4*POWER(O2,A16-1))</f>
        <v>-188.73270067205661</v>
      </c>
      <c r="U16" s="271">
        <f t="shared" si="0"/>
        <v>-273.47996706489778</v>
      </c>
      <c r="V16" s="94">
        <f>S16/B4</f>
        <v>323.61105050189724</v>
      </c>
      <c r="W16" s="10">
        <f>T16/D4</f>
        <v>-324.03858839856662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0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2</v>
      </c>
      <c r="D21" s="57">
        <f>SUM($C$21:C21)</f>
        <v>2</v>
      </c>
      <c r="E21" s="252">
        <f t="shared" ref="E21:E30" si="2">D21/R7</f>
        <v>-12.130185969686469</v>
      </c>
      <c r="F21" s="8">
        <f t="shared" ref="F21:F30" si="3">U7/E21</f>
        <v>0.33178298673088474</v>
      </c>
      <c r="G21" s="256">
        <f>E21*U7</f>
        <v>48.819017032080858</v>
      </c>
    </row>
    <row r="22" spans="1:7">
      <c r="A22" s="97">
        <v>2</v>
      </c>
      <c r="B22" s="93">
        <f>C21</f>
        <v>2</v>
      </c>
      <c r="C22" s="1">
        <f t="shared" si="1"/>
        <v>4</v>
      </c>
      <c r="D22" s="9">
        <f>SUM($C$21:C22)</f>
        <v>6</v>
      </c>
      <c r="E22" s="253">
        <f t="shared" si="2"/>
        <v>57.972881160600551</v>
      </c>
      <c r="F22" s="9">
        <f t="shared" si="3"/>
        <v>-0.21458118283906524</v>
      </c>
      <c r="G22" s="257">
        <f t="shared" ref="G22:G30" si="4">E22*U8</f>
        <v>-721.17623053464149</v>
      </c>
    </row>
    <row r="23" spans="1:7">
      <c r="A23" s="97">
        <v>3</v>
      </c>
      <c r="B23" s="93">
        <f t="shared" ref="B23:B30" si="5">C22</f>
        <v>4</v>
      </c>
      <c r="C23" s="1">
        <f t="shared" si="1"/>
        <v>8</v>
      </c>
      <c r="D23" s="9">
        <f>SUM($C$21:C23)</f>
        <v>14</v>
      </c>
      <c r="E23" s="253">
        <f t="shared" si="2"/>
        <v>60.716096393460866</v>
      </c>
      <c r="F23" s="9">
        <f t="shared" si="3"/>
        <v>-0.42151330819529381</v>
      </c>
      <c r="G23" s="257">
        <f t="shared" si="4"/>
        <v>-1553.8853581926028</v>
      </c>
    </row>
    <row r="24" spans="1:7">
      <c r="A24" s="97">
        <v>4</v>
      </c>
      <c r="B24" s="93">
        <f t="shared" si="5"/>
        <v>8</v>
      </c>
      <c r="C24" s="1">
        <f t="shared" si="1"/>
        <v>16</v>
      </c>
      <c r="D24" s="9">
        <f>SUM($C$21:C24)</f>
        <v>30</v>
      </c>
      <c r="E24" s="253">
        <f t="shared" si="2"/>
        <v>99.482088397527505</v>
      </c>
      <c r="F24" s="9">
        <f t="shared" si="3"/>
        <v>-0.44032515172839942</v>
      </c>
      <c r="G24" s="257">
        <f t="shared" si="4"/>
        <v>-4357.7597257804209</v>
      </c>
    </row>
    <row r="25" spans="1:7">
      <c r="A25" s="97">
        <v>5</v>
      </c>
      <c r="B25" s="93">
        <f t="shared" si="5"/>
        <v>16</v>
      </c>
      <c r="C25" s="1">
        <f t="shared" si="1"/>
        <v>32</v>
      </c>
      <c r="D25" s="9">
        <f>SUM($C$21:C25)</f>
        <v>62</v>
      </c>
      <c r="E25" s="253">
        <f t="shared" si="2"/>
        <v>179.76797446086459</v>
      </c>
      <c r="F25" s="9">
        <f t="shared" si="3"/>
        <v>-0.37474844287100684</v>
      </c>
      <c r="G25" s="257">
        <f t="shared" si="4"/>
        <v>-12110.567288502854</v>
      </c>
    </row>
    <row r="26" spans="1:7">
      <c r="A26" s="97">
        <v>6</v>
      </c>
      <c r="B26" s="93">
        <f t="shared" si="5"/>
        <v>32</v>
      </c>
      <c r="C26" s="1">
        <f t="shared" si="1"/>
        <v>64</v>
      </c>
      <c r="D26" s="9">
        <f>SUM($C$21:C26)</f>
        <v>126</v>
      </c>
      <c r="E26" s="253">
        <f t="shared" si="2"/>
        <v>337.99772058599717</v>
      </c>
      <c r="F26" s="9">
        <f t="shared" si="3"/>
        <v>-0.28563333448392253</v>
      </c>
      <c r="G26" s="257">
        <f t="shared" si="4"/>
        <v>-32631.454538468646</v>
      </c>
    </row>
    <row r="27" spans="1:7">
      <c r="A27" s="97">
        <v>7</v>
      </c>
      <c r="B27" s="93">
        <f t="shared" si="5"/>
        <v>64</v>
      </c>
      <c r="C27" s="1">
        <f t="shared" si="1"/>
        <v>128</v>
      </c>
      <c r="D27" s="9">
        <f>SUM($C$21:C27)</f>
        <v>254</v>
      </c>
      <c r="E27" s="253">
        <f t="shared" si="2"/>
        <v>649.01380470864626</v>
      </c>
      <c r="F27" s="9">
        <f t="shared" si="3"/>
        <v>-0.20270759279756925</v>
      </c>
      <c r="G27" s="257">
        <f t="shared" si="4"/>
        <v>-85384.273050957068</v>
      </c>
    </row>
    <row r="28" spans="1:7">
      <c r="A28" s="97">
        <v>8</v>
      </c>
      <c r="B28" s="93">
        <f t="shared" si="5"/>
        <v>128</v>
      </c>
      <c r="C28" s="1">
        <f t="shared" si="1"/>
        <v>256</v>
      </c>
      <c r="D28" s="9">
        <f>SUM($C$21:C28)</f>
        <v>510</v>
      </c>
      <c r="E28" s="253">
        <f t="shared" si="2"/>
        <v>1262.3149844057425</v>
      </c>
      <c r="F28" s="9">
        <f t="shared" si="3"/>
        <v>-0.13674452743884105</v>
      </c>
      <c r="G28" s="257">
        <f t="shared" si="4"/>
        <v>-217894.07944717168</v>
      </c>
    </row>
    <row r="29" spans="1:7">
      <c r="A29" s="97">
        <v>9</v>
      </c>
      <c r="B29" s="93">
        <f t="shared" si="5"/>
        <v>256</v>
      </c>
      <c r="C29" s="1">
        <f t="shared" si="1"/>
        <v>512</v>
      </c>
      <c r="D29" s="9">
        <f>SUM($C$21:C29)</f>
        <v>1022</v>
      </c>
      <c r="E29" s="253">
        <f t="shared" si="2"/>
        <v>2475.9303138388941</v>
      </c>
      <c r="F29" s="9">
        <f t="shared" si="3"/>
        <v>-8.8804854371134764E-2</v>
      </c>
      <c r="G29" s="257">
        <f t="shared" si="4"/>
        <v>-544394.26402201178</v>
      </c>
    </row>
    <row r="30" spans="1:7" ht="17" thickBot="1">
      <c r="A30" s="129">
        <v>10</v>
      </c>
      <c r="B30" s="94">
        <f t="shared" si="5"/>
        <v>512</v>
      </c>
      <c r="C30" s="109">
        <f t="shared" si="1"/>
        <v>1024</v>
      </c>
      <c r="D30" s="10">
        <f>SUM($C$21:C30)</f>
        <v>2046</v>
      </c>
      <c r="E30" s="254">
        <f t="shared" si="2"/>
        <v>4884.2930917508756</v>
      </c>
      <c r="F30" s="10">
        <f t="shared" si="3"/>
        <v>-5.5991719155179372E-2</v>
      </c>
      <c r="G30" s="258">
        <f t="shared" si="4"/>
        <v>-1335756.3138673373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2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2</v>
      </c>
      <c r="D33" s="57">
        <f>SUM($C$33:C33)</f>
        <v>2</v>
      </c>
      <c r="E33" s="8">
        <f t="shared" ref="E33:E42" si="7">D33/R7</f>
        <v>-12.130185969686469</v>
      </c>
      <c r="F33" s="8">
        <f t="shared" ref="F33:F42" si="8">U7/E33</f>
        <v>0.33178298673088474</v>
      </c>
      <c r="G33" s="259">
        <f>E33*U7</f>
        <v>48.819017032080858</v>
      </c>
    </row>
    <row r="34" spans="1:7">
      <c r="A34" s="97">
        <v>2</v>
      </c>
      <c r="B34" s="93">
        <f t="shared" ref="B34:B42" si="9">B33*($O$2+1)</f>
        <v>3</v>
      </c>
      <c r="C34" s="1">
        <f t="shared" si="6"/>
        <v>6</v>
      </c>
      <c r="D34" s="9">
        <f>SUM($C$33:C34)</f>
        <v>8</v>
      </c>
      <c r="E34" s="9">
        <f t="shared" si="7"/>
        <v>77.297174880800739</v>
      </c>
      <c r="F34" s="9">
        <f t="shared" si="8"/>
        <v>-0.16093588712929893</v>
      </c>
      <c r="G34" s="257">
        <f t="shared" ref="G34:G42" si="10">E34*U8</f>
        <v>-961.56830737952203</v>
      </c>
    </row>
    <row r="35" spans="1:7">
      <c r="A35" s="97">
        <v>3</v>
      </c>
      <c r="B35" s="93">
        <f t="shared" si="9"/>
        <v>9</v>
      </c>
      <c r="C35" s="1">
        <f t="shared" si="6"/>
        <v>18</v>
      </c>
      <c r="D35" s="9">
        <f>SUM($C$33:C35)</f>
        <v>26</v>
      </c>
      <c r="E35" s="9">
        <f t="shared" si="7"/>
        <v>112.75846473071303</v>
      </c>
      <c r="F35" s="9">
        <f t="shared" si="8"/>
        <v>-0.22696870441285052</v>
      </c>
      <c r="G35" s="257">
        <f t="shared" si="10"/>
        <v>-2885.7870937862622</v>
      </c>
    </row>
    <row r="36" spans="1:7">
      <c r="A36" s="97">
        <v>4</v>
      </c>
      <c r="B36" s="93">
        <f t="shared" si="9"/>
        <v>27</v>
      </c>
      <c r="C36" s="1">
        <f t="shared" si="6"/>
        <v>54</v>
      </c>
      <c r="D36" s="9">
        <f>SUM($C$33:C36)</f>
        <v>80</v>
      </c>
      <c r="E36" s="9">
        <f t="shared" si="7"/>
        <v>265.28556906007333</v>
      </c>
      <c r="F36" s="9">
        <f t="shared" si="8"/>
        <v>-0.1651219318981498</v>
      </c>
      <c r="G36" s="257">
        <f t="shared" si="10"/>
        <v>-11620.692602081122</v>
      </c>
    </row>
    <row r="37" spans="1:7">
      <c r="A37" s="97">
        <v>5</v>
      </c>
      <c r="B37" s="93">
        <f t="shared" si="9"/>
        <v>81</v>
      </c>
      <c r="C37" s="1">
        <f t="shared" si="6"/>
        <v>162</v>
      </c>
      <c r="D37" s="9">
        <f>SUM($C$33:C37)</f>
        <v>242</v>
      </c>
      <c r="E37" s="9">
        <f t="shared" si="7"/>
        <v>701.67499708918126</v>
      </c>
      <c r="F37" s="9">
        <f t="shared" si="8"/>
        <v>-9.60099316446381E-2</v>
      </c>
      <c r="G37" s="257">
        <f t="shared" si="10"/>
        <v>-47270.278771253084</v>
      </c>
    </row>
    <row r="38" spans="1:7">
      <c r="A38" s="97">
        <v>6</v>
      </c>
      <c r="B38" s="93">
        <f t="shared" si="9"/>
        <v>243</v>
      </c>
      <c r="C38" s="1">
        <f t="shared" si="6"/>
        <v>486</v>
      </c>
      <c r="D38" s="9">
        <f>SUM($C$33:C38)</f>
        <v>728</v>
      </c>
      <c r="E38" s="9">
        <f t="shared" si="7"/>
        <v>1952.875718941317</v>
      </c>
      <c r="F38" s="9">
        <f t="shared" si="8"/>
        <v>-4.9436538660678896E-2</v>
      </c>
      <c r="G38" s="257">
        <f t="shared" si="10"/>
        <v>-188537.29288892995</v>
      </c>
    </row>
    <row r="39" spans="1:7">
      <c r="A39" s="97">
        <v>7</v>
      </c>
      <c r="B39" s="93">
        <f t="shared" si="9"/>
        <v>729</v>
      </c>
      <c r="C39" s="1">
        <f t="shared" si="6"/>
        <v>1458</v>
      </c>
      <c r="D39" s="9">
        <f>SUM($C$33:C39)</f>
        <v>2186</v>
      </c>
      <c r="E39" s="9">
        <f t="shared" si="7"/>
        <v>5585.6069964295302</v>
      </c>
      <c r="F39" s="9">
        <f t="shared" si="8"/>
        <v>-2.3553398248207954E-2</v>
      </c>
      <c r="G39" s="257">
        <f t="shared" si="10"/>
        <v>-734842.60192674072</v>
      </c>
    </row>
    <row r="40" spans="1:7">
      <c r="A40" s="97">
        <v>8</v>
      </c>
      <c r="B40" s="93">
        <f t="shared" si="9"/>
        <v>2187</v>
      </c>
      <c r="C40" s="1">
        <f t="shared" si="6"/>
        <v>4374</v>
      </c>
      <c r="D40" s="9">
        <f>SUM($C$33:C40)</f>
        <v>6560</v>
      </c>
      <c r="E40" s="9">
        <f t="shared" si="7"/>
        <v>16236.835877846413</v>
      </c>
      <c r="F40" s="9">
        <f t="shared" si="8"/>
        <v>-1.0631053200275752E-2</v>
      </c>
      <c r="G40" s="257">
        <f t="shared" si="10"/>
        <v>-2802716.0023008753</v>
      </c>
    </row>
    <row r="41" spans="1:7">
      <c r="A41" s="97">
        <v>9</v>
      </c>
      <c r="B41" s="93">
        <f t="shared" si="9"/>
        <v>6561</v>
      </c>
      <c r="C41" s="1">
        <f t="shared" si="6"/>
        <v>13122</v>
      </c>
      <c r="D41" s="9">
        <f>SUM($C$33:C41)</f>
        <v>19682</v>
      </c>
      <c r="E41" s="9">
        <f t="shared" si="7"/>
        <v>47682.250916807352</v>
      </c>
      <c r="F41" s="9">
        <f t="shared" si="8"/>
        <v>-4.6112468838176877E-3</v>
      </c>
      <c r="G41" s="257">
        <f t="shared" si="10"/>
        <v>-10484117.323367158</v>
      </c>
    </row>
    <row r="42" spans="1:7" ht="17" thickBot="1">
      <c r="A42" s="129">
        <v>10</v>
      </c>
      <c r="B42" s="94">
        <f t="shared" si="9"/>
        <v>19683</v>
      </c>
      <c r="C42" s="109">
        <f t="shared" si="6"/>
        <v>39366</v>
      </c>
      <c r="D42" s="10">
        <f>SUM($C$33:C42)</f>
        <v>59048</v>
      </c>
      <c r="E42" s="9">
        <f t="shared" si="7"/>
        <v>140961.74901354141</v>
      </c>
      <c r="F42" s="10">
        <f t="shared" si="8"/>
        <v>-1.9401005519492105E-3</v>
      </c>
      <c r="G42" s="258">
        <f t="shared" si="10"/>
        <v>-38550214.477633692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0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2</v>
      </c>
      <c r="D45" s="57">
        <f>SUM(C45:C45)</f>
        <v>2</v>
      </c>
      <c r="E45" s="57">
        <f t="shared" ref="E45:E54" si="12">D45/R7</f>
        <v>-12.130185969686469</v>
      </c>
      <c r="F45" s="8">
        <f t="shared" ref="F45:F54" si="13">U7/E45</f>
        <v>0.33178298673088474</v>
      </c>
      <c r="G45" s="256">
        <f>E45*U7</f>
        <v>48.819017032080858</v>
      </c>
    </row>
    <row r="46" spans="1:7">
      <c r="A46" s="97">
        <v>2</v>
      </c>
      <c r="B46" s="93">
        <f t="shared" ref="B46:B54" si="14">B45*$O$2*2</f>
        <v>4</v>
      </c>
      <c r="C46" s="1">
        <f t="shared" si="11"/>
        <v>8</v>
      </c>
      <c r="D46" s="9">
        <f>SUM($C$45:C46)</f>
        <v>10</v>
      </c>
      <c r="E46" s="9">
        <f t="shared" si="12"/>
        <v>96.621468601000913</v>
      </c>
      <c r="F46" s="9">
        <f t="shared" si="13"/>
        <v>-0.12874870970343916</v>
      </c>
      <c r="G46" s="257">
        <f t="shared" ref="G46:G54" si="15">E46*U8</f>
        <v>-1201.9603842244023</v>
      </c>
    </row>
    <row r="47" spans="1:7">
      <c r="A47" s="97">
        <v>3</v>
      </c>
      <c r="B47" s="93">
        <f t="shared" si="14"/>
        <v>16</v>
      </c>
      <c r="C47" s="1">
        <f t="shared" si="11"/>
        <v>32</v>
      </c>
      <c r="D47" s="9">
        <f>SUM($C$45:C47)</f>
        <v>42</v>
      </c>
      <c r="E47" s="9">
        <f t="shared" si="12"/>
        <v>182.14828918038259</v>
      </c>
      <c r="F47" s="9">
        <f t="shared" si="13"/>
        <v>-0.14050443606509794</v>
      </c>
      <c r="G47" s="257">
        <f t="shared" si="15"/>
        <v>-4661.6560745778079</v>
      </c>
    </row>
    <row r="48" spans="1:7">
      <c r="A48" s="97">
        <v>4</v>
      </c>
      <c r="B48" s="93">
        <f t="shared" si="14"/>
        <v>64</v>
      </c>
      <c r="C48" s="1">
        <f t="shared" si="11"/>
        <v>128</v>
      </c>
      <c r="D48" s="9">
        <f>SUM($C$45:C48)</f>
        <v>170</v>
      </c>
      <c r="E48" s="9">
        <f t="shared" si="12"/>
        <v>563.73183425265586</v>
      </c>
      <c r="F48" s="9">
        <f t="shared" si="13"/>
        <v>-7.7704438540305787E-2</v>
      </c>
      <c r="G48" s="257">
        <f t="shared" si="15"/>
        <v>-24693.971779422387</v>
      </c>
    </row>
    <row r="49" spans="1:7">
      <c r="A49" s="97">
        <v>5</v>
      </c>
      <c r="B49" s="93">
        <f t="shared" si="14"/>
        <v>256</v>
      </c>
      <c r="C49" s="1">
        <f t="shared" si="11"/>
        <v>512</v>
      </c>
      <c r="D49" s="9">
        <f>SUM($C$45:C49)</f>
        <v>682</v>
      </c>
      <c r="E49" s="9">
        <f t="shared" si="12"/>
        <v>1977.4477190695106</v>
      </c>
      <c r="F49" s="9">
        <f t="shared" si="13"/>
        <v>-3.4068040261000618E-2</v>
      </c>
      <c r="G49" s="257">
        <f t="shared" si="15"/>
        <v>-133216.24017353141</v>
      </c>
    </row>
    <row r="50" spans="1:7">
      <c r="A50" s="97">
        <v>6</v>
      </c>
      <c r="B50" s="93">
        <f t="shared" si="14"/>
        <v>1024</v>
      </c>
      <c r="C50" s="1">
        <f t="shared" si="11"/>
        <v>2048</v>
      </c>
      <c r="D50" s="9">
        <f>SUM($C$45:C50)</f>
        <v>2730</v>
      </c>
      <c r="E50" s="9">
        <f t="shared" si="12"/>
        <v>7323.2839460299392</v>
      </c>
      <c r="F50" s="9">
        <f t="shared" si="13"/>
        <v>-1.3183076976181039E-2</v>
      </c>
      <c r="G50" s="257">
        <f t="shared" si="15"/>
        <v>-707014.8483334874</v>
      </c>
    </row>
    <row r="51" spans="1:7">
      <c r="A51" s="97">
        <v>7</v>
      </c>
      <c r="B51" s="93">
        <f t="shared" si="14"/>
        <v>4096</v>
      </c>
      <c r="C51" s="1">
        <f t="shared" si="11"/>
        <v>8192</v>
      </c>
      <c r="D51" s="9">
        <f>SUM($C$45:C51)</f>
        <v>10922</v>
      </c>
      <c r="E51" s="9">
        <f t="shared" si="12"/>
        <v>27907.593602471788</v>
      </c>
      <c r="F51" s="9">
        <f t="shared" si="13"/>
        <v>-4.7141300650597497E-3</v>
      </c>
      <c r="G51" s="257">
        <f t="shared" si="15"/>
        <v>-3671523.7411911539</v>
      </c>
    </row>
    <row r="52" spans="1:7">
      <c r="A52" s="97">
        <v>8</v>
      </c>
      <c r="B52" s="93">
        <f t="shared" si="14"/>
        <v>16384</v>
      </c>
      <c r="C52" s="1">
        <f t="shared" si="11"/>
        <v>32768</v>
      </c>
      <c r="D52" s="9">
        <f>SUM($C$45:C52)</f>
        <v>43690</v>
      </c>
      <c r="E52" s="9">
        <f t="shared" si="12"/>
        <v>108138.31699742528</v>
      </c>
      <c r="F52" s="9">
        <f t="shared" si="13"/>
        <v>-1.5962396199086502E-3</v>
      </c>
      <c r="G52" s="257">
        <f t="shared" si="15"/>
        <v>-18666259.472641043</v>
      </c>
    </row>
    <row r="53" spans="1:7">
      <c r="A53" s="97">
        <v>9</v>
      </c>
      <c r="B53" s="93">
        <f t="shared" si="14"/>
        <v>65536</v>
      </c>
      <c r="C53" s="1">
        <f t="shared" si="11"/>
        <v>131072</v>
      </c>
      <c r="D53" s="9">
        <f>SUM($C$45:C53)</f>
        <v>174762</v>
      </c>
      <c r="E53" s="9">
        <f t="shared" si="12"/>
        <v>423384.08366645093</v>
      </c>
      <c r="F53" s="9">
        <f t="shared" si="13"/>
        <v>-5.193266337493261E-4</v>
      </c>
      <c r="G53" s="257">
        <f t="shared" si="15"/>
        <v>-93091419.147764012</v>
      </c>
    </row>
    <row r="54" spans="1:7" ht="17" thickBot="1">
      <c r="A54" s="129">
        <v>10</v>
      </c>
      <c r="B54" s="94">
        <f t="shared" si="14"/>
        <v>262144</v>
      </c>
      <c r="C54" s="109">
        <f t="shared" si="11"/>
        <v>524288</v>
      </c>
      <c r="D54" s="10">
        <f>SUM($C$45:C54)</f>
        <v>699050</v>
      </c>
      <c r="E54" s="10">
        <f t="shared" si="12"/>
        <v>1668800.1396815493</v>
      </c>
      <c r="F54" s="10">
        <f t="shared" si="13"/>
        <v>-1.6387820240540302E-4</v>
      </c>
      <c r="G54" s="258">
        <f t="shared" si="15"/>
        <v>-456383407.23800689</v>
      </c>
    </row>
  </sheetData>
  <mergeCells count="1">
    <mergeCell ref="A18:F18"/>
  </mergeCells>
  <conditionalFormatting sqref="E21:E30">
    <cfRule type="cellIs" dxfId="601" priority="24" stopIfTrue="1" operator="lessThan">
      <formula>0</formula>
    </cfRule>
    <cfRule type="cellIs" dxfId="600" priority="25" operator="equal">
      <formula>MIN($E$21:$E$30)</formula>
    </cfRule>
  </conditionalFormatting>
  <conditionalFormatting sqref="E45:E54">
    <cfRule type="cellIs" dxfId="599" priority="22" stopIfTrue="1" operator="lessThan">
      <formula>0</formula>
    </cfRule>
    <cfRule type="cellIs" dxfId="598" priority="23" operator="equal">
      <formula>MIN($E$45:$E$54)</formula>
    </cfRule>
  </conditionalFormatting>
  <conditionalFormatting sqref="F45:F54">
    <cfRule type="cellIs" dxfId="597" priority="21" operator="equal">
      <formula>MAX($F$45:$F$54)</formula>
    </cfRule>
  </conditionalFormatting>
  <conditionalFormatting sqref="F21:F30">
    <cfRule type="cellIs" dxfId="596" priority="20" operator="equal">
      <formula>MAX($F$21:$F$30)</formula>
    </cfRule>
  </conditionalFormatting>
  <conditionalFormatting sqref="E33:E42">
    <cfRule type="cellIs" dxfId="595" priority="18" stopIfTrue="1" operator="lessThan">
      <formula>0</formula>
    </cfRule>
    <cfRule type="cellIs" dxfId="594" priority="19" operator="equal">
      <formula>MIN($E$33:$E$42)</formula>
    </cfRule>
  </conditionalFormatting>
  <conditionalFormatting sqref="F33:F42">
    <cfRule type="cellIs" dxfId="593" priority="16" operator="lessThanOrEqual">
      <formula>0</formula>
    </cfRule>
    <cfRule type="cellIs" dxfId="592" priority="17" operator="equal">
      <formula>MAX($F$33:$F$42)</formula>
    </cfRule>
  </conditionalFormatting>
  <conditionalFormatting sqref="U7:U16">
    <cfRule type="cellIs" dxfId="591" priority="12" operator="lessThanOrEqual">
      <formula>0</formula>
    </cfRule>
    <cfRule type="cellIs" dxfId="590" priority="13" operator="greaterThan">
      <formula>0</formula>
    </cfRule>
  </conditionalFormatting>
  <conditionalFormatting sqref="R7:R16">
    <cfRule type="cellIs" dxfId="589" priority="14" operator="lessThanOrEqual">
      <formula>0</formula>
    </cfRule>
    <cfRule type="cellIs" dxfId="588" priority="15" operator="greaterThan">
      <formula>0</formula>
    </cfRule>
  </conditionalFormatting>
  <conditionalFormatting sqref="S7:T16">
    <cfRule type="cellIs" dxfId="587" priority="1" operator="lessThanOrEqual">
      <formula>0</formula>
    </cfRule>
    <cfRule type="cellIs" dxfId="58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14" max="14" width="5.6640625" bestFit="1" customWidth="1"/>
    <col min="19" max="19" width="9.1640625" customWidth="1"/>
  </cols>
  <sheetData>
    <row r="1" spans="1:23">
      <c r="C1" t="s">
        <v>94</v>
      </c>
      <c r="D1">
        <f>C2+E2</f>
        <v>0.99999999999999978</v>
      </c>
    </row>
    <row r="2" spans="1:23">
      <c r="A2" t="s">
        <v>39</v>
      </c>
      <c r="B2" s="133" t="s">
        <v>124</v>
      </c>
      <c r="C2" s="139">
        <f>Analysis!B9</f>
        <v>0.55174833370260112</v>
      </c>
      <c r="D2" s="133" t="s">
        <v>125</v>
      </c>
      <c r="E2" s="139">
        <f>Analysis!E9</f>
        <v>0.44825166629739871</v>
      </c>
      <c r="F2" s="133" t="s">
        <v>46</v>
      </c>
      <c r="G2" s="139">
        <f>Analysis!S9</f>
        <v>50.802481565929902</v>
      </c>
      <c r="H2" t="s">
        <v>153</v>
      </c>
      <c r="I2" s="153">
        <f>Analysis!T9</f>
        <v>-50.86959913215825</v>
      </c>
      <c r="J2" t="s">
        <v>47</v>
      </c>
      <c r="K2" s="153">
        <f>G2*C2+I2*E2</f>
        <v>5.2278019770882906</v>
      </c>
      <c r="L2" t="s">
        <v>46</v>
      </c>
      <c r="M2" s="160">
        <v>1</v>
      </c>
      <c r="N2" t="s">
        <v>153</v>
      </c>
      <c r="O2" s="160">
        <v>2</v>
      </c>
    </row>
    <row r="4" spans="1:23">
      <c r="A4" t="s">
        <v>122</v>
      </c>
      <c r="B4">
        <f>$C$2</f>
        <v>0.55174833370260112</v>
      </c>
      <c r="C4" t="s">
        <v>123</v>
      </c>
      <c r="D4">
        <f>$E$2</f>
        <v>0.44825166629739871</v>
      </c>
      <c r="E4" t="s">
        <v>46</v>
      </c>
      <c r="F4">
        <f>G2</f>
        <v>50.802481565929902</v>
      </c>
      <c r="G4" t="s">
        <v>153</v>
      </c>
      <c r="H4">
        <f>I2</f>
        <v>-50.86959913215825</v>
      </c>
      <c r="I4" t="s">
        <v>47</v>
      </c>
      <c r="J4">
        <f>B4*F4+D4*H4</f>
        <v>5.2278019770882906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164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0.55174833370260112</v>
      </c>
      <c r="C7" s="95">
        <v>1</v>
      </c>
      <c r="D7" s="107">
        <f>C7*D4</f>
        <v>0.44825166629739871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0.99999999999999978</v>
      </c>
      <c r="R7" s="265">
        <f>B7-D7</f>
        <v>0.10349666740520241</v>
      </c>
      <c r="S7" s="266">
        <f>IF(Rules!B20=Rules!D20,SUM(C7)*B4*F4,SUM(C7)*B4*F4*POWER(O2,A7-1))</f>
        <v>28.030184551958932</v>
      </c>
      <c r="T7" s="252">
        <f>IF(Rules!B20=Rules!D20,SUM(C7)*D4*H4,SUM(C7)*D4*H4*POWER(O2,A7-1))</f>
        <v>-22.802382574870641</v>
      </c>
      <c r="U7" s="263">
        <f>S7+T7</f>
        <v>5.2278019770882906</v>
      </c>
      <c r="V7" s="282">
        <f>S7/B4</f>
        <v>50.802481565929902</v>
      </c>
      <c r="W7" s="57">
        <f>T7/D4</f>
        <v>-50.86959913215825</v>
      </c>
    </row>
    <row r="8" spans="1:23">
      <c r="A8" s="98">
        <v>2</v>
      </c>
      <c r="B8" s="97">
        <f>C8*B4</f>
        <v>0.73304708561659648</v>
      </c>
      <c r="C8" s="97">
        <f>1/(1-B4*D4)</f>
        <v>1.3285895776020913</v>
      </c>
      <c r="D8" s="93">
        <f>C8*D4</f>
        <v>0.59554249198549458</v>
      </c>
      <c r="E8" s="1">
        <f>D8*D4</f>
        <v>0.26695291438340318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0.99999999999999967</v>
      </c>
      <c r="R8" s="267">
        <f>B8-E8</f>
        <v>0.4660941712331933</v>
      </c>
      <c r="S8" s="268">
        <f>IF(Rules!B20=Rules!D20,SUM(C8:D8)*B4*F4,SUM(C8:D8)*B4*F4*POWER(O2,A8-1))</f>
        <v>53.933777012882715</v>
      </c>
      <c r="T8" s="253">
        <f>IF(Rules!B20=Rules!D20,SUM(C8:D8)*D4*H4,SUM(C8:D8)*D4*H4*POWER(O2,A8-1))</f>
        <v>-43.874795575313755</v>
      </c>
      <c r="U8" s="264">
        <f>S8+T8+U7</f>
        <v>15.286783414657251</v>
      </c>
      <c r="V8" s="93">
        <f>S8/B4</f>
        <v>97.750683995637871</v>
      </c>
      <c r="W8" s="9">
        <f>T8/D4</f>
        <v>-97.879827057250509</v>
      </c>
    </row>
    <row r="9" spans="1:23">
      <c r="A9" s="98">
        <v>3</v>
      </c>
      <c r="B9" s="97">
        <f>C9*B4</f>
        <v>0.82177505039623833</v>
      </c>
      <c r="C9" s="97">
        <f>1/(1-D4*B4/(1-D4*B4))</f>
        <v>1.4894019613644811</v>
      </c>
      <c r="D9" s="93">
        <f>C9*D4*C8</f>
        <v>0.88700215563908635</v>
      </c>
      <c r="E9" s="1">
        <f>D9*(D4)</f>
        <v>0.39760019427460502</v>
      </c>
      <c r="F9" s="1">
        <f>E9*D4</f>
        <v>0.17822494960376115</v>
      </c>
      <c r="G9" s="1"/>
      <c r="H9" s="1"/>
      <c r="I9" s="1"/>
      <c r="J9" s="1"/>
      <c r="K9" s="1"/>
      <c r="L9" s="1"/>
      <c r="M9" s="235"/>
      <c r="N9" s="97">
        <f>B9+F9</f>
        <v>0.99999999999999944</v>
      </c>
      <c r="R9" s="267">
        <f>B9-F9</f>
        <v>0.64355010079247721</v>
      </c>
      <c r="S9" s="268">
        <f>IF(Rules!B20=Rules!D20,SUM(C9:E9)*B4*F4,SUM(C9:E9)*B4*F4*POWER(O2,A9-1))</f>
        <v>77.755852793056917</v>
      </c>
      <c r="T9" s="253">
        <f>IF(Rules!B20=Rules!D20,SUM(C9:E9)*D4*H4,SUM(C9:E9)*D4*H4*POWER(O2,A9-1))</f>
        <v>-63.253907570105447</v>
      </c>
      <c r="U9" s="264">
        <f t="shared" ref="U9:U16" si="0">S9+T9+U8</f>
        <v>29.78872863760872</v>
      </c>
      <c r="V9" s="93">
        <f>S9/B4</f>
        <v>140.92630288751945</v>
      </c>
      <c r="W9" s="9">
        <f>T9/D4</f>
        <v>-141.11248730559939</v>
      </c>
    </row>
    <row r="10" spans="1:23">
      <c r="A10" s="98">
        <v>4</v>
      </c>
      <c r="B10" s="97">
        <f>C10*B4</f>
        <v>0.87351990357426734</v>
      </c>
      <c r="C10" s="97">
        <f>1/(1-D4*B4/(1-D4*B4/(1-D4*B4)))</f>
        <v>1.5831853948925652</v>
      </c>
      <c r="D10" s="93">
        <f>C10*D4*C9</f>
        <v>1.0569771746821603</v>
      </c>
      <c r="E10" s="1">
        <f>D10*D4*C8</f>
        <v>0.6294748205820011</v>
      </c>
      <c r="F10" s="1">
        <f>E10*D4</f>
        <v>0.28216313721813807</v>
      </c>
      <c r="G10" s="1">
        <f>F10*D4</f>
        <v>0.12648009642573194</v>
      </c>
      <c r="H10" s="1"/>
      <c r="I10" s="1"/>
      <c r="J10" s="1"/>
      <c r="K10" s="1"/>
      <c r="L10" s="1"/>
      <c r="M10" s="235"/>
      <c r="N10" s="97">
        <f>B10+G10</f>
        <v>0.99999999999999933</v>
      </c>
      <c r="R10" s="267">
        <f>B10-G10</f>
        <v>0.74703980714853535</v>
      </c>
      <c r="S10" s="268">
        <f>IF(Rules!B20=Rules!D20,SUM(C10:F10)*B4*F4,SUM(C10:F10)*B4*F4*POWER(O2,A10-1))</f>
        <v>99.557624274062519</v>
      </c>
      <c r="T10" s="253">
        <f>IF(Rules!B20=Rules!D20,SUM(C10:F10)*D4*H4,SUM(C10:F10)*D4*H4*POWER(O2,A10-1))</f>
        <v>-80.989514454828964</v>
      </c>
      <c r="U10" s="264">
        <f t="shared" si="0"/>
        <v>48.356838456842276</v>
      </c>
      <c r="V10" s="93">
        <f>S10/B4</f>
        <v>180.44028081782164</v>
      </c>
      <c r="W10" s="9">
        <f>T10/D4</f>
        <v>-180.6786690249476</v>
      </c>
    </row>
    <row r="11" spans="1:23">
      <c r="A11" s="98">
        <v>5</v>
      </c>
      <c r="B11" s="97">
        <f>C11*B4</f>
        <v>0.90681971705237596</v>
      </c>
      <c r="C11" s="97">
        <f>1/(1-D4*B4/(1-D4*B4/(1-D4*B4/(1-D4*B4))))</f>
        <v>1.643538660039094</v>
      </c>
      <c r="D11" s="93">
        <f>C11*D4*C10</f>
        <v>1.1663626706772601</v>
      </c>
      <c r="E11" s="1">
        <f>D11*D4*C9</f>
        <v>0.77869510689292876</v>
      </c>
      <c r="F11" s="1">
        <f>E11*D4*C8</f>
        <v>0.46374602445592583</v>
      </c>
      <c r="G11" s="1">
        <f>F11*D4</f>
        <v>0.20787492820116296</v>
      </c>
      <c r="H11" s="1">
        <f>G11*D4</f>
        <v>9.3180282947623413E-2</v>
      </c>
      <c r="I11" s="1"/>
      <c r="J11" s="1"/>
      <c r="K11" s="1"/>
      <c r="L11" s="1"/>
      <c r="M11" s="235"/>
      <c r="N11" s="97">
        <f>B11+H11</f>
        <v>0.99999999999999933</v>
      </c>
      <c r="R11" s="267">
        <f>B11-H11</f>
        <v>0.81363943410475259</v>
      </c>
      <c r="S11" s="268">
        <f>IF(Rules!B20=Rules!D20,SUM(C11:G11)*B4*F4,SUM(C11:G11)*B4*F4*POWER(O2,A11-1))</f>
        <v>119.41467968063125</v>
      </c>
      <c r="T11" s="253">
        <f>IF(Rules!B20=Rules!D20,SUM(C11:G11)*D4*H4,SUM(C11:G11)*D4*H4*POWER(O2,A11-1))</f>
        <v>-97.143106784970811</v>
      </c>
      <c r="U11" s="264">
        <f t="shared" si="0"/>
        <v>70.628411352502724</v>
      </c>
      <c r="V11" s="93">
        <f>S11/B4</f>
        <v>216.42961543586134</v>
      </c>
      <c r="W11" s="9">
        <f>T11/D4</f>
        <v>-216.71555085869974</v>
      </c>
    </row>
    <row r="12" spans="1:23">
      <c r="A12" s="98">
        <v>6</v>
      </c>
      <c r="B12" s="97">
        <f>C12*B4</f>
        <v>0.92962585956357768</v>
      </c>
      <c r="C12" s="97">
        <f>1/(1-D4*B4/(1-D4*B4/(1-D4*B4/(1-D4*B4/(1-D4*B4)))))</f>
        <v>1.6848729806307978</v>
      </c>
      <c r="D12" s="93">
        <f>C12*D4*C11</f>
        <v>1.2412778413572021</v>
      </c>
      <c r="E12" s="1">
        <f>D12*D4*C10</f>
        <v>0.88089204914927455</v>
      </c>
      <c r="F12" s="1">
        <f>E12*D4*C9</f>
        <v>0.58810723767001549</v>
      </c>
      <c r="G12" s="1">
        <f>F12*D4*C8</f>
        <v>0.35024284987670651</v>
      </c>
      <c r="H12" s="1">
        <f>G12*D4</f>
        <v>0.15699694106598336</v>
      </c>
      <c r="I12" s="1">
        <f>H12*D4</f>
        <v>7.0374140436421539E-2</v>
      </c>
      <c r="J12" s="1"/>
      <c r="K12" s="1"/>
      <c r="L12" s="1"/>
      <c r="M12" s="235"/>
      <c r="N12" s="97">
        <f>B12+I12</f>
        <v>0.99999999999999922</v>
      </c>
      <c r="R12" s="267">
        <f>B12-I12</f>
        <v>0.85925171912715614</v>
      </c>
      <c r="S12" s="268">
        <f>IF(Rules!B20=Rules!D20,SUM(C12:H12)*B4*F4,SUM(C12:H12)*B4*F4*POWER(O2,A12-1))</f>
        <v>137.41489363565142</v>
      </c>
      <c r="T12" s="253">
        <f>IF(Rules!B20=Rules!D20,SUM(C12:H12)*D4*H4,SUM(C12:H12)*D4*H4*POWER(O2,A12-1))</f>
        <v>-111.78617002528078</v>
      </c>
      <c r="U12" s="264">
        <f t="shared" si="0"/>
        <v>96.257134962873366</v>
      </c>
      <c r="V12" s="93">
        <f>S12/B4</f>
        <v>249.05357251104934</v>
      </c>
      <c r="W12" s="9">
        <f>T12/D4</f>
        <v>-249.38260898982296</v>
      </c>
    </row>
    <row r="13" spans="1:23">
      <c r="A13" s="98">
        <v>7</v>
      </c>
      <c r="B13" s="97">
        <f>C13*B4</f>
        <v>0.94591862056862164</v>
      </c>
      <c r="C13" s="97">
        <f>1/(1-D4*B4/(1-D4*B4/(1-D4*B4/(1-D4*B4/(1-D4*B4/(1-D4*B4))))))</f>
        <v>1.7144023149483274</v>
      </c>
      <c r="D13" s="93">
        <f>C13*D4*C12</f>
        <v>1.2947974127157016</v>
      </c>
      <c r="E13" s="1">
        <f>D13*D4*C11</f>
        <v>0.95390178127784864</v>
      </c>
      <c r="F13" s="1">
        <f>E13*D4*C10</f>
        <v>0.67695117627994361</v>
      </c>
      <c r="G13" s="1">
        <f>F13*D4*C9</f>
        <v>0.45195082269609699</v>
      </c>
      <c r="H13" s="1">
        <f>G13*D4*C8</f>
        <v>0.26915591920332799</v>
      </c>
      <c r="I13" s="1">
        <f>H13*D4</f>
        <v>0.12064958927669979</v>
      </c>
      <c r="J13" s="1">
        <f>I13*D4</f>
        <v>5.4081379431377447E-2</v>
      </c>
      <c r="K13" s="1"/>
      <c r="L13" s="1"/>
      <c r="M13" s="235"/>
      <c r="N13" s="97">
        <f>B13+J13</f>
        <v>0.99999999999999911</v>
      </c>
      <c r="R13" s="267">
        <f>B13-J13</f>
        <v>0.89183724113724416</v>
      </c>
      <c r="S13" s="268">
        <f>IF(Rules!B20=Rules!D20,SUM(C13:I13)*B4*F4,SUM(C13:I13)*B4*F4*POWER(O2,A13-1))</f>
        <v>153.65611840822692</v>
      </c>
      <c r="T13" s="253">
        <f>IF(Rules!B20=Rules!D20,SUM(C13:I13)*D4*H4,SUM(C13:I13)*D4*H4*POWER(O2,A13-1))</f>
        <v>-124.9983063942813</v>
      </c>
      <c r="U13" s="264">
        <f t="shared" si="0"/>
        <v>124.91494697681898</v>
      </c>
      <c r="V13" s="93">
        <f>S13/B4</f>
        <v>278.48950150350498</v>
      </c>
      <c r="W13" s="9">
        <f>T13/D4</f>
        <v>-278.85742718321421</v>
      </c>
    </row>
    <row r="14" spans="1:23">
      <c r="A14" s="98">
        <v>8</v>
      </c>
      <c r="B14" s="97">
        <f>C14*B4</f>
        <v>0.95791237431152099</v>
      </c>
      <c r="C14" s="97">
        <f>1/(1-D4*B4/(1-D4*B4/(1-D4*B4/(1-D4*B4/(1-D4*B4/(1-D4*B4/(1-D4*B4)))))))</f>
        <v>1.7361400403029528</v>
      </c>
      <c r="D14" s="93">
        <f>C14*D4*C13</f>
        <v>1.3341953121325441</v>
      </c>
      <c r="E14" s="1">
        <f>D14*D4*C12</f>
        <v>1.0076471684294848</v>
      </c>
      <c r="F14" s="1">
        <f>E14*D4*C11</f>
        <v>0.74235275682892921</v>
      </c>
      <c r="G14" s="1">
        <f>F14*D4*C10</f>
        <v>0.52682213390649468</v>
      </c>
      <c r="H14" s="1">
        <f>G14*D4*C9</f>
        <v>0.35172063388969088</v>
      </c>
      <c r="I14" s="1">
        <f>H14*D4*C8</f>
        <v>0.20946458278938429</v>
      </c>
      <c r="J14" s="1">
        <f>I14*D4</f>
        <v>9.3892848265630935E-2</v>
      </c>
      <c r="K14" s="1">
        <f>J14*D4</f>
        <v>4.2087625688477889E-2</v>
      </c>
      <c r="L14" s="1"/>
      <c r="M14" s="235"/>
      <c r="N14" s="97">
        <f>B14+K14</f>
        <v>0.99999999999999889</v>
      </c>
      <c r="R14" s="267">
        <f>B14-K14</f>
        <v>0.91582474862304308</v>
      </c>
      <c r="S14" s="268">
        <f>IF(Rules!B20=Rules!D20,SUM(C14:J14)*B4*F4,SUM(C14:J14)*B4*F4*POWER(O2,A14-1))</f>
        <v>168.24376813187465</v>
      </c>
      <c r="T14" s="253">
        <f>IF(Rules!B20=Rules!D20,SUM(C14:J14)*D4*H4,SUM(C14:J14)*D4*H4*POWER(O2,A14-1))</f>
        <v>-136.86526964064265</v>
      </c>
      <c r="U14" s="264">
        <f t="shared" si="0"/>
        <v>156.29344546805098</v>
      </c>
      <c r="V14" s="93">
        <f>S14/B4</f>
        <v>304.92845715155352</v>
      </c>
      <c r="W14" s="9">
        <f>T14/D4</f>
        <v>-305.33131258866871</v>
      </c>
    </row>
    <row r="15" spans="1:23">
      <c r="A15" s="98">
        <v>9</v>
      </c>
      <c r="B15" s="97">
        <f>C15*B4</f>
        <v>0.96693764554247219</v>
      </c>
      <c r="C15" s="97">
        <f>1/(1-D4*B4/(1-D4*B4/(1-D4*B4/(1-D4*B4/(1-D4*B4/(1-D4*B4/(1-D4*B4/(1-D4*B4))))))))</f>
        <v>1.7524976270497683</v>
      </c>
      <c r="D15" s="93">
        <f>C15*D4*C14</f>
        <v>1.3638421379544636</v>
      </c>
      <c r="E15" s="1">
        <f>D15*D4*C13</f>
        <v>1.048090444725962</v>
      </c>
      <c r="F15" s="1">
        <f>E15*D4*C12</f>
        <v>0.79156729099734491</v>
      </c>
      <c r="G15" s="1">
        <f>F15*D4*C11</f>
        <v>0.58316261792642365</v>
      </c>
      <c r="H15" s="1">
        <f>G15*D4*C10</f>
        <v>0.41385038576922006</v>
      </c>
      <c r="I15" s="1">
        <f>H15*D4*C9</f>
        <v>0.27629765465411987</v>
      </c>
      <c r="J15" s="1">
        <f>I15*D4*C8</f>
        <v>0.16454699378246213</v>
      </c>
      <c r="K15" s="1">
        <f>J15*D4</f>
        <v>7.3758464147216346E-2</v>
      </c>
      <c r="L15" s="1">
        <f>K15*D4</f>
        <v>3.3062354457526671E-2</v>
      </c>
      <c r="M15" s="235"/>
      <c r="N15" s="97">
        <f>B15+L15</f>
        <v>0.99999999999999889</v>
      </c>
      <c r="R15" s="267">
        <f>B15-L15</f>
        <v>0.93387529108494549</v>
      </c>
      <c r="S15" s="268">
        <f>IF(Rules!B20=Rules!D20,SUM(C15:K15)*B4*F4,SUM(C15:K15)*B4*F4*POWER(O2,A15-1))</f>
        <v>181.28840329546833</v>
      </c>
      <c r="T15" s="253">
        <f>IF(Rules!B20=Rules!D20,SUM(C15:K15)*D4*H4,SUM(C15:K15)*D4*H4*POWER(O2,A15-1))</f>
        <v>-147.47700004143607</v>
      </c>
      <c r="U15" s="264">
        <f t="shared" si="0"/>
        <v>190.10484872208323</v>
      </c>
      <c r="V15" s="93">
        <f>S15/B4</f>
        <v>328.57082155355437</v>
      </c>
      <c r="W15" s="9">
        <f>T15/D4</f>
        <v>-329.0049120388332</v>
      </c>
    </row>
    <row r="16" spans="1:23" ht="17" thickBot="1">
      <c r="A16" s="99">
        <v>10</v>
      </c>
      <c r="B16" s="129">
        <f>C16*B4</f>
        <v>0.97384208062301114</v>
      </c>
      <c r="C16" s="129">
        <f>1/(1-D4*B4/(1-D4*B4/(1-D4*B4/(1-D4*B4/(1-D4*B4/(1-D4*B4/(1-D4*B4/(1-D4*B4/(1-D4*B4)))))))))</f>
        <v>1.7650113668452392</v>
      </c>
      <c r="D16" s="94">
        <f>C16*D4*C15</f>
        <v>1.3865222966991131</v>
      </c>
      <c r="E16" s="109">
        <f>D16*D4*C14</f>
        <v>1.07903001080523</v>
      </c>
      <c r="F16" s="109">
        <f>E16*D4*C13</f>
        <v>0.82921696905017672</v>
      </c>
      <c r="G16" s="109">
        <f>F16*D4*C12</f>
        <v>0.62626372861523194</v>
      </c>
      <c r="H16" s="109">
        <f>G16*D4*C11</f>
        <v>0.46138035217633433</v>
      </c>
      <c r="I16" s="109">
        <f>H16*D4*C10</f>
        <v>0.32742571431182743</v>
      </c>
      <c r="J16" s="109">
        <f>I16*D4*C9</f>
        <v>0.21859821821757561</v>
      </c>
      <c r="K16" s="109">
        <f>J16*D4*C8</f>
        <v>0.13018452762088389</v>
      </c>
      <c r="L16" s="109">
        <f>K16*D4</f>
        <v>5.8355431432200934E-2</v>
      </c>
      <c r="M16" s="237">
        <f>L16*D4</f>
        <v>2.6157919376987665E-2</v>
      </c>
      <c r="N16" s="129">
        <f>B16+M16</f>
        <v>0.99999999999999878</v>
      </c>
      <c r="R16" s="269">
        <f>B16-M16</f>
        <v>0.9476841612460235</v>
      </c>
      <c r="S16" s="270">
        <f>IF(Rules!B20=Rules!D20,SUM(C16:L16)*B4*F4,SUM(C16:L16)*B4*F4*POWER(O2,A16-1))</f>
        <v>192.90341098462036</v>
      </c>
      <c r="T16" s="254">
        <f>IF(Rules!B20=Rules!D20,SUM(C16:L16)*D4*H4,SUM(C16:L16)*D4*H4*POWER(O2,A16-1))</f>
        <v>-156.92573729277893</v>
      </c>
      <c r="U16" s="271">
        <f t="shared" si="0"/>
        <v>226.08252241392466</v>
      </c>
      <c r="V16" s="94">
        <f>S16/B4</f>
        <v>349.62209978978854</v>
      </c>
      <c r="W16" s="10">
        <f>T16/D4</f>
        <v>-350.08400211649052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0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2</v>
      </c>
      <c r="D21" s="57">
        <f>SUM($C$21:C21)</f>
        <v>2</v>
      </c>
      <c r="E21" s="252">
        <f t="shared" ref="E21:E30" si="2">D21/R7</f>
        <v>19.324293720200185</v>
      </c>
      <c r="F21" s="8">
        <f t="shared" ref="F21:F30" si="3">U7/E21</f>
        <v>0.27053004124148317</v>
      </c>
      <c r="G21" s="256">
        <f>E21*U7</f>
        <v>101.02358091629736</v>
      </c>
    </row>
    <row r="22" spans="1:7">
      <c r="A22" s="97">
        <v>2</v>
      </c>
      <c r="B22" s="93">
        <f>C21</f>
        <v>2</v>
      </c>
      <c r="C22" s="1">
        <f t="shared" si="1"/>
        <v>4</v>
      </c>
      <c r="D22" s="9">
        <f>SUM($C$21:C22)</f>
        <v>6</v>
      </c>
      <c r="E22" s="253">
        <f t="shared" si="2"/>
        <v>12.872935064013314</v>
      </c>
      <c r="F22" s="9">
        <f t="shared" si="3"/>
        <v>1.1875134410793327</v>
      </c>
      <c r="G22" s="257">
        <f t="shared" ref="G22:G30" si="4">E22*U8</f>
        <v>196.78577023451851</v>
      </c>
    </row>
    <row r="23" spans="1:7">
      <c r="A23" s="97">
        <v>3</v>
      </c>
      <c r="B23" s="93">
        <f t="shared" ref="B23:B30" si="5">C22</f>
        <v>4</v>
      </c>
      <c r="C23" s="1">
        <f t="shared" si="1"/>
        <v>8</v>
      </c>
      <c r="D23" s="9">
        <f>SUM($C$21:C23)</f>
        <v>14</v>
      </c>
      <c r="E23" s="253">
        <f t="shared" si="2"/>
        <v>21.754328035626429</v>
      </c>
      <c r="F23" s="9">
        <f t="shared" si="3"/>
        <v>1.3693242369437746</v>
      </c>
      <c r="G23" s="257">
        <f t="shared" si="4"/>
        <v>648.03377454679924</v>
      </c>
    </row>
    <row r="24" spans="1:7">
      <c r="A24" s="97">
        <v>4</v>
      </c>
      <c r="B24" s="93">
        <f t="shared" si="5"/>
        <v>8</v>
      </c>
      <c r="C24" s="1">
        <f t="shared" si="1"/>
        <v>16</v>
      </c>
      <c r="D24" s="9">
        <f>SUM($C$21:C24)</f>
        <v>30</v>
      </c>
      <c r="E24" s="253">
        <f t="shared" si="2"/>
        <v>40.158502549563657</v>
      </c>
      <c r="F24" s="9">
        <f t="shared" si="3"/>
        <v>1.2041494425037444</v>
      </c>
      <c r="G24" s="257">
        <f t="shared" si="4"/>
        <v>1941.9382204579385</v>
      </c>
    </row>
    <row r="25" spans="1:7">
      <c r="A25" s="97">
        <v>5</v>
      </c>
      <c r="B25" s="93">
        <f t="shared" si="5"/>
        <v>16</v>
      </c>
      <c r="C25" s="1">
        <f t="shared" si="1"/>
        <v>32</v>
      </c>
      <c r="D25" s="9">
        <f>SUM($C$21:C25)</f>
        <v>62</v>
      </c>
      <c r="E25" s="253">
        <f t="shared" si="2"/>
        <v>76.200829754790092</v>
      </c>
      <c r="F25" s="9">
        <f t="shared" si="3"/>
        <v>0.926871945880129</v>
      </c>
      <c r="G25" s="257">
        <f t="shared" si="4"/>
        <v>5381.9435493233441</v>
      </c>
    </row>
    <row r="26" spans="1:7">
      <c r="A26" s="97">
        <v>6</v>
      </c>
      <c r="B26" s="93">
        <f t="shared" si="5"/>
        <v>32</v>
      </c>
      <c r="C26" s="1">
        <f t="shared" si="1"/>
        <v>64</v>
      </c>
      <c r="D26" s="9">
        <f>SUM($C$21:C26)</f>
        <v>126</v>
      </c>
      <c r="E26" s="253">
        <f t="shared" si="2"/>
        <v>146.63921781616352</v>
      </c>
      <c r="F26" s="9">
        <f t="shared" si="3"/>
        <v>0.65642149758018742</v>
      </c>
      <c r="G26" s="257">
        <f t="shared" si="4"/>
        <v>14115.070980180637</v>
      </c>
    </row>
    <row r="27" spans="1:7">
      <c r="A27" s="97">
        <v>7</v>
      </c>
      <c r="B27" s="93">
        <f t="shared" si="5"/>
        <v>64</v>
      </c>
      <c r="C27" s="1">
        <f t="shared" si="1"/>
        <v>128</v>
      </c>
      <c r="D27" s="9">
        <f>SUM($C$21:C27)</f>
        <v>254</v>
      </c>
      <c r="E27" s="253">
        <f t="shared" si="2"/>
        <v>284.8053302597084</v>
      </c>
      <c r="F27" s="9">
        <f t="shared" si="3"/>
        <v>0.43859764444335186</v>
      </c>
      <c r="G27" s="257">
        <f t="shared" si="4"/>
        <v>35576.442728106893</v>
      </c>
    </row>
    <row r="28" spans="1:7">
      <c r="A28" s="97">
        <v>8</v>
      </c>
      <c r="B28" s="93">
        <f t="shared" si="5"/>
        <v>128</v>
      </c>
      <c r="C28" s="1">
        <f t="shared" si="1"/>
        <v>256</v>
      </c>
      <c r="D28" s="9">
        <f>SUM($C$21:C28)</f>
        <v>510</v>
      </c>
      <c r="E28" s="253">
        <f t="shared" si="2"/>
        <v>556.87510166851575</v>
      </c>
      <c r="F28" s="9">
        <f t="shared" si="3"/>
        <v>0.28066157922981783</v>
      </c>
      <c r="G28" s="257">
        <f t="shared" si="4"/>
        <v>87035.928335143515</v>
      </c>
    </row>
    <row r="29" spans="1:7">
      <c r="A29" s="97">
        <v>9</v>
      </c>
      <c r="B29" s="93">
        <f t="shared" si="5"/>
        <v>256</v>
      </c>
      <c r="C29" s="1">
        <f t="shared" si="1"/>
        <v>512</v>
      </c>
      <c r="D29" s="9">
        <f>SUM($C$21:C29)</f>
        <v>1022</v>
      </c>
      <c r="E29" s="253">
        <f t="shared" si="2"/>
        <v>1094.3645364175704</v>
      </c>
      <c r="F29" s="9">
        <f t="shared" si="3"/>
        <v>0.17371254494813601</v>
      </c>
      <c r="G29" s="257">
        <f t="shared" si="4"/>
        <v>208044.00464247496</v>
      </c>
    </row>
    <row r="30" spans="1:7" ht="17" thickBot="1">
      <c r="A30" s="129">
        <v>10</v>
      </c>
      <c r="B30" s="94">
        <f t="shared" si="5"/>
        <v>512</v>
      </c>
      <c r="C30" s="109">
        <f t="shared" si="1"/>
        <v>1024</v>
      </c>
      <c r="D30" s="10">
        <f>SUM($C$21:C30)</f>
        <v>2046</v>
      </c>
      <c r="E30" s="254">
        <f t="shared" si="2"/>
        <v>2158.9471299276556</v>
      </c>
      <c r="F30" s="10">
        <f t="shared" si="3"/>
        <v>0.1047188786051933</v>
      </c>
      <c r="G30" s="258">
        <f t="shared" si="4"/>
        <v>488100.21289234754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2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2</v>
      </c>
      <c r="D33" s="57">
        <f>SUM($C$33:C33)</f>
        <v>2</v>
      </c>
      <c r="E33" s="8">
        <f t="shared" ref="E33:E42" si="7">D33/R7</f>
        <v>19.324293720200185</v>
      </c>
      <c r="F33" s="8">
        <f t="shared" ref="F33:F42" si="8">U7/E33</f>
        <v>0.27053004124148317</v>
      </c>
      <c r="G33" s="259">
        <f>E33*U7</f>
        <v>101.02358091629736</v>
      </c>
    </row>
    <row r="34" spans="1:7">
      <c r="A34" s="97">
        <v>2</v>
      </c>
      <c r="B34" s="93">
        <f t="shared" ref="B34:B42" si="9">B33*($O$2+1)</f>
        <v>3</v>
      </c>
      <c r="C34" s="1">
        <f t="shared" si="6"/>
        <v>6</v>
      </c>
      <c r="D34" s="9">
        <f>SUM($C$33:C34)</f>
        <v>8</v>
      </c>
      <c r="E34" s="9">
        <f t="shared" si="7"/>
        <v>17.16391341868442</v>
      </c>
      <c r="F34" s="9">
        <f t="shared" si="8"/>
        <v>0.89063508080949949</v>
      </c>
      <c r="G34" s="257">
        <f t="shared" ref="G34:G42" si="10">E34*U8</f>
        <v>262.38102697935801</v>
      </c>
    </row>
    <row r="35" spans="1:7">
      <c r="A35" s="97">
        <v>3</v>
      </c>
      <c r="B35" s="93">
        <f t="shared" si="9"/>
        <v>9</v>
      </c>
      <c r="C35" s="1">
        <f t="shared" si="6"/>
        <v>18</v>
      </c>
      <c r="D35" s="9">
        <f>SUM($C$33:C35)</f>
        <v>26</v>
      </c>
      <c r="E35" s="9">
        <f t="shared" si="7"/>
        <v>40.400894923306225</v>
      </c>
      <c r="F35" s="9">
        <f t="shared" si="8"/>
        <v>0.73732843527741698</v>
      </c>
      <c r="G35" s="257">
        <f t="shared" si="10"/>
        <v>1203.4912955869129</v>
      </c>
    </row>
    <row r="36" spans="1:7">
      <c r="A36" s="97">
        <v>4</v>
      </c>
      <c r="B36" s="93">
        <f t="shared" si="9"/>
        <v>27</v>
      </c>
      <c r="C36" s="1">
        <f t="shared" si="6"/>
        <v>54</v>
      </c>
      <c r="D36" s="9">
        <f>SUM($C$33:C36)</f>
        <v>80</v>
      </c>
      <c r="E36" s="9">
        <f t="shared" si="7"/>
        <v>107.08934013216975</v>
      </c>
      <c r="F36" s="9">
        <f t="shared" si="8"/>
        <v>0.45155604093890417</v>
      </c>
      <c r="G36" s="257">
        <f t="shared" si="10"/>
        <v>5178.5019212211691</v>
      </c>
    </row>
    <row r="37" spans="1:7">
      <c r="A37" s="97">
        <v>5</v>
      </c>
      <c r="B37" s="93">
        <f t="shared" si="9"/>
        <v>81</v>
      </c>
      <c r="C37" s="1">
        <f t="shared" si="6"/>
        <v>162</v>
      </c>
      <c r="D37" s="9">
        <f>SUM($C$33:C37)</f>
        <v>242</v>
      </c>
      <c r="E37" s="9">
        <f t="shared" si="7"/>
        <v>297.42904517192261</v>
      </c>
      <c r="F37" s="9">
        <f t="shared" si="8"/>
        <v>0.23746306051474378</v>
      </c>
      <c r="G37" s="257">
        <f t="shared" si="10"/>
        <v>21006.940950584663</v>
      </c>
    </row>
    <row r="38" spans="1:7">
      <c r="A38" s="97">
        <v>6</v>
      </c>
      <c r="B38" s="93">
        <f t="shared" si="9"/>
        <v>243</v>
      </c>
      <c r="C38" s="1">
        <f t="shared" si="6"/>
        <v>486</v>
      </c>
      <c r="D38" s="9">
        <f>SUM($C$33:C38)</f>
        <v>728</v>
      </c>
      <c r="E38" s="9">
        <f t="shared" si="7"/>
        <v>847.24881404894472</v>
      </c>
      <c r="F38" s="9">
        <f t="shared" si="8"/>
        <v>0.11361141304272476</v>
      </c>
      <c r="G38" s="257">
        <f t="shared" si="10"/>
        <v>81553.743441043669</v>
      </c>
    </row>
    <row r="39" spans="1:7">
      <c r="A39" s="97">
        <v>7</v>
      </c>
      <c r="B39" s="93">
        <f t="shared" si="9"/>
        <v>729</v>
      </c>
      <c r="C39" s="1">
        <f t="shared" si="6"/>
        <v>1458</v>
      </c>
      <c r="D39" s="9">
        <f>SUM($C$33:C39)</f>
        <v>2186</v>
      </c>
      <c r="E39" s="9">
        <f t="shared" si="7"/>
        <v>2451.1198895579628</v>
      </c>
      <c r="F39" s="9">
        <f t="shared" si="8"/>
        <v>5.0962397844744455E-2</v>
      </c>
      <c r="G39" s="257">
        <f t="shared" si="10"/>
        <v>306181.51103795931</v>
      </c>
    </row>
    <row r="40" spans="1:7">
      <c r="A40" s="97">
        <v>8</v>
      </c>
      <c r="B40" s="93">
        <f t="shared" si="9"/>
        <v>2187</v>
      </c>
      <c r="C40" s="1">
        <f t="shared" si="6"/>
        <v>4374</v>
      </c>
      <c r="D40" s="9">
        <f>SUM($C$33:C40)</f>
        <v>6560</v>
      </c>
      <c r="E40" s="9">
        <f t="shared" si="7"/>
        <v>7162.9424842067911</v>
      </c>
      <c r="F40" s="9">
        <f t="shared" si="8"/>
        <v>2.1819726434025469E-2</v>
      </c>
      <c r="G40" s="257">
        <f t="shared" si="10"/>
        <v>1119520.9605461597</v>
      </c>
    </row>
    <row r="41" spans="1:7">
      <c r="A41" s="97">
        <v>9</v>
      </c>
      <c r="B41" s="93">
        <f t="shared" si="9"/>
        <v>6561</v>
      </c>
      <c r="C41" s="1">
        <f t="shared" si="6"/>
        <v>13122</v>
      </c>
      <c r="D41" s="9">
        <f>SUM($C$33:C41)</f>
        <v>19682</v>
      </c>
      <c r="E41" s="9">
        <f t="shared" si="7"/>
        <v>21075.619183728591</v>
      </c>
      <c r="F41" s="9">
        <f t="shared" si="8"/>
        <v>9.0201311318461042E-3</v>
      </c>
      <c r="G41" s="257">
        <f t="shared" si="10"/>
        <v>4006577.3966469592</v>
      </c>
    </row>
    <row r="42" spans="1:7" ht="17" thickBot="1">
      <c r="A42" s="129">
        <v>10</v>
      </c>
      <c r="B42" s="94">
        <f t="shared" si="9"/>
        <v>19683</v>
      </c>
      <c r="C42" s="109">
        <f t="shared" si="6"/>
        <v>39366</v>
      </c>
      <c r="D42" s="10">
        <f>SUM($C$33:C42)</f>
        <v>59048</v>
      </c>
      <c r="E42" s="9">
        <f t="shared" si="7"/>
        <v>62307.678459417504</v>
      </c>
      <c r="F42" s="10">
        <f t="shared" si="8"/>
        <v>3.6284857340845669E-3</v>
      </c>
      <c r="G42" s="258">
        <f t="shared" si="10"/>
        <v>14086677.111860869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0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2</v>
      </c>
      <c r="D45" s="57">
        <f>SUM(C45:C45)</f>
        <v>2</v>
      </c>
      <c r="E45" s="57">
        <f t="shared" ref="E45:E54" si="12">D45/R7</f>
        <v>19.324293720200185</v>
      </c>
      <c r="F45" s="8">
        <f t="shared" ref="F45:F54" si="13">U7/E45</f>
        <v>0.27053004124148317</v>
      </c>
      <c r="G45" s="256">
        <f>E45*U7</f>
        <v>101.02358091629736</v>
      </c>
    </row>
    <row r="46" spans="1:7">
      <c r="A46" s="97">
        <v>2</v>
      </c>
      <c r="B46" s="93">
        <f t="shared" ref="B46:B54" si="14">B45*$O$2*2</f>
        <v>4</v>
      </c>
      <c r="C46" s="1">
        <f t="shared" si="11"/>
        <v>8</v>
      </c>
      <c r="D46" s="9">
        <f>SUM($C$45:C46)</f>
        <v>10</v>
      </c>
      <c r="E46" s="9">
        <f t="shared" si="12"/>
        <v>21.454891773355524</v>
      </c>
      <c r="F46" s="9">
        <f t="shared" si="13"/>
        <v>0.71250806464759964</v>
      </c>
      <c r="G46" s="257">
        <f t="shared" ref="G46:G54" si="15">E46*U8</f>
        <v>327.97628372419751</v>
      </c>
    </row>
    <row r="47" spans="1:7">
      <c r="A47" s="97">
        <v>3</v>
      </c>
      <c r="B47" s="93">
        <f t="shared" si="14"/>
        <v>16</v>
      </c>
      <c r="C47" s="1">
        <f t="shared" si="11"/>
        <v>32</v>
      </c>
      <c r="D47" s="9">
        <f>SUM($C$45:C47)</f>
        <v>42</v>
      </c>
      <c r="E47" s="9">
        <f t="shared" si="12"/>
        <v>65.262984106879287</v>
      </c>
      <c r="F47" s="9">
        <f t="shared" si="13"/>
        <v>0.45644141231459151</v>
      </c>
      <c r="G47" s="257">
        <f t="shared" si="15"/>
        <v>1944.1013236403978</v>
      </c>
    </row>
    <row r="48" spans="1:7">
      <c r="A48" s="97">
        <v>4</v>
      </c>
      <c r="B48" s="93">
        <f t="shared" si="14"/>
        <v>64</v>
      </c>
      <c r="C48" s="1">
        <f t="shared" si="11"/>
        <v>128</v>
      </c>
      <c r="D48" s="9">
        <f>SUM($C$45:C48)</f>
        <v>170</v>
      </c>
      <c r="E48" s="9">
        <f t="shared" si="12"/>
        <v>227.56484778086073</v>
      </c>
      <c r="F48" s="9">
        <f t="shared" si="13"/>
        <v>0.21249696044183725</v>
      </c>
      <c r="G48" s="257">
        <f t="shared" si="15"/>
        <v>11004.316582594985</v>
      </c>
    </row>
    <row r="49" spans="1:7">
      <c r="A49" s="97">
        <v>5</v>
      </c>
      <c r="B49" s="93">
        <f t="shared" si="14"/>
        <v>256</v>
      </c>
      <c r="C49" s="1">
        <f t="shared" si="11"/>
        <v>512</v>
      </c>
      <c r="D49" s="9">
        <f>SUM($C$45:C49)</f>
        <v>682</v>
      </c>
      <c r="E49" s="9">
        <f t="shared" si="12"/>
        <v>838.20912730269094</v>
      </c>
      <c r="F49" s="9">
        <f t="shared" si="13"/>
        <v>8.4261085989102646E-2</v>
      </c>
      <c r="G49" s="257">
        <f t="shared" si="15"/>
        <v>59201.379042556779</v>
      </c>
    </row>
    <row r="50" spans="1:7">
      <c r="A50" s="97">
        <v>6</v>
      </c>
      <c r="B50" s="93">
        <f t="shared" si="14"/>
        <v>1024</v>
      </c>
      <c r="C50" s="1">
        <f t="shared" si="11"/>
        <v>2048</v>
      </c>
      <c r="D50" s="9">
        <f>SUM($C$45:C50)</f>
        <v>2730</v>
      </c>
      <c r="E50" s="9">
        <f t="shared" si="12"/>
        <v>3177.1830526835429</v>
      </c>
      <c r="F50" s="9">
        <f t="shared" si="13"/>
        <v>3.0296376811393268E-2</v>
      </c>
      <c r="G50" s="257">
        <f t="shared" si="15"/>
        <v>305826.53790391376</v>
      </c>
    </row>
    <row r="51" spans="1:7">
      <c r="A51" s="97">
        <v>7</v>
      </c>
      <c r="B51" s="93">
        <f t="shared" si="14"/>
        <v>4096</v>
      </c>
      <c r="C51" s="1">
        <f t="shared" si="11"/>
        <v>8192</v>
      </c>
      <c r="D51" s="9">
        <f>SUM($C$45:C51)</f>
        <v>10922</v>
      </c>
      <c r="E51" s="9">
        <f t="shared" si="12"/>
        <v>12246.62920116746</v>
      </c>
      <c r="F51" s="9">
        <f t="shared" si="13"/>
        <v>1.0199945219612835E-2</v>
      </c>
      <c r="G51" s="257">
        <f t="shared" si="15"/>
        <v>1529787.0373085963</v>
      </c>
    </row>
    <row r="52" spans="1:7">
      <c r="A52" s="97">
        <v>8</v>
      </c>
      <c r="B52" s="93">
        <f t="shared" si="14"/>
        <v>16384</v>
      </c>
      <c r="C52" s="1">
        <f t="shared" si="11"/>
        <v>32768</v>
      </c>
      <c r="D52" s="9">
        <f>SUM($C$45:C52)</f>
        <v>43690</v>
      </c>
      <c r="E52" s="9">
        <f t="shared" si="12"/>
        <v>47705.633709602851</v>
      </c>
      <c r="F52" s="9">
        <f t="shared" si="13"/>
        <v>3.2762052050173281E-3</v>
      </c>
      <c r="G52" s="257">
        <f t="shared" si="15"/>
        <v>7456077.8607106274</v>
      </c>
    </row>
    <row r="53" spans="1:7">
      <c r="A53" s="97">
        <v>9</v>
      </c>
      <c r="B53" s="93">
        <f t="shared" si="14"/>
        <v>65536</v>
      </c>
      <c r="C53" s="1">
        <f t="shared" si="11"/>
        <v>131072</v>
      </c>
      <c r="D53" s="9">
        <f>SUM($C$45:C53)</f>
        <v>174762</v>
      </c>
      <c r="E53" s="9">
        <f t="shared" si="12"/>
        <v>187136.33572740454</v>
      </c>
      <c r="F53" s="9">
        <f t="shared" si="13"/>
        <v>1.0158628359540117E-3</v>
      </c>
      <c r="G53" s="257">
        <f t="shared" si="15"/>
        <v>35575524.793863222</v>
      </c>
    </row>
    <row r="54" spans="1:7" ht="17" thickBot="1">
      <c r="A54" s="129">
        <v>10</v>
      </c>
      <c r="B54" s="94">
        <f t="shared" si="14"/>
        <v>262144</v>
      </c>
      <c r="C54" s="109">
        <f t="shared" si="11"/>
        <v>524288</v>
      </c>
      <c r="D54" s="10">
        <f>SUM($C$45:C54)</f>
        <v>699050</v>
      </c>
      <c r="E54" s="10">
        <f t="shared" si="12"/>
        <v>737640.26939194894</v>
      </c>
      <c r="F54" s="10">
        <f t="shared" si="13"/>
        <v>3.0649427884446822E-4</v>
      </c>
      <c r="G54" s="258">
        <f t="shared" si="15"/>
        <v>166767572.73821872</v>
      </c>
    </row>
  </sheetData>
  <mergeCells count="1">
    <mergeCell ref="A18:F18"/>
  </mergeCells>
  <conditionalFormatting sqref="E21:E30">
    <cfRule type="cellIs" dxfId="585" priority="63" stopIfTrue="1" operator="lessThan">
      <formula>0</formula>
    </cfRule>
    <cfRule type="cellIs" dxfId="584" priority="64" operator="equal">
      <formula>MIN($E$21:$E$30)</formula>
    </cfRule>
  </conditionalFormatting>
  <conditionalFormatting sqref="E45:E54">
    <cfRule type="cellIs" dxfId="583" priority="59" stopIfTrue="1" operator="lessThan">
      <formula>0</formula>
    </cfRule>
    <cfRule type="cellIs" dxfId="582" priority="60" operator="equal">
      <formula>MIN($E$45:$E$54)</formula>
    </cfRule>
  </conditionalFormatting>
  <conditionalFormatting sqref="F45:F54">
    <cfRule type="cellIs" dxfId="581" priority="55" operator="equal">
      <formula>MAX($F$45:$F$54)</formula>
    </cfRule>
  </conditionalFormatting>
  <conditionalFormatting sqref="F21:F30">
    <cfRule type="cellIs" dxfId="580" priority="53" operator="equal">
      <formula>MAX($F$21:$F$30)</formula>
    </cfRule>
  </conditionalFormatting>
  <conditionalFormatting sqref="E33:E42">
    <cfRule type="cellIs" dxfId="579" priority="49" stopIfTrue="1" operator="lessThan">
      <formula>0</formula>
    </cfRule>
    <cfRule type="cellIs" dxfId="578" priority="50" operator="equal">
      <formula>MIN($E$33:$E$42)</formula>
    </cfRule>
  </conditionalFormatting>
  <conditionalFormatting sqref="F33:F42">
    <cfRule type="cellIs" dxfId="577" priority="35" operator="lessThanOrEqual">
      <formula>0</formula>
    </cfRule>
    <cfRule type="cellIs" dxfId="576" priority="36" operator="equal">
      <formula>MAX($F$33:$F$42)</formula>
    </cfRule>
  </conditionalFormatting>
  <conditionalFormatting sqref="U7:U16">
    <cfRule type="cellIs" dxfId="575" priority="23" operator="lessThanOrEqual">
      <formula>0</formula>
    </cfRule>
    <cfRule type="cellIs" dxfId="574" priority="24" operator="greaterThan">
      <formula>0</formula>
    </cfRule>
  </conditionalFormatting>
  <conditionalFormatting sqref="R7:R16">
    <cfRule type="cellIs" dxfId="573" priority="25" operator="lessThanOrEqual">
      <formula>0</formula>
    </cfRule>
    <cfRule type="cellIs" dxfId="572" priority="26" operator="greaterThan">
      <formula>0</formula>
    </cfRule>
  </conditionalFormatting>
  <conditionalFormatting sqref="S7:T16">
    <cfRule type="cellIs" dxfId="571" priority="1" operator="lessThanOrEqual">
      <formula>0</formula>
    </cfRule>
    <cfRule type="cellIs" dxfId="57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14" max="14" width="5.6640625" bestFit="1" customWidth="1"/>
  </cols>
  <sheetData>
    <row r="1" spans="1:23">
      <c r="C1" t="s">
        <v>94</v>
      </c>
      <c r="D1">
        <f>C2+E2</f>
        <v>0.99999999999999967</v>
      </c>
    </row>
    <row r="2" spans="1:23">
      <c r="A2" t="s">
        <v>39</v>
      </c>
      <c r="B2" s="133" t="s">
        <v>124</v>
      </c>
      <c r="C2" s="139">
        <f>Analysis!B10</f>
        <v>0.61529067933876413</v>
      </c>
      <c r="D2" s="133" t="s">
        <v>125</v>
      </c>
      <c r="E2" s="139">
        <f>Analysis!F10</f>
        <v>0.38470932066123553</v>
      </c>
      <c r="F2" s="133" t="s">
        <v>46</v>
      </c>
      <c r="G2" s="139">
        <f>Analysis!S10</f>
        <v>79.402100641230433</v>
      </c>
      <c r="H2" t="s">
        <v>153</v>
      </c>
      <c r="I2" s="153">
        <f>Analysis!T10</f>
        <v>-79.50700251972512</v>
      </c>
      <c r="J2" t="s">
        <v>47</v>
      </c>
      <c r="K2" s="153">
        <f>G2*C2+I2*E2</f>
        <v>18.268287517292997</v>
      </c>
      <c r="L2" t="s">
        <v>46</v>
      </c>
      <c r="M2" s="160">
        <v>1</v>
      </c>
      <c r="N2" t="s">
        <v>153</v>
      </c>
      <c r="O2" s="160">
        <v>3</v>
      </c>
    </row>
    <row r="4" spans="1:23">
      <c r="A4" t="s">
        <v>122</v>
      </c>
      <c r="B4">
        <f>$C$2</f>
        <v>0.61529067933876413</v>
      </c>
      <c r="C4" t="s">
        <v>123</v>
      </c>
      <c r="D4">
        <f>$E$2</f>
        <v>0.38470932066123553</v>
      </c>
      <c r="E4" t="s">
        <v>46</v>
      </c>
      <c r="F4">
        <f>G2</f>
        <v>79.402100641230433</v>
      </c>
      <c r="G4" t="s">
        <v>153</v>
      </c>
      <c r="H4">
        <f>I2</f>
        <v>-79.50700251972512</v>
      </c>
      <c r="I4" t="s">
        <v>47</v>
      </c>
      <c r="J4">
        <f>B4*F4+D4*H4</f>
        <v>18.268287517292997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164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0.61529067933876413</v>
      </c>
      <c r="C7" s="95">
        <v>1</v>
      </c>
      <c r="D7" s="107">
        <f>C7*D4</f>
        <v>0.38470932066123553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0.99999999999999967</v>
      </c>
      <c r="R7" s="265">
        <f>B7-D7</f>
        <v>0.2305813586775286</v>
      </c>
      <c r="S7" s="266">
        <f>IF(Rules!B20=Rules!D20,SUM(C7)*B4*F4,SUM(C7)*B4*F4*POWER(O2,A7-1))</f>
        <v>48.855372444467591</v>
      </c>
      <c r="T7" s="252">
        <f>IF(Rules!B20=Rules!D20,SUM(C7)*D4*H4,SUM(C7)*D4*H4*POWER(O2,A7-1))</f>
        <v>-30.587084927174594</v>
      </c>
      <c r="U7" s="263">
        <f>S7+T7</f>
        <v>18.268287517292997</v>
      </c>
      <c r="V7" s="282">
        <f>S7/B4</f>
        <v>79.402100641230433</v>
      </c>
      <c r="W7" s="57">
        <f>T7/D4</f>
        <v>-79.50700251972512</v>
      </c>
    </row>
    <row r="8" spans="1:23">
      <c r="A8" s="98">
        <v>2</v>
      </c>
      <c r="B8" s="97">
        <f>C8*B4</f>
        <v>0.80610137025725626</v>
      </c>
      <c r="C8" s="97">
        <f>1/(1-B4*D4)</f>
        <v>1.3101147105357602</v>
      </c>
      <c r="D8" s="93">
        <f>C8*D4</f>
        <v>0.50401334027850353</v>
      </c>
      <c r="E8" s="1">
        <f>D8*D4</f>
        <v>0.19389862974274324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0.99999999999999956</v>
      </c>
      <c r="R8" s="267">
        <f>B8-E8</f>
        <v>0.61220274051451296</v>
      </c>
      <c r="S8" s="268">
        <f>IF(Rules!B20=Rules!D20,SUM(C8:D8)*B4*F4,SUM(C8:D8)*B4*F4*POWER(O2,A8-1))</f>
        <v>88.629901584486888</v>
      </c>
      <c r="T8" s="253">
        <f>IF(Rules!B20=Rules!D20,SUM(C8:D8)*D4*H4,SUM(C8:D8)*D4*H4*POWER(O2,A8-1))</f>
        <v>-55.488888759025585</v>
      </c>
      <c r="U8" s="264">
        <f>S8+T8+U7</f>
        <v>51.4093003427543</v>
      </c>
      <c r="V8" s="93">
        <f>S8/B4</f>
        <v>144.04557806683337</v>
      </c>
      <c r="W8" s="9">
        <f>T8/D4</f>
        <v>-144.23588350719368</v>
      </c>
    </row>
    <row r="9" spans="1:23">
      <c r="A9" s="98">
        <v>3</v>
      </c>
      <c r="B9" s="97">
        <f>C9*B4</f>
        <v>0.89187389372600567</v>
      </c>
      <c r="C9" s="97">
        <f>1/(1-D4*B4/(1-D4*B4))</f>
        <v>1.4495163402840392</v>
      </c>
      <c r="D9" s="93">
        <f>C9*D4*C8</f>
        <v>0.73057557245483062</v>
      </c>
      <c r="E9" s="1">
        <f>D9*(D4)</f>
        <v>0.28105923217079115</v>
      </c>
      <c r="F9" s="1">
        <f>E9*D4</f>
        <v>0.10812610627399354</v>
      </c>
      <c r="G9" s="1"/>
      <c r="H9" s="1"/>
      <c r="I9" s="1"/>
      <c r="J9" s="1"/>
      <c r="K9" s="1"/>
      <c r="L9" s="1"/>
      <c r="M9" s="235"/>
      <c r="N9" s="97">
        <f>B9+F9</f>
        <v>0.99999999999999922</v>
      </c>
      <c r="R9" s="267">
        <f>B9-F9</f>
        <v>0.78374778745201212</v>
      </c>
      <c r="S9" s="268">
        <f>IF(Rules!B20=Rules!D20,SUM(C9:E9)*B4*F4,SUM(C9:E9)*B4*F4*POWER(O2,A9-1))</f>
        <v>120.24045582668931</v>
      </c>
      <c r="T9" s="253">
        <f>IF(Rules!B20=Rules!D20,SUM(C9:E9)*D4*H4,SUM(C9:E9)*D4*H4*POWER(O2,A9-1))</f>
        <v>-75.279439087964775</v>
      </c>
      <c r="U9" s="264">
        <f t="shared" ref="U9:U16" si="0">S9+T9+U8</f>
        <v>96.370317081478845</v>
      </c>
      <c r="V9" s="93">
        <f>S9/B4</f>
        <v>195.42057090139639</v>
      </c>
      <c r="W9" s="9">
        <f>T9/D4</f>
        <v>-195.67875027975677</v>
      </c>
    </row>
    <row r="10" spans="1:23">
      <c r="A10" s="98">
        <v>4</v>
      </c>
      <c r="B10" s="97">
        <f>C10*B4</f>
        <v>0.93667545526663665</v>
      </c>
      <c r="C10" s="97">
        <f>1/(1-D4*B4/(1-D4*B4/(1-D4*B4)))</f>
        <v>1.5223299925057467</v>
      </c>
      <c r="D10" s="93">
        <f>C10*D4*C9</f>
        <v>0.84891582148957678</v>
      </c>
      <c r="E10" s="1">
        <f>D10*D4*C8</f>
        <v>0.4278648988042314</v>
      </c>
      <c r="F10" s="1">
        <f>E10*D4</f>
        <v>0.16460361455376415</v>
      </c>
      <c r="G10" s="1">
        <f>F10*D4</f>
        <v>6.3324544733362464E-2</v>
      </c>
      <c r="H10" s="1"/>
      <c r="I10" s="1"/>
      <c r="J10" s="1"/>
      <c r="K10" s="1"/>
      <c r="L10" s="1"/>
      <c r="M10" s="235"/>
      <c r="N10" s="97">
        <f>B10+G10</f>
        <v>0.99999999999999911</v>
      </c>
      <c r="R10" s="267">
        <f>B10-G10</f>
        <v>0.87335091053327418</v>
      </c>
      <c r="S10" s="268">
        <f>IF(Rules!B20=Rules!D20,SUM(C10:F10)*B4*F4,SUM(C10:F10)*B4*F4*POWER(O2,A10-1))</f>
        <v>144.79336728185115</v>
      </c>
      <c r="T10" s="253">
        <f>IF(Rules!B20=Rules!D20,SUM(C10:F10)*D4*H4,SUM(C10:F10)*D4*H4*POWER(O2,A10-1))</f>
        <v>-90.651381830640091</v>
      </c>
      <c r="U10" s="264">
        <f t="shared" si="0"/>
        <v>150.51230253268989</v>
      </c>
      <c r="V10" s="93">
        <f>S10/B4</f>
        <v>235.3251432923648</v>
      </c>
      <c r="W10" s="9">
        <f>T10/D4</f>
        <v>-235.63604249262576</v>
      </c>
    </row>
    <row r="11" spans="1:23">
      <c r="A11" s="98">
        <v>5</v>
      </c>
      <c r="B11" s="97">
        <f>C11*B4</f>
        <v>0.96191439386817768</v>
      </c>
      <c r="C11" s="97">
        <f>1/(1-D4*B4/(1-D4*B4/(1-D4*B4/(1-D4*B4))))</f>
        <v>1.5633495292045061</v>
      </c>
      <c r="D11" s="93">
        <f>C11*D4*C10</f>
        <v>0.91558274506924497</v>
      </c>
      <c r="E11" s="1">
        <f>D11*D4*C9</f>
        <v>0.51056780198673368</v>
      </c>
      <c r="F11" s="1">
        <f>E11*D4*C8</f>
        <v>0.25733298331798726</v>
      </c>
      <c r="G11" s="1">
        <f>F11*D4</f>
        <v>9.8998397195991933E-2</v>
      </c>
      <c r="H11" s="1">
        <f>G11*D4</f>
        <v>3.8085606131821222E-2</v>
      </c>
      <c r="I11" s="1"/>
      <c r="J11" s="1"/>
      <c r="K11" s="1"/>
      <c r="L11" s="1"/>
      <c r="M11" s="235"/>
      <c r="N11" s="97">
        <f>B11+H11</f>
        <v>0.99999999999999889</v>
      </c>
      <c r="R11" s="267">
        <f>B11-H11</f>
        <v>0.92382878773635646</v>
      </c>
      <c r="S11" s="268">
        <f>IF(Rules!B20=Rules!D20,SUM(C11:G11)*B4*F4,SUM(C11:G11)*B4*F4*POWER(O2,A11-1))</f>
        <v>163.46184195713201</v>
      </c>
      <c r="T11" s="253">
        <f>IF(Rules!B20=Rules!D20,SUM(C11:G11)*D4*H4,SUM(C11:G11)*D4*H4*POWER(O2,A11-1))</f>
        <v>-102.33923092037281</v>
      </c>
      <c r="U11" s="264">
        <f t="shared" si="0"/>
        <v>211.63491356944908</v>
      </c>
      <c r="V11" s="93">
        <f>S11/B4</f>
        <v>265.66604605940063</v>
      </c>
      <c r="W11" s="9">
        <f>T11/D4</f>
        <v>-266.01703006434286</v>
      </c>
    </row>
    <row r="12" spans="1:23">
      <c r="A12" s="98">
        <v>6</v>
      </c>
      <c r="B12" s="97">
        <f>C12*B4</f>
        <v>0.97674091507785243</v>
      </c>
      <c r="C12" s="97">
        <f>1/(1-D4*B4/(1-D4*B4/(1-D4*B4/(1-D4*B4/(1-D4*B4)))))</f>
        <v>1.5874463044483769</v>
      </c>
      <c r="D12" s="93">
        <f>C12*D4*C11</f>
        <v>0.9547459829550633</v>
      </c>
      <c r="E12" s="1">
        <f>D12*D4*C10</f>
        <v>0.55915131682844643</v>
      </c>
      <c r="F12" s="1">
        <f>E12*D4*C9</f>
        <v>0.31180650831236073</v>
      </c>
      <c r="G12" s="1">
        <f>F12*D4*C8</f>
        <v>0.15715463977508992</v>
      </c>
      <c r="H12" s="1">
        <f>G12*D4</f>
        <v>6.0458854706636027E-2</v>
      </c>
      <c r="I12" s="1">
        <f>H12*D4</f>
        <v>2.3259084922146289E-2</v>
      </c>
      <c r="J12" s="1"/>
      <c r="K12" s="1"/>
      <c r="L12" s="1"/>
      <c r="M12" s="235"/>
      <c r="N12" s="97">
        <f>B12+I12</f>
        <v>0.99999999999999867</v>
      </c>
      <c r="R12" s="267">
        <f>B12-I12</f>
        <v>0.9534818301557062</v>
      </c>
      <c r="S12" s="268">
        <f>IF(Rules!B20=Rules!D20,SUM(C12:H12)*B4*F4,SUM(C12:H12)*B4*F4*POWER(O2,A12-1))</f>
        <v>177.38230827907253</v>
      </c>
      <c r="T12" s="253">
        <f>IF(Rules!B20=Rules!D20,SUM(C12:H12)*D4*H4,SUM(C12:H12)*D4*H4*POWER(O2,A12-1))</f>
        <v>-111.05447479859819</v>
      </c>
      <c r="U12" s="264">
        <f t="shared" si="0"/>
        <v>277.96274704992345</v>
      </c>
      <c r="V12" s="93">
        <f>S12/B4</f>
        <v>288.2902573295932</v>
      </c>
      <c r="W12" s="9">
        <f>T12/D4</f>
        <v>-288.67113125234027</v>
      </c>
    </row>
    <row r="13" spans="1:23">
      <c r="A13" s="98">
        <v>7</v>
      </c>
      <c r="B13" s="97">
        <f>C13*B4</f>
        <v>0.98566576015624174</v>
      </c>
      <c r="C13" s="97">
        <f>1/(1-D4*B4/(1-D4*B4/(1-D4*B4/(1-D4*B4/(1-D4*B4/(1-D4*B4))))))</f>
        <v>1.6019513918454111</v>
      </c>
      <c r="D13" s="93">
        <f>C13*D4*C12</f>
        <v>0.97832034850960459</v>
      </c>
      <c r="E13" s="1">
        <f>D13*D4*C11</f>
        <v>0.58839623120815754</v>
      </c>
      <c r="F13" s="1">
        <f>E13*D4*C10</f>
        <v>0.34459692250144963</v>
      </c>
      <c r="G13" s="1">
        <f>F13*D4*C9</f>
        <v>0.19216187094007725</v>
      </c>
      <c r="H13" s="1">
        <f>G13*D4*C8</f>
        <v>9.6852146446675044E-2</v>
      </c>
      <c r="I13" s="1">
        <f>H13*D4</f>
        <v>3.7259923464082856E-2</v>
      </c>
      <c r="J13" s="1">
        <f>I13*D4</f>
        <v>1.4334239843756945E-2</v>
      </c>
      <c r="K13" s="1"/>
      <c r="L13" s="1"/>
      <c r="M13" s="235"/>
      <c r="N13" s="97">
        <f>B13+J13</f>
        <v>0.99999999999999867</v>
      </c>
      <c r="R13" s="267">
        <f>B13-J13</f>
        <v>0.97133152031248482</v>
      </c>
      <c r="S13" s="268">
        <f>IF(Rules!B20=Rules!D20,SUM(C13:I13)*B4*F4,SUM(C13:I13)*B4*F4*POWER(O2,A13-1))</f>
        <v>187.58209979479187</v>
      </c>
      <c r="T13" s="253">
        <f>IF(Rules!B20=Rules!D20,SUM(C13:I13)*D4*H4,SUM(C13:I13)*D4*H4*POWER(O2,A13-1))</f>
        <v>-117.44030042474409</v>
      </c>
      <c r="U13" s="264">
        <f t="shared" si="0"/>
        <v>348.10454641997126</v>
      </c>
      <c r="V13" s="93">
        <f>S13/B4</f>
        <v>304.86744898586983</v>
      </c>
      <c r="W13" s="9">
        <f>T13/D4</f>
        <v>-305.27022382220576</v>
      </c>
    </row>
    <row r="14" spans="1:23">
      <c r="A14" s="98">
        <v>8</v>
      </c>
      <c r="B14" s="97">
        <f>C14*B4</f>
        <v>0.99111715604701434</v>
      </c>
      <c r="C14" s="97">
        <f>1/(1-D4*B4/(1-D4*B4/(1-D4*B4/(1-D4*B4/(1-D4*B4/(1-D4*B4/(1-D4*B4)))))))</f>
        <v>1.6108112625924067</v>
      </c>
      <c r="D14" s="93">
        <f>C14*D4*C13</f>
        <v>0.99271983649878892</v>
      </c>
      <c r="E14" s="1">
        <f>D14*D4*C12</f>
        <v>0.60625935428483568</v>
      </c>
      <c r="F14" s="1">
        <f>E14*D4*C11</f>
        <v>0.36462567679321495</v>
      </c>
      <c r="G14" s="1">
        <f>F14*D4*C10</f>
        <v>0.21354468200782745</v>
      </c>
      <c r="H14" s="1">
        <f>G14*D4*C9</f>
        <v>0.11908157892430207</v>
      </c>
      <c r="I14" s="1">
        <f>H14*D4*C8</f>
        <v>6.001870435927574E-2</v>
      </c>
      <c r="J14" s="1">
        <f>I14*D4</f>
        <v>2.3089754981024505E-2</v>
      </c>
      <c r="K14" s="1">
        <f>J14*D4</f>
        <v>8.8828439529843161E-3</v>
      </c>
      <c r="L14" s="1"/>
      <c r="M14" s="235"/>
      <c r="N14" s="97">
        <f>B14+K14</f>
        <v>0.99999999999999867</v>
      </c>
      <c r="R14" s="267">
        <f>B14-K14</f>
        <v>0.98223431209403</v>
      </c>
      <c r="S14" s="268">
        <f>IF(Rules!B20=Rules!D20,SUM(C14:J14)*B4*F4,SUM(C14:J14)*B4*F4*POWER(O2,A14-1))</f>
        <v>194.94030590793719</v>
      </c>
      <c r="T14" s="253">
        <f>IF(Rules!B20=Rules!D20,SUM(C14:J14)*D4*H4,SUM(C14:J14)*D4*H4*POWER(O2,A14-1))</f>
        <v>-122.04708293469747</v>
      </c>
      <c r="U14" s="264">
        <f t="shared" si="0"/>
        <v>420.997769393211</v>
      </c>
      <c r="V14" s="93">
        <f>S14/B4</f>
        <v>316.82635940046117</v>
      </c>
      <c r="W14" s="9">
        <f>T14/D4</f>
        <v>-317.24493372014967</v>
      </c>
    </row>
    <row r="15" spans="1:23">
      <c r="A15" s="98">
        <v>9</v>
      </c>
      <c r="B15" s="97">
        <f>C15*B4</f>
        <v>0.99447669513604653</v>
      </c>
      <c r="C15" s="97">
        <f>1/(1-D4*B4/(1-D4*B4/(1-D4*B4/(1-D4*B4/(1-D4*B4/(1-D4*B4/(1-D4*B4/(1-D4*B4))))))))</f>
        <v>1.6162713470725465</v>
      </c>
      <c r="D15" s="93">
        <f>C15*D4*C14</f>
        <v>1.0015938283590387</v>
      </c>
      <c r="E15" s="1">
        <f>D15*D4*C13</f>
        <v>0.617267885206223</v>
      </c>
      <c r="F15" s="1">
        <f>E15*D4*C12</f>
        <v>0.37696882418078631</v>
      </c>
      <c r="G15" s="1">
        <f>F15*D4*C11</f>
        <v>0.22672229578874764</v>
      </c>
      <c r="H15" s="1">
        <f>G15*D4*C10</f>
        <v>0.13278094122194753</v>
      </c>
      <c r="I15" s="1">
        <f>H15*D4*C9</f>
        <v>7.4044288919285203E-2</v>
      </c>
      <c r="J15" s="1">
        <f>I15*D4*C8</f>
        <v>3.7319309386755525E-2</v>
      </c>
      <c r="K15" s="1">
        <f>J15*D4</f>
        <v>1.4357086161725189E-2</v>
      </c>
      <c r="L15" s="1">
        <f>K15*D4</f>
        <v>5.5233048639521231E-3</v>
      </c>
      <c r="M15" s="235"/>
      <c r="N15" s="97">
        <f>B15+L15</f>
        <v>0.99999999999999867</v>
      </c>
      <c r="R15" s="267">
        <f>B15-L15</f>
        <v>0.98895339027209439</v>
      </c>
      <c r="S15" s="268">
        <f>IF(Rules!B20=Rules!D20,SUM(C15:K15)*B4*F4,SUM(C15:K15)*B4*F4*POWER(O2,A15-1))</f>
        <v>200.17637829297112</v>
      </c>
      <c r="T15" s="253">
        <f>IF(Rules!B20=Rules!D20,SUM(C15:K15)*D4*H4,SUM(C15:K15)*D4*H4*POWER(O2,A15-1))</f>
        <v>-125.32525241151215</v>
      </c>
      <c r="U15" s="264">
        <f t="shared" si="0"/>
        <v>495.84889527466999</v>
      </c>
      <c r="V15" s="93">
        <f>S15/B4</f>
        <v>325.33627603150944</v>
      </c>
      <c r="W15" s="9">
        <f>T15/D4</f>
        <v>-325.76609320539478</v>
      </c>
    </row>
    <row r="16" spans="1:23" ht="17" thickBot="1">
      <c r="A16" s="99">
        <v>10</v>
      </c>
      <c r="B16" s="129">
        <f>C16*B4</f>
        <v>0.9965584493699714</v>
      </c>
      <c r="C16" s="129">
        <f>1/(1-D4*B4/(1-D4*B4/(1-D4*B4/(1-D4*B4/(1-D4*B4/(1-D4*B4/(1-D4*B4/(1-D4*B4/(1-D4*B4)))))))))</f>
        <v>1.619654714160379</v>
      </c>
      <c r="D16" s="94">
        <f>C16*D4*C15</f>
        <v>1.0070926392486632</v>
      </c>
      <c r="E16" s="109">
        <f>D16*D4*C14</f>
        <v>0.62408937328764091</v>
      </c>
      <c r="F16" s="109">
        <f>E16*D4*C13</f>
        <v>0.38461731364707125</v>
      </c>
      <c r="G16" s="109">
        <f>F16*D4*C12</f>
        <v>0.23488786628947961</v>
      </c>
      <c r="H16" s="109">
        <f>G16*D4*C11</f>
        <v>0.14126981565067448</v>
      </c>
      <c r="I16" s="109">
        <f>H16*D4*C10</f>
        <v>8.2735308510750075E-2</v>
      </c>
      <c r="J16" s="109">
        <f>I16*D4*C9</f>
        <v>4.6136719854668329E-2</v>
      </c>
      <c r="K16" s="109">
        <f>J16*D4*C8</f>
        <v>2.325352228344494E-2</v>
      </c>
      <c r="L16" s="109">
        <f>K16*D4</f>
        <v>8.9458467606450057E-3</v>
      </c>
      <c r="M16" s="237">
        <f>L16*D4</f>
        <v>3.4415506300272546E-3</v>
      </c>
      <c r="N16" s="129">
        <f>B16+M16</f>
        <v>0.99999999999999867</v>
      </c>
      <c r="R16" s="269">
        <f>B16-M16</f>
        <v>0.99311689873994413</v>
      </c>
      <c r="S16" s="270">
        <f>IF(Rules!B20=Rules!D20,SUM(C16:L16)*B4*F4,SUM(C16:L16)*B4*F4*POWER(O2,A16-1))</f>
        <v>203.85798790536487</v>
      </c>
      <c r="T16" s="254">
        <f>IF(Rules!B20=Rules!D20,SUM(C16:L16)*D4*H4,SUM(C16:L16)*D4*H4*POWER(O2,A16-1))</f>
        <v>-127.6302129562504</v>
      </c>
      <c r="U16" s="264">
        <f t="shared" si="0"/>
        <v>572.0766702237845</v>
      </c>
      <c r="V16" s="94">
        <f>S16/B4</f>
        <v>331.3198050138601</v>
      </c>
      <c r="W16" s="10">
        <f>T16/D4</f>
        <v>-331.75752731147907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0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>B21*$O$2</f>
        <v>3</v>
      </c>
      <c r="D21" s="57">
        <f>SUM($C$21:C21)</f>
        <v>3</v>
      </c>
      <c r="E21" s="57">
        <f t="shared" ref="E21:E30" si="1">D21/R7</f>
        <v>13.010592084313043</v>
      </c>
      <c r="F21" s="8">
        <f t="shared" ref="F21:F30" si="2">U7/E21</f>
        <v>1.4041088521497183</v>
      </c>
      <c r="G21" s="256">
        <f>E21*U7</f>
        <v>237.68123696644705</v>
      </c>
    </row>
    <row r="22" spans="1:7">
      <c r="A22" s="97">
        <v>2</v>
      </c>
      <c r="B22" s="93">
        <f>C21</f>
        <v>3</v>
      </c>
      <c r="C22" s="1">
        <f t="shared" ref="C22:C30" si="3">B22*$O$2</f>
        <v>9</v>
      </c>
      <c r="D22" s="9">
        <f>SUM($C$21:C22)</f>
        <v>12</v>
      </c>
      <c r="E22" s="9">
        <f t="shared" si="1"/>
        <v>19.601349693264769</v>
      </c>
      <c r="F22" s="9">
        <f t="shared" si="2"/>
        <v>2.6227428798139893</v>
      </c>
      <c r="G22" s="257">
        <f t="shared" ref="G22:G30" si="4">E22*U8</f>
        <v>1007.6916735044034</v>
      </c>
    </row>
    <row r="23" spans="1:7">
      <c r="A23" s="97">
        <v>3</v>
      </c>
      <c r="B23" s="93">
        <f t="shared" ref="B23:B30" si="5">C22</f>
        <v>9</v>
      </c>
      <c r="C23" s="1">
        <f t="shared" si="3"/>
        <v>27</v>
      </c>
      <c r="D23" s="9">
        <f>SUM($C$21:C23)</f>
        <v>39</v>
      </c>
      <c r="E23" s="9">
        <f t="shared" si="1"/>
        <v>49.760906026657103</v>
      </c>
      <c r="F23" s="9">
        <f t="shared" si="2"/>
        <v>1.9366672509912279</v>
      </c>
      <c r="G23" s="257">
        <f t="shared" si="4"/>
        <v>4795.4742920506169</v>
      </c>
    </row>
    <row r="24" spans="1:7">
      <c r="A24" s="97">
        <v>4</v>
      </c>
      <c r="B24" s="93">
        <f t="shared" si="5"/>
        <v>27</v>
      </c>
      <c r="C24" s="1">
        <f t="shared" si="3"/>
        <v>81</v>
      </c>
      <c r="D24" s="9">
        <f>SUM($C$21:C24)</f>
        <v>120</v>
      </c>
      <c r="E24" s="9">
        <f t="shared" si="1"/>
        <v>137.40181472614159</v>
      </c>
      <c r="F24" s="9">
        <f t="shared" si="2"/>
        <v>1.0954171371948696</v>
      </c>
      <c r="G24" s="257">
        <f t="shared" si="4"/>
        <v>20680.663506601628</v>
      </c>
    </row>
    <row r="25" spans="1:7">
      <c r="A25" s="97">
        <v>5</v>
      </c>
      <c r="B25" s="93">
        <f t="shared" si="5"/>
        <v>81</v>
      </c>
      <c r="C25" s="1">
        <f t="shared" si="3"/>
        <v>243</v>
      </c>
      <c r="D25" s="9">
        <f>SUM($C$21:C25)</f>
        <v>363</v>
      </c>
      <c r="E25" s="9">
        <f t="shared" si="1"/>
        <v>392.92995067782346</v>
      </c>
      <c r="F25" s="9">
        <f t="shared" si="2"/>
        <v>0.53860723318334092</v>
      </c>
      <c r="G25" s="257">
        <f t="shared" si="4"/>
        <v>83157.696150549062</v>
      </c>
    </row>
    <row r="26" spans="1:7">
      <c r="A26" s="97">
        <v>6</v>
      </c>
      <c r="B26" s="93">
        <f t="shared" si="5"/>
        <v>243</v>
      </c>
      <c r="C26" s="1">
        <f t="shared" si="3"/>
        <v>729</v>
      </c>
      <c r="D26" s="9">
        <f>SUM($C$21:C26)</f>
        <v>1092</v>
      </c>
      <c r="E26" s="9">
        <f t="shared" si="1"/>
        <v>1145.276150486972</v>
      </c>
      <c r="F26" s="9">
        <f t="shared" si="2"/>
        <v>0.24270368935189435</v>
      </c>
      <c r="G26" s="257">
        <f t="shared" si="4"/>
        <v>318344.10492012027</v>
      </c>
    </row>
    <row r="27" spans="1:7">
      <c r="A27" s="97">
        <v>7</v>
      </c>
      <c r="B27" s="93">
        <f t="shared" si="5"/>
        <v>729</v>
      </c>
      <c r="C27" s="1">
        <f t="shared" si="3"/>
        <v>2187</v>
      </c>
      <c r="D27" s="9">
        <f>SUM($C$21:C27)</f>
        <v>3279</v>
      </c>
      <c r="E27" s="9">
        <f t="shared" si="1"/>
        <v>3375.7784355079102</v>
      </c>
      <c r="F27" s="9">
        <f t="shared" si="2"/>
        <v>0.10311830384318348</v>
      </c>
      <c r="G27" s="257">
        <f t="shared" si="4"/>
        <v>1175123.8211068013</v>
      </c>
    </row>
    <row r="28" spans="1:7">
      <c r="A28" s="97">
        <v>8</v>
      </c>
      <c r="B28" s="93">
        <f t="shared" si="5"/>
        <v>2187</v>
      </c>
      <c r="C28" s="1">
        <f t="shared" si="3"/>
        <v>6561</v>
      </c>
      <c r="D28" s="9">
        <f>SUM($C$21:C28)</f>
        <v>9840</v>
      </c>
      <c r="E28" s="9">
        <f t="shared" si="1"/>
        <v>10017.976239317131</v>
      </c>
      <c r="F28" s="9">
        <f t="shared" si="2"/>
        <v>4.2024233172059111E-2</v>
      </c>
      <c r="G28" s="257">
        <f t="shared" si="4"/>
        <v>4217545.650586701</v>
      </c>
    </row>
    <row r="29" spans="1:7">
      <c r="A29" s="97">
        <v>9</v>
      </c>
      <c r="B29" s="93">
        <f t="shared" si="5"/>
        <v>6561</v>
      </c>
      <c r="C29" s="1">
        <f t="shared" si="3"/>
        <v>19683</v>
      </c>
      <c r="D29" s="9">
        <f>SUM($C$21:C29)</f>
        <v>29523</v>
      </c>
      <c r="E29" s="9">
        <f t="shared" si="1"/>
        <v>29852.771920704199</v>
      </c>
      <c r="F29" s="9">
        <f t="shared" si="2"/>
        <v>1.6609810860839264E-2</v>
      </c>
      <c r="G29" s="257">
        <f t="shared" si="4"/>
        <v>14802463.977767866</v>
      </c>
    </row>
    <row r="30" spans="1:7" ht="17" thickBot="1">
      <c r="A30" s="129">
        <v>10</v>
      </c>
      <c r="B30" s="94">
        <f t="shared" si="5"/>
        <v>19683</v>
      </c>
      <c r="C30" s="109">
        <f t="shared" si="3"/>
        <v>59049</v>
      </c>
      <c r="D30" s="10">
        <f>SUM($C$21:C30)</f>
        <v>88572</v>
      </c>
      <c r="E30" s="10">
        <f t="shared" si="1"/>
        <v>89185.875411423549</v>
      </c>
      <c r="F30" s="9">
        <f t="shared" si="2"/>
        <v>6.4144312940220237E-3</v>
      </c>
      <c r="G30" s="258">
        <f t="shared" si="4"/>
        <v>51021158.636360481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0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3</v>
      </c>
      <c r="D33" s="57">
        <f>SUM($C$33:C33)</f>
        <v>3</v>
      </c>
      <c r="E33" s="8">
        <f t="shared" ref="E33:E42" si="7">D33/R7</f>
        <v>13.010592084313043</v>
      </c>
      <c r="F33" s="8">
        <f t="shared" ref="F33:F42" si="8">U7/E33</f>
        <v>1.4041088521497183</v>
      </c>
      <c r="G33" s="259">
        <f>E33*U7</f>
        <v>237.68123696644705</v>
      </c>
    </row>
    <row r="34" spans="1:7">
      <c r="A34" s="97">
        <v>2</v>
      </c>
      <c r="B34" s="93">
        <f t="shared" ref="B34:B42" si="9">B33*($O$2+1)</f>
        <v>4</v>
      </c>
      <c r="C34" s="1">
        <f t="shared" si="6"/>
        <v>12</v>
      </c>
      <c r="D34" s="9">
        <f>SUM($C$33:C34)</f>
        <v>15</v>
      </c>
      <c r="E34" s="9">
        <f t="shared" si="7"/>
        <v>24.501687116580964</v>
      </c>
      <c r="F34" s="9">
        <f t="shared" si="8"/>
        <v>2.0981943038511912</v>
      </c>
      <c r="G34" s="257">
        <f t="shared" ref="G34:G42" si="10">E34*U8</f>
        <v>1259.6145918805043</v>
      </c>
    </row>
    <row r="35" spans="1:7">
      <c r="A35" s="97">
        <v>3</v>
      </c>
      <c r="B35" s="93">
        <f t="shared" si="9"/>
        <v>16</v>
      </c>
      <c r="C35" s="1">
        <f t="shared" si="6"/>
        <v>48</v>
      </c>
      <c r="D35" s="9">
        <f>SUM($C$33:C35)</f>
        <v>63</v>
      </c>
      <c r="E35" s="9">
        <f t="shared" si="7"/>
        <v>80.383002043061467</v>
      </c>
      <c r="F35" s="9">
        <f t="shared" si="8"/>
        <v>1.1988892506136175</v>
      </c>
      <c r="G35" s="257">
        <f t="shared" si="10"/>
        <v>7746.5353948509955</v>
      </c>
    </row>
    <row r="36" spans="1:7">
      <c r="A36" s="97">
        <v>4</v>
      </c>
      <c r="B36" s="93">
        <f t="shared" si="9"/>
        <v>64</v>
      </c>
      <c r="C36" s="1">
        <f t="shared" si="6"/>
        <v>192</v>
      </c>
      <c r="D36" s="9">
        <f>SUM($C$33:C36)</f>
        <v>255</v>
      </c>
      <c r="E36" s="9">
        <f t="shared" si="7"/>
        <v>291.97885629305085</v>
      </c>
      <c r="F36" s="9">
        <f t="shared" si="8"/>
        <v>0.51549041750346802</v>
      </c>
      <c r="G36" s="257">
        <f t="shared" si="10"/>
        <v>43946.409951528454</v>
      </c>
    </row>
    <row r="37" spans="1:7">
      <c r="A37" s="97">
        <v>5</v>
      </c>
      <c r="B37" s="93">
        <f t="shared" si="9"/>
        <v>256</v>
      </c>
      <c r="C37" s="1">
        <f t="shared" si="6"/>
        <v>768</v>
      </c>
      <c r="D37" s="9">
        <f>SUM($C$33:C37)</f>
        <v>1023</v>
      </c>
      <c r="E37" s="9">
        <f t="shared" si="7"/>
        <v>1107.3480428193207</v>
      </c>
      <c r="F37" s="9">
        <f t="shared" si="8"/>
        <v>0.19111869564570161</v>
      </c>
      <c r="G37" s="257">
        <f t="shared" si="10"/>
        <v>234353.50733336553</v>
      </c>
    </row>
    <row r="38" spans="1:7">
      <c r="A38" s="97">
        <v>6</v>
      </c>
      <c r="B38" s="93">
        <f t="shared" si="9"/>
        <v>1024</v>
      </c>
      <c r="C38" s="1">
        <f t="shared" si="6"/>
        <v>3072</v>
      </c>
      <c r="D38" s="9">
        <f>SUM($C$33:C38)</f>
        <v>4095</v>
      </c>
      <c r="E38" s="9">
        <f t="shared" si="7"/>
        <v>4294.7855643261446</v>
      </c>
      <c r="F38" s="9">
        <f t="shared" si="8"/>
        <v>6.4720983827171827E-2</v>
      </c>
      <c r="G38" s="257">
        <f t="shared" si="10"/>
        <v>1193790.3934504509</v>
      </c>
    </row>
    <row r="39" spans="1:7">
      <c r="A39" s="97">
        <v>7</v>
      </c>
      <c r="B39" s="93">
        <f t="shared" si="9"/>
        <v>4096</v>
      </c>
      <c r="C39" s="1">
        <f t="shared" si="6"/>
        <v>12288</v>
      </c>
      <c r="D39" s="9">
        <f>SUM($C$33:C39)</f>
        <v>16383</v>
      </c>
      <c r="E39" s="9">
        <f t="shared" si="7"/>
        <v>16866.538002112258</v>
      </c>
      <c r="F39" s="9">
        <f t="shared" si="8"/>
        <v>2.0638766910931979E-2</v>
      </c>
      <c r="G39" s="257">
        <f t="shared" si="10"/>
        <v>5871318.5609004963</v>
      </c>
    </row>
    <row r="40" spans="1:7">
      <c r="A40" s="97">
        <v>8</v>
      </c>
      <c r="B40" s="93">
        <f t="shared" si="9"/>
        <v>16384</v>
      </c>
      <c r="C40" s="1">
        <f t="shared" si="6"/>
        <v>49152</v>
      </c>
      <c r="D40" s="9">
        <f>SUM($C$33:C40)</f>
        <v>65535</v>
      </c>
      <c r="E40" s="9">
        <f t="shared" si="7"/>
        <v>66720.332606061813</v>
      </c>
      <c r="F40" s="9">
        <f t="shared" si="8"/>
        <v>6.3098871505769686E-3</v>
      </c>
      <c r="G40" s="257">
        <f t="shared" si="10"/>
        <v>28089111.200325146</v>
      </c>
    </row>
    <row r="41" spans="1:7">
      <c r="A41" s="97">
        <v>9</v>
      </c>
      <c r="B41" s="93">
        <f t="shared" si="9"/>
        <v>65536</v>
      </c>
      <c r="C41" s="1">
        <f t="shared" si="6"/>
        <v>196608</v>
      </c>
      <c r="D41" s="9">
        <f>SUM($C$33:C41)</f>
        <v>262143</v>
      </c>
      <c r="E41" s="9">
        <f t="shared" si="7"/>
        <v>265071.13740504556</v>
      </c>
      <c r="F41" s="9">
        <f t="shared" si="8"/>
        <v>1.8706257502376855E-3</v>
      </c>
      <c r="G41" s="257">
        <f t="shared" si="10"/>
        <v>131435230.65149209</v>
      </c>
    </row>
    <row r="42" spans="1:7" ht="17" thickBot="1">
      <c r="A42" s="129">
        <v>10</v>
      </c>
      <c r="B42" s="94">
        <f t="shared" si="9"/>
        <v>262144</v>
      </c>
      <c r="C42" s="109">
        <f t="shared" si="6"/>
        <v>786432</v>
      </c>
      <c r="D42" s="10">
        <f>SUM($C$33:C42)</f>
        <v>1048575</v>
      </c>
      <c r="E42" s="9">
        <f t="shared" si="7"/>
        <v>1055842.4706400833</v>
      </c>
      <c r="F42" s="9">
        <f t="shared" si="8"/>
        <v>5.4182009734555809E-4</v>
      </c>
      <c r="G42" s="258">
        <f t="shared" si="10"/>
        <v>604022844.88463283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0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3</v>
      </c>
      <c r="D45" s="57">
        <f>SUM(C45:C45)</f>
        <v>3</v>
      </c>
      <c r="E45" s="57">
        <f t="shared" ref="E45:E54" si="12">D45/R7</f>
        <v>13.010592084313043</v>
      </c>
      <c r="F45" s="8">
        <f t="shared" ref="F45:F54" si="13">U7/E45</f>
        <v>1.4041088521497183</v>
      </c>
      <c r="G45" s="256">
        <f>E45*U7</f>
        <v>237.68123696644705</v>
      </c>
    </row>
    <row r="46" spans="1:7">
      <c r="A46" s="97">
        <v>2</v>
      </c>
      <c r="B46" s="93">
        <f t="shared" ref="B46:B54" si="14">B45*$O$2*2</f>
        <v>6</v>
      </c>
      <c r="C46" s="1">
        <f t="shared" si="11"/>
        <v>18</v>
      </c>
      <c r="D46" s="9">
        <f>SUM($C$45:C46)</f>
        <v>21</v>
      </c>
      <c r="E46" s="9">
        <f t="shared" si="12"/>
        <v>34.30236196321335</v>
      </c>
      <c r="F46" s="9">
        <f t="shared" si="13"/>
        <v>1.4987102170365652</v>
      </c>
      <c r="G46" s="257">
        <f t="shared" ref="G46:G54" si="15">E46*U8</f>
        <v>1763.4604286327062</v>
      </c>
    </row>
    <row r="47" spans="1:7">
      <c r="A47" s="97">
        <v>3</v>
      </c>
      <c r="B47" s="93">
        <f t="shared" si="14"/>
        <v>36</v>
      </c>
      <c r="C47" s="1">
        <f t="shared" si="11"/>
        <v>108</v>
      </c>
      <c r="D47" s="9">
        <f>SUM($C$45:C47)</f>
        <v>129</v>
      </c>
      <c r="E47" s="9">
        <f t="shared" si="12"/>
        <v>164.59376608817348</v>
      </c>
      <c r="F47" s="9">
        <f t="shared" si="13"/>
        <v>0.58550405262525507</v>
      </c>
      <c r="G47" s="257">
        <f t="shared" si="15"/>
        <v>15861.953427552038</v>
      </c>
    </row>
    <row r="48" spans="1:7">
      <c r="A48" s="97">
        <v>4</v>
      </c>
      <c r="B48" s="93">
        <f t="shared" si="14"/>
        <v>216</v>
      </c>
      <c r="C48" s="1">
        <f t="shared" si="11"/>
        <v>648</v>
      </c>
      <c r="D48" s="9">
        <f>SUM($C$45:C48)</f>
        <v>777</v>
      </c>
      <c r="E48" s="9">
        <f t="shared" si="12"/>
        <v>889.67675035176683</v>
      </c>
      <c r="F48" s="9">
        <f t="shared" si="13"/>
        <v>0.16917639184476749</v>
      </c>
      <c r="G48" s="257">
        <f t="shared" si="15"/>
        <v>133907.29620524554</v>
      </c>
    </row>
    <row r="49" spans="1:7">
      <c r="A49" s="97">
        <v>5</v>
      </c>
      <c r="B49" s="93">
        <f t="shared" si="14"/>
        <v>1296</v>
      </c>
      <c r="C49" s="1">
        <f t="shared" si="11"/>
        <v>3888</v>
      </c>
      <c r="D49" s="9">
        <f>SUM($C$45:C49)</f>
        <v>4665</v>
      </c>
      <c r="E49" s="9">
        <f t="shared" si="12"/>
        <v>5049.6369694546738</v>
      </c>
      <c r="F49" s="9">
        <f t="shared" si="13"/>
        <v>4.1910916537095971E-2</v>
      </c>
      <c r="G49" s="257">
        <f t="shared" si="15"/>
        <v>1068679.4835876347</v>
      </c>
    </row>
    <row r="50" spans="1:7">
      <c r="A50" s="97">
        <v>6</v>
      </c>
      <c r="B50" s="93">
        <f t="shared" si="14"/>
        <v>7776</v>
      </c>
      <c r="C50" s="1">
        <f t="shared" si="11"/>
        <v>23328</v>
      </c>
      <c r="D50" s="9">
        <f>SUM($C$45:C50)</f>
        <v>27993</v>
      </c>
      <c r="E50" s="9">
        <f t="shared" si="12"/>
        <v>29358.713626906414</v>
      </c>
      <c r="F50" s="9">
        <f t="shared" si="13"/>
        <v>9.4678108374332392E-3</v>
      </c>
      <c r="G50" s="257">
        <f t="shared" si="15"/>
        <v>8160628.6895869281</v>
      </c>
    </row>
    <row r="51" spans="1:7">
      <c r="A51" s="97">
        <v>7</v>
      </c>
      <c r="B51" s="93">
        <f t="shared" si="14"/>
        <v>46656</v>
      </c>
      <c r="C51" s="1">
        <f t="shared" si="11"/>
        <v>139968</v>
      </c>
      <c r="D51" s="9">
        <f>SUM($C$45:C51)</f>
        <v>167961</v>
      </c>
      <c r="E51" s="9">
        <f t="shared" si="12"/>
        <v>172918.30491196833</v>
      </c>
      <c r="F51" s="9">
        <f t="shared" si="13"/>
        <v>2.0131156536445879E-3</v>
      </c>
      <c r="G51" s="257">
        <f t="shared" si="15"/>
        <v>60193648.099091023</v>
      </c>
    </row>
    <row r="52" spans="1:7">
      <c r="A52" s="97">
        <v>8</v>
      </c>
      <c r="B52" s="93">
        <f t="shared" si="14"/>
        <v>279936</v>
      </c>
      <c r="C52" s="1">
        <f t="shared" si="11"/>
        <v>839808</v>
      </c>
      <c r="D52" s="9">
        <f>SUM($C$45:C52)</f>
        <v>1007769</v>
      </c>
      <c r="E52" s="9">
        <f t="shared" si="12"/>
        <v>1025996.5342195514</v>
      </c>
      <c r="F52" s="9">
        <f t="shared" si="13"/>
        <v>4.1033059601263951E-4</v>
      </c>
      <c r="G52" s="257">
        <f t="shared" si="15"/>
        <v>431942252.31159639</v>
      </c>
    </row>
    <row r="53" spans="1:7">
      <c r="A53" s="97">
        <v>9</v>
      </c>
      <c r="B53" s="93">
        <f t="shared" si="14"/>
        <v>1679616</v>
      </c>
      <c r="C53" s="1">
        <f t="shared" si="11"/>
        <v>5038848</v>
      </c>
      <c r="D53" s="9">
        <f>SUM($C$45:C53)</f>
        <v>6046617</v>
      </c>
      <c r="E53" s="9">
        <f t="shared" si="12"/>
        <v>6114157.7140823314</v>
      </c>
      <c r="F53" s="9">
        <f t="shared" si="13"/>
        <v>8.1098479702709387E-5</v>
      </c>
      <c r="G53" s="257">
        <f t="shared" si="15"/>
        <v>3031698348.0628257</v>
      </c>
    </row>
    <row r="54" spans="1:7" ht="17" thickBot="1">
      <c r="A54" s="129">
        <v>10</v>
      </c>
      <c r="B54" s="94">
        <f t="shared" si="14"/>
        <v>10077696</v>
      </c>
      <c r="C54" s="109">
        <f t="shared" si="11"/>
        <v>30233088</v>
      </c>
      <c r="D54" s="10">
        <f>SUM($C$45:C54)</f>
        <v>36279705</v>
      </c>
      <c r="E54" s="10">
        <f t="shared" si="12"/>
        <v>36531152.622648247</v>
      </c>
      <c r="F54" s="9">
        <f t="shared" si="13"/>
        <v>1.5659967702993137E-5</v>
      </c>
      <c r="G54" s="258">
        <f t="shared" si="15"/>
        <v>20898620151.801483</v>
      </c>
    </row>
  </sheetData>
  <mergeCells count="1">
    <mergeCell ref="A18:F18"/>
  </mergeCells>
  <conditionalFormatting sqref="F45:F54">
    <cfRule type="cellIs" dxfId="569" priority="90" operator="equal">
      <formula>MAX($F$45:$F$54)</formula>
    </cfRule>
  </conditionalFormatting>
  <conditionalFormatting sqref="F21:F30">
    <cfRule type="cellIs" dxfId="568" priority="88" operator="equal">
      <formula>MAX($F$21:$F$30)</formula>
    </cfRule>
  </conditionalFormatting>
  <conditionalFormatting sqref="F33:F42">
    <cfRule type="cellIs" dxfId="567" priority="62" operator="lessThanOrEqual">
      <formula>0</formula>
    </cfRule>
    <cfRule type="cellIs" dxfId="566" priority="63" operator="equal">
      <formula>MAX($F$33:$F$42)</formula>
    </cfRule>
  </conditionalFormatting>
  <conditionalFormatting sqref="E21:E30">
    <cfRule type="cellIs" dxfId="565" priority="44" stopIfTrue="1" operator="lessThan">
      <formula>0</formula>
    </cfRule>
    <cfRule type="cellIs" dxfId="564" priority="45" operator="equal">
      <formula>MIN($E$21:$E$30)</formula>
    </cfRule>
  </conditionalFormatting>
  <conditionalFormatting sqref="E33:E42">
    <cfRule type="cellIs" dxfId="563" priority="42" stopIfTrue="1" operator="lessThan">
      <formula>0</formula>
    </cfRule>
    <cfRule type="cellIs" dxfId="562" priority="43" operator="equal">
      <formula>MIN($E$33:$E$42)</formula>
    </cfRule>
  </conditionalFormatting>
  <conditionalFormatting sqref="E45:E54">
    <cfRule type="cellIs" dxfId="561" priority="40" stopIfTrue="1" operator="lessThan">
      <formula>0</formula>
    </cfRule>
    <cfRule type="cellIs" dxfId="560" priority="41" operator="equal">
      <formula>MIN($E$45:$E$54)</formula>
    </cfRule>
  </conditionalFormatting>
  <conditionalFormatting sqref="R7:R16">
    <cfRule type="cellIs" dxfId="559" priority="30" operator="lessThanOrEqual">
      <formula>0</formula>
    </cfRule>
    <cfRule type="cellIs" dxfId="558" priority="31" operator="greaterThan">
      <formula>0</formula>
    </cfRule>
  </conditionalFormatting>
  <conditionalFormatting sqref="U7:U16">
    <cfRule type="cellIs" dxfId="557" priority="11" operator="lessThanOrEqual">
      <formula>0</formula>
    </cfRule>
    <cfRule type="cellIs" dxfId="556" priority="12" operator="greaterThan">
      <formula>0</formula>
    </cfRule>
  </conditionalFormatting>
  <conditionalFormatting sqref="S7:T16">
    <cfRule type="cellIs" dxfId="555" priority="1" operator="lessThanOrEqual">
      <formula>0</formula>
    </cfRule>
    <cfRule type="cellIs" dxfId="55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7" max="7" width="8.6640625" customWidth="1"/>
    <col min="14" max="14" width="5.6640625" bestFit="1" customWidth="1"/>
    <col min="21" max="21" width="8.6640625" customWidth="1"/>
  </cols>
  <sheetData>
    <row r="1" spans="1:23">
      <c r="C1" t="s">
        <v>94</v>
      </c>
      <c r="D1">
        <f>C2+E2</f>
        <v>0.99999999999999956</v>
      </c>
    </row>
    <row r="2" spans="1:23">
      <c r="A2" t="s">
        <v>39</v>
      </c>
      <c r="B2" s="133" t="s">
        <v>124</v>
      </c>
      <c r="C2" s="139">
        <f>Analysis!B11</f>
        <v>0.65078091183671594</v>
      </c>
      <c r="D2" s="133" t="s">
        <v>125</v>
      </c>
      <c r="E2" s="139">
        <f>Analysis!G11</f>
        <v>0.34921908816328356</v>
      </c>
      <c r="F2" s="133" t="s">
        <v>46</v>
      </c>
      <c r="G2" s="139">
        <f>Analysis!S11</f>
        <v>109.9432930640485</v>
      </c>
      <c r="H2" t="s">
        <v>153</v>
      </c>
      <c r="I2" s="153">
        <f>Analysis!T11</f>
        <v>-110.08854435938164</v>
      </c>
      <c r="J2" t="s">
        <v>47</v>
      </c>
      <c r="K2" s="153">
        <f>G2*C2+I2*E2</f>
        <v>33.103975432146321</v>
      </c>
      <c r="L2" t="s">
        <v>46</v>
      </c>
      <c r="M2" s="160">
        <v>1</v>
      </c>
      <c r="N2" t="s">
        <v>153</v>
      </c>
      <c r="O2" s="160">
        <v>4</v>
      </c>
    </row>
    <row r="4" spans="1:23">
      <c r="A4" t="s">
        <v>122</v>
      </c>
      <c r="B4">
        <f>$C$2</f>
        <v>0.65078091183671594</v>
      </c>
      <c r="C4" t="s">
        <v>123</v>
      </c>
      <c r="D4">
        <f>$E$2</f>
        <v>0.34921908816328356</v>
      </c>
      <c r="E4" t="s">
        <v>46</v>
      </c>
      <c r="F4">
        <f>G2</f>
        <v>109.9432930640485</v>
      </c>
      <c r="G4" t="s">
        <v>153</v>
      </c>
      <c r="H4">
        <f>I2</f>
        <v>-110.08854435938164</v>
      </c>
      <c r="I4" t="s">
        <v>47</v>
      </c>
      <c r="J4">
        <f>B4*F4+D4*H4</f>
        <v>33.103975432146321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164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0.65078091183671594</v>
      </c>
      <c r="C7" s="95">
        <v>1</v>
      </c>
      <c r="D7" s="107">
        <f>C7*D4</f>
        <v>0.34921908816328356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0.99999999999999956</v>
      </c>
      <c r="R7" s="265">
        <f>B7-D7</f>
        <v>0.30156182367343237</v>
      </c>
      <c r="S7" s="266">
        <f>IF(Rules!B20=Rules!D20,SUM(C7)*B4*F4,SUM(C7)*B4*F4*POWER(O2,A7-1))</f>
        <v>71.548996510552769</v>
      </c>
      <c r="T7" s="252">
        <f>IF(Rules!B20=Rules!D20,SUM(C7)*D4*H4,SUM(C7)*D4*H4*POWER(O2,A7-1))</f>
        <v>-38.445021078406448</v>
      </c>
      <c r="U7" s="263">
        <f>S7+T7</f>
        <v>33.103975432146321</v>
      </c>
      <c r="V7" s="282">
        <f>S7/B4</f>
        <v>109.9432930640485</v>
      </c>
      <c r="W7" s="57">
        <f>T7/D4</f>
        <v>-110.08854435938163</v>
      </c>
    </row>
    <row r="8" spans="1:23">
      <c r="A8" s="98">
        <v>2</v>
      </c>
      <c r="B8" s="97">
        <f>C8*B4</f>
        <v>0.84217876769706856</v>
      </c>
      <c r="C8" s="97">
        <f>1/(1-B4*D4)</f>
        <v>1.294104901325648</v>
      </c>
      <c r="D8" s="93">
        <f>C8*D4</f>
        <v>0.45192613362857886</v>
      </c>
      <c r="E8" s="1">
        <f>D8*D4</f>
        <v>0.15782123230293055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0.99999999999999911</v>
      </c>
      <c r="R8" s="267">
        <f>B8-E8</f>
        <v>0.68435753539413802</v>
      </c>
      <c r="S8" s="268">
        <f>IF(Rules!B20=Rules!D20,SUM(C8:D8)*B4*F4,SUM(C8:D8)*B4*F4*POWER(O2,A8-1))</f>
        <v>124.92676842725683</v>
      </c>
      <c r="T8" s="253">
        <f>IF(Rules!B20=Rules!D20,SUM(C8:D8)*D4*H4,SUM(C8:D8)*D4*H4*POWER(O2,A8-1))</f>
        <v>-67.126199942367094</v>
      </c>
      <c r="U8" s="264">
        <f>S8+T8+U7</f>
        <v>90.904543917036051</v>
      </c>
      <c r="V8" s="93">
        <f>S8/B4</f>
        <v>191.96440177489649</v>
      </c>
      <c r="W8" s="9">
        <f>T8/D4</f>
        <v>-192.21801504441547</v>
      </c>
    </row>
    <row r="9" spans="1:23">
      <c r="A9" s="98">
        <v>3</v>
      </c>
      <c r="B9" s="97">
        <f>C9*B4</f>
        <v>0.92192297844093452</v>
      </c>
      <c r="C9" s="97">
        <f>1/(1-D4*B4/(1-D4*B4))</f>
        <v>1.4166410871501551</v>
      </c>
      <c r="D9" s="93">
        <f>C9*D4*C8</f>
        <v>0.64021712925515628</v>
      </c>
      <c r="E9" s="1">
        <f>D9*(D4)</f>
        <v>0.22357604210500073</v>
      </c>
      <c r="F9" s="1">
        <f>E9*D4</f>
        <v>7.807702155906425E-2</v>
      </c>
      <c r="G9" s="1"/>
      <c r="H9" s="1"/>
      <c r="I9" s="1"/>
      <c r="J9" s="1"/>
      <c r="K9" s="1"/>
      <c r="L9" s="1"/>
      <c r="M9" s="235"/>
      <c r="N9" s="97">
        <f>B9+F9</f>
        <v>0.99999999999999878</v>
      </c>
      <c r="R9" s="267">
        <f>B9-F9</f>
        <v>0.84384595688187025</v>
      </c>
      <c r="S9" s="268">
        <f>IF(Rules!B20=Rules!D20,SUM(C9:E9)*B4*F4,SUM(C9:E9)*B4*F4*POWER(O2,A9-1))</f>
        <v>163.16278280469933</v>
      </c>
      <c r="T9" s="253">
        <f>IF(Rules!B20=Rules!D20,SUM(C9:E9)*D4*H4,SUM(C9:E9)*D4*H4*POWER(O2,A9-1))</f>
        <v>-87.671343136349137</v>
      </c>
      <c r="U9" s="264">
        <f t="shared" ref="U9:U16" si="0">S9+T9+U8</f>
        <v>166.39598358538626</v>
      </c>
      <c r="V9" s="93">
        <f>S9/B4</f>
        <v>250.71845199669542</v>
      </c>
      <c r="W9" s="9">
        <f>T9/D4</f>
        <v>-251.04968802666608</v>
      </c>
    </row>
    <row r="10" spans="1:23">
      <c r="A10" s="98">
        <v>4</v>
      </c>
      <c r="B10" s="97">
        <f>C10*B4</f>
        <v>0.95978746256154179</v>
      </c>
      <c r="C10" s="97">
        <f>1/(1-D4*B4/(1-D4*B4/(1-D4*B4)))</f>
        <v>1.4748242382412671</v>
      </c>
      <c r="D10" s="93">
        <f>C10*D4*C9</f>
        <v>0.72962225782123569</v>
      </c>
      <c r="E10" s="1">
        <f>D10*D4*C8</f>
        <v>0.32973536598650516</v>
      </c>
      <c r="F10" s="1">
        <f>E10*D4</f>
        <v>0.11514988384499392</v>
      </c>
      <c r="G10" s="1">
        <f>F10*D4</f>
        <v>4.0212537438456791E-2</v>
      </c>
      <c r="H10" s="1"/>
      <c r="I10" s="1"/>
      <c r="J10" s="1"/>
      <c r="K10" s="1"/>
      <c r="L10" s="1"/>
      <c r="M10" s="235"/>
      <c r="N10" s="97">
        <f>B10+G10</f>
        <v>0.99999999999999856</v>
      </c>
      <c r="R10" s="267">
        <f>B10-G10</f>
        <v>0.91957492512308503</v>
      </c>
      <c r="S10" s="268">
        <f>IF(Rules!B20=Rules!D20,SUM(C10:F10)*B4*F4,SUM(C10:F10)*B4*F4*POWER(O2,A10-1))</f>
        <v>189.55702784226659</v>
      </c>
      <c r="T10" s="253">
        <f>IF(Rules!B20=Rules!D20,SUM(C10:F10)*D4*H4,SUM(C10:F10)*D4*H4*POWER(O2,A10-1))</f>
        <v>-101.85361481458627</v>
      </c>
      <c r="U10" s="264">
        <f t="shared" si="0"/>
        <v>254.09939661306657</v>
      </c>
      <c r="V10" s="93">
        <f>S10/B4</f>
        <v>291.27625656271147</v>
      </c>
      <c r="W10" s="9">
        <f>T10/D4</f>
        <v>-291.66107543056984</v>
      </c>
    </row>
    <row r="11" spans="1:23">
      <c r="A11" s="98">
        <v>5</v>
      </c>
      <c r="B11" s="97">
        <f>C11*B4</f>
        <v>0.97887713466689319</v>
      </c>
      <c r="C11" s="97">
        <f>1/(1-D4*B4/(1-D4*B4/(1-D4*B4/(1-D4*B4))))</f>
        <v>1.5041577232254442</v>
      </c>
      <c r="D11" s="93">
        <f>C11*D4*C10</f>
        <v>0.77469654388378839</v>
      </c>
      <c r="E11" s="1">
        <f>D11*D4*C9</f>
        <v>0.38325640901375696</v>
      </c>
      <c r="F11" s="1">
        <f>E11*D4*C8</f>
        <v>0.17320358711396039</v>
      </c>
      <c r="G11" s="1">
        <f>F11*D4</f>
        <v>6.0485998758547099E-2</v>
      </c>
      <c r="H11" s="1">
        <f>G11*D4</f>
        <v>2.1122865333105319E-2</v>
      </c>
      <c r="I11" s="1"/>
      <c r="J11" s="1"/>
      <c r="K11" s="1"/>
      <c r="L11" s="1"/>
      <c r="M11" s="235"/>
      <c r="N11" s="97">
        <f>B11+H11</f>
        <v>0.99999999999999856</v>
      </c>
      <c r="R11" s="267">
        <f>B11-H11</f>
        <v>0.95775426933378782</v>
      </c>
      <c r="S11" s="268">
        <f>IF(Rules!B20=Rules!D20,SUM(C11:G11)*B4*F4,SUM(C11:G11)*B4*F4*POWER(O2,A11-1))</f>
        <v>207.19160284077361</v>
      </c>
      <c r="T11" s="253">
        <f>IF(Rules!B20=Rules!D20,SUM(C11:G11)*D4*H4,SUM(C11:G11)*D4*H4*POWER(O2,A11-1))</f>
        <v>-111.32910211127179</v>
      </c>
      <c r="U11" s="264">
        <f t="shared" si="0"/>
        <v>349.96189734256836</v>
      </c>
      <c r="V11" s="93">
        <f>S11/B4</f>
        <v>318.37381685951937</v>
      </c>
      <c r="W11" s="9">
        <f>T11/D4</f>
        <v>-318.79443559860022</v>
      </c>
    </row>
    <row r="12" spans="1:23">
      <c r="A12" s="98">
        <v>6</v>
      </c>
      <c r="B12" s="97">
        <f>C12*B4</f>
        <v>0.98879218322051232</v>
      </c>
      <c r="C12" s="97">
        <f>1/(1-D4*B4/(1-D4*B4/(1-D4*B4/(1-D4*B4/(1-D4*B4)))))</f>
        <v>1.5193933399641646</v>
      </c>
      <c r="D12" s="93">
        <f>C12*D4*C11</f>
        <v>0.79810782786831791</v>
      </c>
      <c r="E12" s="1">
        <f>D12*D4*C10</f>
        <v>0.41105488231004711</v>
      </c>
      <c r="F12" s="1">
        <f>E12*D4*C9</f>
        <v>0.20335629395211749</v>
      </c>
      <c r="G12" s="1">
        <f>F12*D4*C8</f>
        <v>9.1902023674817215E-2</v>
      </c>
      <c r="H12" s="1">
        <f>G12*D4</f>
        <v>3.2093940908080168E-2</v>
      </c>
      <c r="I12" s="1">
        <f>H12*D4</f>
        <v>1.1207816779486061E-2</v>
      </c>
      <c r="J12" s="1"/>
      <c r="K12" s="1"/>
      <c r="L12" s="1"/>
      <c r="M12" s="235"/>
      <c r="N12" s="97">
        <f>B12+I12</f>
        <v>0.99999999999999833</v>
      </c>
      <c r="R12" s="267">
        <f>B12-I12</f>
        <v>0.97758436644102631</v>
      </c>
      <c r="S12" s="268">
        <f>IF(Rules!B20=Rules!D20,SUM(C12:H12)*B4*F4,SUM(C12:H12)*B4*F4*POWER(O2,A12-1))</f>
        <v>218.64717291413888</v>
      </c>
      <c r="T12" s="253">
        <f>IF(Rules!B20=Rules!D20,SUM(C12:H12)*D4*H4,SUM(C12:H12)*D4*H4*POWER(O2,A12-1))</f>
        <v>-117.48445934078563</v>
      </c>
      <c r="U12" s="264">
        <f t="shared" si="0"/>
        <v>451.12461091592161</v>
      </c>
      <c r="V12" s="93">
        <f>S12/B4</f>
        <v>335.97662275779612</v>
      </c>
      <c r="W12" s="9">
        <f>T12/D4</f>
        <v>-336.42049739805088</v>
      </c>
    </row>
    <row r="13" spans="1:23">
      <c r="A13" s="98">
        <v>7</v>
      </c>
      <c r="B13" s="97">
        <f>C13*B4</f>
        <v>0.9940216678279028</v>
      </c>
      <c r="C13" s="97">
        <f>1/(1-D4*B4/(1-D4*B4/(1-D4*B4/(1-D4*B4/(1-D4*B4/(1-D4*B4))))))</f>
        <v>1.5274290467777389</v>
      </c>
      <c r="D13" s="93">
        <f>C13*D4*C12</f>
        <v>0.81045561906412122</v>
      </c>
      <c r="E13" s="1">
        <f>D13*D4*C11</f>
        <v>0.42571660458258581</v>
      </c>
      <c r="F13" s="1">
        <f>E13*D4*C10</f>
        <v>0.21925970737753525</v>
      </c>
      <c r="G13" s="1">
        <f>F13*D4*C9</f>
        <v>0.10847174774995123</v>
      </c>
      <c r="H13" s="1">
        <f>G13*D4*C8</f>
        <v>4.9021217568569961E-2</v>
      </c>
      <c r="I13" s="1">
        <f>H13*D4</f>
        <v>1.7119144899949937E-2</v>
      </c>
      <c r="J13" s="1">
        <f>I13*D4</f>
        <v>5.9783321720956436E-3</v>
      </c>
      <c r="K13" s="1"/>
      <c r="L13" s="1"/>
      <c r="M13" s="235"/>
      <c r="N13" s="97">
        <f>B13+J13</f>
        <v>0.99999999999999845</v>
      </c>
      <c r="R13" s="267">
        <f>B13-J13</f>
        <v>0.98804333565580715</v>
      </c>
      <c r="S13" s="268">
        <f>IF(Rules!B20=Rules!D20,SUM(C13:I13)*B4*F4,SUM(C13:I13)*B4*F4*POWER(O2,A13-1))</f>
        <v>225.91403095693963</v>
      </c>
      <c r="T13" s="253">
        <f>IF(Rules!B20=Rules!D20,SUM(C13:I13)*D4*H4,SUM(C13:I13)*D4*H4*POWER(O2,A13-1))</f>
        <v>-121.3891194234474</v>
      </c>
      <c r="U13" s="264">
        <f t="shared" si="0"/>
        <v>555.64952244941378</v>
      </c>
      <c r="V13" s="93">
        <f>S13/B4</f>
        <v>347.1429890580788</v>
      </c>
      <c r="W13" s="9">
        <f>T13/D4</f>
        <v>-347.6016161140933</v>
      </c>
    </row>
    <row r="14" spans="1:23">
      <c r="A14" s="98">
        <v>8</v>
      </c>
      <c r="B14" s="97">
        <f>C14*B4</f>
        <v>0.99680219339778453</v>
      </c>
      <c r="C14" s="97">
        <f>1/(1-D4*B4/(1-D4*B4/(1-D4*B4/(1-D4*B4/(1-D4*B4/(1-D4*B4/(1-D4*B4)))))))</f>
        <v>1.5317016453117589</v>
      </c>
      <c r="D14" s="93">
        <f>C14*D4*C13</f>
        <v>0.81702095995889568</v>
      </c>
      <c r="E14" s="1">
        <f>D14*D4*C12</f>
        <v>0.43351226643799862</v>
      </c>
      <c r="F14" s="1">
        <f>E14*D4*C11</f>
        <v>0.22771557846190296</v>
      </c>
      <c r="G14" s="1">
        <f>F14*D4*C10</f>
        <v>0.11728189730306184</v>
      </c>
      <c r="H14" s="1">
        <f>G14*D4*C9</f>
        <v>5.802147841959971E-2</v>
      </c>
      <c r="I14" s="1">
        <f>H14*D4*C8</f>
        <v>2.6221422409583722E-2</v>
      </c>
      <c r="J14" s="1">
        <f>I14*D4</f>
        <v>9.1570212242191168E-3</v>
      </c>
      <c r="K14" s="1">
        <f>J14*D4</f>
        <v>3.1978066022136345E-3</v>
      </c>
      <c r="L14" s="1"/>
      <c r="M14" s="235"/>
      <c r="N14" s="97">
        <f>B14+K14</f>
        <v>0.99999999999999811</v>
      </c>
      <c r="R14" s="267">
        <f>B14-K14</f>
        <v>0.99360438679557095</v>
      </c>
      <c r="S14" s="268">
        <f>IF(Rules!B20=Rules!D20,SUM(C14:J14)*B4*F4,SUM(C14:J14)*B4*F4*POWER(O2,A14-1))</f>
        <v>230.43300701416246</v>
      </c>
      <c r="T14" s="253">
        <f>IF(Rules!B20=Rules!D20,SUM(C14:J14)*D4*H4,SUM(C14:J14)*D4*H4*POWER(O2,A14-1))</f>
        <v>-123.81727548776232</v>
      </c>
      <c r="U14" s="264">
        <f t="shared" si="0"/>
        <v>662.26525397581395</v>
      </c>
      <c r="V14" s="93">
        <f>S14/B4</f>
        <v>354.08691746014091</v>
      </c>
      <c r="W14" s="9">
        <f>T14/D4</f>
        <v>-354.55471846908137</v>
      </c>
    </row>
    <row r="15" spans="1:23">
      <c r="A15" s="98">
        <v>9</v>
      </c>
      <c r="B15" s="97">
        <f>C15*B4</f>
        <v>0.99828694717493394</v>
      </c>
      <c r="C15" s="97">
        <f>1/(1-D4*B4/(1-D4*B4/(1-D4*B4/(1-D4*B4/(1-D4*B4/(1-D4*B4/(1-D4*B4/(1-D4*B4))))))))</f>
        <v>1.5339831408967461</v>
      </c>
      <c r="D15" s="93">
        <f>C15*D4*C14</f>
        <v>0.82052674131094527</v>
      </c>
      <c r="E15" s="1">
        <f>D15*D4*C13</f>
        <v>0.43767501844092088</v>
      </c>
      <c r="F15" s="1">
        <f>E15*D4*C12</f>
        <v>0.23223087106255161</v>
      </c>
      <c r="G15" s="1">
        <f>F15*D4*C11</f>
        <v>0.12198636863320189</v>
      </c>
      <c r="H15" s="1">
        <f>G15*D4*C10</f>
        <v>6.2827465977722596E-2</v>
      </c>
      <c r="I15" s="1">
        <f>H15*D4*C9</f>
        <v>3.1081885143491781E-2</v>
      </c>
      <c r="J15" s="1">
        <f>I15*D4*C8</f>
        <v>1.4046716178785808E-2</v>
      </c>
      <c r="K15" s="1">
        <f>J15*D4</f>
        <v>4.905381415644023E-3</v>
      </c>
      <c r="L15" s="1">
        <f>K15*D4</f>
        <v>1.7130528250643227E-3</v>
      </c>
      <c r="M15" s="235"/>
      <c r="N15" s="97">
        <f>B15+L15</f>
        <v>0.99999999999999822</v>
      </c>
      <c r="R15" s="267">
        <f>B15-L15</f>
        <v>0.99657389434986965</v>
      </c>
      <c r="S15" s="268">
        <f>IF(Rules!B20=Rules!D20,SUM(C15:K15)*B4*F4,SUM(C15:K15)*B4*F4*POWER(O2,A15-1))</f>
        <v>233.19703916062633</v>
      </c>
      <c r="T15" s="253">
        <f>IF(Rules!B20=Rules!D20,SUM(C15:K15)*D4*H4,SUM(C15:K15)*D4*H4*POWER(O2,A15-1))</f>
        <v>-125.30245738149475</v>
      </c>
      <c r="U15" s="264">
        <f t="shared" si="0"/>
        <v>770.15983575494556</v>
      </c>
      <c r="V15" s="93">
        <f>S15/B4</f>
        <v>358.3341719450072</v>
      </c>
      <c r="W15" s="9">
        <f>T15/D4</f>
        <v>-358.80758420315033</v>
      </c>
    </row>
    <row r="16" spans="1:23" ht="17" thickBot="1">
      <c r="A16" s="99">
        <v>10</v>
      </c>
      <c r="B16" s="129">
        <f>C16*B4</f>
        <v>0.99908159364272231</v>
      </c>
      <c r="C16" s="129">
        <f>1/(1-D4*B4/(1-D4*B4/(1-D4*B4/(1-D4*B4/(1-D4*B4/(1-D4*B4/(1-D4*B4/(1-D4*B4/(1-D4*B4)))))))))</f>
        <v>1.5352042069319278</v>
      </c>
      <c r="D16" s="94">
        <f>C16*D4*C15</f>
        <v>0.82240305023914595</v>
      </c>
      <c r="E16" s="109">
        <f>D16*D4*C14</f>
        <v>0.43990294082529929</v>
      </c>
      <c r="F16" s="109">
        <f>E16*D4*C13</f>
        <v>0.23464747465794744</v>
      </c>
      <c r="G16" s="109">
        <f>F16*D4*C12</f>
        <v>0.12450422148048355</v>
      </c>
      <c r="H16" s="109">
        <f>G16*D4*C11</f>
        <v>6.5399650737292495E-2</v>
      </c>
      <c r="I16" s="109">
        <f>H16*D4*C10</f>
        <v>3.368322524631525E-2</v>
      </c>
      <c r="J16" s="109">
        <f>I16*D4*C9</f>
        <v>1.6663701489083728E-2</v>
      </c>
      <c r="K16" s="109">
        <f>J16*D4*C8</f>
        <v>7.5307621859024019E-3</v>
      </c>
      <c r="L16" s="109">
        <f>K16*D4</f>
        <v>2.6298859037353728E-3</v>
      </c>
      <c r="M16" s="237">
        <f>L16*D4</f>
        <v>9.1840635727593982E-4</v>
      </c>
      <c r="N16" s="129">
        <f>B16+M16</f>
        <v>0.99999999999999822</v>
      </c>
      <c r="R16" s="269">
        <f>B16-M16</f>
        <v>0.9981631872854464</v>
      </c>
      <c r="S16" s="270">
        <f>IF(Rules!B20=Rules!D20,SUM(C16:L16)*B4*F4,SUM(C16:L16)*B4*F4*POWER(O2,A16-1))</f>
        <v>234.86452649085851</v>
      </c>
      <c r="T16" s="254">
        <f>IF(Rules!B20=Rules!D20,SUM(C16:L16)*D4*H4,SUM(C16:L16)*D4*H4*POWER(O2,A16-1))</f>
        <v>-126.19843899808242</v>
      </c>
      <c r="U16" s="264">
        <f t="shared" si="0"/>
        <v>878.82592324772168</v>
      </c>
      <c r="V16" s="94">
        <f>S16/B4</f>
        <v>360.89645872985767</v>
      </c>
      <c r="W16" s="10">
        <f>T16/D4</f>
        <v>-361.37325614651428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0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4</v>
      </c>
      <c r="D21" s="57">
        <f>SUM($C$21:C21)</f>
        <v>4</v>
      </c>
      <c r="E21" s="57">
        <f t="shared" ref="E21:E30" si="2">D21/R7</f>
        <v>13.264278453003666</v>
      </c>
      <c r="F21" s="234">
        <f t="shared" ref="F21:F30" si="3">U7/E21</f>
        <v>2.4957238005396367</v>
      </c>
      <c r="G21" s="256">
        <f>E21*U7</f>
        <v>439.10034803338118</v>
      </c>
    </row>
    <row r="22" spans="1:7">
      <c r="A22" s="97">
        <v>2</v>
      </c>
      <c r="B22" s="93">
        <f>C21</f>
        <v>4</v>
      </c>
      <c r="C22" s="1">
        <f t="shared" si="1"/>
        <v>16</v>
      </c>
      <c r="D22" s="9">
        <f>SUM($C$21:C22)</f>
        <v>20</v>
      </c>
      <c r="E22" s="9">
        <f t="shared" si="2"/>
        <v>29.224490073717853</v>
      </c>
      <c r="F22" s="235">
        <f t="shared" si="3"/>
        <v>3.1105604815595487</v>
      </c>
      <c r="G22" s="257">
        <f t="shared" ref="G22:G30" si="4">E22*U8</f>
        <v>2656.6389413592688</v>
      </c>
    </row>
    <row r="23" spans="1:7">
      <c r="A23" s="97">
        <v>3</v>
      </c>
      <c r="B23" s="93">
        <f t="shared" ref="B23:B30" si="5">C22</f>
        <v>16</v>
      </c>
      <c r="C23" s="1">
        <f t="shared" si="1"/>
        <v>64</v>
      </c>
      <c r="D23" s="9">
        <f>SUM($C$21:C23)</f>
        <v>84</v>
      </c>
      <c r="E23" s="9">
        <f t="shared" si="2"/>
        <v>99.544234720744342</v>
      </c>
      <c r="F23" s="235">
        <f t="shared" si="3"/>
        <v>1.6715783094036933</v>
      </c>
      <c r="G23" s="257">
        <f t="shared" si="4"/>
        <v>16563.760846612811</v>
      </c>
    </row>
    <row r="24" spans="1:7">
      <c r="A24" s="97">
        <v>4</v>
      </c>
      <c r="B24" s="93">
        <f t="shared" si="5"/>
        <v>64</v>
      </c>
      <c r="C24" s="1">
        <f t="shared" si="1"/>
        <v>256</v>
      </c>
      <c r="D24" s="9">
        <f>SUM($C$21:C24)</f>
        <v>340</v>
      </c>
      <c r="E24" s="9">
        <f t="shared" si="2"/>
        <v>369.7360494627352</v>
      </c>
      <c r="F24" s="235">
        <f t="shared" si="3"/>
        <v>0.68724539298318177</v>
      </c>
      <c r="G24" s="257">
        <f t="shared" si="4"/>
        <v>93949.707074579957</v>
      </c>
    </row>
    <row r="25" spans="1:7">
      <c r="A25" s="97">
        <v>5</v>
      </c>
      <c r="B25" s="93">
        <f t="shared" si="5"/>
        <v>256</v>
      </c>
      <c r="C25" s="1">
        <f t="shared" si="1"/>
        <v>1024</v>
      </c>
      <c r="D25" s="9">
        <f>SUM($C$21:C25)</f>
        <v>1364</v>
      </c>
      <c r="E25" s="9">
        <f t="shared" si="2"/>
        <v>1424.1648862069767</v>
      </c>
      <c r="F25" s="235">
        <f t="shared" si="3"/>
        <v>0.24573130592668446</v>
      </c>
      <c r="G25" s="257">
        <f t="shared" si="4"/>
        <v>498403.44570565654</v>
      </c>
    </row>
    <row r="26" spans="1:7">
      <c r="A26" s="97">
        <v>6</v>
      </c>
      <c r="B26" s="93">
        <f t="shared" si="5"/>
        <v>1024</v>
      </c>
      <c r="C26" s="1">
        <f t="shared" si="1"/>
        <v>4096</v>
      </c>
      <c r="D26" s="9">
        <f>SUM($C$21:C26)</f>
        <v>5460</v>
      </c>
      <c r="E26" s="9">
        <f t="shared" si="2"/>
        <v>5585.1957001701703</v>
      </c>
      <c r="F26" s="235">
        <f t="shared" si="3"/>
        <v>8.0771495778057825E-2</v>
      </c>
      <c r="G26" s="257">
        <f t="shared" si="4"/>
        <v>2519619.2371285465</v>
      </c>
    </row>
    <row r="27" spans="1:7">
      <c r="A27" s="97">
        <v>7</v>
      </c>
      <c r="B27" s="93">
        <f t="shared" si="5"/>
        <v>4096</v>
      </c>
      <c r="C27" s="1">
        <f t="shared" si="1"/>
        <v>16384</v>
      </c>
      <c r="D27" s="9">
        <f>SUM($C$21:C27)</f>
        <v>21844</v>
      </c>
      <c r="E27" s="9">
        <f t="shared" si="2"/>
        <v>22108.342024797112</v>
      </c>
      <c r="F27" s="235">
        <f t="shared" si="3"/>
        <v>2.513302543565625E-2</v>
      </c>
      <c r="G27" s="257">
        <f t="shared" si="4"/>
        <v>12284489.688226821</v>
      </c>
    </row>
    <row r="28" spans="1:7">
      <c r="A28" s="97">
        <v>8</v>
      </c>
      <c r="B28" s="93">
        <f t="shared" si="5"/>
        <v>16384</v>
      </c>
      <c r="C28" s="1">
        <f t="shared" si="1"/>
        <v>65536</v>
      </c>
      <c r="D28" s="9">
        <f>SUM($C$21:C28)</f>
        <v>87380</v>
      </c>
      <c r="E28" s="9">
        <f t="shared" si="2"/>
        <v>87942.445868023322</v>
      </c>
      <c r="F28" s="235">
        <f t="shared" si="3"/>
        <v>7.5306667609596201E-3</v>
      </c>
      <c r="G28" s="257">
        <f t="shared" si="4"/>
        <v>58241226.248040736</v>
      </c>
    </row>
    <row r="29" spans="1:7">
      <c r="A29" s="97">
        <v>9</v>
      </c>
      <c r="B29" s="93">
        <f t="shared" si="5"/>
        <v>65536</v>
      </c>
      <c r="C29" s="1">
        <f t="shared" si="1"/>
        <v>262144</v>
      </c>
      <c r="D29" s="9">
        <f>SUM($C$21:C29)</f>
        <v>349524</v>
      </c>
      <c r="E29" s="9">
        <f t="shared" si="2"/>
        <v>350725.6230387385</v>
      </c>
      <c r="F29" s="235">
        <f t="shared" si="3"/>
        <v>2.1959041061276538E-3</v>
      </c>
      <c r="G29" s="257">
        <f t="shared" si="4"/>
        <v>270114788.23456579</v>
      </c>
    </row>
    <row r="30" spans="1:7" ht="17" thickBot="1">
      <c r="A30" s="129">
        <v>10</v>
      </c>
      <c r="B30" s="94">
        <f t="shared" si="5"/>
        <v>262144</v>
      </c>
      <c r="C30" s="109">
        <f t="shared" si="1"/>
        <v>1048576</v>
      </c>
      <c r="D30" s="10">
        <f>SUM($C$21:C30)</f>
        <v>1398100</v>
      </c>
      <c r="E30" s="10">
        <f t="shared" si="2"/>
        <v>1400672.7735594029</v>
      </c>
      <c r="F30" s="235">
        <f t="shared" si="3"/>
        <v>6.2743128861885485E-4</v>
      </c>
      <c r="G30" s="258">
        <f t="shared" si="4"/>
        <v>1230947543.3912892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0" t="s">
        <v>148</v>
      </c>
      <c r="F32" s="151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4</v>
      </c>
      <c r="D33" s="57">
        <f>SUM($C$33:C33)</f>
        <v>4</v>
      </c>
      <c r="E33" s="8">
        <f t="shared" ref="E33:E42" si="7">D33/R7</f>
        <v>13.264278453003666</v>
      </c>
      <c r="F33" s="234">
        <f t="shared" ref="F33:F42" si="8">U7/E33</f>
        <v>2.4957238005396367</v>
      </c>
      <c r="G33" s="259">
        <f>E33*U7</f>
        <v>439.10034803338118</v>
      </c>
    </row>
    <row r="34" spans="1:7">
      <c r="A34" s="97">
        <v>2</v>
      </c>
      <c r="B34" s="93">
        <f t="shared" ref="B34:B42" si="9">B33*($O$2+1)</f>
        <v>5</v>
      </c>
      <c r="C34" s="1">
        <f t="shared" si="6"/>
        <v>20</v>
      </c>
      <c r="D34" s="9">
        <f>SUM($C$33:C34)</f>
        <v>24</v>
      </c>
      <c r="E34" s="9">
        <f t="shared" si="7"/>
        <v>35.069388088461423</v>
      </c>
      <c r="F34" s="235">
        <f t="shared" si="8"/>
        <v>2.5921337346329572</v>
      </c>
      <c r="G34" s="257">
        <f t="shared" ref="G34:G42" si="10">E34*U8</f>
        <v>3187.9667296311222</v>
      </c>
    </row>
    <row r="35" spans="1:7">
      <c r="A35" s="97">
        <v>3</v>
      </c>
      <c r="B35" s="93">
        <f t="shared" si="9"/>
        <v>25</v>
      </c>
      <c r="C35" s="1">
        <f t="shared" si="6"/>
        <v>100</v>
      </c>
      <c r="D35" s="9">
        <f>SUM($C$33:C35)</f>
        <v>124</v>
      </c>
      <c r="E35" s="9">
        <f t="shared" si="7"/>
        <v>146.94625125443213</v>
      </c>
      <c r="F35" s="235">
        <f t="shared" si="8"/>
        <v>1.1323594999186311</v>
      </c>
      <c r="G35" s="257">
        <f t="shared" si="10"/>
        <v>24451.266011666532</v>
      </c>
    </row>
    <row r="36" spans="1:7">
      <c r="A36" s="97">
        <v>4</v>
      </c>
      <c r="B36" s="93">
        <f t="shared" si="9"/>
        <v>125</v>
      </c>
      <c r="C36" s="1">
        <f t="shared" si="6"/>
        <v>500</v>
      </c>
      <c r="D36" s="9">
        <f>SUM($C$33:C36)</f>
        <v>624</v>
      </c>
      <c r="E36" s="9">
        <f t="shared" si="7"/>
        <v>678.57439666101993</v>
      </c>
      <c r="F36" s="235">
        <f t="shared" si="8"/>
        <v>0.37446063079211822</v>
      </c>
      <c r="G36" s="257">
        <f t="shared" si="10"/>
        <v>172425.34474864087</v>
      </c>
    </row>
    <row r="37" spans="1:7">
      <c r="A37" s="97">
        <v>5</v>
      </c>
      <c r="B37" s="93">
        <f t="shared" si="9"/>
        <v>625</v>
      </c>
      <c r="C37" s="1">
        <f t="shared" si="6"/>
        <v>2500</v>
      </c>
      <c r="D37" s="9">
        <f>SUM($C$33:C37)</f>
        <v>3124</v>
      </c>
      <c r="E37" s="9">
        <f t="shared" si="7"/>
        <v>3261.7969974417852</v>
      </c>
      <c r="F37" s="235">
        <f t="shared" si="8"/>
        <v>0.1072911335736228</v>
      </c>
      <c r="G37" s="257">
        <f t="shared" si="10"/>
        <v>1141504.6659710198</v>
      </c>
    </row>
    <row r="38" spans="1:7">
      <c r="A38" s="97">
        <v>6</v>
      </c>
      <c r="B38" s="93">
        <f t="shared" si="9"/>
        <v>3125</v>
      </c>
      <c r="C38" s="1">
        <f t="shared" si="6"/>
        <v>12500</v>
      </c>
      <c r="D38" s="9">
        <f>SUM($C$33:C38)</f>
        <v>15624</v>
      </c>
      <c r="E38" s="9">
        <f t="shared" si="7"/>
        <v>15982.252311256179</v>
      </c>
      <c r="F38" s="235">
        <f t="shared" si="8"/>
        <v>2.822659798695569E-2</v>
      </c>
      <c r="G38" s="257">
        <f t="shared" si="10"/>
        <v>7209987.3554755328</v>
      </c>
    </row>
    <row r="39" spans="1:7">
      <c r="A39" s="97">
        <v>7</v>
      </c>
      <c r="B39" s="93">
        <f t="shared" si="9"/>
        <v>15625</v>
      </c>
      <c r="C39" s="1">
        <f t="shared" si="6"/>
        <v>62500</v>
      </c>
      <c r="D39" s="9">
        <f>SUM($C$33:C39)</f>
        <v>78124</v>
      </c>
      <c r="E39" s="9">
        <f t="shared" si="7"/>
        <v>79069.40635164117</v>
      </c>
      <c r="F39" s="235">
        <f t="shared" si="8"/>
        <v>7.0273642877537639E-3</v>
      </c>
      <c r="G39" s="257">
        <f t="shared" si="10"/>
        <v>43934877.87964806</v>
      </c>
    </row>
    <row r="40" spans="1:7">
      <c r="A40" s="97">
        <v>8</v>
      </c>
      <c r="B40" s="93">
        <f t="shared" si="9"/>
        <v>78125</v>
      </c>
      <c r="C40" s="1">
        <f t="shared" si="6"/>
        <v>312500</v>
      </c>
      <c r="D40" s="9">
        <f>SUM($C$33:C40)</f>
        <v>390624</v>
      </c>
      <c r="E40" s="9">
        <f t="shared" si="7"/>
        <v>393138.36089208903</v>
      </c>
      <c r="F40" s="235">
        <f t="shared" si="8"/>
        <v>1.6845602461002184E-3</v>
      </c>
      <c r="G40" s="257">
        <f t="shared" si="10"/>
        <v>260361876.42383453</v>
      </c>
    </row>
    <row r="41" spans="1:7">
      <c r="A41" s="97">
        <v>9</v>
      </c>
      <c r="B41" s="93">
        <f t="shared" si="9"/>
        <v>390625</v>
      </c>
      <c r="C41" s="1">
        <f t="shared" si="6"/>
        <v>1562500</v>
      </c>
      <c r="D41" s="9">
        <f>SUM($C$33:C41)</f>
        <v>1953124</v>
      </c>
      <c r="E41" s="9">
        <f t="shared" si="7"/>
        <v>1959838.6141492806</v>
      </c>
      <c r="F41" s="235">
        <f t="shared" si="8"/>
        <v>3.9297104883773999E-4</v>
      </c>
      <c r="G41" s="257">
        <f t="shared" si="10"/>
        <v>1509388985.17941</v>
      </c>
    </row>
    <row r="42" spans="1:7" ht="17" thickBot="1">
      <c r="A42" s="129">
        <v>10</v>
      </c>
      <c r="B42" s="94">
        <f t="shared" si="9"/>
        <v>1953125</v>
      </c>
      <c r="C42" s="109">
        <f t="shared" si="6"/>
        <v>7812500</v>
      </c>
      <c r="D42" s="10">
        <f>SUM($C$33:C42)</f>
        <v>9765624</v>
      </c>
      <c r="E42" s="9">
        <f t="shared" si="7"/>
        <v>9783594.6310122814</v>
      </c>
      <c r="F42" s="235">
        <f t="shared" si="8"/>
        <v>8.9826485703117486E-5</v>
      </c>
      <c r="G42" s="258">
        <f t="shared" si="10"/>
        <v>8598076584.2808208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0" t="s">
        <v>148</v>
      </c>
      <c r="F44" s="261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4</v>
      </c>
      <c r="D45" s="57">
        <f>SUM(C45:C45)</f>
        <v>4</v>
      </c>
      <c r="E45" s="57">
        <f t="shared" ref="E45:E54" si="12">D45/R7</f>
        <v>13.264278453003666</v>
      </c>
      <c r="F45" s="262">
        <f t="shared" ref="F45:F54" si="13">U7/E45</f>
        <v>2.4957238005396367</v>
      </c>
      <c r="G45" s="256">
        <f>E45*U7</f>
        <v>439.10034803338118</v>
      </c>
    </row>
    <row r="46" spans="1:7">
      <c r="A46" s="97">
        <v>2</v>
      </c>
      <c r="B46" s="93">
        <f t="shared" ref="B46:B54" si="14">B45*$O$2*2</f>
        <v>8</v>
      </c>
      <c r="C46" s="1">
        <f t="shared" si="11"/>
        <v>32</v>
      </c>
      <c r="D46" s="9">
        <f>SUM($C$45:C46)</f>
        <v>36</v>
      </c>
      <c r="E46" s="9">
        <f t="shared" si="12"/>
        <v>52.604082132692135</v>
      </c>
      <c r="F46" s="98">
        <f t="shared" si="13"/>
        <v>1.7280891564219714</v>
      </c>
      <c r="G46" s="257">
        <f t="shared" ref="G46:G54" si="15">E46*U8</f>
        <v>4781.9500944466836</v>
      </c>
    </row>
    <row r="47" spans="1:7">
      <c r="A47" s="97">
        <v>3</v>
      </c>
      <c r="B47" s="93">
        <f t="shared" si="14"/>
        <v>64</v>
      </c>
      <c r="C47" s="1">
        <f t="shared" si="11"/>
        <v>256</v>
      </c>
      <c r="D47" s="9">
        <f>SUM($C$45:C47)</f>
        <v>292</v>
      </c>
      <c r="E47" s="9">
        <f t="shared" si="12"/>
        <v>346.03472069592078</v>
      </c>
      <c r="F47" s="98">
        <f t="shared" si="13"/>
        <v>0.48086499311613101</v>
      </c>
      <c r="G47" s="257">
        <f t="shared" si="15"/>
        <v>57578.787704892151</v>
      </c>
    </row>
    <row r="48" spans="1:7">
      <c r="A48" s="97">
        <v>4</v>
      </c>
      <c r="B48" s="93">
        <f t="shared" si="14"/>
        <v>512</v>
      </c>
      <c r="C48" s="1">
        <f t="shared" si="11"/>
        <v>2048</v>
      </c>
      <c r="D48" s="9">
        <f>SUM($C$45:C48)</f>
        <v>2340</v>
      </c>
      <c r="E48" s="9">
        <f t="shared" si="12"/>
        <v>2544.6539874788245</v>
      </c>
      <c r="F48" s="98">
        <f t="shared" si="13"/>
        <v>9.9856168211231541E-2</v>
      </c>
      <c r="G48" s="257">
        <f t="shared" si="15"/>
        <v>646595.04280740314</v>
      </c>
    </row>
    <row r="49" spans="1:7">
      <c r="A49" s="97">
        <v>5</v>
      </c>
      <c r="B49" s="93">
        <f t="shared" si="14"/>
        <v>4096</v>
      </c>
      <c r="C49" s="1">
        <f t="shared" si="11"/>
        <v>16384</v>
      </c>
      <c r="D49" s="9">
        <f>SUM($C$45:C49)</f>
        <v>18724</v>
      </c>
      <c r="E49" s="9">
        <f t="shared" si="12"/>
        <v>19549.899801568499</v>
      </c>
      <c r="F49" s="98">
        <f t="shared" si="13"/>
        <v>1.7900956060884297E-2</v>
      </c>
      <c r="G49" s="257">
        <f t="shared" si="15"/>
        <v>6841720.0274140127</v>
      </c>
    </row>
    <row r="50" spans="1:7">
      <c r="A50" s="97">
        <v>6</v>
      </c>
      <c r="B50" s="93">
        <f t="shared" si="14"/>
        <v>32768</v>
      </c>
      <c r="C50" s="1">
        <f t="shared" si="11"/>
        <v>131072</v>
      </c>
      <c r="D50" s="9">
        <f>SUM($C$45:C50)</f>
        <v>149796</v>
      </c>
      <c r="E50" s="9">
        <f t="shared" si="12"/>
        <v>153230.76467082248</v>
      </c>
      <c r="F50" s="98">
        <f t="shared" si="13"/>
        <v>2.9440864038305144E-3</v>
      </c>
      <c r="G50" s="257">
        <f t="shared" si="15"/>
        <v>69126169.092473939</v>
      </c>
    </row>
    <row r="51" spans="1:7">
      <c r="A51" s="97">
        <v>7</v>
      </c>
      <c r="B51" s="93">
        <f t="shared" si="14"/>
        <v>262144</v>
      </c>
      <c r="C51" s="1">
        <f t="shared" si="11"/>
        <v>1048576</v>
      </c>
      <c r="D51" s="9">
        <f>SUM($C$45:C51)</f>
        <v>1198372</v>
      </c>
      <c r="E51" s="9">
        <f t="shared" si="12"/>
        <v>1212873.9264301485</v>
      </c>
      <c r="F51" s="98">
        <f t="shared" si="13"/>
        <v>4.5812636444816392E-4</v>
      </c>
      <c r="G51" s="257">
        <f t="shared" si="15"/>
        <v>673932818.01225746</v>
      </c>
    </row>
    <row r="52" spans="1:7">
      <c r="A52" s="97">
        <v>8</v>
      </c>
      <c r="B52" s="93">
        <f t="shared" si="14"/>
        <v>2097152</v>
      </c>
      <c r="C52" s="1">
        <f t="shared" si="11"/>
        <v>8388608</v>
      </c>
      <c r="D52" s="9">
        <f>SUM($C$45:C52)</f>
        <v>9586980</v>
      </c>
      <c r="E52" s="9">
        <f t="shared" si="12"/>
        <v>9648689.2845939826</v>
      </c>
      <c r="F52" s="98">
        <f t="shared" si="13"/>
        <v>6.8637846493124186E-5</v>
      </c>
      <c r="G52" s="257">
        <f t="shared" si="15"/>
        <v>6389991659.5953484</v>
      </c>
    </row>
    <row r="53" spans="1:7">
      <c r="A53" s="97">
        <v>9</v>
      </c>
      <c r="B53" s="93">
        <f t="shared" si="14"/>
        <v>16777216</v>
      </c>
      <c r="C53" s="1">
        <f t="shared" si="11"/>
        <v>67108864</v>
      </c>
      <c r="D53" s="9">
        <f>SUM($C$45:C53)</f>
        <v>76695844</v>
      </c>
      <c r="E53" s="9">
        <f t="shared" si="12"/>
        <v>76959515.430648237</v>
      </c>
      <c r="F53" s="98">
        <f t="shared" si="13"/>
        <v>1.0007337383107252E-5</v>
      </c>
      <c r="G53" s="257">
        <f t="shared" si="15"/>
        <v>59271127763.848244</v>
      </c>
    </row>
    <row r="54" spans="1:7" ht="17" thickBot="1">
      <c r="A54" s="129">
        <v>10</v>
      </c>
      <c r="B54" s="94">
        <f t="shared" si="14"/>
        <v>134217728</v>
      </c>
      <c r="C54" s="109">
        <f t="shared" si="11"/>
        <v>536870912</v>
      </c>
      <c r="D54" s="10">
        <f>SUM($C$45:C54)</f>
        <v>613566756</v>
      </c>
      <c r="E54" s="10">
        <f t="shared" si="12"/>
        <v>614695837.12922215</v>
      </c>
      <c r="F54" s="99">
        <f t="shared" si="13"/>
        <v>1.4296923293836685E-6</v>
      </c>
      <c r="G54" s="258">
        <f t="shared" si="15"/>
        <v>540210636581.61981</v>
      </c>
    </row>
  </sheetData>
  <mergeCells count="1">
    <mergeCell ref="A18:F18"/>
  </mergeCells>
  <conditionalFormatting sqref="F45:F54">
    <cfRule type="cellIs" dxfId="553" priority="86" operator="equal">
      <formula>MAX($F$45:$F$54)</formula>
    </cfRule>
  </conditionalFormatting>
  <conditionalFormatting sqref="F21:F30">
    <cfRule type="cellIs" dxfId="552" priority="84" operator="equal">
      <formula>MAX($F$21:$F$30)</formula>
    </cfRule>
  </conditionalFormatting>
  <conditionalFormatting sqref="F33:F42">
    <cfRule type="cellIs" dxfId="551" priority="58" operator="lessThanOrEqual">
      <formula>0</formula>
    </cfRule>
    <cfRule type="cellIs" dxfId="550" priority="59" operator="equal">
      <formula>MAX($F$33:$F$42)</formula>
    </cfRule>
  </conditionalFormatting>
  <conditionalFormatting sqref="E21:E30">
    <cfRule type="cellIs" dxfId="549" priority="46" stopIfTrue="1" operator="lessThan">
      <formula>0</formula>
    </cfRule>
    <cfRule type="cellIs" dxfId="548" priority="47" operator="equal">
      <formula>MIN($E$21:$E$30)</formula>
    </cfRule>
  </conditionalFormatting>
  <conditionalFormatting sqref="E33:E42">
    <cfRule type="cellIs" dxfId="547" priority="44" stopIfTrue="1" operator="lessThan">
      <formula>0</formula>
    </cfRule>
    <cfRule type="cellIs" dxfId="546" priority="45" operator="equal">
      <formula>MIN($E$33:$E$42)</formula>
    </cfRule>
  </conditionalFormatting>
  <conditionalFormatting sqref="E45:E54">
    <cfRule type="cellIs" dxfId="545" priority="42" stopIfTrue="1" operator="lessThan">
      <formula>0</formula>
    </cfRule>
    <cfRule type="cellIs" dxfId="544" priority="43" operator="equal">
      <formula>MIN($E$45:$E$54)</formula>
    </cfRule>
  </conditionalFormatting>
  <conditionalFormatting sqref="R7:R16">
    <cfRule type="cellIs" dxfId="543" priority="32" operator="lessThanOrEqual">
      <formula>0</formula>
    </cfRule>
    <cfRule type="cellIs" dxfId="542" priority="33" operator="greaterThan">
      <formula>0</formula>
    </cfRule>
  </conditionalFormatting>
  <conditionalFormatting sqref="U7:U16">
    <cfRule type="cellIs" dxfId="541" priority="9" operator="lessThanOrEqual">
      <formula>0</formula>
    </cfRule>
    <cfRule type="cellIs" dxfId="540" priority="10" operator="greaterThan">
      <formula>0</formula>
    </cfRule>
  </conditionalFormatting>
  <conditionalFormatting sqref="S7:T16">
    <cfRule type="cellIs" dxfId="539" priority="1" operator="lessThanOrEqual">
      <formula>0</formula>
    </cfRule>
    <cfRule type="cellIs" dxfId="53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14" max="14" width="5.6640625" bestFit="1" customWidth="1"/>
  </cols>
  <sheetData>
    <row r="1" spans="1:23">
      <c r="C1" t="s">
        <v>94</v>
      </c>
      <c r="D1">
        <f>C2+E2</f>
        <v>0.99999999999999933</v>
      </c>
    </row>
    <row r="2" spans="1:23">
      <c r="A2" t="s">
        <v>39</v>
      </c>
      <c r="B2" s="133" t="s">
        <v>124</v>
      </c>
      <c r="C2" s="139">
        <f>Analysis!B12</f>
        <v>0.67244450850030923</v>
      </c>
      <c r="D2" s="133" t="s">
        <v>125</v>
      </c>
      <c r="E2" s="139">
        <f>Analysis!H12</f>
        <v>0.3275554914996901</v>
      </c>
      <c r="F2" s="133" t="s">
        <v>46</v>
      </c>
      <c r="G2" s="139">
        <f>Analysis!S12</f>
        <v>142.24974113224658</v>
      </c>
      <c r="H2" t="s">
        <v>153</v>
      </c>
      <c r="I2" s="153">
        <f>Analysis!T12</f>
        <v>-142.43767400731724</v>
      </c>
      <c r="J2" t="s">
        <v>47</v>
      </c>
      <c r="K2" s="153">
        <f>G2*C2+I2*E2</f>
        <v>48.99881494243035</v>
      </c>
      <c r="L2" t="s">
        <v>46</v>
      </c>
      <c r="M2" s="160">
        <v>1</v>
      </c>
      <c r="N2" t="s">
        <v>153</v>
      </c>
      <c r="O2" s="160">
        <v>5</v>
      </c>
    </row>
    <row r="4" spans="1:23">
      <c r="A4" t="s">
        <v>122</v>
      </c>
      <c r="B4">
        <f>$C$2</f>
        <v>0.67244450850030923</v>
      </c>
      <c r="C4" t="s">
        <v>123</v>
      </c>
      <c r="D4">
        <f>$E$2</f>
        <v>0.3275554914996901</v>
      </c>
      <c r="E4" t="s">
        <v>46</v>
      </c>
      <c r="F4">
        <f>G2</f>
        <v>142.24974113224658</v>
      </c>
      <c r="G4" t="s">
        <v>153</v>
      </c>
      <c r="H4">
        <f>I2</f>
        <v>-142.43767400731724</v>
      </c>
      <c r="I4" t="s">
        <v>47</v>
      </c>
      <c r="J4">
        <f>B4*F4+D4*H4</f>
        <v>48.99881494243035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164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0.67244450850030923</v>
      </c>
      <c r="C7" s="95">
        <v>1</v>
      </c>
      <c r="D7" s="107">
        <f>C7*D4</f>
        <v>0.3275554914996901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0.99999999999999933</v>
      </c>
      <c r="R7" s="265">
        <f>B7-D7</f>
        <v>0.34488901700061914</v>
      </c>
      <c r="S7" s="266">
        <f>IF(Rules!B20=Rules!D20,SUM(C7)*B4*F4,SUM(C7)*B4*F4*POWER(O2,A7-1))</f>
        <v>95.65505725996978</v>
      </c>
      <c r="T7" s="252">
        <f>IF(Rules!B20=Rules!D20,SUM(C7)*D4*H4,SUM(C7)*D4*H4*POWER(O2,A7-1))</f>
        <v>-46.65624231753943</v>
      </c>
      <c r="U7" s="263">
        <f>S7+T7</f>
        <v>48.99881494243035</v>
      </c>
      <c r="V7" s="282">
        <f>S7/B4</f>
        <v>142.24974113224658</v>
      </c>
      <c r="W7" s="57">
        <f>T7/D4</f>
        <v>-142.43767400731724</v>
      </c>
    </row>
    <row r="8" spans="1:23">
      <c r="A8" s="98">
        <v>2</v>
      </c>
      <c r="B8" s="97">
        <f>C8*B4</f>
        <v>0.86239900751117693</v>
      </c>
      <c r="C8" s="97">
        <f>1/(1-B4*D4)</f>
        <v>1.2824835307741684</v>
      </c>
      <c r="D8" s="93">
        <f>C8*D4</f>
        <v>0.42008452326299067</v>
      </c>
      <c r="E8" s="1">
        <f>D8*D4</f>
        <v>0.1376009924888219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0.99999999999999889</v>
      </c>
      <c r="R8" s="267">
        <f>B8-E8</f>
        <v>0.72479801502235497</v>
      </c>
      <c r="S8" s="268">
        <f>IF(Rules!B20=Rules!D20,SUM(C8:D8)*B4*F4,SUM(C8:D8)*B4*F4*POWER(O2,A8-1))</f>
        <v>162.85924469791976</v>
      </c>
      <c r="T8" s="253">
        <f>IF(Rules!B20=Rules!D20,SUM(C8:D8)*D4*H4,SUM(C8:D8)*D4*H4*POWER(O2,A8-1))</f>
        <v>-79.435427691259264</v>
      </c>
      <c r="U8" s="264">
        <f>S8+T8+U7</f>
        <v>132.42263194909086</v>
      </c>
      <c r="V8" s="93">
        <f>S8/B4</f>
        <v>242.18986494681869</v>
      </c>
      <c r="W8" s="9">
        <f>T8/D4</f>
        <v>-242.50983345621734</v>
      </c>
    </row>
    <row r="9" spans="1:23">
      <c r="A9" s="98">
        <v>3</v>
      </c>
      <c r="B9" s="97">
        <f>C9*B4</f>
        <v>0.93718337814022168</v>
      </c>
      <c r="C9" s="97">
        <f>1/(1-D4*B4/(1-D4*B4))</f>
        <v>1.393696232616034</v>
      </c>
      <c r="D9" s="93">
        <f>C9*D4*C8</f>
        <v>0.58547021745193284</v>
      </c>
      <c r="E9" s="1">
        <f>D9*(D4)</f>
        <v>0.1917739848358983</v>
      </c>
      <c r="F9" s="1">
        <f>E9*D4</f>
        <v>6.2816621859776781E-2</v>
      </c>
      <c r="G9" s="1"/>
      <c r="H9" s="1"/>
      <c r="I9" s="1"/>
      <c r="J9" s="1"/>
      <c r="K9" s="1"/>
      <c r="L9" s="1"/>
      <c r="M9" s="235"/>
      <c r="N9" s="97">
        <f>B9+F9</f>
        <v>0.99999999999999845</v>
      </c>
      <c r="R9" s="267">
        <f>B9-F9</f>
        <v>0.87436675628044491</v>
      </c>
      <c r="S9" s="268">
        <f>IF(Rules!B20=Rules!D20,SUM(C9:E9)*B4*F4,SUM(C9:E9)*B4*F4*POWER(O2,A9-1))</f>
        <v>207.66143160871292</v>
      </c>
      <c r="T9" s="253">
        <f>IF(Rules!B20=Rules!D20,SUM(C9:E9)*D4*H4,SUM(C9:E9)*D4*H4*POWER(O2,A9-1))</f>
        <v>-101.28792298781919</v>
      </c>
      <c r="U9" s="264">
        <f t="shared" ref="U9:U16" si="0">S9+T9+U8</f>
        <v>238.79614056998457</v>
      </c>
      <c r="V9" s="93">
        <f>S9/B4</f>
        <v>308.81571487860163</v>
      </c>
      <c r="W9" s="9">
        <f>T9/D4</f>
        <v>-309.22370595614029</v>
      </c>
    </row>
    <row r="10" spans="1:23">
      <c r="A10" s="98">
        <v>4</v>
      </c>
      <c r="B10" s="97">
        <f>C10*B4</f>
        <v>0.97030977973960397</v>
      </c>
      <c r="C10" s="97">
        <f>1/(1-D4*B4/(1-D4*B4/(1-D4*B4)))</f>
        <v>1.4429588872747225</v>
      </c>
      <c r="D10" s="93">
        <f>C10*D4*C9</f>
        <v>0.65872928052102431</v>
      </c>
      <c r="E10" s="1">
        <f>D10*D4*C8</f>
        <v>0.27672197576704732</v>
      </c>
      <c r="F10" s="1">
        <f>E10*D4</f>
        <v>9.0641802781140521E-2</v>
      </c>
      <c r="G10" s="1">
        <f>F10*D4</f>
        <v>2.9690220260394459E-2</v>
      </c>
      <c r="H10" s="1"/>
      <c r="I10" s="1"/>
      <c r="J10" s="1"/>
      <c r="K10" s="1"/>
      <c r="L10" s="1"/>
      <c r="M10" s="235"/>
      <c r="N10" s="97">
        <f>B10+G10</f>
        <v>0.99999999999999845</v>
      </c>
      <c r="R10" s="267">
        <f>B10-G10</f>
        <v>0.9406195594792095</v>
      </c>
      <c r="S10" s="268">
        <f>IF(Rules!B20=Rules!D20,SUM(C10:F10)*B4*F4,SUM(C10:F10)*B4*F4*POWER(O2,A10-1))</f>
        <v>236.17730530536889</v>
      </c>
      <c r="T10" s="253">
        <f>IF(Rules!B20=Rules!D20,SUM(C10:F10)*D4*H4,SUM(C10:F10)*D4*H4*POWER(O2,A10-1))</f>
        <v>-115.19668590321498</v>
      </c>
      <c r="U10" s="264">
        <f t="shared" si="0"/>
        <v>359.77675997213851</v>
      </c>
      <c r="V10" s="93">
        <f>S10/B4</f>
        <v>351.2220002094943</v>
      </c>
      <c r="W10" s="9">
        <f>T10/D4</f>
        <v>-351.68601624046948</v>
      </c>
    </row>
    <row r="11" spans="1:23">
      <c r="A11" s="98">
        <v>5</v>
      </c>
      <c r="B11" s="97">
        <f>C11*B4</f>
        <v>0.98574373114982228</v>
      </c>
      <c r="C11" s="97">
        <f>1/(1-D4*B4/(1-D4*B4/(1-D4*B4/(1-D4*B4))))</f>
        <v>1.4659108947863004</v>
      </c>
      <c r="D11" s="93">
        <f>C11*D4*C10</f>
        <v>0.69286147614675064</v>
      </c>
      <c r="E11" s="1">
        <f>D11*D4*C9</f>
        <v>0.31630017023207746</v>
      </c>
      <c r="F11" s="1">
        <f>E11*D4*C8</f>
        <v>0.13287280621994504</v>
      </c>
      <c r="G11" s="1">
        <f>F11*D4</f>
        <v>4.3523217348317177E-2</v>
      </c>
      <c r="H11" s="1">
        <f>G11*D4</f>
        <v>1.4256268850175871E-2</v>
      </c>
      <c r="I11" s="1"/>
      <c r="J11" s="1"/>
      <c r="K11" s="1"/>
      <c r="L11" s="1"/>
      <c r="M11" s="235"/>
      <c r="N11" s="97">
        <f>B11+H11</f>
        <v>0.99999999999999811</v>
      </c>
      <c r="R11" s="267">
        <f>B11-H11</f>
        <v>0.97148746229964644</v>
      </c>
      <c r="S11" s="268">
        <f>IF(Rules!B20=Rules!D20,SUM(C11:G11)*B4*F4,SUM(C11:G11)*B4*F4*POWER(O2,A11-1))</f>
        <v>253.62637738258238</v>
      </c>
      <c r="T11" s="253">
        <f>IF(Rules!B20=Rules!D20,SUM(C11:G11)*D4*H4,SUM(C11:G11)*D4*H4*POWER(O2,A11-1))</f>
        <v>-123.70755985353955</v>
      </c>
      <c r="U11" s="264">
        <f t="shared" si="0"/>
        <v>489.69557750118133</v>
      </c>
      <c r="V11" s="93">
        <f>S11/B4</f>
        <v>377.17071695361426</v>
      </c>
      <c r="W11" s="9">
        <f>T11/D4</f>
        <v>-377.66901506414399</v>
      </c>
    </row>
    <row r="12" spans="1:23">
      <c r="A12" s="98">
        <v>6</v>
      </c>
      <c r="B12" s="97">
        <f>C12*B4</f>
        <v>0.99310349870157677</v>
      </c>
      <c r="C12" s="97">
        <f>1/(1-D4*B4/(1-D4*B4/(1-D4*B4/(1-D4*B4/(1-D4*B4)))))</f>
        <v>1.476855690168998</v>
      </c>
      <c r="D12" s="93">
        <f>C12*D4*C11</f>
        <v>0.70913760784883961</v>
      </c>
      <c r="E12" s="1">
        <f>D12*D4*C10</f>
        <v>0.33517325746934229</v>
      </c>
      <c r="F12" s="1">
        <f>E12*D4*C9</f>
        <v>0.15301090051128552</v>
      </c>
      <c r="G12" s="1">
        <f>F12*D4*C8</f>
        <v>6.427751119532428E-2</v>
      </c>
      <c r="H12" s="1">
        <f>G12*D4</f>
        <v>2.1054451771961278E-2</v>
      </c>
      <c r="I12" s="1">
        <f>H12*D4</f>
        <v>6.8965012984212974E-3</v>
      </c>
      <c r="J12" s="1"/>
      <c r="K12" s="1"/>
      <c r="L12" s="1"/>
      <c r="M12" s="235"/>
      <c r="N12" s="97">
        <f>B12+I12</f>
        <v>0.99999999999999811</v>
      </c>
      <c r="R12" s="267">
        <f>B12-I12</f>
        <v>0.98620699740315543</v>
      </c>
      <c r="S12" s="268">
        <f>IF(Rules!B20=Rules!D20,SUM(C12:H12)*B4*F4,SUM(C12:H12)*B4*F4*POWER(O2,A12-1))</f>
        <v>263.9610314805949</v>
      </c>
      <c r="T12" s="253">
        <f>IF(Rules!B20=Rules!D20,SUM(C12:H12)*D4*H4,SUM(C12:H12)*D4*H4*POWER(O2,A12-1))</f>
        <v>-128.74834012879853</v>
      </c>
      <c r="U12" s="264">
        <f t="shared" si="0"/>
        <v>624.9082688529777</v>
      </c>
      <c r="V12" s="93">
        <f>S12/B4</f>
        <v>392.53950049987435</v>
      </c>
      <c r="W12" s="9">
        <f>T12/D4</f>
        <v>-393.05810303876507</v>
      </c>
    </row>
    <row r="13" spans="1:23">
      <c r="A13" s="98">
        <v>7</v>
      </c>
      <c r="B13" s="97">
        <f>C13*B4</f>
        <v>0.99665188206682409</v>
      </c>
      <c r="C13" s="97">
        <f>1/(1-D4*B4/(1-D4*B4/(1-D4*B4/(1-D4*B4/(1-D4*B4/(1-D4*B4))))))</f>
        <v>1.482132532079955</v>
      </c>
      <c r="D13" s="93">
        <f>C13*D4*C12</f>
        <v>0.71698486043883458</v>
      </c>
      <c r="E13" s="1">
        <f>D13*D4*C11</f>
        <v>0.34427258680721062</v>
      </c>
      <c r="F13" s="1">
        <f>E13*D4*C10</f>
        <v>0.16272013090323442</v>
      </c>
      <c r="G13" s="1">
        <f>F13*D4*C9</f>
        <v>7.4283831439313247E-2</v>
      </c>
      <c r="H13" s="1">
        <f>G13*D4*C8</f>
        <v>3.1205487916332261E-2</v>
      </c>
      <c r="I13" s="1">
        <f>H13*D4</f>
        <v>1.0221528931921854E-2</v>
      </c>
      <c r="J13" s="1">
        <f>I13*D4</f>
        <v>3.3481179331739655E-3</v>
      </c>
      <c r="K13" s="1"/>
      <c r="L13" s="1"/>
      <c r="M13" s="235"/>
      <c r="N13" s="97">
        <f>B13+J13</f>
        <v>0.999999999999998</v>
      </c>
      <c r="R13" s="267">
        <f>B13-J13</f>
        <v>0.99330376413365018</v>
      </c>
      <c r="S13" s="268">
        <f>IF(Rules!B20=Rules!D20,SUM(C13:I13)*B4*F4,SUM(C13:I13)*B4*F4*POWER(O2,A13-1))</f>
        <v>269.92144536430749</v>
      </c>
      <c r="T13" s="253">
        <f>IF(Rules!B20=Rules!D20,SUM(C13:I13)*D4*H4,SUM(C13:I13)*D4*H4*POWER(O2,A13-1))</f>
        <v>-131.65556241727128</v>
      </c>
      <c r="U13" s="264">
        <f t="shared" si="0"/>
        <v>763.17415180001387</v>
      </c>
      <c r="V13" s="93">
        <f>S13/B4</f>
        <v>401.40330087056299</v>
      </c>
      <c r="W13" s="9">
        <f>T13/D4</f>
        <v>-401.93361379623167</v>
      </c>
    </row>
    <row r="14" spans="1:23">
      <c r="A14" s="98">
        <v>8</v>
      </c>
      <c r="B14" s="97">
        <f>C14*B4</f>
        <v>0.99837174858723743</v>
      </c>
      <c r="C14" s="97">
        <f>1/(1-D4*B4/(1-D4*B4/(1-D4*B4/(1-D4*B4/(1-D4*B4/(1-D4*B4/(1-D4*B4)))))))</f>
        <v>1.4846901654588771</v>
      </c>
      <c r="D14" s="93">
        <f>C14*D4*C13</f>
        <v>0.72078834659507696</v>
      </c>
      <c r="E14" s="1">
        <f>D14*D4*C12</f>
        <v>0.34868294224954688</v>
      </c>
      <c r="F14" s="1">
        <f>E14*D4*C11</f>
        <v>0.16742609938838648</v>
      </c>
      <c r="G14" s="1">
        <f>F14*D4*C10</f>
        <v>7.9133796454006783E-2</v>
      </c>
      <c r="H14" s="1">
        <f>G14*D4*C9</f>
        <v>3.6125595304726484E-2</v>
      </c>
      <c r="I14" s="1">
        <f>H14*D4*C8</f>
        <v>1.5175803481177759E-2</v>
      </c>
      <c r="J14" s="1">
        <f>I14*D4</f>
        <v>4.9709177681798887E-3</v>
      </c>
      <c r="K14" s="1">
        <f>J14*D4</f>
        <v>1.6282514127607061E-3</v>
      </c>
      <c r="L14" s="1"/>
      <c r="M14" s="235"/>
      <c r="N14" s="97">
        <f>B14+K14</f>
        <v>0.99999999999999811</v>
      </c>
      <c r="R14" s="267">
        <f>B14-K14</f>
        <v>0.99674349717447674</v>
      </c>
      <c r="S14" s="268">
        <f>IF(Rules!B20=Rules!D20,SUM(C14:J14)*B4*F4,SUM(C14:J14)*B4*F4*POWER(O2,A14-1))</f>
        <v>273.28589277955746</v>
      </c>
      <c r="T14" s="253">
        <f>IF(Rules!B20=Rules!D20,SUM(C14:J14)*D4*H4,SUM(C14:J14)*D4*H4*POWER(O2,A14-1))</f>
        <v>-133.29658881322968</v>
      </c>
      <c r="U14" s="264">
        <f t="shared" si="0"/>
        <v>903.16345576634171</v>
      </c>
      <c r="V14" s="93">
        <f>S14/B4</f>
        <v>406.40660950453992</v>
      </c>
      <c r="W14" s="9">
        <f>T14/D4</f>
        <v>-406.94353253838148</v>
      </c>
    </row>
    <row r="15" spans="1:23">
      <c r="A15" s="98">
        <v>9</v>
      </c>
      <c r="B15" s="97">
        <f>C15*B4</f>
        <v>0.99920748849185981</v>
      </c>
      <c r="C15" s="97">
        <f>1/(1-D4*B4/(1-D4*B4/(1-D4*B4/(1-D4*B4/(1-D4*B4/(1-D4*B4/(1-D4*B4/(1-D4*B4))))))))</f>
        <v>1.4859330039296474</v>
      </c>
      <c r="D15" s="93">
        <f>C15*D4*C14</f>
        <v>0.72263658604838465</v>
      </c>
      <c r="E15" s="1">
        <f>D15*D4*C13</f>
        <v>0.35082607951803885</v>
      </c>
      <c r="F15" s="1">
        <f>E15*D4*C12</f>
        <v>0.1697128847907747</v>
      </c>
      <c r="G15" s="1">
        <f>F15*D4*C11</f>
        <v>8.149055452255051E-2</v>
      </c>
      <c r="H15" s="1">
        <f>G15*D4*C10</f>
        <v>3.8516437867625347E-2</v>
      </c>
      <c r="I15" s="1">
        <f>H15*D4*C9</f>
        <v>1.7583248995189885E-2</v>
      </c>
      <c r="J15" s="1">
        <f>I15*D4*C8</f>
        <v>7.3864507715588022E-3</v>
      </c>
      <c r="K15" s="1">
        <f>J15*D4</f>
        <v>2.4194725129162084E-3</v>
      </c>
      <c r="L15" s="1">
        <f>K15*D4</f>
        <v>7.9251150813825898E-4</v>
      </c>
      <c r="M15" s="235"/>
      <c r="N15" s="97">
        <f>B15+L15</f>
        <v>0.99999999999999811</v>
      </c>
      <c r="R15" s="267">
        <f>B15-L15</f>
        <v>0.9984149769837215</v>
      </c>
      <c r="S15" s="268">
        <f>IF(Rules!B20=Rules!D20,SUM(C15:K15)*B4*F4,SUM(C15:K15)*B4*F4*POWER(O2,A15-1))</f>
        <v>275.15222360037507</v>
      </c>
      <c r="T15" s="253">
        <f>IF(Rules!B20=Rules!D20,SUM(C15:K15)*D4*H4,SUM(C15:K15)*D4*H4*POWER(O2,A15-1))</f>
        <v>-134.20690119518881</v>
      </c>
      <c r="U15" s="264">
        <f t="shared" si="0"/>
        <v>1044.108778171528</v>
      </c>
      <c r="V15" s="93">
        <f>S15/B4</f>
        <v>409.1820516372743</v>
      </c>
      <c r="W15" s="9">
        <f>T15/D4</f>
        <v>-409.72264143926213</v>
      </c>
    </row>
    <row r="16" spans="1:23" ht="17" thickBot="1">
      <c r="A16" s="99">
        <v>10</v>
      </c>
      <c r="B16" s="129">
        <f>C16*B4</f>
        <v>0.9996141074559084</v>
      </c>
      <c r="C16" s="129">
        <f>1/(1-D4*B4/(1-D4*B4/(1-D4*B4/(1-D4*B4/(1-D4*B4/(1-D4*B4/(1-D4*B4/(1-D4*B4/(1-D4*B4)))))))))</f>
        <v>1.4865376916903601</v>
      </c>
      <c r="D16" s="94">
        <f>C16*D4*C15</f>
        <v>0.72353582420568807</v>
      </c>
      <c r="E16" s="109">
        <f>D16*D4*C14</f>
        <v>0.35186879657762654</v>
      </c>
      <c r="F16" s="109">
        <f>E16*D4*C13</f>
        <v>0.17082549208184389</v>
      </c>
      <c r="G16" s="109">
        <f>F16*D4*C12</f>
        <v>8.2637206153092418E-2</v>
      </c>
      <c r="H16" s="109">
        <f>G16*D4*C11</f>
        <v>3.9679672889373227E-2</v>
      </c>
      <c r="I16" s="109">
        <f>H16*D4*C10</f>
        <v>1.8754561978447659E-2</v>
      </c>
      <c r="J16" s="109">
        <f>I16*D4*C9</f>
        <v>8.5616986232246624E-3</v>
      </c>
      <c r="K16" s="109">
        <f>J16*D4*C8</f>
        <v>3.5966370844587358E-3</v>
      </c>
      <c r="L16" s="109">
        <f>K16*D4</f>
        <v>1.1780982279458935E-3</v>
      </c>
      <c r="M16" s="237">
        <f>L16*D4</f>
        <v>3.858925440897311E-4</v>
      </c>
      <c r="N16" s="129">
        <f>B16+M16</f>
        <v>0.99999999999999811</v>
      </c>
      <c r="R16" s="269">
        <f>B16-M16</f>
        <v>0.99922821491181868</v>
      </c>
      <c r="S16" s="270">
        <f>IF(Rules!B20=Rules!D20,SUM(C16:L16)*B4*F4,SUM(C16:L16)*B4*F4*POWER(O2,A16-1))</f>
        <v>276.17295494331836</v>
      </c>
      <c r="T16" s="254">
        <f>IF(Rules!B20=Rules!D20,SUM(C16:L16)*D4*H4,SUM(C16:L16)*D4*H4*POWER(O2,A16-1))</f>
        <v>-134.7047681166213</v>
      </c>
      <c r="U16" s="264">
        <f t="shared" si="0"/>
        <v>1185.5769649982251</v>
      </c>
      <c r="V16" s="94">
        <f>S16/B4</f>
        <v>410.69999301390885</v>
      </c>
      <c r="W16" s="10">
        <f>T16/D4</f>
        <v>-411.24258824019364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0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5</v>
      </c>
      <c r="D21" s="57">
        <f>SUM($C$21:C21)</f>
        <v>5</v>
      </c>
      <c r="E21" s="57">
        <f t="shared" ref="E21:E30" si="2">D21/R7</f>
        <v>14.497417295231017</v>
      </c>
      <c r="F21" s="8">
        <f t="shared" ref="F21:F30" si="3">U7/E21</f>
        <v>3.3798306239380103</v>
      </c>
      <c r="G21" s="256">
        <f>E21*U7</f>
        <v>710.35626719221375</v>
      </c>
    </row>
    <row r="22" spans="1:7">
      <c r="A22" s="97">
        <v>2</v>
      </c>
      <c r="B22" s="93">
        <f>C21</f>
        <v>5</v>
      </c>
      <c r="C22" s="1">
        <f t="shared" si="1"/>
        <v>25</v>
      </c>
      <c r="D22" s="9">
        <f>SUM($C$21:C22)</f>
        <v>30</v>
      </c>
      <c r="E22" s="9">
        <f t="shared" si="2"/>
        <v>41.390841832085741</v>
      </c>
      <c r="F22" s="9">
        <f t="shared" si="3"/>
        <v>3.1993220260245647</v>
      </c>
      <c r="G22" s="257">
        <f t="shared" ref="G22:G30" si="4">E22*U8</f>
        <v>5481.0842139933238</v>
      </c>
    </row>
    <row r="23" spans="1:7">
      <c r="A23" s="97">
        <v>3</v>
      </c>
      <c r="B23" s="93">
        <f t="shared" ref="B23:B30" si="5">C22</f>
        <v>25</v>
      </c>
      <c r="C23" s="1">
        <f t="shared" si="1"/>
        <v>125</v>
      </c>
      <c r="D23" s="9">
        <f>SUM($C$21:C23)</f>
        <v>155</v>
      </c>
      <c r="E23" s="9">
        <f t="shared" si="2"/>
        <v>177.27114953382926</v>
      </c>
      <c r="F23" s="9">
        <f t="shared" si="3"/>
        <v>1.3470671409191393</v>
      </c>
      <c r="G23" s="257">
        <f t="shared" si="4"/>
        <v>42331.666343083045</v>
      </c>
    </row>
    <row r="24" spans="1:7">
      <c r="A24" s="97">
        <v>4</v>
      </c>
      <c r="B24" s="93">
        <f t="shared" si="5"/>
        <v>125</v>
      </c>
      <c r="C24" s="1">
        <f t="shared" si="1"/>
        <v>625</v>
      </c>
      <c r="D24" s="9">
        <f>SUM($C$21:C24)</f>
        <v>780</v>
      </c>
      <c r="E24" s="9">
        <f t="shared" si="2"/>
        <v>829.24067667895474</v>
      </c>
      <c r="F24" s="9">
        <f t="shared" si="3"/>
        <v>0.43386289419980795</v>
      </c>
      <c r="G24" s="257">
        <f t="shared" si="4"/>
        <v>298341.52389265801</v>
      </c>
    </row>
    <row r="25" spans="1:7">
      <c r="A25" s="97">
        <v>5</v>
      </c>
      <c r="B25" s="93">
        <f t="shared" si="5"/>
        <v>625</v>
      </c>
      <c r="C25" s="1">
        <f t="shared" si="1"/>
        <v>3125</v>
      </c>
      <c r="D25" s="9">
        <f>SUM($C$21:C25)</f>
        <v>3905</v>
      </c>
      <c r="E25" s="9">
        <f t="shared" si="2"/>
        <v>4019.609260583065</v>
      </c>
      <c r="F25" s="9">
        <f t="shared" si="3"/>
        <v>0.12182666168655121</v>
      </c>
      <c r="G25" s="257">
        <f t="shared" si="4"/>
        <v>1968384.8781903205</v>
      </c>
    </row>
    <row r="26" spans="1:7">
      <c r="A26" s="97">
        <v>6</v>
      </c>
      <c r="B26" s="93">
        <f t="shared" si="5"/>
        <v>3125</v>
      </c>
      <c r="C26" s="1">
        <f t="shared" si="1"/>
        <v>15625</v>
      </c>
      <c r="D26" s="9">
        <f>SUM($C$21:C26)</f>
        <v>19530</v>
      </c>
      <c r="E26" s="9">
        <f t="shared" si="2"/>
        <v>19803.144828038829</v>
      </c>
      <c r="F26" s="9">
        <f t="shared" si="3"/>
        <v>3.1556011647613874E-2</v>
      </c>
      <c r="G26" s="257">
        <f t="shared" si="4"/>
        <v>12375148.952334544</v>
      </c>
    </row>
    <row r="27" spans="1:7">
      <c r="A27" s="97">
        <v>7</v>
      </c>
      <c r="B27" s="93">
        <f t="shared" si="5"/>
        <v>15625</v>
      </c>
      <c r="C27" s="1">
        <f t="shared" si="1"/>
        <v>78125</v>
      </c>
      <c r="D27" s="9">
        <f>SUM($C$21:C27)</f>
        <v>97655</v>
      </c>
      <c r="E27" s="9">
        <f t="shared" si="2"/>
        <v>98313.329241406565</v>
      </c>
      <c r="F27" s="9">
        <f t="shared" si="3"/>
        <v>7.7626722407706673E-3</v>
      </c>
      <c r="G27" s="257">
        <f t="shared" si="4"/>
        <v>75030191.654445961</v>
      </c>
    </row>
    <row r="28" spans="1:7">
      <c r="A28" s="97">
        <v>8</v>
      </c>
      <c r="B28" s="93">
        <f t="shared" si="5"/>
        <v>78125</v>
      </c>
      <c r="C28" s="1">
        <f t="shared" si="1"/>
        <v>390625</v>
      </c>
      <c r="D28" s="9">
        <f>SUM($C$21:C28)</f>
        <v>488280</v>
      </c>
      <c r="E28" s="9">
        <f t="shared" si="2"/>
        <v>489875.28023423679</v>
      </c>
      <c r="F28" s="9">
        <f t="shared" si="3"/>
        <v>1.8436599930792359E-3</v>
      </c>
      <c r="G28" s="257">
        <f t="shared" si="4"/>
        <v>442437450.99085838</v>
      </c>
    </row>
    <row r="29" spans="1:7">
      <c r="A29" s="97">
        <v>9</v>
      </c>
      <c r="B29" s="93">
        <f t="shared" si="5"/>
        <v>390625</v>
      </c>
      <c r="C29" s="1">
        <f t="shared" si="1"/>
        <v>1953125</v>
      </c>
      <c r="D29" s="9">
        <f>SUM($C$21:C29)</f>
        <v>2441405</v>
      </c>
      <c r="E29" s="9">
        <f t="shared" si="2"/>
        <v>2445280.8263910944</v>
      </c>
      <c r="F29" s="9">
        <f t="shared" si="3"/>
        <v>4.2698931218975453E-4</v>
      </c>
      <c r="G29" s="257">
        <f t="shared" si="4"/>
        <v>2553139175.9294696</v>
      </c>
    </row>
    <row r="30" spans="1:7" ht="17" thickBot="1">
      <c r="A30" s="129">
        <v>10</v>
      </c>
      <c r="B30" s="94">
        <f t="shared" si="5"/>
        <v>1953125</v>
      </c>
      <c r="C30" s="109">
        <f t="shared" si="1"/>
        <v>9765625</v>
      </c>
      <c r="D30" s="10">
        <f>SUM($C$21:C30)</f>
        <v>12207030</v>
      </c>
      <c r="E30" s="10">
        <f t="shared" si="2"/>
        <v>12216458.480485626</v>
      </c>
      <c r="F30" s="10">
        <f t="shared" si="3"/>
        <v>9.7047517240127053E-5</v>
      </c>
      <c r="G30" s="258">
        <f t="shared" si="4"/>
        <v>14483551768.320976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0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5</v>
      </c>
      <c r="D33" s="57">
        <f>SUM($C$33:C33)</f>
        <v>5</v>
      </c>
      <c r="E33" s="9">
        <f t="shared" ref="E33:E42" si="7">D33/R7</f>
        <v>14.497417295231017</v>
      </c>
      <c r="F33" s="8">
        <f t="shared" ref="F33:F42" si="8">U7/E33</f>
        <v>3.3798306239380103</v>
      </c>
      <c r="G33" s="259">
        <f>E33*U7</f>
        <v>710.35626719221375</v>
      </c>
    </row>
    <row r="34" spans="1:7">
      <c r="A34" s="97">
        <v>2</v>
      </c>
      <c r="B34" s="93">
        <f t="shared" ref="B34:B42" si="9">B33*($O$2+1)</f>
        <v>6</v>
      </c>
      <c r="C34" s="1">
        <f t="shared" si="6"/>
        <v>30</v>
      </c>
      <c r="D34" s="9">
        <f>SUM($C$33:C34)</f>
        <v>35</v>
      </c>
      <c r="E34" s="9">
        <f t="shared" si="7"/>
        <v>48.289315470766702</v>
      </c>
      <c r="F34" s="9">
        <f t="shared" si="8"/>
        <v>2.7422760223067693</v>
      </c>
      <c r="G34" s="257">
        <f t="shared" ref="G34:G42" si="10">E34*U8</f>
        <v>6394.5982496588776</v>
      </c>
    </row>
    <row r="35" spans="1:7">
      <c r="A35" s="97">
        <v>3</v>
      </c>
      <c r="B35" s="93">
        <f t="shared" si="9"/>
        <v>36</v>
      </c>
      <c r="C35" s="1">
        <f t="shared" si="6"/>
        <v>180</v>
      </c>
      <c r="D35" s="9">
        <f>SUM($C$33:C35)</f>
        <v>215</v>
      </c>
      <c r="E35" s="9">
        <f t="shared" si="7"/>
        <v>245.89223967595672</v>
      </c>
      <c r="F35" s="9">
        <f t="shared" si="8"/>
        <v>0.97114142717426311</v>
      </c>
      <c r="G35" s="257">
        <f t="shared" si="10"/>
        <v>58718.117830728101</v>
      </c>
    </row>
    <row r="36" spans="1:7">
      <c r="A36" s="97">
        <v>4</v>
      </c>
      <c r="B36" s="93">
        <f t="shared" si="9"/>
        <v>216</v>
      </c>
      <c r="C36" s="1">
        <f t="shared" si="6"/>
        <v>1080</v>
      </c>
      <c r="D36" s="9">
        <f>SUM($C$33:C36)</f>
        <v>1295</v>
      </c>
      <c r="E36" s="9">
        <f t="shared" si="7"/>
        <v>1376.752149101598</v>
      </c>
      <c r="F36" s="9">
        <f t="shared" si="8"/>
        <v>0.26132282430567583</v>
      </c>
      <c r="G36" s="257">
        <f t="shared" si="10"/>
        <v>495323.42748845147</v>
      </c>
    </row>
    <row r="37" spans="1:7">
      <c r="A37" s="97">
        <v>5</v>
      </c>
      <c r="B37" s="93">
        <f t="shared" si="9"/>
        <v>1296</v>
      </c>
      <c r="C37" s="1">
        <f t="shared" si="6"/>
        <v>6480</v>
      </c>
      <c r="D37" s="9">
        <f>SUM($C$33:C37)</f>
        <v>7775</v>
      </c>
      <c r="E37" s="9">
        <f t="shared" si="7"/>
        <v>8003.1912934784459</v>
      </c>
      <c r="F37" s="9">
        <f t="shared" si="8"/>
        <v>6.1187538763470412E-2</v>
      </c>
      <c r="G37" s="257">
        <f t="shared" si="10"/>
        <v>3919127.3823123542</v>
      </c>
    </row>
    <row r="38" spans="1:7">
      <c r="A38" s="97">
        <v>6</v>
      </c>
      <c r="B38" s="93">
        <f t="shared" si="9"/>
        <v>7776</v>
      </c>
      <c r="C38" s="1">
        <f t="shared" si="6"/>
        <v>38880</v>
      </c>
      <c r="D38" s="9">
        <f>SUM($C$33:C38)</f>
        <v>46655</v>
      </c>
      <c r="E38" s="9">
        <f t="shared" si="7"/>
        <v>47307.512644759423</v>
      </c>
      <c r="F38" s="9">
        <f t="shared" si="8"/>
        <v>1.3209493247838365E-2</v>
      </c>
      <c r="G38" s="257">
        <f t="shared" si="10"/>
        <v>29562855.830576964</v>
      </c>
    </row>
    <row r="39" spans="1:7">
      <c r="A39" s="97">
        <v>7</v>
      </c>
      <c r="B39" s="93">
        <f t="shared" si="9"/>
        <v>46656</v>
      </c>
      <c r="C39" s="1">
        <f t="shared" si="6"/>
        <v>233280</v>
      </c>
      <c r="D39" s="9">
        <f>SUM($C$33:C39)</f>
        <v>279935</v>
      </c>
      <c r="E39" s="9">
        <f t="shared" si="7"/>
        <v>281822.14757250674</v>
      </c>
      <c r="F39" s="9">
        <f t="shared" si="8"/>
        <v>2.7079992057886994E-3</v>
      </c>
      <c r="G39" s="257">
        <f t="shared" si="10"/>
        <v>215079378.43210617</v>
      </c>
    </row>
    <row r="40" spans="1:7">
      <c r="A40" s="97">
        <v>8</v>
      </c>
      <c r="B40" s="93">
        <f t="shared" si="9"/>
        <v>279936</v>
      </c>
      <c r="C40" s="1">
        <f t="shared" si="6"/>
        <v>1399680</v>
      </c>
      <c r="D40" s="9">
        <f>SUM($C$33:C40)</f>
        <v>1679615</v>
      </c>
      <c r="E40" s="9">
        <f t="shared" si="7"/>
        <v>1685102.5411866708</v>
      </c>
      <c r="F40" s="9">
        <f t="shared" si="8"/>
        <v>5.35969434317227E-4</v>
      </c>
      <c r="G40" s="257">
        <f t="shared" si="10"/>
        <v>1521923034.4187977</v>
      </c>
    </row>
    <row r="41" spans="1:7">
      <c r="A41" s="97">
        <v>9</v>
      </c>
      <c r="B41" s="93">
        <f t="shared" si="9"/>
        <v>1679616</v>
      </c>
      <c r="C41" s="1">
        <f t="shared" si="6"/>
        <v>8398080</v>
      </c>
      <c r="D41" s="9">
        <f>SUM($C$33:C41)</f>
        <v>10077695</v>
      </c>
      <c r="E41" s="9">
        <f t="shared" si="7"/>
        <v>10093693.73689224</v>
      </c>
      <c r="F41" s="9">
        <f t="shared" si="8"/>
        <v>1.0344169393166074E-4</v>
      </c>
      <c r="G41" s="257">
        <f t="shared" si="10"/>
        <v>10538914234.864161</v>
      </c>
    </row>
    <row r="42" spans="1:7" ht="17" thickBot="1">
      <c r="A42" s="129">
        <v>10</v>
      </c>
      <c r="B42" s="94">
        <f t="shared" si="9"/>
        <v>10077696</v>
      </c>
      <c r="C42" s="109">
        <f t="shared" si="6"/>
        <v>50388480</v>
      </c>
      <c r="D42" s="10">
        <f>SUM($C$33:C42)</f>
        <v>60466175</v>
      </c>
      <c r="E42" s="9">
        <f t="shared" si="7"/>
        <v>60512877.936834589</v>
      </c>
      <c r="F42" s="10">
        <f t="shared" si="8"/>
        <v>1.9592143117631439E-5</v>
      </c>
      <c r="G42" s="258">
        <f t="shared" si="10"/>
        <v>71742674167.660416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0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5</v>
      </c>
      <c r="D45" s="57">
        <f>SUM(C45:C45)</f>
        <v>5</v>
      </c>
      <c r="E45" s="57">
        <f t="shared" ref="E45:E54" si="12">D45/R7</f>
        <v>14.497417295231017</v>
      </c>
      <c r="F45" s="8">
        <f t="shared" ref="F45:F54" si="13">U7/E45</f>
        <v>3.3798306239380103</v>
      </c>
      <c r="G45" s="256">
        <f>E45*U7</f>
        <v>710.35626719221375</v>
      </c>
    </row>
    <row r="46" spans="1:7">
      <c r="A46" s="97">
        <v>2</v>
      </c>
      <c r="B46" s="93">
        <f t="shared" ref="B46:B54" si="14">B45*$O$2*2</f>
        <v>10</v>
      </c>
      <c r="C46" s="1">
        <f t="shared" si="11"/>
        <v>50</v>
      </c>
      <c r="D46" s="9">
        <f>SUM($C$45:C46)</f>
        <v>55</v>
      </c>
      <c r="E46" s="9">
        <f t="shared" si="12"/>
        <v>75.883210025490527</v>
      </c>
      <c r="F46" s="9">
        <f t="shared" si="13"/>
        <v>1.7450847414679442</v>
      </c>
      <c r="G46" s="257">
        <f t="shared" ref="G46:G54" si="15">E46*U8</f>
        <v>10048.654392321094</v>
      </c>
    </row>
    <row r="47" spans="1:7">
      <c r="A47" s="97">
        <v>3</v>
      </c>
      <c r="B47" s="93">
        <f t="shared" si="14"/>
        <v>100</v>
      </c>
      <c r="C47" s="1">
        <f t="shared" si="11"/>
        <v>500</v>
      </c>
      <c r="D47" s="9">
        <f>SUM($C$45:C47)</f>
        <v>555</v>
      </c>
      <c r="E47" s="9">
        <f t="shared" si="12"/>
        <v>634.74508381467899</v>
      </c>
      <c r="F47" s="9">
        <f t="shared" si="13"/>
        <v>0.37620794025669652</v>
      </c>
      <c r="G47" s="257">
        <f t="shared" si="15"/>
        <v>151574.67626071672</v>
      </c>
    </row>
    <row r="48" spans="1:7">
      <c r="A48" s="97">
        <v>4</v>
      </c>
      <c r="B48" s="93">
        <f t="shared" si="14"/>
        <v>1000</v>
      </c>
      <c r="C48" s="1">
        <f t="shared" si="11"/>
        <v>5000</v>
      </c>
      <c r="D48" s="9">
        <f>SUM($C$45:C48)</f>
        <v>5555</v>
      </c>
      <c r="E48" s="9">
        <f t="shared" si="12"/>
        <v>5905.6819986558894</v>
      </c>
      <c r="F48" s="9">
        <f t="shared" si="13"/>
        <v>6.0920442389892027E-2</v>
      </c>
      <c r="G48" s="257">
        <f t="shared" si="15"/>
        <v>2124727.1349021993</v>
      </c>
    </row>
    <row r="49" spans="1:7">
      <c r="A49" s="97">
        <v>5</v>
      </c>
      <c r="B49" s="93">
        <f t="shared" si="14"/>
        <v>10000</v>
      </c>
      <c r="C49" s="1">
        <f t="shared" si="11"/>
        <v>50000</v>
      </c>
      <c r="D49" s="9">
        <f>SUM($C$45:C49)</f>
        <v>55555</v>
      </c>
      <c r="E49" s="9">
        <f t="shared" si="12"/>
        <v>57185.503833980067</v>
      </c>
      <c r="F49" s="9">
        <f t="shared" si="13"/>
        <v>8.5632816827645123E-3</v>
      </c>
      <c r="G49" s="257">
        <f t="shared" si="15"/>
        <v>28003488.324676886</v>
      </c>
    </row>
    <row r="50" spans="1:7">
      <c r="A50" s="97">
        <v>6</v>
      </c>
      <c r="B50" s="93">
        <f t="shared" si="14"/>
        <v>100000</v>
      </c>
      <c r="C50" s="1">
        <f t="shared" si="11"/>
        <v>500000</v>
      </c>
      <c r="D50" s="9">
        <f>SUM($C$45:C50)</f>
        <v>555555</v>
      </c>
      <c r="E50" s="9">
        <f t="shared" si="12"/>
        <v>563324.94239329803</v>
      </c>
      <c r="F50" s="9">
        <f t="shared" si="13"/>
        <v>1.1093211427813609E-3</v>
      </c>
      <c r="G50" s="257">
        <f t="shared" si="15"/>
        <v>352026414.55269927</v>
      </c>
    </row>
    <row r="51" spans="1:7">
      <c r="A51" s="97">
        <v>7</v>
      </c>
      <c r="B51" s="93">
        <f t="shared" si="14"/>
        <v>1000000</v>
      </c>
      <c r="C51" s="1">
        <f t="shared" si="11"/>
        <v>5000000</v>
      </c>
      <c r="D51" s="9">
        <f>SUM($C$45:C51)</f>
        <v>5555555</v>
      </c>
      <c r="E51" s="9">
        <f t="shared" si="12"/>
        <v>5593007.0947083347</v>
      </c>
      <c r="F51" s="9">
        <f t="shared" si="13"/>
        <v>1.3645149002619171E-4</v>
      </c>
      <c r="G51" s="257">
        <f t="shared" si="15"/>
        <v>4268438445.5154934</v>
      </c>
    </row>
    <row r="52" spans="1:7">
      <c r="A52" s="97">
        <v>8</v>
      </c>
      <c r="B52" s="93">
        <f t="shared" si="14"/>
        <v>10000000</v>
      </c>
      <c r="C52" s="1">
        <f t="shared" si="11"/>
        <v>50000000</v>
      </c>
      <c r="D52" s="9">
        <f>SUM($C$45:C52)</f>
        <v>55555555</v>
      </c>
      <c r="E52" s="9">
        <f t="shared" si="12"/>
        <v>55737062.902829431</v>
      </c>
      <c r="F52" s="9">
        <f t="shared" si="13"/>
        <v>1.6204001587613144E-5</v>
      </c>
      <c r="G52" s="257">
        <f t="shared" si="15"/>
        <v>50339678345.585396</v>
      </c>
    </row>
    <row r="53" spans="1:7">
      <c r="A53" s="97">
        <v>9</v>
      </c>
      <c r="B53" s="93">
        <f t="shared" si="14"/>
        <v>100000000</v>
      </c>
      <c r="C53" s="1">
        <f t="shared" si="11"/>
        <v>500000000</v>
      </c>
      <c r="D53" s="9">
        <f>SUM($C$45:C53)</f>
        <v>555555555</v>
      </c>
      <c r="E53" s="9">
        <f t="shared" si="12"/>
        <v>556437521.27834713</v>
      </c>
      <c r="F53" s="9">
        <f t="shared" si="13"/>
        <v>1.8764169169843468E-6</v>
      </c>
      <c r="G53" s="257">
        <f t="shared" si="15"/>
        <v>580981300470.72864</v>
      </c>
    </row>
    <row r="54" spans="1:7" ht="17" thickBot="1">
      <c r="A54" s="129">
        <v>10</v>
      </c>
      <c r="B54" s="94">
        <f t="shared" si="14"/>
        <v>1000000000</v>
      </c>
      <c r="C54" s="109">
        <f t="shared" si="11"/>
        <v>5000000000</v>
      </c>
      <c r="D54" s="10">
        <f>SUM($C$45:C54)</f>
        <v>5555555555</v>
      </c>
      <c r="E54" s="10">
        <f t="shared" si="12"/>
        <v>5559846561.6688719</v>
      </c>
      <c r="F54" s="10">
        <f t="shared" si="13"/>
        <v>2.1323915180895859E-7</v>
      </c>
      <c r="G54" s="258">
        <f t="shared" si="15"/>
        <v>6591626012439.1982</v>
      </c>
    </row>
  </sheetData>
  <mergeCells count="1">
    <mergeCell ref="A18:F18"/>
  </mergeCells>
  <conditionalFormatting sqref="F45:F54">
    <cfRule type="cellIs" dxfId="537" priority="69" operator="equal">
      <formula>MAX($F$45:$F$54)</formula>
    </cfRule>
  </conditionalFormatting>
  <conditionalFormatting sqref="F21:F30">
    <cfRule type="cellIs" dxfId="536" priority="67" operator="equal">
      <formula>MAX($F$21:$F$30)</formula>
    </cfRule>
  </conditionalFormatting>
  <conditionalFormatting sqref="E33:E42">
    <cfRule type="cellIs" dxfId="535" priority="63" stopIfTrue="1" operator="lessThan">
      <formula>0</formula>
    </cfRule>
    <cfRule type="cellIs" dxfId="534" priority="64" operator="equal">
      <formula>MIN($E$33:$E$42)</formula>
    </cfRule>
  </conditionalFormatting>
  <conditionalFormatting sqref="E21:E30">
    <cfRule type="cellIs" dxfId="533" priority="59" stopIfTrue="1" operator="lessThan">
      <formula>0</formula>
    </cfRule>
    <cfRule type="cellIs" dxfId="532" priority="60" operator="equal">
      <formula>MIN($E$21:$E$30)</formula>
    </cfRule>
  </conditionalFormatting>
  <conditionalFormatting sqref="E45:E54">
    <cfRule type="cellIs" dxfId="531" priority="55" stopIfTrue="1" operator="lessThan">
      <formula>0</formula>
    </cfRule>
    <cfRule type="cellIs" dxfId="530" priority="56" operator="equal">
      <formula>MIN($E$45:$E$54)</formula>
    </cfRule>
  </conditionalFormatting>
  <conditionalFormatting sqref="F33:F42">
    <cfRule type="cellIs" dxfId="529" priority="41" operator="lessThanOrEqual">
      <formula>0</formula>
    </cfRule>
    <cfRule type="cellIs" dxfId="528" priority="42" operator="equal">
      <formula>MAX($F$33:$F$42)</formula>
    </cfRule>
  </conditionalFormatting>
  <conditionalFormatting sqref="R7:R16">
    <cfRule type="cellIs" dxfId="527" priority="27" operator="lessThanOrEqual">
      <formula>0</formula>
    </cfRule>
    <cfRule type="cellIs" dxfId="526" priority="28" operator="greaterThan">
      <formula>0</formula>
    </cfRule>
  </conditionalFormatting>
  <conditionalFormatting sqref="U7:U16">
    <cfRule type="cellIs" dxfId="525" priority="9" operator="lessThanOrEqual">
      <formula>0</formula>
    </cfRule>
    <cfRule type="cellIs" dxfId="524" priority="10" operator="greaterThan">
      <formula>0</formula>
    </cfRule>
  </conditionalFormatting>
  <conditionalFormatting sqref="S7:T16">
    <cfRule type="cellIs" dxfId="523" priority="1" operator="lessThanOrEqual">
      <formula>0</formula>
    </cfRule>
    <cfRule type="cellIs" dxfId="52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14" max="14" width="5.6640625" bestFit="1" customWidth="1"/>
    <col min="19" max="19" width="8.6640625" customWidth="1"/>
  </cols>
  <sheetData>
    <row r="1" spans="1:23">
      <c r="C1" t="s">
        <v>94</v>
      </c>
      <c r="D1">
        <f>C2+E2</f>
        <v>0.99999999999999944</v>
      </c>
    </row>
    <row r="2" spans="1:23">
      <c r="A2" t="s">
        <v>39</v>
      </c>
      <c r="B2" s="133" t="s">
        <v>124</v>
      </c>
      <c r="C2" s="139">
        <f>Analysis!B13</f>
        <v>0.68639178953862423</v>
      </c>
      <c r="D2" s="133" t="s">
        <v>125</v>
      </c>
      <c r="E2" s="139">
        <f>Analysis!I13</f>
        <v>0.31360821046137521</v>
      </c>
      <c r="F2" s="133" t="s">
        <v>46</v>
      </c>
      <c r="G2" s="139">
        <f>Analysis!S13</f>
        <v>176.13100881903597</v>
      </c>
      <c r="H2" t="s">
        <v>153</v>
      </c>
      <c r="I2" s="153">
        <f>Analysis!T13</f>
        <v>-176.36370384268233</v>
      </c>
      <c r="J2" t="s">
        <v>47</v>
      </c>
      <c r="K2" s="153">
        <f>G2*C2+I2*E2</f>
        <v>65.585772784097742</v>
      </c>
      <c r="L2" t="s">
        <v>46</v>
      </c>
      <c r="M2" s="160">
        <v>1</v>
      </c>
      <c r="N2" t="s">
        <v>153</v>
      </c>
      <c r="O2" s="160">
        <v>6</v>
      </c>
    </row>
    <row r="4" spans="1:23">
      <c r="A4" t="s">
        <v>122</v>
      </c>
      <c r="B4">
        <f>$C$2</f>
        <v>0.68639178953862423</v>
      </c>
      <c r="C4" t="s">
        <v>123</v>
      </c>
      <c r="D4">
        <f>$E$2</f>
        <v>0.31360821046137521</v>
      </c>
      <c r="E4" t="s">
        <v>46</v>
      </c>
      <c r="F4">
        <f>G2</f>
        <v>176.13100881903597</v>
      </c>
      <c r="G4" t="s">
        <v>153</v>
      </c>
      <c r="H4">
        <f>I2</f>
        <v>-176.36370384268233</v>
      </c>
      <c r="I4" t="s">
        <v>47</v>
      </c>
      <c r="J4">
        <f>B4*F4+D4*H4</f>
        <v>65.585772784097742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164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0.68639178953862423</v>
      </c>
      <c r="C7" s="95">
        <v>1</v>
      </c>
      <c r="D7" s="107">
        <f>C7*D4</f>
        <v>0.31360821046137521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0.99999999999999944</v>
      </c>
      <c r="R7" s="265">
        <f>B7-D7</f>
        <v>0.37278357907724902</v>
      </c>
      <c r="S7" s="266">
        <f>IF(Rules!B20=Rules!D20,SUM(C7)*B4*F4,SUM(C7)*B4*F4*POWER(O2,A7-1))</f>
        <v>120.89487833654131</v>
      </c>
      <c r="T7" s="252">
        <f>IF(Rules!B20=Rules!D20,SUM(C7)*D4*H4,SUM(C7)*D4*H4*POWER(O2,A7-1))</f>
        <v>-55.309105552443569</v>
      </c>
      <c r="U7" s="263">
        <f>S7+T7</f>
        <v>65.585772784097742</v>
      </c>
      <c r="V7" s="282">
        <f>S7/B4</f>
        <v>176.13100881903597</v>
      </c>
      <c r="W7" s="57">
        <f>T7/D4</f>
        <v>-176.36370384268233</v>
      </c>
    </row>
    <row r="8" spans="1:23">
      <c r="A8" s="98">
        <v>2</v>
      </c>
      <c r="B8" s="97">
        <f>C8*B4</f>
        <v>0.87467202940467381</v>
      </c>
      <c r="C8" s="97">
        <f>1/(1-B4*D4)</f>
        <v>1.2743043298822192</v>
      </c>
      <c r="D8" s="93">
        <f>C8*D4</f>
        <v>0.39963230047754472</v>
      </c>
      <c r="E8" s="1">
        <f>D8*D4</f>
        <v>0.12532797059532538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0.99999999999999922</v>
      </c>
      <c r="R8" s="267">
        <f>B8-E8</f>
        <v>0.7493440588093484</v>
      </c>
      <c r="S8" s="268">
        <f>IF(Rules!B20=Rules!D20,SUM(C8:D8)*B4*F4,SUM(C8:D8)*B4*F4*POWER(O2,A8-1))</f>
        <v>202.37036527042358</v>
      </c>
      <c r="T8" s="253">
        <f>IF(Rules!B20=Rules!D20,SUM(C8:D8)*D4*H4,SUM(C8:D8)*D4*H4*POWER(O2,A8-1))</f>
        <v>-92.583937776669885</v>
      </c>
      <c r="U8" s="264">
        <f>S8+T8+U7</f>
        <v>175.37220027785145</v>
      </c>
      <c r="V8" s="93">
        <f>S8/B4</f>
        <v>294.83214740440292</v>
      </c>
      <c r="W8" s="9">
        <f>T8/D4</f>
        <v>-295.22166412818694</v>
      </c>
    </row>
    <row r="9" spans="1:23">
      <c r="A9" s="98">
        <v>3</v>
      </c>
      <c r="B9" s="97">
        <f>C9*B4</f>
        <v>0.94583972015049</v>
      </c>
      <c r="C9" s="97">
        <f>1/(1-D4*B4/(1-D4*B4))</f>
        <v>1.3779881032467773</v>
      </c>
      <c r="D9" s="93">
        <f>C9*D4*C8</f>
        <v>0.55068855573119802</v>
      </c>
      <c r="E9" s="1">
        <f>D9*(D4)</f>
        <v>0.17270045248442031</v>
      </c>
      <c r="F9" s="1">
        <f>E9*D4</f>
        <v>5.4160279849508816E-2</v>
      </c>
      <c r="G9" s="1"/>
      <c r="H9" s="1"/>
      <c r="I9" s="1"/>
      <c r="J9" s="1"/>
      <c r="K9" s="1"/>
      <c r="L9" s="1"/>
      <c r="M9" s="235"/>
      <c r="N9" s="97">
        <f>B9+F9</f>
        <v>0.99999999999999878</v>
      </c>
      <c r="R9" s="267">
        <f>B9-F9</f>
        <v>0.89167944030098123</v>
      </c>
      <c r="S9" s="268">
        <f>IF(Rules!B20=Rules!D20,SUM(C9:E9)*B4*F4,SUM(C9:E9)*B4*F4*POWER(O2,A9-1))</f>
        <v>254.0457302294389</v>
      </c>
      <c r="T9" s="253">
        <f>IF(Rules!B20=Rules!D20,SUM(C9:E9)*D4*H4,SUM(C9:E9)*D4*H4*POWER(O2,A9-1))</f>
        <v>-116.2252884633626</v>
      </c>
      <c r="U9" s="264">
        <f t="shared" ref="U9:U16" si="0">S9+T9+U8</f>
        <v>313.19264204392778</v>
      </c>
      <c r="V9" s="93">
        <f>S9/B4</f>
        <v>370.11767055110352</v>
      </c>
      <c r="W9" s="9">
        <f>T9/D4</f>
        <v>-370.60665054774518</v>
      </c>
    </row>
    <row r="10" spans="1:23">
      <c r="A10" s="98">
        <v>4</v>
      </c>
      <c r="B10" s="97">
        <f>C10*B4</f>
        <v>0.97585205244803475</v>
      </c>
      <c r="C10" s="97">
        <f>1/(1-D4*B4/(1-D4*B4/(1-D4*B4)))</f>
        <v>1.4217128866066109</v>
      </c>
      <c r="D10" s="93">
        <f>C10*D4*C9</f>
        <v>0.61439092517420113</v>
      </c>
      <c r="E10" s="1">
        <f>D10*D4*C8</f>
        <v>0.24553045881989302</v>
      </c>
      <c r="F10" s="1">
        <f>E10*D4</f>
        <v>7.7000367804267028E-2</v>
      </c>
      <c r="G10" s="1">
        <f>F10*D4</f>
        <v>2.4147947551963873E-2</v>
      </c>
      <c r="H10" s="1"/>
      <c r="I10" s="1"/>
      <c r="J10" s="1"/>
      <c r="K10" s="1"/>
      <c r="L10" s="1"/>
      <c r="M10" s="235"/>
      <c r="N10" s="97">
        <f>B10+G10</f>
        <v>0.99999999999999867</v>
      </c>
      <c r="R10" s="267">
        <f>B10-G10</f>
        <v>0.95170410489607082</v>
      </c>
      <c r="S10" s="268">
        <f>IF(Rules!B20=Rules!D20,SUM(C10:F10)*B4*F4,SUM(C10:F10)*B4*F4*POWER(O2,A10-1))</f>
        <v>285.14684765032126</v>
      </c>
      <c r="T10" s="253">
        <f>IF(Rules!B20=Rules!D20,SUM(C10:F10)*D4*H4,SUM(C10:F10)*D4*H4*POWER(O2,A10-1))</f>
        <v>-130.45397217519019</v>
      </c>
      <c r="U10" s="264">
        <f t="shared" si="0"/>
        <v>467.88551751905885</v>
      </c>
      <c r="V10" s="93">
        <f>S10/B4</f>
        <v>415.42869829778994</v>
      </c>
      <c r="W10" s="9">
        <f>T10/D4</f>
        <v>-415.97754084074666</v>
      </c>
    </row>
    <row r="11" spans="1:23">
      <c r="A11" s="98">
        <v>5</v>
      </c>
      <c r="B11" s="97">
        <f>C11*B4</f>
        <v>0.98908735026476891</v>
      </c>
      <c r="C11" s="97">
        <f>1/(1-D4*B4/(1-D4*B4/(1-D4*B4/(1-D4*B4))))</f>
        <v>1.4409953110447449</v>
      </c>
      <c r="D11" s="93">
        <f>C11*D4*C10</f>
        <v>0.64248337140100564</v>
      </c>
      <c r="E11" s="1">
        <f>D11*D4*C9</f>
        <v>0.27764815011719557</v>
      </c>
      <c r="F11" s="1">
        <f>E11*D4*C8</f>
        <v>0.11095716895466953</v>
      </c>
      <c r="G11" s="1">
        <f>F11*D4</f>
        <v>3.479707919373437E-2</v>
      </c>
      <c r="H11" s="1">
        <f>G11*D4</f>
        <v>1.0912649735229788E-2</v>
      </c>
      <c r="I11" s="1"/>
      <c r="J11" s="1"/>
      <c r="K11" s="1"/>
      <c r="L11" s="1"/>
      <c r="M11" s="235"/>
      <c r="N11" s="97">
        <f>B11+H11</f>
        <v>0.99999999999999867</v>
      </c>
      <c r="R11" s="267">
        <f>B11-H11</f>
        <v>0.97817470052953914</v>
      </c>
      <c r="S11" s="268">
        <f>IF(Rules!B20=Rules!D20,SUM(C11:G11)*B4*F4,SUM(C11:G11)*B4*F4*POWER(O2,A11-1))</f>
        <v>303.06908325677585</v>
      </c>
      <c r="T11" s="253">
        <f>IF(Rules!B20=Rules!D20,SUM(C11:G11)*D4*H4,SUM(C11:G11)*D4*H4*POWER(O2,A11-1))</f>
        <v>-138.65335030048786</v>
      </c>
      <c r="U11" s="264">
        <f t="shared" si="0"/>
        <v>632.30125047534682</v>
      </c>
      <c r="V11" s="93">
        <f>S11/B4</f>
        <v>441.5394937350452</v>
      </c>
      <c r="W11" s="9">
        <f>T11/D4</f>
        <v>-442.12283248739993</v>
      </c>
    </row>
    <row r="12" spans="1:23">
      <c r="A12" s="98">
        <v>6</v>
      </c>
      <c r="B12" s="97">
        <f>C12*B4</f>
        <v>0.99503881317611353</v>
      </c>
      <c r="C12" s="97">
        <f>1/(1-D4*B4/(1-D4*B4/(1-D4*B4/(1-D4*B4/(1-D4*B4)))))</f>
        <v>1.4496659609593441</v>
      </c>
      <c r="D12" s="93">
        <f>C12*D4*C11</f>
        <v>0.65511558822928029</v>
      </c>
      <c r="E12" s="1">
        <f>D12*D4*C10</f>
        <v>0.29209038263819265</v>
      </c>
      <c r="F12" s="1">
        <f>E12*D4*C9</f>
        <v>0.1262263865750706</v>
      </c>
      <c r="G12" s="1">
        <f>F12*D4*C8</f>
        <v>5.0444141247963328E-2</v>
      </c>
      <c r="H12" s="1">
        <f>G12*D4</f>
        <v>1.5819696865034621E-2</v>
      </c>
      <c r="I12" s="1">
        <f>H12*D4</f>
        <v>4.9611868238849353E-3</v>
      </c>
      <c r="J12" s="1"/>
      <c r="K12" s="1"/>
      <c r="L12" s="1"/>
      <c r="M12" s="235"/>
      <c r="N12" s="97">
        <f>B12+I12</f>
        <v>0.99999999999999845</v>
      </c>
      <c r="R12" s="267">
        <f>B12-I12</f>
        <v>0.99007762635222862</v>
      </c>
      <c r="S12" s="268">
        <f>IF(Rules!B20=Rules!D20,SUM(C12:H12)*B4*F4,SUM(C12:H12)*B4*F4*POWER(O2,A12-1))</f>
        <v>313.04062288111129</v>
      </c>
      <c r="T12" s="253">
        <f>IF(Rules!B20=Rules!D20,SUM(C12:H12)*D4*H4,SUM(C12:H12)*D4*H4*POWER(O2,A12-1))</f>
        <v>-143.21530482818471</v>
      </c>
      <c r="U12" s="264">
        <f t="shared" si="0"/>
        <v>802.12656852827342</v>
      </c>
      <c r="V12" s="93">
        <f>S12/B4</f>
        <v>456.06696882480128</v>
      </c>
      <c r="W12" s="9">
        <f>T12/D4</f>
        <v>-456.66950051304053</v>
      </c>
    </row>
    <row r="13" spans="1:23">
      <c r="A13" s="98">
        <v>7</v>
      </c>
      <c r="B13" s="97">
        <f>C13*B4</f>
        <v>0.9977383905556324</v>
      </c>
      <c r="C13" s="97">
        <f>1/(1-D4*B4/(1-D4*B4/(1-D4*B4/(1-D4*B4/(1-D4*B4/(1-D4*B4))))))</f>
        <v>1.4535989587321372</v>
      </c>
      <c r="D13" s="93">
        <f>C13*D4*C12</f>
        <v>0.66084554862906419</v>
      </c>
      <c r="E13" s="1">
        <f>D13*D4*C11</f>
        <v>0.29864136427148436</v>
      </c>
      <c r="F13" s="1">
        <f>E13*D4*C10</f>
        <v>0.13315248778833896</v>
      </c>
      <c r="G13" s="1">
        <f>F13*D4*C9</f>
        <v>5.7541632302978735E-2</v>
      </c>
      <c r="H13" s="1">
        <f>G13*D4*C8</f>
        <v>2.2995494890472392E-2</v>
      </c>
      <c r="I13" s="1">
        <f>H13*D4</f>
        <v>7.2115760012747441E-3</v>
      </c>
      <c r="J13" s="1">
        <f>I13*D4</f>
        <v>2.2616094443659728E-3</v>
      </c>
      <c r="K13" s="1"/>
      <c r="L13" s="1"/>
      <c r="M13" s="235"/>
      <c r="N13" s="97">
        <f>B13+J13</f>
        <v>0.99999999999999833</v>
      </c>
      <c r="R13" s="267">
        <f>B13-J13</f>
        <v>0.99547678111126647</v>
      </c>
      <c r="S13" s="268">
        <f>IF(Rules!B20=Rules!D20,SUM(C13:I13)*B4*F4,SUM(C13:I13)*B4*F4*POWER(O2,A13-1))</f>
        <v>318.43554547495501</v>
      </c>
      <c r="T13" s="253">
        <f>IF(Rules!B20=Rules!D20,SUM(C13:I13)*D4*H4,SUM(C13:I13)*D4*H4*POWER(O2,A13-1))</f>
        <v>-145.68346846998534</v>
      </c>
      <c r="U13" s="264">
        <f t="shared" si="0"/>
        <v>974.87864553324312</v>
      </c>
      <c r="V13" s="93">
        <f>S13/B4</f>
        <v>463.92679855480145</v>
      </c>
      <c r="W13" s="9">
        <f>T13/D4</f>
        <v>-464.53971423662102</v>
      </c>
    </row>
    <row r="14" spans="1:23">
      <c r="A14" s="98">
        <v>8</v>
      </c>
      <c r="B14" s="97">
        <f>C14*B4</f>
        <v>0.99896775111634628</v>
      </c>
      <c r="C14" s="97">
        <f>1/(1-D4*B4/(1-D4*B4/(1-D4*B4/(1-D4*B4/(1-D4*B4/(1-D4*B4/(1-D4*B4)))))))</f>
        <v>1.4553900066139018</v>
      </c>
      <c r="D14" s="93">
        <f>C14*D4*C13</f>
        <v>0.66345491533341905</v>
      </c>
      <c r="E14" s="1">
        <f>D14*D4*C12</f>
        <v>0.30162461584079647</v>
      </c>
      <c r="F14" s="1">
        <f>E14*D4*C11</f>
        <v>0.13630656506565775</v>
      </c>
      <c r="G14" s="1">
        <f>F14*D4*C10</f>
        <v>6.0773758801464281E-2</v>
      </c>
      <c r="H14" s="1">
        <f>G14*D4*C9</f>
        <v>2.6263281600736505E-2</v>
      </c>
      <c r="I14" s="1">
        <f>H14*D4*C8</f>
        <v>1.0495655644191903E-2</v>
      </c>
      <c r="J14" s="1">
        <f>I14*D4</f>
        <v>3.291523784193855E-3</v>
      </c>
      <c r="K14" s="1">
        <f>J14*D4</f>
        <v>1.0322488836520887E-3</v>
      </c>
      <c r="L14" s="1"/>
      <c r="M14" s="235"/>
      <c r="N14" s="97">
        <f>B14+K14</f>
        <v>0.99999999999999833</v>
      </c>
      <c r="R14" s="267">
        <f>B14-K14</f>
        <v>0.99793550223269423</v>
      </c>
      <c r="S14" s="268">
        <f>IF(Rules!B20=Rules!D20,SUM(C14:J14)*B4*F4,SUM(C14:J14)*B4*F4*POWER(O2,A14-1))</f>
        <v>321.29026767807881</v>
      </c>
      <c r="T14" s="253">
        <f>IF(Rules!B20=Rules!D20,SUM(C14:J14)*D4*H4,SUM(C14:J14)*D4*H4*POWER(O2,A14-1))</f>
        <v>-146.98949676355744</v>
      </c>
      <c r="U14" s="264">
        <f t="shared" si="0"/>
        <v>1149.1794164477644</v>
      </c>
      <c r="V14" s="93">
        <f>S14/B4</f>
        <v>468.08582587219212</v>
      </c>
      <c r="W14" s="9">
        <f>T14/D4</f>
        <v>-468.70423624212174</v>
      </c>
    </row>
    <row r="15" spans="1:23">
      <c r="A15" s="98">
        <v>9</v>
      </c>
      <c r="B15" s="97">
        <f>C15*B4</f>
        <v>0.99952859412690687</v>
      </c>
      <c r="C15" s="97">
        <f>1/(1-D4*B4/(1-D4*B4/(1-D4*B4/(1-D4*B4/(1-D4*B4/(1-D4*B4/(1-D4*B4/(1-D4*B4))))))))</f>
        <v>1.4562070953657029</v>
      </c>
      <c r="D15" s="93">
        <f>C15*D4*C14</f>
        <v>0.66464532693835698</v>
      </c>
      <c r="E15" s="1">
        <f>D15*D4*C13</f>
        <v>0.30298559637397765</v>
      </c>
      <c r="F15" s="1">
        <f>E15*D4*C12</f>
        <v>0.13774547749890231</v>
      </c>
      <c r="G15" s="1">
        <f>F15*D4*C11</f>
        <v>6.2248277843192902E-2</v>
      </c>
      <c r="H15" s="1">
        <f>G15*D4*C10</f>
        <v>2.7754069084100746E-2</v>
      </c>
      <c r="I15" s="1">
        <f>H15*D4*C9</f>
        <v>1.1993876079036774E-2</v>
      </c>
      <c r="J15" s="1">
        <f>I15*D4*C8</f>
        <v>4.79314028910806E-3</v>
      </c>
      <c r="K15" s="1">
        <f>J15*D4</f>
        <v>1.5031681485574973E-3</v>
      </c>
      <c r="L15" s="1">
        <f>K15*D4</f>
        <v>4.7140587309165533E-4</v>
      </c>
      <c r="M15" s="235"/>
      <c r="N15" s="97">
        <f>B15+L15</f>
        <v>0.99999999999999856</v>
      </c>
      <c r="R15" s="267">
        <f>B15-L15</f>
        <v>0.99905718825381518</v>
      </c>
      <c r="S15" s="268">
        <f>IF(Rules!B20=Rules!D20,SUM(C15:K15)*B4*F4,SUM(C15:K15)*B4*F4*POWER(O2,A15-1))</f>
        <v>322.77433753288125</v>
      </c>
      <c r="T15" s="253">
        <f>IF(Rules!B20=Rules!D20,SUM(C15:K15)*D4*H4,SUM(C15:K15)*D4*H4*POWER(O2,A15-1))</f>
        <v>-147.66845502362509</v>
      </c>
      <c r="U15" s="264">
        <f t="shared" si="0"/>
        <v>1324.2852989570206</v>
      </c>
      <c r="V15" s="93">
        <f>S15/B4</f>
        <v>470.24795816663578</v>
      </c>
      <c r="W15" s="9">
        <f>T15/D4</f>
        <v>-470.86922503201589</v>
      </c>
    </row>
    <row r="16" spans="1:23" ht="17" thickBot="1">
      <c r="A16" s="99">
        <v>10</v>
      </c>
      <c r="B16" s="129">
        <f>C16*B4</f>
        <v>0.99978466391945797</v>
      </c>
      <c r="C16" s="129">
        <f>1/(1-D4*B4/(1-D4*B4/(1-D4*B4/(1-D4*B4/(1-D4*B4/(1-D4*B4/(1-D4*B4/(1-D4*B4/(1-D4*B4)))))))))</f>
        <v>1.4565801618802707</v>
      </c>
      <c r="D16" s="94">
        <f>C16*D4*C15</f>
        <v>0.66518884526164379</v>
      </c>
      <c r="E16" s="109">
        <f>D16*D4*C14</f>
        <v>0.30360699308613343</v>
      </c>
      <c r="F16" s="109">
        <f>E16*D4*C13</f>
        <v>0.13840245637060469</v>
      </c>
      <c r="G16" s="109">
        <f>F16*D4*C12</f>
        <v>6.2921513985960908E-2</v>
      </c>
      <c r="H16" s="109">
        <f>G16*D4*C11</f>
        <v>2.843473307458428E-2</v>
      </c>
      <c r="I16" s="109">
        <f>H16*D4*C10</f>
        <v>1.2677933807710578E-2</v>
      </c>
      <c r="J16" s="109">
        <f>I16*D4*C9</f>
        <v>5.4787485960038742E-3</v>
      </c>
      <c r="K16" s="109">
        <f>J16*D4*C8</f>
        <v>2.1894849051591466E-3</v>
      </c>
      <c r="L16" s="109">
        <f>K16*D4</f>
        <v>6.8664044293915386E-4</v>
      </c>
      <c r="M16" s="237">
        <f>L16*D4</f>
        <v>2.1533608054055407E-4</v>
      </c>
      <c r="N16" s="129">
        <f>B16+M16</f>
        <v>0.99999999999999856</v>
      </c>
      <c r="R16" s="269">
        <f>B16-M16</f>
        <v>0.99956932783891739</v>
      </c>
      <c r="S16" s="270">
        <f>IF(Rules!B20=Rules!D20,SUM(C16:L16)*B4*F4,SUM(C16:L16)*B4*F4*POWER(O2,A16-1))</f>
        <v>323.53494570023872</v>
      </c>
      <c r="T16" s="254">
        <f>IF(Rules!B20=Rules!D20,SUM(C16:L16)*D4*H4,SUM(C16:L16)*D4*H4*POWER(O2,A16-1))</f>
        <v>-148.01643136465185</v>
      </c>
      <c r="U16" s="264">
        <f t="shared" si="0"/>
        <v>1499.8038132926074</v>
      </c>
      <c r="V16" s="94">
        <f>S16/B4</f>
        <v>471.35608355355038</v>
      </c>
      <c r="W16" s="10">
        <f>T16/D4</f>
        <v>-471.97881441589976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0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6</v>
      </c>
      <c r="D21" s="57">
        <f>SUM($C$21:C21)</f>
        <v>6</v>
      </c>
      <c r="E21" s="57">
        <f t="shared" ref="E21:E30" si="2">D21/R7</f>
        <v>16.095129551714152</v>
      </c>
      <c r="F21" s="8">
        <f t="shared" ref="F21:F30" si="3">U7/E21</f>
        <v>4.0748831858338646</v>
      </c>
      <c r="G21" s="256">
        <f>E21*U7</f>
        <v>1055.6115097093414</v>
      </c>
    </row>
    <row r="22" spans="1:7">
      <c r="A22" s="97">
        <v>2</v>
      </c>
      <c r="B22" s="93">
        <f>C21</f>
        <v>6</v>
      </c>
      <c r="C22" s="1">
        <f t="shared" si="1"/>
        <v>36</v>
      </c>
      <c r="D22" s="9">
        <f>SUM($C$21:C22)</f>
        <v>42</v>
      </c>
      <c r="E22" s="9">
        <f t="shared" si="2"/>
        <v>56.049019814389204</v>
      </c>
      <c r="F22" s="9">
        <f t="shared" si="3"/>
        <v>3.1289075323459796</v>
      </c>
      <c r="G22" s="257">
        <f t="shared" ref="G22:G30" si="4">E22*U8</f>
        <v>9829.4399282663271</v>
      </c>
    </row>
    <row r="23" spans="1:7">
      <c r="A23" s="97">
        <v>3</v>
      </c>
      <c r="B23" s="93">
        <f t="shared" ref="B23:B30" si="5">C22</f>
        <v>36</v>
      </c>
      <c r="C23" s="1">
        <f t="shared" si="1"/>
        <v>216</v>
      </c>
      <c r="D23" s="9">
        <f>SUM($C$21:C23)</f>
        <v>258</v>
      </c>
      <c r="E23" s="9">
        <f t="shared" si="2"/>
        <v>289.34164940812542</v>
      </c>
      <c r="F23" s="9">
        <f t="shared" si="3"/>
        <v>1.0824319370702133</v>
      </c>
      <c r="G23" s="257">
        <f t="shared" si="4"/>
        <v>90619.675631478676</v>
      </c>
    </row>
    <row r="24" spans="1:7">
      <c r="A24" s="97">
        <v>4</v>
      </c>
      <c r="B24" s="93">
        <f t="shared" si="5"/>
        <v>216</v>
      </c>
      <c r="C24" s="1">
        <f t="shared" si="1"/>
        <v>1296</v>
      </c>
      <c r="D24" s="9">
        <f>SUM($C$21:C24)</f>
        <v>1554</v>
      </c>
      <c r="E24" s="9">
        <f t="shared" si="2"/>
        <v>1632.860457368419</v>
      </c>
      <c r="F24" s="9">
        <f t="shared" si="3"/>
        <v>0.28654347982259382</v>
      </c>
      <c r="G24" s="257">
        <f t="shared" si="4"/>
        <v>763991.76013222989</v>
      </c>
    </row>
    <row r="25" spans="1:7">
      <c r="A25" s="97">
        <v>5</v>
      </c>
      <c r="B25" s="93">
        <f t="shared" si="5"/>
        <v>1296</v>
      </c>
      <c r="C25" s="1">
        <f t="shared" si="1"/>
        <v>7776</v>
      </c>
      <c r="D25" s="9">
        <f>SUM($C$21:C25)</f>
        <v>9330</v>
      </c>
      <c r="E25" s="9">
        <f t="shared" si="2"/>
        <v>9538.1734928833921</v>
      </c>
      <c r="F25" s="9">
        <f t="shared" si="3"/>
        <v>6.6291649124134558E-2</v>
      </c>
      <c r="G25" s="257">
        <f t="shared" si="4"/>
        <v>6030999.0268009752</v>
      </c>
    </row>
    <row r="26" spans="1:7">
      <c r="A26" s="97">
        <v>6</v>
      </c>
      <c r="B26" s="93">
        <f t="shared" si="5"/>
        <v>7776</v>
      </c>
      <c r="C26" s="1">
        <f t="shared" si="1"/>
        <v>46656</v>
      </c>
      <c r="D26" s="9">
        <f>SUM($C$21:C26)</f>
        <v>55986</v>
      </c>
      <c r="E26" s="9">
        <f t="shared" si="2"/>
        <v>56547.081269042334</v>
      </c>
      <c r="F26" s="9">
        <f t="shared" si="3"/>
        <v>1.418511000969048E-2</v>
      </c>
      <c r="G26" s="257">
        <f t="shared" si="4"/>
        <v>45357916.258626334</v>
      </c>
    </row>
    <row r="27" spans="1:7">
      <c r="A27" s="97">
        <v>7</v>
      </c>
      <c r="B27" s="93">
        <f t="shared" si="5"/>
        <v>46656</v>
      </c>
      <c r="C27" s="1">
        <f t="shared" si="1"/>
        <v>279936</v>
      </c>
      <c r="D27" s="9">
        <f>SUM($C$21:C27)</f>
        <v>335922</v>
      </c>
      <c r="E27" s="9">
        <f t="shared" si="2"/>
        <v>337448.35276319046</v>
      </c>
      <c r="F27" s="9">
        <f t="shared" si="3"/>
        <v>2.8889714160714223E-3</v>
      </c>
      <c r="G27" s="257">
        <f t="shared" si="4"/>
        <v>328971193.07920313</v>
      </c>
    </row>
    <row r="28" spans="1:7">
      <c r="A28" s="97">
        <v>8</v>
      </c>
      <c r="B28" s="93">
        <f t="shared" si="5"/>
        <v>279936</v>
      </c>
      <c r="C28" s="1">
        <f t="shared" si="1"/>
        <v>1679616</v>
      </c>
      <c r="D28" s="9">
        <f>SUM($C$21:C28)</f>
        <v>2015538</v>
      </c>
      <c r="E28" s="9">
        <f t="shared" si="2"/>
        <v>2019707.6820000994</v>
      </c>
      <c r="F28" s="9">
        <f t="shared" si="3"/>
        <v>5.6898303981779274E-4</v>
      </c>
      <c r="G28" s="257">
        <f t="shared" si="4"/>
        <v>2321006495.3959413</v>
      </c>
    </row>
    <row r="29" spans="1:7">
      <c r="A29" s="97">
        <v>9</v>
      </c>
      <c r="B29" s="93">
        <f t="shared" si="5"/>
        <v>1679616</v>
      </c>
      <c r="C29" s="1">
        <f t="shared" si="1"/>
        <v>10077696</v>
      </c>
      <c r="D29" s="9">
        <f>SUM($C$21:C29)</f>
        <v>12093234</v>
      </c>
      <c r="E29" s="9">
        <f t="shared" si="2"/>
        <v>12104646.402811985</v>
      </c>
      <c r="F29" s="9">
        <f t="shared" si="3"/>
        <v>1.094030552308724E-4</v>
      </c>
      <c r="G29" s="257">
        <f t="shared" si="4"/>
        <v>16030005280.316895</v>
      </c>
    </row>
    <row r="30" spans="1:7" ht="17" thickBot="1">
      <c r="A30" s="129">
        <v>10</v>
      </c>
      <c r="B30" s="94">
        <f t="shared" si="5"/>
        <v>10077696</v>
      </c>
      <c r="C30" s="109">
        <f t="shared" si="1"/>
        <v>60466176</v>
      </c>
      <c r="D30" s="10">
        <f>SUM($C$21:C30)</f>
        <v>72559410</v>
      </c>
      <c r="E30" s="10">
        <f t="shared" si="2"/>
        <v>72590672.781921431</v>
      </c>
      <c r="F30" s="10">
        <f t="shared" si="3"/>
        <v>2.0661109145500723E-5</v>
      </c>
      <c r="G30" s="258">
        <f t="shared" si="4"/>
        <v>108871767847.80165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0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6</v>
      </c>
      <c r="D33" s="57">
        <f>SUM($C$33:C33)</f>
        <v>6</v>
      </c>
      <c r="E33" s="9">
        <f t="shared" ref="E33:E42" si="7">D33/R7</f>
        <v>16.095129551714152</v>
      </c>
      <c r="F33" s="8">
        <f t="shared" ref="F33:F42" si="8">U7/E33</f>
        <v>4.0748831858338646</v>
      </c>
      <c r="G33" s="259">
        <f>E33*U7</f>
        <v>1055.6115097093414</v>
      </c>
    </row>
    <row r="34" spans="1:7">
      <c r="A34" s="97">
        <v>2</v>
      </c>
      <c r="B34" s="93">
        <f t="shared" ref="B34:B42" si="9">B33*($O$2+1)</f>
        <v>7</v>
      </c>
      <c r="C34" s="1">
        <f t="shared" si="6"/>
        <v>42</v>
      </c>
      <c r="D34" s="9">
        <f>SUM($C$33:C34)</f>
        <v>48</v>
      </c>
      <c r="E34" s="9">
        <f t="shared" si="7"/>
        <v>64.056022645016242</v>
      </c>
      <c r="F34" s="9">
        <f t="shared" si="8"/>
        <v>2.7377940908027321</v>
      </c>
      <c r="G34" s="257">
        <f t="shared" ref="G34:G42" si="10">E34*U8</f>
        <v>11233.645632304377</v>
      </c>
    </row>
    <row r="35" spans="1:7">
      <c r="A35" s="97">
        <v>3</v>
      </c>
      <c r="B35" s="93">
        <f t="shared" si="9"/>
        <v>49</v>
      </c>
      <c r="C35" s="1">
        <f t="shared" si="6"/>
        <v>294</v>
      </c>
      <c r="D35" s="9">
        <f>SUM($C$33:C35)</f>
        <v>342</v>
      </c>
      <c r="E35" s="9">
        <f t="shared" si="7"/>
        <v>383.54590735495691</v>
      </c>
      <c r="F35" s="9">
        <f t="shared" si="8"/>
        <v>0.81657146129858216</v>
      </c>
      <c r="G35" s="257">
        <f t="shared" si="10"/>
        <v>120123.7560696345</v>
      </c>
    </row>
    <row r="36" spans="1:7">
      <c r="A36" s="97">
        <v>4</v>
      </c>
      <c r="B36" s="93">
        <f t="shared" si="9"/>
        <v>343</v>
      </c>
      <c r="C36" s="1">
        <f t="shared" si="6"/>
        <v>2058</v>
      </c>
      <c r="D36" s="9">
        <f>SUM($C$33:C36)</f>
        <v>2400</v>
      </c>
      <c r="E36" s="9">
        <f t="shared" si="7"/>
        <v>2521.7922121519982</v>
      </c>
      <c r="F36" s="9">
        <f t="shared" si="8"/>
        <v>0.1855369031851295</v>
      </c>
      <c r="G36" s="257">
        <f t="shared" si="10"/>
        <v>1179910.05425827</v>
      </c>
    </row>
    <row r="37" spans="1:7">
      <c r="A37" s="97">
        <v>5</v>
      </c>
      <c r="B37" s="93">
        <f t="shared" si="9"/>
        <v>2401</v>
      </c>
      <c r="C37" s="1">
        <f t="shared" si="6"/>
        <v>14406</v>
      </c>
      <c r="D37" s="9">
        <f>SUM($C$33:C37)</f>
        <v>16806</v>
      </c>
      <c r="E37" s="9">
        <f t="shared" si="7"/>
        <v>17180.980034447832</v>
      </c>
      <c r="F37" s="9">
        <f t="shared" si="8"/>
        <v>3.6802397139603447E-2</v>
      </c>
      <c r="G37" s="257">
        <f t="shared" si="10"/>
        <v>10863555.16017333</v>
      </c>
    </row>
    <row r="38" spans="1:7">
      <c r="A38" s="97">
        <v>6</v>
      </c>
      <c r="B38" s="93">
        <f t="shared" si="9"/>
        <v>16807</v>
      </c>
      <c r="C38" s="1">
        <f t="shared" si="6"/>
        <v>100842</v>
      </c>
      <c r="D38" s="9">
        <f>SUM($C$33:C38)</f>
        <v>117648</v>
      </c>
      <c r="E38" s="9">
        <f t="shared" si="7"/>
        <v>118827.04635337928</v>
      </c>
      <c r="F38" s="9">
        <f t="shared" si="8"/>
        <v>6.7503703335588467E-3</v>
      </c>
      <c r="G38" s="257">
        <f t="shared" si="10"/>
        <v>95314330.939786211</v>
      </c>
    </row>
    <row r="39" spans="1:7">
      <c r="A39" s="97">
        <v>7</v>
      </c>
      <c r="B39" s="93">
        <f t="shared" si="9"/>
        <v>117649</v>
      </c>
      <c r="C39" s="1">
        <f t="shared" si="6"/>
        <v>705894</v>
      </c>
      <c r="D39" s="9">
        <f>SUM($C$33:C39)</f>
        <v>823542</v>
      </c>
      <c r="E39" s="9">
        <f t="shared" si="7"/>
        <v>827283.98655432928</v>
      </c>
      <c r="F39" s="9">
        <f t="shared" si="8"/>
        <v>1.1784086980743474E-3</v>
      </c>
      <c r="G39" s="257">
        <f t="shared" si="10"/>
        <v>806501492.28342628</v>
      </c>
    </row>
    <row r="40" spans="1:7">
      <c r="A40" s="97">
        <v>8</v>
      </c>
      <c r="B40" s="93">
        <f t="shared" si="9"/>
        <v>823543</v>
      </c>
      <c r="C40" s="1">
        <f t="shared" si="6"/>
        <v>4941258</v>
      </c>
      <c r="D40" s="9">
        <f>SUM($C$33:C40)</f>
        <v>5764800</v>
      </c>
      <c r="E40" s="9">
        <f t="shared" si="7"/>
        <v>5776726.0380078042</v>
      </c>
      <c r="F40" s="9">
        <f t="shared" si="8"/>
        <v>1.9893264954695293E-4</v>
      </c>
      <c r="G40" s="257">
        <f t="shared" si="10"/>
        <v>6638494657.3364143</v>
      </c>
    </row>
    <row r="41" spans="1:7">
      <c r="A41" s="97">
        <v>9</v>
      </c>
      <c r="B41" s="93">
        <f t="shared" si="9"/>
        <v>5764801</v>
      </c>
      <c r="C41" s="1">
        <f t="shared" si="6"/>
        <v>34588806</v>
      </c>
      <c r="D41" s="9">
        <f>SUM($C$33:C41)</f>
        <v>40353606</v>
      </c>
      <c r="E41" s="9">
        <f t="shared" si="7"/>
        <v>40391687.757666156</v>
      </c>
      <c r="F41" s="9">
        <f t="shared" si="8"/>
        <v>3.2786084773238458E-5</v>
      </c>
      <c r="G41" s="257">
        <f t="shared" si="10"/>
        <v>53490118297.539551</v>
      </c>
    </row>
    <row r="42" spans="1:7" ht="17" thickBot="1">
      <c r="A42" s="129">
        <v>10</v>
      </c>
      <c r="B42" s="94">
        <f t="shared" si="9"/>
        <v>40353607</v>
      </c>
      <c r="C42" s="109">
        <f t="shared" si="6"/>
        <v>242121642</v>
      </c>
      <c r="D42" s="10">
        <f>SUM($C$33:C42)</f>
        <v>282475248</v>
      </c>
      <c r="E42" s="9">
        <f t="shared" si="7"/>
        <v>282596954.64117068</v>
      </c>
      <c r="F42" s="10">
        <f t="shared" si="8"/>
        <v>5.3072185975853601E-6</v>
      </c>
      <c r="G42" s="258">
        <f t="shared" si="10"/>
        <v>423839990195.70581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0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6</v>
      </c>
      <c r="D45" s="57">
        <f>SUM(C45:C45)</f>
        <v>6</v>
      </c>
      <c r="E45" s="57">
        <f t="shared" ref="E45:E54" si="12">D45/R7</f>
        <v>16.095129551714152</v>
      </c>
      <c r="F45" s="8">
        <f t="shared" ref="F45:F54" si="13">U7/E45</f>
        <v>4.0748831858338646</v>
      </c>
      <c r="G45" s="256">
        <f>E45*U7</f>
        <v>1055.6115097093414</v>
      </c>
    </row>
    <row r="46" spans="1:7">
      <c r="A46" s="97">
        <v>2</v>
      </c>
      <c r="B46" s="93">
        <f t="shared" ref="B46:B54" si="14">B45*$O$2*2</f>
        <v>12</v>
      </c>
      <c r="C46" s="1">
        <f t="shared" si="11"/>
        <v>72</v>
      </c>
      <c r="D46" s="9">
        <f>SUM($C$45:C46)</f>
        <v>78</v>
      </c>
      <c r="E46" s="9">
        <f t="shared" si="12"/>
        <v>104.09103679815138</v>
      </c>
      <c r="F46" s="9">
        <f t="shared" si="13"/>
        <v>1.6847963635709122</v>
      </c>
      <c r="G46" s="257">
        <f t="shared" ref="G46:G54" si="15">E46*U8</f>
        <v>18254.674152494608</v>
      </c>
    </row>
    <row r="47" spans="1:7">
      <c r="A47" s="97">
        <v>3</v>
      </c>
      <c r="B47" s="93">
        <f t="shared" si="14"/>
        <v>144</v>
      </c>
      <c r="C47" s="1">
        <f t="shared" si="11"/>
        <v>864</v>
      </c>
      <c r="D47" s="9">
        <f>SUM($C$45:C47)</f>
        <v>942</v>
      </c>
      <c r="E47" s="9">
        <f t="shared" si="12"/>
        <v>1056.4334641180392</v>
      </c>
      <c r="F47" s="9">
        <f t="shared" si="13"/>
        <v>0.29646225028037698</v>
      </c>
      <c r="G47" s="257">
        <f t="shared" si="15"/>
        <v>330867.18777074764</v>
      </c>
    </row>
    <row r="48" spans="1:7">
      <c r="A48" s="97">
        <v>4</v>
      </c>
      <c r="B48" s="93">
        <f t="shared" si="14"/>
        <v>1728</v>
      </c>
      <c r="C48" s="1">
        <f t="shared" si="11"/>
        <v>10368</v>
      </c>
      <c r="D48" s="9">
        <f>SUM($C$45:C48)</f>
        <v>11310</v>
      </c>
      <c r="E48" s="9">
        <f t="shared" si="12"/>
        <v>11883.945799766292</v>
      </c>
      <c r="F48" s="9">
        <f t="shared" si="13"/>
        <v>3.9371226140080526E-2</v>
      </c>
      <c r="G48" s="257">
        <f t="shared" si="15"/>
        <v>5560326.1306920974</v>
      </c>
    </row>
    <row r="49" spans="1:7">
      <c r="A49" s="97">
        <v>5</v>
      </c>
      <c r="B49" s="93">
        <f t="shared" si="14"/>
        <v>20736</v>
      </c>
      <c r="C49" s="1">
        <f t="shared" si="11"/>
        <v>124416</v>
      </c>
      <c r="D49" s="9">
        <f>SUM($C$45:C49)</f>
        <v>135726</v>
      </c>
      <c r="E49" s="9">
        <f t="shared" si="12"/>
        <v>138754.35535853068</v>
      </c>
      <c r="F49" s="9">
        <f t="shared" si="13"/>
        <v>4.5569830859833451E-3</v>
      </c>
      <c r="G49" s="257">
        <f t="shared" si="15"/>
        <v>87734552.402099594</v>
      </c>
    </row>
    <row r="50" spans="1:7">
      <c r="A50" s="97">
        <v>6</v>
      </c>
      <c r="B50" s="93">
        <f t="shared" si="14"/>
        <v>248832</v>
      </c>
      <c r="C50" s="1">
        <f t="shared" si="11"/>
        <v>1492992</v>
      </c>
      <c r="D50" s="9">
        <f>SUM($C$45:C50)</f>
        <v>1628718</v>
      </c>
      <c r="E50" s="9">
        <f t="shared" si="12"/>
        <v>1645040.7085762885</v>
      </c>
      <c r="F50" s="9">
        <f t="shared" si="13"/>
        <v>4.8760286863811365E-4</v>
      </c>
      <c r="G50" s="257">
        <f t="shared" si="15"/>
        <v>1319530858.6596177</v>
      </c>
    </row>
    <row r="51" spans="1:7">
      <c r="A51" s="97">
        <v>7</v>
      </c>
      <c r="B51" s="93">
        <f t="shared" si="14"/>
        <v>2985984</v>
      </c>
      <c r="C51" s="1">
        <f t="shared" si="11"/>
        <v>17915904</v>
      </c>
      <c r="D51" s="9">
        <f>SUM($C$45:C51)</f>
        <v>19544622</v>
      </c>
      <c r="E51" s="9">
        <f t="shared" si="12"/>
        <v>19633428.293708697</v>
      </c>
      <c r="F51" s="9">
        <f t="shared" si="13"/>
        <v>4.9654020222521787E-5</v>
      </c>
      <c r="G51" s="257">
        <f t="shared" si="15"/>
        <v>19140209982.144787</v>
      </c>
    </row>
    <row r="52" spans="1:7">
      <c r="A52" s="97">
        <v>8</v>
      </c>
      <c r="B52" s="93">
        <f t="shared" si="14"/>
        <v>35831808</v>
      </c>
      <c r="C52" s="1">
        <f t="shared" si="11"/>
        <v>214990848</v>
      </c>
      <c r="D52" s="9">
        <f>SUM($C$45:C52)</f>
        <v>234535470</v>
      </c>
      <c r="E52" s="9">
        <f t="shared" si="12"/>
        <v>235020669.64775851</v>
      </c>
      <c r="F52" s="9">
        <f t="shared" si="13"/>
        <v>4.889695098606084E-6</v>
      </c>
      <c r="G52" s="257">
        <f t="shared" si="15"/>
        <v>270080915998.97394</v>
      </c>
    </row>
    <row r="53" spans="1:7">
      <c r="A53" s="97">
        <v>9</v>
      </c>
      <c r="B53" s="93">
        <f t="shared" si="14"/>
        <v>429981696</v>
      </c>
      <c r="C53" s="1">
        <f t="shared" si="11"/>
        <v>2579890176</v>
      </c>
      <c r="D53" s="9">
        <f>SUM($C$45:C53)</f>
        <v>2814425646</v>
      </c>
      <c r="E53" s="9">
        <f t="shared" si="12"/>
        <v>2817081623.6447339</v>
      </c>
      <c r="F53" s="9">
        <f t="shared" si="13"/>
        <v>4.7009120638956255E-7</v>
      </c>
      <c r="G53" s="257">
        <f t="shared" si="15"/>
        <v>3730619780154.6953</v>
      </c>
    </row>
    <row r="54" spans="1:7" ht="17" thickBot="1">
      <c r="A54" s="129">
        <v>10</v>
      </c>
      <c r="B54" s="94">
        <f t="shared" si="14"/>
        <v>5159780352</v>
      </c>
      <c r="C54" s="109">
        <f t="shared" si="11"/>
        <v>30958682112</v>
      </c>
      <c r="D54" s="10">
        <f>SUM($C$45:C54)</f>
        <v>33773107758</v>
      </c>
      <c r="E54" s="10">
        <f t="shared" si="12"/>
        <v>33787659162.189304</v>
      </c>
      <c r="F54" s="10">
        <f t="shared" si="13"/>
        <v>4.4389100946389032E-8</v>
      </c>
      <c r="G54" s="258">
        <f t="shared" si="15"/>
        <v>50674860053682.422</v>
      </c>
    </row>
  </sheetData>
  <mergeCells count="1">
    <mergeCell ref="A18:F18"/>
  </mergeCells>
  <conditionalFormatting sqref="E33:E42">
    <cfRule type="cellIs" dxfId="521" priority="71" stopIfTrue="1" operator="lessThan">
      <formula>0</formula>
    </cfRule>
    <cfRule type="cellIs" dxfId="520" priority="72" operator="equal">
      <formula>MIN($E$33:$E$42)</formula>
    </cfRule>
  </conditionalFormatting>
  <conditionalFormatting sqref="F45:F54">
    <cfRule type="cellIs" dxfId="519" priority="59" operator="equal">
      <formula>MAX($F$45:$F$54)</formula>
    </cfRule>
  </conditionalFormatting>
  <conditionalFormatting sqref="F21:F30">
    <cfRule type="cellIs" dxfId="518" priority="57" operator="equal">
      <formula>MAX($F$21:$F$30)</formula>
    </cfRule>
  </conditionalFormatting>
  <conditionalFormatting sqref="E21:E30">
    <cfRule type="cellIs" dxfId="517" priority="53" stopIfTrue="1" operator="lessThan">
      <formula>0</formula>
    </cfRule>
    <cfRule type="cellIs" dxfId="516" priority="54" operator="equal">
      <formula>MIN($E$21:$E$30)</formula>
    </cfRule>
  </conditionalFormatting>
  <conditionalFormatting sqref="E45:E54">
    <cfRule type="cellIs" dxfId="515" priority="49" stopIfTrue="1" operator="lessThan">
      <formula>0</formula>
    </cfRule>
    <cfRule type="cellIs" dxfId="514" priority="50" operator="equal">
      <formula>MIN($E$45:$E$54)</formula>
    </cfRule>
  </conditionalFormatting>
  <conditionalFormatting sqref="F33:F42">
    <cfRule type="cellIs" dxfId="513" priority="35" operator="lessThanOrEqual">
      <formula>0</formula>
    </cfRule>
    <cfRule type="cellIs" dxfId="512" priority="36" operator="equal">
      <formula>MAX($F$33:$F$42)</formula>
    </cfRule>
  </conditionalFormatting>
  <conditionalFormatting sqref="R7:R16">
    <cfRule type="cellIs" dxfId="511" priority="29" operator="lessThanOrEqual">
      <formula>0</formula>
    </cfRule>
    <cfRule type="cellIs" dxfId="510" priority="30" operator="greaterThan">
      <formula>0</formula>
    </cfRule>
  </conditionalFormatting>
  <conditionalFormatting sqref="U7:U16">
    <cfRule type="cellIs" dxfId="509" priority="9" operator="lessThanOrEqual">
      <formula>0</formula>
    </cfRule>
    <cfRule type="cellIs" dxfId="508" priority="10" operator="greaterThan">
      <formula>0</formula>
    </cfRule>
  </conditionalFormatting>
  <conditionalFormatting sqref="S7:T16">
    <cfRule type="cellIs" dxfId="507" priority="1" operator="lessThanOrEqual">
      <formula>0</formula>
    </cfRule>
    <cfRule type="cellIs" dxfId="50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14" max="14" width="5.6640625" bestFit="1" customWidth="1"/>
  </cols>
  <sheetData>
    <row r="1" spans="1:23">
      <c r="C1" t="s">
        <v>94</v>
      </c>
      <c r="D1">
        <f>C2+E2</f>
        <v>0.99999999999999911</v>
      </c>
    </row>
    <row r="2" spans="1:23">
      <c r="A2" t="s">
        <v>39</v>
      </c>
      <c r="B2" s="133" t="s">
        <v>124</v>
      </c>
      <c r="C2" s="139">
        <f>Analysis!B14</f>
        <v>0.69568150797194872</v>
      </c>
      <c r="D2" s="133" t="s">
        <v>125</v>
      </c>
      <c r="E2" s="139">
        <f>Analysis!J14</f>
        <v>0.30431849202805045</v>
      </c>
      <c r="F2" s="133" t="s">
        <v>46</v>
      </c>
      <c r="G2" s="139">
        <f>Analysis!S14</f>
        <v>211.39242453239112</v>
      </c>
      <c r="H2" t="s">
        <v>153</v>
      </c>
      <c r="I2" s="153">
        <f>Analysis!T14</f>
        <v>-211.6717050835845</v>
      </c>
      <c r="J2" t="s">
        <v>47</v>
      </c>
      <c r="K2" s="153">
        <f>G2*C2+I2*E2</f>
        <v>82.646186576497556</v>
      </c>
      <c r="L2" t="s">
        <v>46</v>
      </c>
      <c r="M2" s="160">
        <v>1</v>
      </c>
      <c r="N2" t="s">
        <v>153</v>
      </c>
      <c r="O2" s="160">
        <v>7</v>
      </c>
    </row>
    <row r="4" spans="1:23">
      <c r="A4" t="s">
        <v>122</v>
      </c>
      <c r="B4">
        <f>$C$2</f>
        <v>0.69568150797194872</v>
      </c>
      <c r="C4" t="s">
        <v>123</v>
      </c>
      <c r="D4">
        <f>$E$2</f>
        <v>0.30431849202805045</v>
      </c>
      <c r="E4" t="s">
        <v>46</v>
      </c>
      <c r="F4">
        <f>G2</f>
        <v>211.39242453239112</v>
      </c>
      <c r="G4" t="s">
        <v>153</v>
      </c>
      <c r="H4">
        <f>I2</f>
        <v>-211.6717050835845</v>
      </c>
      <c r="I4" t="s">
        <v>47</v>
      </c>
      <c r="J4">
        <f>B4*F4+D4*H4</f>
        <v>82.646186576497556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164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0.69568150797194872</v>
      </c>
      <c r="C7" s="95">
        <v>1</v>
      </c>
      <c r="D7" s="107">
        <f>C7*D4</f>
        <v>0.30431849202805045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0.99999999999999911</v>
      </c>
      <c r="R7" s="265">
        <f>B7-D7</f>
        <v>0.39136301594389827</v>
      </c>
      <c r="S7" s="266">
        <f>IF(Rules!B20=Rules!D20,SUM(C7)*B4*F4,SUM(C7)*B4*F4*POWER(O2,A7-1))</f>
        <v>147.06180067254022</v>
      </c>
      <c r="T7" s="252">
        <f>IF(Rules!B20=Rules!D20,SUM(C7)*D4*H4,SUM(C7)*D4*H4*POWER(O2,A7-1))</f>
        <v>-64.41561409604266</v>
      </c>
      <c r="U7" s="263">
        <f>S7+T7</f>
        <v>82.646186576497556</v>
      </c>
      <c r="V7" s="282">
        <f>S7/B4</f>
        <v>211.39242453239112</v>
      </c>
      <c r="W7" s="57">
        <f>T7/D4</f>
        <v>-211.67170508358453</v>
      </c>
    </row>
    <row r="8" spans="1:23">
      <c r="A8" s="98">
        <v>2</v>
      </c>
      <c r="B8" s="97">
        <f>C8*B4</f>
        <v>0.88251836578267362</v>
      </c>
      <c r="C8" s="97">
        <f>1/(1-B4*D4)</f>
        <v>1.2685666582620427</v>
      </c>
      <c r="D8" s="93">
        <f>C8*D4</f>
        <v>0.38604829247936806</v>
      </c>
      <c r="E8" s="1">
        <f>D8*D4</f>
        <v>0.11748163421732506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0.99999999999999867</v>
      </c>
      <c r="R8" s="267">
        <f>B8-E8</f>
        <v>0.76503673156534857</v>
      </c>
      <c r="S8" s="268">
        <f>IF(Rules!B20=Rules!D20,SUM(C8:D8)*B4*F4,SUM(C8:D8)*B4*F4*POWER(O2,A8-1))</f>
        <v>243.33065407573832</v>
      </c>
      <c r="T8" s="253">
        <f>IF(Rules!B20=Rules!D20,SUM(C8:D8)*D4*H4,SUM(C8:D8)*D4*H4*POWER(O2,A8-1))</f>
        <v>-106.58303814450133</v>
      </c>
      <c r="U8" s="264">
        <f>S8+T8+U7</f>
        <v>219.39380250773456</v>
      </c>
      <c r="V8" s="93">
        <f>S8/B4</f>
        <v>349.77306610476973</v>
      </c>
      <c r="W8" s="9">
        <f>T8/D4</f>
        <v>-350.23516788022556</v>
      </c>
    </row>
    <row r="9" spans="1:23">
      <c r="A9" s="98">
        <v>3</v>
      </c>
      <c r="B9" s="97">
        <f>C9*B4</f>
        <v>0.95112085855826756</v>
      </c>
      <c r="C9" s="97">
        <f>1/(1-D4*B4/(1-D4*B4))</f>
        <v>1.3671785833879297</v>
      </c>
      <c r="D9" s="93">
        <f>C9*D4*C8</f>
        <v>0.52779695763127166</v>
      </c>
      <c r="E9" s="1">
        <f>D9*(D4)</f>
        <v>0.16061837424334141</v>
      </c>
      <c r="F9" s="1">
        <f>E9*D4</f>
        <v>4.8879141441730715E-2</v>
      </c>
      <c r="G9" s="1"/>
      <c r="H9" s="1"/>
      <c r="I9" s="1"/>
      <c r="J9" s="1"/>
      <c r="K9" s="1"/>
      <c r="L9" s="1"/>
      <c r="M9" s="235"/>
      <c r="N9" s="97">
        <f>B9+F9</f>
        <v>0.99999999999999822</v>
      </c>
      <c r="R9" s="267">
        <f>B9-F9</f>
        <v>0.90224171711653689</v>
      </c>
      <c r="S9" s="268">
        <f>IF(Rules!B20=Rules!D20,SUM(C9:E9)*B4*F4,SUM(C9:E9)*B4*F4*POWER(O2,A9-1))</f>
        <v>302.29934263002667</v>
      </c>
      <c r="T9" s="253">
        <f>IF(Rules!B20=Rules!D20,SUM(C9:E9)*D4*H4,SUM(C9:E9)*D4*H4*POWER(O2,A9-1))</f>
        <v>-132.41234438372538</v>
      </c>
      <c r="U9" s="264">
        <f t="shared" ref="U9:U16" si="0">S9+T9+U8</f>
        <v>389.28080075403585</v>
      </c>
      <c r="V9" s="93">
        <f>S9/B4</f>
        <v>434.53698160137958</v>
      </c>
      <c r="W9" s="9">
        <f>T9/D4</f>
        <v>-435.11106900306379</v>
      </c>
    </row>
    <row r="10" spans="1:23">
      <c r="A10" s="98">
        <v>4</v>
      </c>
      <c r="B10" s="97">
        <f>C10*B4</f>
        <v>0.97906594327412788</v>
      </c>
      <c r="C10" s="97">
        <f>1/(1-D4*B4/(1-D4*B4/(1-D4*B4)))</f>
        <v>1.4073479488168397</v>
      </c>
      <c r="D10" s="93">
        <f>C10*D4*C9</f>
        <v>0.58553798562842452</v>
      </c>
      <c r="E10" s="1">
        <f>D10*D4*C8</f>
        <v>0.22604593953366206</v>
      </c>
      <c r="F10" s="1">
        <f>E10*D4</f>
        <v>6.8789959447947913E-2</v>
      </c>
      <c r="G10" s="1">
        <f>F10*D4</f>
        <v>2.0934056725870249E-2</v>
      </c>
      <c r="H10" s="1"/>
      <c r="I10" s="1"/>
      <c r="J10" s="1"/>
      <c r="K10" s="1"/>
      <c r="L10" s="1"/>
      <c r="M10" s="235"/>
      <c r="N10" s="97">
        <f>B10+G10</f>
        <v>0.99999999999999811</v>
      </c>
      <c r="R10" s="267">
        <f>B10-G10</f>
        <v>0.95813188654825765</v>
      </c>
      <c r="S10" s="268">
        <f>IF(Rules!B20=Rules!D20,SUM(C10:F10)*B4*F4,SUM(C10:F10)*B4*F4*POWER(O2,A10-1))</f>
        <v>336.43649226164121</v>
      </c>
      <c r="T10" s="253">
        <f>IF(Rules!B20=Rules!D20,SUM(C10:F10)*D4*H4,SUM(C10:F10)*D4*H4*POWER(O2,A10-1))</f>
        <v>-147.3650067811167</v>
      </c>
      <c r="U10" s="264">
        <f t="shared" si="0"/>
        <v>578.35228623456032</v>
      </c>
      <c r="V10" s="93">
        <f>S10/B4</f>
        <v>483.60706502379389</v>
      </c>
      <c r="W10" s="9">
        <f>T10/D4</f>
        <v>-484.24598123841054</v>
      </c>
    </row>
    <row r="11" spans="1:23">
      <c r="A11" s="98">
        <v>5</v>
      </c>
      <c r="B11" s="97">
        <f>C11*B4</f>
        <v>0.99092571574701338</v>
      </c>
      <c r="C11" s="97">
        <f>1/(1-D4*B4/(1-D4*B4/(1-D4*B4/(1-D4*B4))))</f>
        <v>1.4243956528839767</v>
      </c>
      <c r="D11" s="93">
        <f>C11*D4*C10</f>
        <v>0.61004302690346812</v>
      </c>
      <c r="E11" s="1">
        <f>D11*D4*C9</f>
        <v>0.25381311382165661</v>
      </c>
      <c r="F11" s="1">
        <f>E11*D4*C8</f>
        <v>9.7984119199722025E-2</v>
      </c>
      <c r="G11" s="1">
        <f>F11*D4</f>
        <v>2.981837939755615E-2</v>
      </c>
      <c r="H11" s="1">
        <f>G11*D4</f>
        <v>9.0742842529845744E-3</v>
      </c>
      <c r="I11" s="1"/>
      <c r="J11" s="1"/>
      <c r="K11" s="1"/>
      <c r="L11" s="1"/>
      <c r="M11" s="235"/>
      <c r="N11" s="97">
        <f>B11+H11</f>
        <v>0.999999999999998</v>
      </c>
      <c r="R11" s="267">
        <f>B11-H11</f>
        <v>0.98185143149402876</v>
      </c>
      <c r="S11" s="268">
        <f>IF(Rules!B20=Rules!D20,SUM(C11:G11)*B4*F4,SUM(C11:G11)*B4*F4*POWER(O2,A11-1))</f>
        <v>355.30929473448981</v>
      </c>
      <c r="T11" s="253">
        <f>IF(Rules!B20=Rules!D20,SUM(C11:G11)*D4*H4,SUM(C11:G11)*D4*H4*POWER(O2,A11-1))</f>
        <v>-155.63162092185362</v>
      </c>
      <c r="U11" s="264">
        <f t="shared" si="0"/>
        <v>778.02996004719648</v>
      </c>
      <c r="V11" s="93">
        <f>S11/B4</f>
        <v>510.73557463139667</v>
      </c>
      <c r="W11" s="9">
        <f>T11/D4</f>
        <v>-511.41033160583726</v>
      </c>
    </row>
    <row r="12" spans="1:23">
      <c r="A12" s="98">
        <v>6</v>
      </c>
      <c r="B12" s="97">
        <f>C12*B4</f>
        <v>0.99604624489426863</v>
      </c>
      <c r="C12" s="97">
        <f>1/(1-D4*B4/(1-D4*B4/(1-D4*B4/(1-D4*B4/(1-D4*B4)))))</f>
        <v>1.4317561031598258</v>
      </c>
      <c r="D12" s="93">
        <f>C12*D4*C11</f>
        <v>0.62062322803215164</v>
      </c>
      <c r="E12" s="1">
        <f>D12*D4*C10</f>
        <v>0.26580176078800088</v>
      </c>
      <c r="F12" s="1">
        <f>E12*D4*C9</f>
        <v>0.11058887584917346</v>
      </c>
      <c r="G12" s="1">
        <f>F12*D4*C8</f>
        <v>4.2692646688786237E-2</v>
      </c>
      <c r="H12" s="1">
        <f>G12*D4</f>
        <v>1.299216186101777E-2</v>
      </c>
      <c r="I12" s="1">
        <f>H12*D4</f>
        <v>3.9537551057292775E-3</v>
      </c>
      <c r="J12" s="1"/>
      <c r="K12" s="1"/>
      <c r="L12" s="1"/>
      <c r="M12" s="235"/>
      <c r="N12" s="97">
        <f>B12+I12</f>
        <v>0.99999999999999789</v>
      </c>
      <c r="R12" s="267">
        <f>B12-I12</f>
        <v>0.99209248978853937</v>
      </c>
      <c r="S12" s="268">
        <f>IF(Rules!B20=Rules!D20,SUM(C12:H12)*B4*F4,SUM(C12:H12)*B4*F4*POWER(O2,A12-1))</f>
        <v>365.36839310378247</v>
      </c>
      <c r="T12" s="253">
        <f>IF(Rules!B20=Rules!D20,SUM(C12:H12)*D4*H4,SUM(C12:H12)*D4*H4*POWER(O2,A12-1))</f>
        <v>-160.03768011429676</v>
      </c>
      <c r="U12" s="264">
        <f t="shared" si="0"/>
        <v>983.36067303668221</v>
      </c>
      <c r="V12" s="93">
        <f>S12/B4</f>
        <v>525.19491881982708</v>
      </c>
      <c r="W12" s="9">
        <f>T12/D4</f>
        <v>-525.88877871918919</v>
      </c>
    </row>
    <row r="13" spans="1:23">
      <c r="A13" s="98">
        <v>7</v>
      </c>
      <c r="B13" s="97">
        <f>C13*B4</f>
        <v>0.99827345789555366</v>
      </c>
      <c r="C13" s="97">
        <f>1/(1-D4*B4/(1-D4*B4/(1-D4*B4/(1-D4*B4/(1-D4*B4/(1-D4*B4))))))</f>
        <v>1.4349575868499382</v>
      </c>
      <c r="D13" s="93">
        <f>C13*D4*C12</f>
        <v>0.62522516678347084</v>
      </c>
      <c r="E13" s="1">
        <f>D13*D4*C11</f>
        <v>0.2710163137420778</v>
      </c>
      <c r="F13" s="1">
        <f>E13*D4*C10</f>
        <v>0.11607141038424953</v>
      </c>
      <c r="G13" s="1">
        <f>F13*D4*C9</f>
        <v>4.8292406922240752E-2</v>
      </c>
      <c r="H13" s="1">
        <f>G13*D4*C8</f>
        <v>1.8643201232049857E-2</v>
      </c>
      <c r="I13" s="1">
        <f>H13*D4</f>
        <v>5.6734708855129042E-3</v>
      </c>
      <c r="J13" s="1">
        <f>I13*D4</f>
        <v>1.7265421044443351E-3</v>
      </c>
      <c r="K13" s="1"/>
      <c r="L13" s="1"/>
      <c r="M13" s="235"/>
      <c r="N13" s="97">
        <f>B13+J13</f>
        <v>0.999999999999998</v>
      </c>
      <c r="R13" s="267">
        <f>B13-J13</f>
        <v>0.99654691579110932</v>
      </c>
      <c r="S13" s="268">
        <f>IF(Rules!B20=Rules!D20,SUM(C13:I13)*B4*F4,SUM(C13:I13)*B4*F4*POWER(O2,A13-1))</f>
        <v>370.57802510086293</v>
      </c>
      <c r="T13" s="253">
        <f>IF(Rules!B20=Rules!D20,SUM(C13:I13)*D4*H4,SUM(C13:I13)*D4*H4*POWER(O2,A13-1))</f>
        <v>-162.31958909930617</v>
      </c>
      <c r="U13" s="264">
        <f t="shared" si="0"/>
        <v>1191.619109038239</v>
      </c>
      <c r="V13" s="93">
        <f>S13/B4</f>
        <v>532.68344904146193</v>
      </c>
      <c r="W13" s="9">
        <f>T13/D4</f>
        <v>-533.38720239302586</v>
      </c>
    </row>
    <row r="14" spans="1:23">
      <c r="A14" s="98">
        <v>8</v>
      </c>
      <c r="B14" s="97">
        <f>C14*B4</f>
        <v>0.99924531246454518</v>
      </c>
      <c r="C14" s="97">
        <f>1/(1-D4*B4/(1-D4*B4/(1-D4*B4/(1-D4*B4/(1-D4*B4/(1-D4*B4/(1-D4*B4)))))))</f>
        <v>1.4363545688853308</v>
      </c>
      <c r="D14" s="93">
        <f>C14*D4*C13</f>
        <v>0.62723324378333956</v>
      </c>
      <c r="E14" s="1">
        <f>D14*D4*C12</f>
        <v>0.27329170774828382</v>
      </c>
      <c r="F14" s="1">
        <f>E14*D4*C11</f>
        <v>0.11846373937770163</v>
      </c>
      <c r="G14" s="1">
        <f>F14*D4*C10</f>
        <v>5.0735887884771028E-2</v>
      </c>
      <c r="H14" s="1">
        <f>G14*D4*C9</f>
        <v>2.1109058080550594E-2</v>
      </c>
      <c r="I14" s="1">
        <f>H14*D4*C8</f>
        <v>8.1491158278443627E-3</v>
      </c>
      <c r="J14" s="1">
        <f>I14*D4</f>
        <v>2.4799266400915144E-3</v>
      </c>
      <c r="K14" s="1">
        <f>J14*D4</f>
        <v>7.5468753545283949E-4</v>
      </c>
      <c r="L14" s="1"/>
      <c r="M14" s="235"/>
      <c r="N14" s="97">
        <f>B14+K14</f>
        <v>0.999999999999998</v>
      </c>
      <c r="R14" s="267">
        <f>B14-K14</f>
        <v>0.99849062492909235</v>
      </c>
      <c r="S14" s="268">
        <f>IF(Rules!B20=Rules!D20,SUM(C14:J14)*B4*F4,SUM(C14:J14)*B4*F4*POWER(O2,A14-1))</f>
        <v>373.21597430222783</v>
      </c>
      <c r="T14" s="253">
        <f>IF(Rules!B20=Rules!D20,SUM(C14:J14)*D4*H4,SUM(C14:J14)*D4*H4*POWER(O2,A14-1))</f>
        <v>-163.47505650813011</v>
      </c>
      <c r="U14" s="264">
        <f t="shared" si="0"/>
        <v>1401.3600268323366</v>
      </c>
      <c r="V14" s="93">
        <f>S14/B4</f>
        <v>536.47534112301958</v>
      </c>
      <c r="W14" s="9">
        <f>T14/D4</f>
        <v>-537.18410412293269</v>
      </c>
    </row>
    <row r="15" spans="1:23">
      <c r="A15" s="98">
        <v>9</v>
      </c>
      <c r="B15" s="97">
        <f>C15*B4</f>
        <v>0.99966997889739428</v>
      </c>
      <c r="C15" s="97">
        <f>1/(1-D4*B4/(1-D4*B4/(1-D4*B4/(1-D4*B4/(1-D4*B4/(1-D4*B4/(1-D4*B4/(1-D4*B4))))))))</f>
        <v>1.4369650011420212</v>
      </c>
      <c r="D15" s="93">
        <f>C15*D4*C14</f>
        <v>0.62811070315188045</v>
      </c>
      <c r="E15" s="1">
        <f>D15*D4*C13</f>
        <v>0.27428597529280424</v>
      </c>
      <c r="F15" s="1">
        <f>E15*D4*C12</f>
        <v>0.11950910341905753</v>
      </c>
      <c r="G15" s="1">
        <f>F15*D4*C11</f>
        <v>5.1803603546353584E-2</v>
      </c>
      <c r="H15" s="1">
        <f>G15*D4*C10</f>
        <v>2.2186551221171788E-2</v>
      </c>
      <c r="I15" s="1">
        <f>H15*D4*C9</f>
        <v>9.230886022897471E-3</v>
      </c>
      <c r="J15" s="1">
        <f>I15*D4*C8</f>
        <v>3.563567787211233E-3</v>
      </c>
      <c r="K15" s="1">
        <f>J15*D4</f>
        <v>1.0844595752438589E-3</v>
      </c>
      <c r="L15" s="1">
        <f>K15*D4</f>
        <v>3.3002110260359126E-4</v>
      </c>
      <c r="M15" s="235"/>
      <c r="N15" s="97">
        <f>B15+L15</f>
        <v>0.99999999999999789</v>
      </c>
      <c r="R15" s="267">
        <f>B15-L15</f>
        <v>0.99933995779479068</v>
      </c>
      <c r="S15" s="268">
        <f>IF(Rules!B20=Rules!D20,SUM(C15:K15)*B4*F4,SUM(C15:K15)*B4*F4*POWER(O2,A15-1))</f>
        <v>374.52814835590681</v>
      </c>
      <c r="T15" s="253">
        <f>IF(Rules!B20=Rules!D20,SUM(C15:K15)*D4*H4,SUM(C15:K15)*D4*H4*POWER(O2,A15-1))</f>
        <v>-164.04981145524815</v>
      </c>
      <c r="U15" s="264">
        <f t="shared" si="0"/>
        <v>1611.8383637329953</v>
      </c>
      <c r="V15" s="93">
        <f>S15/B4</f>
        <v>538.36151178968601</v>
      </c>
      <c r="W15" s="9">
        <f>T15/D4</f>
        <v>-539.07276669906378</v>
      </c>
    </row>
    <row r="16" spans="1:23" ht="17" thickBot="1">
      <c r="A16" s="99">
        <v>10</v>
      </c>
      <c r="B16" s="129">
        <f>C16*B4</f>
        <v>0.99985565660937414</v>
      </c>
      <c r="C16" s="129">
        <f>1/(1-D4*B4/(1-D4*B4/(1-D4*B4/(1-D4*B4/(1-D4*B4/(1-D4*B4/(1-D4*B4/(1-D4*B4/(1-D4*B4)))))))))</f>
        <v>1.4372319015984112</v>
      </c>
      <c r="D16" s="94">
        <f>C16*D4*C15</f>
        <v>0.62849435638016293</v>
      </c>
      <c r="E16" s="109">
        <f>D16*D4*C14</f>
        <v>0.27472070078199246</v>
      </c>
      <c r="F16" s="109">
        <f>E16*D4*C13</f>
        <v>0.11996616992672218</v>
      </c>
      <c r="G16" s="109">
        <f>F16*D4*C12</f>
        <v>5.2270442895433734E-2</v>
      </c>
      <c r="H16" s="109">
        <f>G16*D4*C11</f>
        <v>2.2657665596004833E-2</v>
      </c>
      <c r="I16" s="109">
        <f>H16*D4*C10</f>
        <v>9.7038704623730251E-3</v>
      </c>
      <c r="J16" s="109">
        <f>I16*D4*C9</f>
        <v>4.0373702666166716E-3</v>
      </c>
      <c r="K16" s="109">
        <f>J16*D4*C8</f>
        <v>1.558619897534337E-3</v>
      </c>
      <c r="L16" s="109">
        <f>K16*D4</f>
        <v>4.7431685686256394E-4</v>
      </c>
      <c r="M16" s="237">
        <f>L16*D4</f>
        <v>1.443433906239001E-4</v>
      </c>
      <c r="N16" s="129">
        <f>B16+M16</f>
        <v>0.999999999999998</v>
      </c>
      <c r="R16" s="269">
        <f>B16-M16</f>
        <v>0.99971131321875029</v>
      </c>
      <c r="S16" s="270">
        <f>IF(Rules!B20=Rules!D20,SUM(C16:L16)*B4*F4,SUM(C16:L16)*B4*F4*POWER(O2,A16-1))</f>
        <v>375.17162660368462</v>
      </c>
      <c r="T16" s="254">
        <f>IF(Rules!B20=Rules!D20,SUM(C16:L16)*D4*H4,SUM(C16:L16)*D4*H4*POWER(O2,A16-1))</f>
        <v>-164.33166606534056</v>
      </c>
      <c r="U16" s="264">
        <f t="shared" si="0"/>
        <v>1822.6783242713393</v>
      </c>
      <c r="V16" s="94">
        <f>S16/B4</f>
        <v>539.28647276738059</v>
      </c>
      <c r="W16" s="10">
        <f>T16/D4</f>
        <v>-539.9989496865453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0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7</v>
      </c>
      <c r="D21" s="57">
        <f>SUM($C$21:C21)</f>
        <v>7</v>
      </c>
      <c r="E21" s="57">
        <f t="shared" ref="E21:E30" si="2">D21/R7</f>
        <v>17.886207216380015</v>
      </c>
      <c r="F21" s="8">
        <f t="shared" ref="F21:F30" si="3">U7/E21</f>
        <v>4.6206658335486006</v>
      </c>
      <c r="G21" s="256">
        <f>E21*U7</f>
        <v>1478.2268187508398</v>
      </c>
    </row>
    <row r="22" spans="1:7">
      <c r="A22" s="97">
        <v>2</v>
      </c>
      <c r="B22" s="93">
        <f>C21</f>
        <v>7</v>
      </c>
      <c r="C22" s="1">
        <f t="shared" si="1"/>
        <v>49</v>
      </c>
      <c r="D22" s="9">
        <f>SUM($C$21:C22)</f>
        <v>56</v>
      </c>
      <c r="E22" s="9">
        <f t="shared" si="2"/>
        <v>73.199099715667103</v>
      </c>
      <c r="F22" s="9">
        <f t="shared" si="3"/>
        <v>2.9972199570751936</v>
      </c>
      <c r="G22" s="257">
        <f t="shared" ref="G22:G30" si="4">E22*U8</f>
        <v>16059.428826763038</v>
      </c>
    </row>
    <row r="23" spans="1:7">
      <c r="A23" s="97">
        <v>3</v>
      </c>
      <c r="B23" s="93">
        <f t="shared" ref="B23:B30" si="5">C22</f>
        <v>49</v>
      </c>
      <c r="C23" s="1">
        <f t="shared" si="1"/>
        <v>343</v>
      </c>
      <c r="D23" s="9">
        <f>SUM($C$21:C23)</f>
        <v>399</v>
      </c>
      <c r="E23" s="9">
        <f t="shared" si="2"/>
        <v>442.23182372364596</v>
      </c>
      <c r="F23" s="9">
        <f t="shared" si="3"/>
        <v>0.88026410554591927</v>
      </c>
      <c r="G23" s="257">
        <f t="shared" si="4"/>
        <v>172152.35845805853</v>
      </c>
    </row>
    <row r="24" spans="1:7">
      <c r="A24" s="97">
        <v>4</v>
      </c>
      <c r="B24" s="93">
        <f t="shared" si="5"/>
        <v>343</v>
      </c>
      <c r="C24" s="1">
        <f t="shared" si="1"/>
        <v>2401</v>
      </c>
      <c r="D24" s="9">
        <f>SUM($C$21:C24)</f>
        <v>2800</v>
      </c>
      <c r="E24" s="9">
        <f t="shared" si="2"/>
        <v>2922.3534247328007</v>
      </c>
      <c r="F24" s="9">
        <f t="shared" si="3"/>
        <v>0.19790634539264901</v>
      </c>
      <c r="G24" s="257">
        <f t="shared" si="4"/>
        <v>1690149.7843796124</v>
      </c>
    </row>
    <row r="25" spans="1:7">
      <c r="A25" s="97">
        <v>5</v>
      </c>
      <c r="B25" s="93">
        <f t="shared" si="5"/>
        <v>2401</v>
      </c>
      <c r="C25" s="1">
        <f t="shared" si="1"/>
        <v>16807</v>
      </c>
      <c r="D25" s="9">
        <f>SUM($C$21:C25)</f>
        <v>19607</v>
      </c>
      <c r="E25" s="9">
        <f t="shared" si="2"/>
        <v>19969.416320109773</v>
      </c>
      <c r="F25" s="9">
        <f t="shared" si="3"/>
        <v>3.8961076657192936E-2</v>
      </c>
      <c r="G25" s="257">
        <f t="shared" si="4"/>
        <v>15536804.181700841</v>
      </c>
    </row>
    <row r="26" spans="1:7">
      <c r="A26" s="97">
        <v>6</v>
      </c>
      <c r="B26" s="93">
        <f t="shared" si="5"/>
        <v>16807</v>
      </c>
      <c r="C26" s="1">
        <f t="shared" si="1"/>
        <v>117649</v>
      </c>
      <c r="D26" s="9">
        <f>SUM($C$21:C26)</f>
        <v>137256</v>
      </c>
      <c r="E26" s="9">
        <f t="shared" si="2"/>
        <v>138350.00406993867</v>
      </c>
      <c r="F26" s="9">
        <f t="shared" si="3"/>
        <v>7.1077748038198387E-3</v>
      </c>
      <c r="G26" s="257">
        <f t="shared" si="4"/>
        <v>136047953.11684263</v>
      </c>
    </row>
    <row r="27" spans="1:7">
      <c r="A27" s="97">
        <v>7</v>
      </c>
      <c r="B27" s="93">
        <f t="shared" si="5"/>
        <v>117649</v>
      </c>
      <c r="C27" s="1">
        <f t="shared" si="1"/>
        <v>823543</v>
      </c>
      <c r="D27" s="9">
        <f>SUM($C$21:C27)</f>
        <v>960799</v>
      </c>
      <c r="E27" s="9">
        <f t="shared" si="2"/>
        <v>964128.2159177314</v>
      </c>
      <c r="F27" s="9">
        <f t="shared" si="3"/>
        <v>1.2359550206752991E-3</v>
      </c>
      <c r="G27" s="257">
        <f t="shared" si="4"/>
        <v>1148873605.6505141</v>
      </c>
    </row>
    <row r="28" spans="1:7">
      <c r="A28" s="97">
        <v>8</v>
      </c>
      <c r="B28" s="93">
        <f t="shared" si="5"/>
        <v>823543</v>
      </c>
      <c r="C28" s="1">
        <f t="shared" si="1"/>
        <v>5764801</v>
      </c>
      <c r="D28" s="9">
        <f>SUM($C$21:C28)</f>
        <v>6725600</v>
      </c>
      <c r="E28" s="9">
        <f t="shared" si="2"/>
        <v>6735766.7984890873</v>
      </c>
      <c r="F28" s="9">
        <f t="shared" si="3"/>
        <v>2.0804758667516198E-4</v>
      </c>
      <c r="G28" s="257">
        <f t="shared" si="4"/>
        <v>9439234341.4670296</v>
      </c>
    </row>
    <row r="29" spans="1:7">
      <c r="A29" s="97">
        <v>9</v>
      </c>
      <c r="B29" s="93">
        <f t="shared" si="5"/>
        <v>5764801</v>
      </c>
      <c r="C29" s="1">
        <f t="shared" si="1"/>
        <v>40353607</v>
      </c>
      <c r="D29" s="9">
        <f>SUM($C$21:C29)</f>
        <v>47079207</v>
      </c>
      <c r="E29" s="9">
        <f t="shared" si="2"/>
        <v>47110301.787479885</v>
      </c>
      <c r="F29" s="9">
        <f t="shared" si="3"/>
        <v>3.4214137939599448E-5</v>
      </c>
      <c r="G29" s="257">
        <f t="shared" si="4"/>
        <v>75934191748.099182</v>
      </c>
    </row>
    <row r="30" spans="1:7" ht="17" thickBot="1">
      <c r="A30" s="129">
        <v>10</v>
      </c>
      <c r="B30" s="94">
        <f t="shared" si="5"/>
        <v>40353607</v>
      </c>
      <c r="C30" s="109">
        <f t="shared" si="1"/>
        <v>282475249</v>
      </c>
      <c r="D30" s="10">
        <f>SUM($C$21:C30)</f>
        <v>329554456</v>
      </c>
      <c r="E30" s="10">
        <f t="shared" si="2"/>
        <v>329649621.48816758</v>
      </c>
      <c r="F30" s="10">
        <f t="shared" si="3"/>
        <v>5.529138228774706E-6</v>
      </c>
      <c r="G30" s="258">
        <f t="shared" si="4"/>
        <v>600845219690.73462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0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7</v>
      </c>
      <c r="D33" s="57">
        <f>SUM($C$33:C33)</f>
        <v>7</v>
      </c>
      <c r="E33" s="9">
        <f t="shared" ref="E33:E42" si="7">D33/R7</f>
        <v>17.886207216380015</v>
      </c>
      <c r="F33" s="8">
        <f t="shared" ref="F33:F42" si="8">U7/E33</f>
        <v>4.6206658335486006</v>
      </c>
      <c r="G33" s="259">
        <f>E33*U7</f>
        <v>1478.2268187508398</v>
      </c>
    </row>
    <row r="34" spans="1:7">
      <c r="A34" s="97">
        <v>2</v>
      </c>
      <c r="B34" s="93">
        <f t="shared" ref="B34:B42" si="9">B33*($O$2+1)</f>
        <v>8</v>
      </c>
      <c r="C34" s="1">
        <f t="shared" si="6"/>
        <v>56</v>
      </c>
      <c r="D34" s="9">
        <f>SUM($C$33:C34)</f>
        <v>63</v>
      </c>
      <c r="E34" s="9">
        <f t="shared" si="7"/>
        <v>82.348987180125491</v>
      </c>
      <c r="F34" s="9">
        <f t="shared" si="8"/>
        <v>2.6641955174001719</v>
      </c>
      <c r="G34" s="257">
        <f t="shared" ref="G34:G42" si="10">E34*U8</f>
        <v>18066.857430108415</v>
      </c>
    </row>
    <row r="35" spans="1:7">
      <c r="A35" s="97">
        <v>3</v>
      </c>
      <c r="B35" s="93">
        <f t="shared" si="9"/>
        <v>64</v>
      </c>
      <c r="C35" s="1">
        <f t="shared" si="6"/>
        <v>448</v>
      </c>
      <c r="D35" s="9">
        <f>SUM($C$33:C35)</f>
        <v>511</v>
      </c>
      <c r="E35" s="9">
        <f t="shared" si="7"/>
        <v>566.36707248817822</v>
      </c>
      <c r="F35" s="9">
        <f t="shared" si="8"/>
        <v>0.68732950707010132</v>
      </c>
      <c r="G35" s="257">
        <f t="shared" si="10"/>
        <v>220475.82749891709</v>
      </c>
    </row>
    <row r="36" spans="1:7">
      <c r="A36" s="97">
        <v>4</v>
      </c>
      <c r="B36" s="93">
        <f t="shared" si="9"/>
        <v>512</v>
      </c>
      <c r="C36" s="1">
        <f t="shared" si="6"/>
        <v>3584</v>
      </c>
      <c r="D36" s="9">
        <f>SUM($C$33:C36)</f>
        <v>4095</v>
      </c>
      <c r="E36" s="9">
        <f t="shared" si="7"/>
        <v>4273.9418836717214</v>
      </c>
      <c r="F36" s="9">
        <f t="shared" si="8"/>
        <v>0.13532057804625572</v>
      </c>
      <c r="G36" s="257">
        <f t="shared" si="10"/>
        <v>2471844.0596551835</v>
      </c>
    </row>
    <row r="37" spans="1:7">
      <c r="A37" s="97">
        <v>5</v>
      </c>
      <c r="B37" s="93">
        <f t="shared" si="9"/>
        <v>4096</v>
      </c>
      <c r="C37" s="1">
        <f t="shared" si="6"/>
        <v>28672</v>
      </c>
      <c r="D37" s="9">
        <f>SUM($C$33:C37)</f>
        <v>32767</v>
      </c>
      <c r="E37" s="9">
        <f t="shared" si="7"/>
        <v>33372.666117255925</v>
      </c>
      <c r="F37" s="9">
        <f t="shared" si="8"/>
        <v>2.3313389386198976E-2</v>
      </c>
      <c r="G37" s="257">
        <f t="shared" si="10"/>
        <v>25964934.085877053</v>
      </c>
    </row>
    <row r="38" spans="1:7">
      <c r="A38" s="97">
        <v>6</v>
      </c>
      <c r="B38" s="93">
        <f t="shared" si="9"/>
        <v>32768</v>
      </c>
      <c r="C38" s="1">
        <f t="shared" si="6"/>
        <v>229376</v>
      </c>
      <c r="D38" s="9">
        <f>SUM($C$33:C38)</f>
        <v>262143</v>
      </c>
      <c r="E38" s="9">
        <f t="shared" si="7"/>
        <v>264232.42056380725</v>
      </c>
      <c r="F38" s="9">
        <f t="shared" si="8"/>
        <v>3.721574630919368E-3</v>
      </c>
      <c r="G38" s="257">
        <f t="shared" si="10"/>
        <v>259835770.92373717</v>
      </c>
    </row>
    <row r="39" spans="1:7">
      <c r="A39" s="97">
        <v>7</v>
      </c>
      <c r="B39" s="93">
        <f t="shared" si="9"/>
        <v>262144</v>
      </c>
      <c r="C39" s="1">
        <f t="shared" si="6"/>
        <v>1835008</v>
      </c>
      <c r="D39" s="9">
        <f>SUM($C$33:C39)</f>
        <v>2097151</v>
      </c>
      <c r="E39" s="9">
        <f t="shared" si="7"/>
        <v>2104417.7316380288</v>
      </c>
      <c r="F39" s="9">
        <f t="shared" si="8"/>
        <v>5.6624646861852426E-4</v>
      </c>
      <c r="G39" s="257">
        <f t="shared" si="10"/>
        <v>2507664382.4187799</v>
      </c>
    </row>
    <row r="40" spans="1:7">
      <c r="A40" s="97">
        <v>8</v>
      </c>
      <c r="B40" s="93">
        <f t="shared" si="9"/>
        <v>2097152</v>
      </c>
      <c r="C40" s="1">
        <f t="shared" si="6"/>
        <v>14680064</v>
      </c>
      <c r="D40" s="9">
        <f>SUM($C$33:C40)</f>
        <v>16777215</v>
      </c>
      <c r="E40" s="9">
        <f t="shared" si="7"/>
        <v>16802576.38992998</v>
      </c>
      <c r="F40" s="9">
        <f t="shared" si="8"/>
        <v>8.340149714612762E-5</v>
      </c>
      <c r="G40" s="257">
        <f t="shared" si="10"/>
        <v>23546458900.644665</v>
      </c>
    </row>
    <row r="41" spans="1:7">
      <c r="A41" s="97">
        <v>9</v>
      </c>
      <c r="B41" s="93">
        <f t="shared" si="9"/>
        <v>16777216</v>
      </c>
      <c r="C41" s="1">
        <f t="shared" si="6"/>
        <v>117440512</v>
      </c>
      <c r="D41" s="9">
        <f>SUM($C$33:C41)</f>
        <v>134217727</v>
      </c>
      <c r="E41" s="9">
        <f t="shared" si="7"/>
        <v>134306374.87584671</v>
      </c>
      <c r="F41" s="9">
        <f t="shared" si="8"/>
        <v>1.2001205193893323E-5</v>
      </c>
      <c r="G41" s="257">
        <f t="shared" si="10"/>
        <v>216480167518.79504</v>
      </c>
    </row>
    <row r="42" spans="1:7" ht="17" thickBot="1">
      <c r="A42" s="129">
        <v>10</v>
      </c>
      <c r="B42" s="94">
        <f t="shared" si="9"/>
        <v>134217728</v>
      </c>
      <c r="C42" s="109">
        <f t="shared" si="6"/>
        <v>939524096</v>
      </c>
      <c r="D42" s="10">
        <f>SUM($C$33:C42)</f>
        <v>1073741823</v>
      </c>
      <c r="E42" s="9">
        <f t="shared" si="7"/>
        <v>1074051887.5823214</v>
      </c>
      <c r="F42" s="10">
        <f t="shared" si="8"/>
        <v>1.6970114250012329E-6</v>
      </c>
      <c r="G42" s="258">
        <f t="shared" si="10"/>
        <v>1957651094639.0144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0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7</v>
      </c>
      <c r="D45" s="57">
        <f>SUM(C45:C45)</f>
        <v>7</v>
      </c>
      <c r="E45" s="57">
        <f t="shared" ref="E45:E54" si="12">D45/R7</f>
        <v>17.886207216380015</v>
      </c>
      <c r="F45" s="8">
        <f t="shared" ref="F45:F54" si="13">U7/E45</f>
        <v>4.6206658335486006</v>
      </c>
      <c r="G45" s="256">
        <f>E45*U7</f>
        <v>1478.2268187508398</v>
      </c>
    </row>
    <row r="46" spans="1:7">
      <c r="A46" s="97">
        <v>2</v>
      </c>
      <c r="B46" s="93">
        <f t="shared" ref="B46:B54" si="14">B45*$O$2*2</f>
        <v>14</v>
      </c>
      <c r="C46" s="1">
        <f t="shared" si="11"/>
        <v>98</v>
      </c>
      <c r="D46" s="9">
        <f>SUM($C$45:C46)</f>
        <v>105</v>
      </c>
      <c r="E46" s="9">
        <f t="shared" si="12"/>
        <v>137.24831196687583</v>
      </c>
      <c r="F46" s="9">
        <f t="shared" si="13"/>
        <v>1.5985173104401031</v>
      </c>
      <c r="G46" s="257">
        <f t="shared" ref="G46:G54" si="15">E46*U8</f>
        <v>30111.429050180697</v>
      </c>
    </row>
    <row r="47" spans="1:7">
      <c r="A47" s="97">
        <v>3</v>
      </c>
      <c r="B47" s="93">
        <f t="shared" si="14"/>
        <v>196</v>
      </c>
      <c r="C47" s="1">
        <f t="shared" si="11"/>
        <v>1372</v>
      </c>
      <c r="D47" s="9">
        <f>SUM($C$45:C47)</f>
        <v>1477</v>
      </c>
      <c r="E47" s="9">
        <f t="shared" si="12"/>
        <v>1637.0335930822685</v>
      </c>
      <c r="F47" s="9">
        <f t="shared" si="13"/>
        <v>0.23779646453136208</v>
      </c>
      <c r="G47" s="257">
        <f t="shared" si="15"/>
        <v>637265.74797632196</v>
      </c>
    </row>
    <row r="48" spans="1:7">
      <c r="A48" s="97">
        <v>4</v>
      </c>
      <c r="B48" s="93">
        <f t="shared" si="14"/>
        <v>2744</v>
      </c>
      <c r="C48" s="1">
        <f t="shared" si="11"/>
        <v>19208</v>
      </c>
      <c r="D48" s="9">
        <f>SUM($C$45:C48)</f>
        <v>20685</v>
      </c>
      <c r="E48" s="9">
        <f t="shared" si="12"/>
        <v>21588.885925213566</v>
      </c>
      <c r="F48" s="9">
        <f t="shared" si="13"/>
        <v>2.6789353014233366E-2</v>
      </c>
      <c r="G48" s="257">
        <f t="shared" si="15"/>
        <v>12485981.532104388</v>
      </c>
    </row>
    <row r="49" spans="1:7">
      <c r="A49" s="97">
        <v>5</v>
      </c>
      <c r="B49" s="93">
        <f t="shared" si="14"/>
        <v>38416</v>
      </c>
      <c r="C49" s="1">
        <f t="shared" si="11"/>
        <v>268912</v>
      </c>
      <c r="D49" s="9">
        <f>SUM($C$45:C49)</f>
        <v>289597</v>
      </c>
      <c r="E49" s="9">
        <f t="shared" si="12"/>
        <v>294949.91880730505</v>
      </c>
      <c r="F49" s="9">
        <f t="shared" si="13"/>
        <v>2.6378375121896354E-3</v>
      </c>
      <c r="G49" s="257">
        <f t="shared" si="15"/>
        <v>229479873.54557139</v>
      </c>
    </row>
    <row r="50" spans="1:7">
      <c r="A50" s="97">
        <v>6</v>
      </c>
      <c r="B50" s="93">
        <f t="shared" si="14"/>
        <v>537824</v>
      </c>
      <c r="C50" s="1">
        <f t="shared" si="11"/>
        <v>3764768</v>
      </c>
      <c r="D50" s="9">
        <f>SUM($C$45:C50)</f>
        <v>4054365</v>
      </c>
      <c r="E50" s="9">
        <f t="shared" si="12"/>
        <v>4086680.4675279539</v>
      </c>
      <c r="F50" s="9">
        <f t="shared" si="13"/>
        <v>2.4062577949274323E-4</v>
      </c>
      <c r="G50" s="257">
        <f t="shared" si="15"/>
        <v>4018680855.034152</v>
      </c>
    </row>
    <row r="51" spans="1:7">
      <c r="A51" s="97">
        <v>7</v>
      </c>
      <c r="B51" s="93">
        <f t="shared" si="14"/>
        <v>7529536</v>
      </c>
      <c r="C51" s="1">
        <f t="shared" si="11"/>
        <v>52706752</v>
      </c>
      <c r="D51" s="9">
        <f>SUM($C$45:C51)</f>
        <v>56761117</v>
      </c>
      <c r="E51" s="9">
        <f t="shared" si="12"/>
        <v>56957797.069634356</v>
      </c>
      <c r="F51" s="9">
        <f t="shared" si="13"/>
        <v>2.0921088425899136E-5</v>
      </c>
      <c r="G51" s="257">
        <f t="shared" si="15"/>
        <v>67871999396.898514</v>
      </c>
    </row>
    <row r="52" spans="1:7">
      <c r="A52" s="97">
        <v>8</v>
      </c>
      <c r="B52" s="93">
        <f t="shared" si="14"/>
        <v>105413504</v>
      </c>
      <c r="C52" s="1">
        <f t="shared" si="11"/>
        <v>737894528</v>
      </c>
      <c r="D52" s="9">
        <f>SUM($C$45:C52)</f>
        <v>794655645</v>
      </c>
      <c r="E52" s="9">
        <f t="shared" si="12"/>
        <v>795856891.55211878</v>
      </c>
      <c r="F52" s="9">
        <f t="shared" si="13"/>
        <v>1.7608191142245891E-6</v>
      </c>
      <c r="G52" s="257">
        <f t="shared" si="15"/>
        <v>1115282034900.1772</v>
      </c>
    </row>
    <row r="53" spans="1:7">
      <c r="A53" s="97">
        <v>9</v>
      </c>
      <c r="B53" s="93">
        <f t="shared" si="14"/>
        <v>1475789056</v>
      </c>
      <c r="C53" s="1">
        <f t="shared" si="11"/>
        <v>10330523392</v>
      </c>
      <c r="D53" s="9">
        <f>SUM($C$45:C53)</f>
        <v>11125179037</v>
      </c>
      <c r="E53" s="9">
        <f t="shared" si="12"/>
        <v>11132526974.653902</v>
      </c>
      <c r="F53" s="9">
        <f t="shared" si="13"/>
        <v>1.4478638743950635E-7</v>
      </c>
      <c r="G53" s="257">
        <f t="shared" si="15"/>
        <v>17943834063039.578</v>
      </c>
    </row>
    <row r="54" spans="1:7" ht="17" thickBot="1">
      <c r="A54" s="129">
        <v>10</v>
      </c>
      <c r="B54" s="94">
        <f t="shared" si="14"/>
        <v>20661046784</v>
      </c>
      <c r="C54" s="109">
        <f t="shared" si="11"/>
        <v>144627327488</v>
      </c>
      <c r="D54" s="10">
        <f>SUM($C$45:C54)</f>
        <v>155752506525</v>
      </c>
      <c r="E54" s="10">
        <f t="shared" si="12"/>
        <v>155797483198.95151</v>
      </c>
      <c r="F54" s="10">
        <f t="shared" si="13"/>
        <v>1.1699022903622911E-8</v>
      </c>
      <c r="G54" s="258">
        <f t="shared" si="15"/>
        <v>283968695602757.06</v>
      </c>
    </row>
  </sheetData>
  <mergeCells count="1">
    <mergeCell ref="A18:F18"/>
  </mergeCells>
  <conditionalFormatting sqref="F45:F54">
    <cfRule type="cellIs" dxfId="505" priority="71" operator="equal">
      <formula>MAX($F$45:$F$54)</formula>
    </cfRule>
  </conditionalFormatting>
  <conditionalFormatting sqref="F21:F30">
    <cfRule type="cellIs" dxfId="504" priority="69" operator="equal">
      <formula>MAX($F$21:$F$30)</formula>
    </cfRule>
  </conditionalFormatting>
  <conditionalFormatting sqref="E33:E42">
    <cfRule type="cellIs" dxfId="503" priority="65" stopIfTrue="1" operator="lessThan">
      <formula>0</formula>
    </cfRule>
    <cfRule type="cellIs" dxfId="502" priority="66" operator="equal">
      <formula>MIN($E$33:$E$42)</formula>
    </cfRule>
  </conditionalFormatting>
  <conditionalFormatting sqref="E21:E30">
    <cfRule type="cellIs" dxfId="501" priority="61" stopIfTrue="1" operator="lessThan">
      <formula>0</formula>
    </cfRule>
    <cfRule type="cellIs" dxfId="500" priority="62" operator="equal">
      <formula>MIN($E$21:$E$30)</formula>
    </cfRule>
  </conditionalFormatting>
  <conditionalFormatting sqref="E45:E54">
    <cfRule type="cellIs" dxfId="499" priority="57" stopIfTrue="1" operator="lessThan">
      <formula>0</formula>
    </cfRule>
    <cfRule type="cellIs" dxfId="498" priority="58" operator="equal">
      <formula>MIN($E$45:$E$54)</formula>
    </cfRule>
  </conditionalFormatting>
  <conditionalFormatting sqref="F33:F42">
    <cfRule type="cellIs" dxfId="497" priority="43" operator="lessThanOrEqual">
      <formula>0</formula>
    </cfRule>
    <cfRule type="cellIs" dxfId="496" priority="44" operator="equal">
      <formula>MAX($F$33:$F$42)</formula>
    </cfRule>
  </conditionalFormatting>
  <conditionalFormatting sqref="R7:R16">
    <cfRule type="cellIs" dxfId="495" priority="29" operator="lessThanOrEqual">
      <formula>0</formula>
    </cfRule>
    <cfRule type="cellIs" dxfId="494" priority="30" operator="greaterThan">
      <formula>0</formula>
    </cfRule>
  </conditionalFormatting>
  <conditionalFormatting sqref="U7:U16">
    <cfRule type="cellIs" dxfId="493" priority="9" operator="lessThanOrEqual">
      <formula>0</formula>
    </cfRule>
    <cfRule type="cellIs" dxfId="492" priority="10" operator="greaterThan">
      <formula>0</formula>
    </cfRule>
  </conditionalFormatting>
  <conditionalFormatting sqref="S7:T16">
    <cfRule type="cellIs" dxfId="491" priority="1" operator="lessThanOrEqual">
      <formula>0</formula>
    </cfRule>
    <cfRule type="cellIs" dxfId="49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14" max="14" width="5.6640625" bestFit="1" customWidth="1"/>
  </cols>
  <sheetData>
    <row r="1" spans="1:23">
      <c r="C1" t="s">
        <v>94</v>
      </c>
      <c r="D1">
        <f>C2+E2</f>
        <v>0.99999999999999911</v>
      </c>
    </row>
    <row r="2" spans="1:23">
      <c r="A2" t="s">
        <v>39</v>
      </c>
      <c r="B2" s="133" t="s">
        <v>124</v>
      </c>
      <c r="C2" s="139">
        <f>Analysis!B15</f>
        <v>0.70200980195132934</v>
      </c>
      <c r="D2" s="133" t="s">
        <v>125</v>
      </c>
      <c r="E2" s="139">
        <f>Analysis!K15</f>
        <v>0.29799019804866977</v>
      </c>
      <c r="F2" s="133" t="s">
        <v>46</v>
      </c>
      <c r="G2" s="139">
        <f>Analysis!S15</f>
        <v>247.84351959330644</v>
      </c>
      <c r="H2" t="s">
        <v>153</v>
      </c>
      <c r="I2" s="153">
        <f>Analysis!T15</f>
        <v>-248.17095741381885</v>
      </c>
      <c r="J2" t="s">
        <v>47</v>
      </c>
      <c r="K2" s="153">
        <f>G2*C2+I2*E2</f>
        <v>100.03606735494559</v>
      </c>
      <c r="L2" t="s">
        <v>46</v>
      </c>
      <c r="M2" s="160">
        <v>1</v>
      </c>
      <c r="N2" t="s">
        <v>153</v>
      </c>
      <c r="O2" s="160">
        <v>8</v>
      </c>
    </row>
    <row r="4" spans="1:23">
      <c r="A4" t="s">
        <v>122</v>
      </c>
      <c r="B4">
        <f>$C$2</f>
        <v>0.70200980195132934</v>
      </c>
      <c r="C4" t="s">
        <v>123</v>
      </c>
      <c r="D4">
        <f>$E$2</f>
        <v>0.29799019804866977</v>
      </c>
      <c r="E4" t="s">
        <v>46</v>
      </c>
      <c r="F4">
        <f>G2</f>
        <v>247.84351959330644</v>
      </c>
      <c r="G4" t="s">
        <v>153</v>
      </c>
      <c r="H4">
        <f>I2</f>
        <v>-248.17095741381885</v>
      </c>
      <c r="I4" t="s">
        <v>47</v>
      </c>
      <c r="J4">
        <f>B4*F4+D4*H4</f>
        <v>100.03606735494559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164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0.70200980195132934</v>
      </c>
      <c r="C7" s="95">
        <v>1</v>
      </c>
      <c r="D7" s="107">
        <f>C7*D4</f>
        <v>0.29799019804866977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0.99999999999999911</v>
      </c>
      <c r="R7" s="265">
        <f>B7-D7</f>
        <v>0.40401960390265956</v>
      </c>
      <c r="S7" s="266">
        <f>IF(Rules!B20=Rules!D20,SUM(C7)*B4*F4,SUM(C7)*B4*F4*POWER(O2,A7-1))</f>
        <v>173.98858010461745</v>
      </c>
      <c r="T7" s="252">
        <f>IF(Rules!B20=Rules!D20,SUM(C7)*D4*H4,SUM(C7)*D4*H4*POWER(O2,A7-1))</f>
        <v>-73.952512749671868</v>
      </c>
      <c r="U7" s="263">
        <f>S7+T7</f>
        <v>100.03606735494559</v>
      </c>
      <c r="V7" s="282">
        <f>S7/B4</f>
        <v>247.84351959330641</v>
      </c>
      <c r="W7" s="57">
        <f>T7/D4</f>
        <v>-248.17095741381883</v>
      </c>
    </row>
    <row r="8" spans="1:23">
      <c r="A8" s="98">
        <v>2</v>
      </c>
      <c r="B8" s="97">
        <f>C8*B4</f>
        <v>0.8877121088619192</v>
      </c>
      <c r="C8" s="97">
        <f>1/(1-B4*D4)</f>
        <v>1.2645295071299656</v>
      </c>
      <c r="D8" s="93">
        <f>C8*D4</f>
        <v>0.37681739826804522</v>
      </c>
      <c r="E8" s="1">
        <f>D8*D4</f>
        <v>0.11228789113807927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0.99999999999999845</v>
      </c>
      <c r="R8" s="267">
        <f>B8-E8</f>
        <v>0.77542421772383996</v>
      </c>
      <c r="S8" s="268">
        <f>IF(Rules!B20=Rules!D20,SUM(C8:D8)*B4*F4,SUM(C8:D8)*B4*F4*POWER(O2,A8-1))</f>
        <v>285.57561752930781</v>
      </c>
      <c r="T8" s="253">
        <f>IF(Rules!B20=Rules!D20,SUM(C8:D8)*D4*H4,SUM(C8:D8)*D4*H4*POWER(O2,A8-1))</f>
        <v>-121.38172794808087</v>
      </c>
      <c r="U8" s="264">
        <f>S8+T8+U7</f>
        <v>264.22995693617253</v>
      </c>
      <c r="V8" s="93">
        <f>S8/B4</f>
        <v>406.7971939074248</v>
      </c>
      <c r="W8" s="9">
        <f>T8/D4</f>
        <v>-407.33463296083312</v>
      </c>
    </row>
    <row r="9" spans="1:23">
      <c r="A9" s="98">
        <v>3</v>
      </c>
      <c r="B9" s="97">
        <f>C9*B4</f>
        <v>0.95450437340030991</v>
      </c>
      <c r="C9" s="97">
        <f>1/(1-D4*B4/(1-D4*B4))</f>
        <v>1.3596738546201754</v>
      </c>
      <c r="D9" s="93">
        <f>C9*D4*C8</f>
        <v>0.51234876439105881</v>
      </c>
      <c r="E9" s="1">
        <f>D9*(D4)</f>
        <v>0.15267490977088286</v>
      </c>
      <c r="F9" s="1">
        <f>E9*D4</f>
        <v>4.5495626599688171E-2</v>
      </c>
      <c r="G9" s="1"/>
      <c r="H9" s="1"/>
      <c r="I9" s="1"/>
      <c r="J9" s="1"/>
      <c r="K9" s="1"/>
      <c r="L9" s="1"/>
      <c r="M9" s="235"/>
      <c r="N9" s="97">
        <f>B9+F9</f>
        <v>0.99999999999999811</v>
      </c>
      <c r="R9" s="267">
        <f>B9-F9</f>
        <v>0.90900874680062171</v>
      </c>
      <c r="S9" s="268">
        <f>IF(Rules!B20=Rules!D20,SUM(C9:E9)*B4*F4,SUM(C9:E9)*B4*F4*POWER(O2,A9-1))</f>
        <v>352.27424817412839</v>
      </c>
      <c r="T9" s="253">
        <f>IF(Rules!B20=Rules!D20,SUM(C9:E9)*D4*H4,SUM(C9:E9)*D4*H4*POWER(O2,A9-1))</f>
        <v>-149.73146981148864</v>
      </c>
      <c r="U9" s="264">
        <f t="shared" ref="U9:U16" si="0">S9+T9+U8</f>
        <v>466.77273529881228</v>
      </c>
      <c r="V9" s="93">
        <f>S9/B4</f>
        <v>501.80816164522975</v>
      </c>
      <c r="W9" s="9">
        <f>T9/D4</f>
        <v>-502.47112419125102</v>
      </c>
    </row>
    <row r="10" spans="1:23">
      <c r="A10" s="98">
        <v>4</v>
      </c>
      <c r="B10" s="97">
        <f>C10*B4</f>
        <v>0.9810538359346932</v>
      </c>
      <c r="C10" s="97">
        <f>1/(1-D4*B4/(1-D4*B4/(1-D4*B4)))</f>
        <v>1.3974930737544176</v>
      </c>
      <c r="D10" s="93">
        <f>C10*D4*C9</f>
        <v>0.56622154370143085</v>
      </c>
      <c r="E10" s="1">
        <f>D10*D4*C8</f>
        <v>0.21336212894088943</v>
      </c>
      <c r="F10" s="1">
        <f>E10*D4</f>
        <v>6.3579823059181459E-2</v>
      </c>
      <c r="G10" s="1">
        <f>F10*D4</f>
        <v>1.8946164065304864E-2</v>
      </c>
      <c r="H10" s="1"/>
      <c r="I10" s="1"/>
      <c r="J10" s="1"/>
      <c r="K10" s="1"/>
      <c r="L10" s="1"/>
      <c r="M10" s="235"/>
      <c r="N10" s="97">
        <f>B10+G10</f>
        <v>0.99999999999999811</v>
      </c>
      <c r="R10" s="267">
        <f>B10-G10</f>
        <v>0.96210767186938828</v>
      </c>
      <c r="S10" s="268">
        <f>IF(Rules!B20=Rules!D20,SUM(C10:F10)*B4*F4,SUM(C10:F10)*B4*F4*POWER(O2,A10-1))</f>
        <v>389.84865502171857</v>
      </c>
      <c r="T10" s="253">
        <f>IF(Rules!B20=Rules!D20,SUM(C10:F10)*D4*H4,SUM(C10:F10)*D4*H4*POWER(O2,A10-1))</f>
        <v>-165.70218352032492</v>
      </c>
      <c r="U10" s="264">
        <f t="shared" si="0"/>
        <v>690.91920680020598</v>
      </c>
      <c r="V10" s="93">
        <f>S10/B4</f>
        <v>555.33221037381895</v>
      </c>
      <c r="W10" s="9">
        <f>T10/D4</f>
        <v>-556.06588607743845</v>
      </c>
    </row>
    <row r="11" spans="1:23">
      <c r="A11" s="98">
        <v>5</v>
      </c>
      <c r="B11" s="97">
        <f>C11*B4</f>
        <v>0.99202186572616757</v>
      </c>
      <c r="C11" s="97">
        <f>1/(1-D4*B4/(1-D4*B4/(1-D4*B4/(1-D4*B4))))</f>
        <v>1.413116829663505</v>
      </c>
      <c r="D11" s="93">
        <f>C11*D4*C10</f>
        <v>0.5884772954952936</v>
      </c>
      <c r="E11" s="1">
        <f>D11*D4*C9</f>
        <v>0.23843304052549691</v>
      </c>
      <c r="F11" s="1">
        <f>E11*D4*C8</f>
        <v>8.9845717991957133E-2</v>
      </c>
      <c r="G11" s="1">
        <f>F11*D4</f>
        <v>2.6773143298248238E-2</v>
      </c>
      <c r="H11" s="1">
        <f>G11*D4</f>
        <v>7.9781342738304076E-3</v>
      </c>
      <c r="I11" s="1"/>
      <c r="J11" s="1"/>
      <c r="K11" s="1"/>
      <c r="L11" s="1"/>
      <c r="M11" s="235"/>
      <c r="N11" s="97">
        <f>B11+H11</f>
        <v>0.999999999999998</v>
      </c>
      <c r="R11" s="267">
        <f>B11-H11</f>
        <v>0.98404373145233714</v>
      </c>
      <c r="S11" s="268">
        <f>IF(Rules!B20=Rules!D20,SUM(C11:G11)*B4*F4,SUM(C11:G11)*B4*F4*POWER(O2,A11-1))</f>
        <v>410.02949604248147</v>
      </c>
      <c r="T11" s="253">
        <f>IF(Rules!B20=Rules!D20,SUM(C11:G11)*D4*H4,SUM(C11:G11)*D4*H4*POWER(O2,A11-1))</f>
        <v>-174.27989535629533</v>
      </c>
      <c r="U11" s="264">
        <f t="shared" si="0"/>
        <v>926.6688074863921</v>
      </c>
      <c r="V11" s="93">
        <f>S11/B4</f>
        <v>584.07944576094258</v>
      </c>
      <c r="W11" s="9">
        <f>T11/D4</f>
        <v>-584.85110079973424</v>
      </c>
    </row>
    <row r="12" spans="1:23">
      <c r="A12" s="98">
        <v>6</v>
      </c>
      <c r="B12" s="97">
        <f>C12*B4</f>
        <v>0.99662485947201251</v>
      </c>
      <c r="C12" s="97">
        <f>1/(1-D4*B4/(1-D4*B4/(1-D4*B4/(1-D4*B4/(1-D4*B4)))))</f>
        <v>1.41967370925842</v>
      </c>
      <c r="D12" s="93">
        <f>C12*D4*C11</f>
        <v>0.59781744940295878</v>
      </c>
      <c r="E12" s="1">
        <f>D12*D4*C10</f>
        <v>0.24895464298469908</v>
      </c>
      <c r="F12" s="1">
        <f>E12*D4*C9</f>
        <v>0.10086882354538705</v>
      </c>
      <c r="G12" s="1">
        <f>F12*D4*C8</f>
        <v>3.8009127654731294E-2</v>
      </c>
      <c r="H12" s="1">
        <f>G12*D4</f>
        <v>1.1326347477490549E-2</v>
      </c>
      <c r="I12" s="1">
        <f>H12*D4</f>
        <v>3.37514052798546E-3</v>
      </c>
      <c r="J12" s="1"/>
      <c r="K12" s="1"/>
      <c r="L12" s="1"/>
      <c r="M12" s="235"/>
      <c r="N12" s="97">
        <f>B12+I12</f>
        <v>0.999999999999998</v>
      </c>
      <c r="R12" s="267">
        <f>B12-I12</f>
        <v>0.99324971894402703</v>
      </c>
      <c r="S12" s="268">
        <f>IF(Rules!B20=Rules!D20,SUM(C12:H12)*B4*F4,SUM(C12:H12)*B4*F4*POWER(O2,A12-1))</f>
        <v>420.4695195649997</v>
      </c>
      <c r="T12" s="253">
        <f>IF(Rules!B20=Rules!D20,SUM(C12:H12)*D4*H4,SUM(C12:H12)*D4*H4*POWER(O2,A12-1))</f>
        <v>-178.7173473556833</v>
      </c>
      <c r="U12" s="264">
        <f t="shared" si="0"/>
        <v>1168.4209796957084</v>
      </c>
      <c r="V12" s="93">
        <f>S12/B4</f>
        <v>598.95106648973979</v>
      </c>
      <c r="W12" s="9">
        <f>T12/D4</f>
        <v>-599.74236913153084</v>
      </c>
    </row>
    <row r="13" spans="1:23">
      <c r="A13" s="98">
        <v>7</v>
      </c>
      <c r="B13" s="97">
        <f>C13*B4</f>
        <v>0.99856936481845271</v>
      </c>
      <c r="C13" s="97">
        <f>1/(1-D4*B4/(1-D4*B4/(1-D4*B4/(1-D4*B4/(1-D4*B4/(1-D4*B4))))))</f>
        <v>1.4224436212183886</v>
      </c>
      <c r="D13" s="93">
        <f>C13*D4*C12</f>
        <v>0.60176313784244972</v>
      </c>
      <c r="E13" s="1">
        <f>D13*D4*C11</f>
        <v>0.25339942682858463</v>
      </c>
      <c r="F13" s="1">
        <f>E13*D4*C10</f>
        <v>0.1055254641724505</v>
      </c>
      <c r="G13" s="1">
        <f>F13*D4*C9</f>
        <v>4.2755697574237146E-2</v>
      </c>
      <c r="H13" s="1">
        <f>G13*D4*C8</f>
        <v>1.6111090721059415E-2</v>
      </c>
      <c r="I13" s="1">
        <f>H13*D4</f>
        <v>4.8009471147485812E-3</v>
      </c>
      <c r="J13" s="1">
        <f>I13*D4</f>
        <v>1.4306351815451194E-3</v>
      </c>
      <c r="K13" s="1"/>
      <c r="L13" s="1"/>
      <c r="M13" s="235"/>
      <c r="N13" s="97">
        <f>B13+J13</f>
        <v>0.99999999999999778</v>
      </c>
      <c r="R13" s="267">
        <f>B13-J13</f>
        <v>0.99713872963690764</v>
      </c>
      <c r="S13" s="268">
        <f>IF(Rules!B20=Rules!D20,SUM(C13:I13)*B4*F4,SUM(C13:I13)*B4*F4*POWER(O2,A13-1))</f>
        <v>425.71515087910984</v>
      </c>
      <c r="T13" s="253">
        <f>IF(Rules!B20=Rules!D20,SUM(C13:I13)*D4*H4,SUM(C13:I13)*D4*H4*POWER(O2,A13-1))</f>
        <v>-180.9469627500014</v>
      </c>
      <c r="U13" s="264">
        <f t="shared" si="0"/>
        <v>1413.1891678248169</v>
      </c>
      <c r="V13" s="93">
        <f>S13/B4</f>
        <v>606.42337143409986</v>
      </c>
      <c r="W13" s="9">
        <f>T13/D4</f>
        <v>-607.22454609210979</v>
      </c>
    </row>
    <row r="14" spans="1:23">
      <c r="A14" s="98">
        <v>8</v>
      </c>
      <c r="B14" s="97">
        <f>C14*B4</f>
        <v>0.99939309034567092</v>
      </c>
      <c r="C14" s="97">
        <f>1/(1-D4*B4/(1-D4*B4/(1-D4*B4/(1-D4*B4/(1-D4*B4/(1-D4*B4/(1-D4*B4)))))))</f>
        <v>1.4236170030215038</v>
      </c>
      <c r="D14" s="93">
        <f>C14*D4*C13</f>
        <v>0.60343459855404347</v>
      </c>
      <c r="E14" s="1">
        <f>D14*D4*C12</f>
        <v>0.25528231283960984</v>
      </c>
      <c r="F14" s="1">
        <f>E14*D4*C11</f>
        <v>0.10749809631903529</v>
      </c>
      <c r="G14" s="1">
        <f>F14*D4*C10</f>
        <v>4.4766425298170244E-2</v>
      </c>
      <c r="H14" s="1">
        <f>G14*D4*C9</f>
        <v>1.8137989314127446E-2</v>
      </c>
      <c r="I14" s="1">
        <f>H14*D4*C8</f>
        <v>6.8347099431631106E-3</v>
      </c>
      <c r="J14" s="1">
        <f>I14*D4</f>
        <v>2.036676569568388E-3</v>
      </c>
      <c r="K14" s="1">
        <f>J14*D4</f>
        <v>6.0690965432676929E-4</v>
      </c>
      <c r="L14" s="1"/>
      <c r="M14" s="235"/>
      <c r="N14" s="97">
        <f>B14+K14</f>
        <v>0.99999999999999767</v>
      </c>
      <c r="R14" s="267">
        <f>B14-K14</f>
        <v>0.99878618069134417</v>
      </c>
      <c r="S14" s="268">
        <f>IF(Rules!B20=Rules!D20,SUM(C14:J14)*B4*F4,SUM(C14:J14)*B4*F4*POWER(O2,A14-1))</f>
        <v>428.29164795982024</v>
      </c>
      <c r="T14" s="253">
        <f>IF(Rules!B20=Rules!D20,SUM(C14:J14)*D4*H4,SUM(C14:J14)*D4*H4*POWER(O2,A14-1))</f>
        <v>-182.04208309121094</v>
      </c>
      <c r="U14" s="264">
        <f t="shared" si="0"/>
        <v>1659.4387326934261</v>
      </c>
      <c r="V14" s="93">
        <f>S14/B4</f>
        <v>610.09354394956711</v>
      </c>
      <c r="W14" s="9">
        <f>T14/D4</f>
        <v>-610.8995674464386</v>
      </c>
    </row>
    <row r="15" spans="1:23">
      <c r="A15" s="98">
        <v>9</v>
      </c>
      <c r="B15" s="97">
        <f>C15*B4</f>
        <v>0.99974244441052607</v>
      </c>
      <c r="C15" s="97">
        <f>1/(1-D4*B4/(1-D4*B4/(1-D4*B4/(1-D4*B4/(1-D4*B4/(1-D4*B4/(1-D4*B4/(1-D4*B4))))))))</f>
        <v>1.4241146514359335</v>
      </c>
      <c r="D15" s="93">
        <f>C15*D4*C14</f>
        <v>0.60414348953112995</v>
      </c>
      <c r="E15" s="1">
        <f>D15*D4*C13</f>
        <v>0.2560808723838694</v>
      </c>
      <c r="F15" s="1">
        <f>E15*D4*C12</f>
        <v>0.10833471851429542</v>
      </c>
      <c r="G15" s="1">
        <f>F15*D4*C11</f>
        <v>4.5619204385938701E-2</v>
      </c>
      <c r="H15" s="1">
        <f>G15*D4*C10</f>
        <v>1.8997626704422486E-2</v>
      </c>
      <c r="I15" s="1">
        <f>H15*D4*C9</f>
        <v>7.6972585562394991E-3</v>
      </c>
      <c r="J15" s="1">
        <f>I15*D4*C8</f>
        <v>2.900460942958618E-3</v>
      </c>
      <c r="K15" s="1">
        <f>J15*D4</f>
        <v>8.643089308246701E-4</v>
      </c>
      <c r="L15" s="1">
        <f>K15*D4</f>
        <v>2.5755558947167749E-4</v>
      </c>
      <c r="M15" s="235"/>
      <c r="N15" s="97">
        <f>B15+L15</f>
        <v>0.99999999999999778</v>
      </c>
      <c r="R15" s="267">
        <f>B15-L15</f>
        <v>0.99948488882105435</v>
      </c>
      <c r="S15" s="268">
        <f>IF(Rules!B20=Rules!D20,SUM(C15:K15)*B4*F4,SUM(C15:K15)*B4*F4*POWER(O2,A15-1))</f>
        <v>429.53475800477747</v>
      </c>
      <c r="T15" s="253">
        <f>IF(Rules!B20=Rules!D20,SUM(C15:K15)*D4*H4,SUM(C15:K15)*D4*H4*POWER(O2,A15-1))</f>
        <v>-182.57045749022993</v>
      </c>
      <c r="U15" s="264">
        <f t="shared" si="0"/>
        <v>1906.4030332079737</v>
      </c>
      <c r="V15" s="93">
        <f>S15/B4</f>
        <v>611.86433125410588</v>
      </c>
      <c r="W15" s="9">
        <f>T15/D4</f>
        <v>-612.67269422201355</v>
      </c>
    </row>
    <row r="16" spans="1:23" ht="17" thickBot="1">
      <c r="A16" s="99">
        <v>10</v>
      </c>
      <c r="B16" s="129">
        <f>C16*B4</f>
        <v>0.99989068435934536</v>
      </c>
      <c r="C16" s="129">
        <f>1/(1-D4*B4/(1-D4*B4/(1-D4*B4/(1-D4*B4/(1-D4*B4/(1-D4*B4/(1-D4*B4/(1-D4*B4/(1-D4*B4)))))))))</f>
        <v>1.4243258165057191</v>
      </c>
      <c r="D16" s="94">
        <f>C16*D4*C15</f>
        <v>0.60444429027379565</v>
      </c>
      <c r="E16" s="109">
        <f>D16*D4*C14</f>
        <v>0.25641972181451572</v>
      </c>
      <c r="F16" s="109">
        <f>E16*D4*C13</f>
        <v>0.10868971891040596</v>
      </c>
      <c r="G16" s="109">
        <f>F16*D4*C12</f>
        <v>4.5981060568655051E-2</v>
      </c>
      <c r="H16" s="109">
        <f>G16*D4*C11</f>
        <v>1.9362393041958269E-2</v>
      </c>
      <c r="I16" s="109">
        <f>H16*D4*C10</f>
        <v>8.0632602007590128E-3</v>
      </c>
      <c r="J16" s="109">
        <f>I16*D4*C9</f>
        <v>3.2669869524823082E-3</v>
      </c>
      <c r="K16" s="109">
        <f>J16*D4*C8</f>
        <v>1.2310575236100334E-3</v>
      </c>
      <c r="L16" s="109">
        <f>K16*D4</f>
        <v>3.6684307526985881E-4</v>
      </c>
      <c r="M16" s="237">
        <f>L16*D4</f>
        <v>1.0931564065244831E-4</v>
      </c>
      <c r="N16" s="129">
        <f>B16+M16</f>
        <v>0.99999999999999778</v>
      </c>
      <c r="R16" s="269">
        <f>B16-M16</f>
        <v>0.99978136871869294</v>
      </c>
      <c r="S16" s="270">
        <f>IF(Rules!B20=Rules!D20,SUM(C16:L16)*B4*F4,SUM(C16:L16)*B4*F4*POWER(O2,A16-1))</f>
        <v>430.12606819539792</v>
      </c>
      <c r="T16" s="254">
        <f>IF(Rules!B20=Rules!D20,SUM(C16:L16)*D4*H4,SUM(C16:L16)*D4*H4*POWER(O2,A16-1))</f>
        <v>-182.82178935571545</v>
      </c>
      <c r="U16" s="264">
        <f t="shared" si="0"/>
        <v>2153.7073120476562</v>
      </c>
      <c r="V16" s="94">
        <f>S16/B4</f>
        <v>612.70664170187581</v>
      </c>
      <c r="W16" s="10">
        <f>T16/D4</f>
        <v>-613.51611748603807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0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8</v>
      </c>
      <c r="D21" s="57">
        <f>SUM($C$21:C21)</f>
        <v>8</v>
      </c>
      <c r="E21" s="57">
        <f t="shared" ref="E21:E30" si="2">D21/R7</f>
        <v>19.801019363227333</v>
      </c>
      <c r="F21" s="8">
        <f t="shared" ref="F21:F30" si="3">U7/E21</f>
        <v>5.0520665385906112</v>
      </c>
      <c r="G21" s="256">
        <f>E21*U7</f>
        <v>1980.8161067163912</v>
      </c>
    </row>
    <row r="22" spans="1:7">
      <c r="A22" s="97">
        <v>2</v>
      </c>
      <c r="B22" s="93">
        <f>C21</f>
        <v>8</v>
      </c>
      <c r="C22" s="1">
        <f t="shared" si="1"/>
        <v>64</v>
      </c>
      <c r="D22" s="9">
        <f>SUM($C$21:C22)</f>
        <v>72</v>
      </c>
      <c r="E22" s="9">
        <f t="shared" si="2"/>
        <v>92.852400472282028</v>
      </c>
      <c r="F22" s="9">
        <f t="shared" si="3"/>
        <v>2.8456987174504933</v>
      </c>
      <c r="G22" s="257">
        <f t="shared" ref="G22:G30" si="4">E22*U8</f>
        <v>24534.385778211326</v>
      </c>
    </row>
    <row r="23" spans="1:7">
      <c r="A23" s="97">
        <v>3</v>
      </c>
      <c r="B23" s="93">
        <f t="shared" ref="B23:B30" si="5">C22</f>
        <v>64</v>
      </c>
      <c r="C23" s="1">
        <f t="shared" si="1"/>
        <v>512</v>
      </c>
      <c r="D23" s="9">
        <f>SUM($C$21:C23)</f>
        <v>584</v>
      </c>
      <c r="E23" s="9">
        <f t="shared" si="2"/>
        <v>642.45806440858394</v>
      </c>
      <c r="F23" s="9">
        <f t="shared" si="3"/>
        <v>0.72654195060731452</v>
      </c>
      <c r="G23" s="257">
        <f t="shared" si="4"/>
        <v>299881.90803877526</v>
      </c>
    </row>
    <row r="24" spans="1:7">
      <c r="A24" s="97">
        <v>4</v>
      </c>
      <c r="B24" s="93">
        <f t="shared" si="5"/>
        <v>512</v>
      </c>
      <c r="C24" s="1">
        <f t="shared" si="1"/>
        <v>4096</v>
      </c>
      <c r="D24" s="9">
        <f>SUM($C$21:C24)</f>
        <v>4680</v>
      </c>
      <c r="E24" s="9">
        <f t="shared" si="2"/>
        <v>4864.3204257031821</v>
      </c>
      <c r="F24" s="9">
        <f t="shared" si="3"/>
        <v>0.14203817724452791</v>
      </c>
      <c r="G24" s="257">
        <f t="shared" si="4"/>
        <v>3360852.4101488828</v>
      </c>
    </row>
    <row r="25" spans="1:7">
      <c r="A25" s="97">
        <v>5</v>
      </c>
      <c r="B25" s="93">
        <f t="shared" si="5"/>
        <v>4096</v>
      </c>
      <c r="C25" s="1">
        <f t="shared" si="1"/>
        <v>32768</v>
      </c>
      <c r="D25" s="9">
        <f>SUM($C$21:C25)</f>
        <v>37448</v>
      </c>
      <c r="E25" s="9">
        <f t="shared" si="2"/>
        <v>38055.219298771401</v>
      </c>
      <c r="F25" s="9">
        <f t="shared" si="3"/>
        <v>2.4350636379496814E-2</v>
      </c>
      <c r="G25" s="257">
        <f t="shared" si="4"/>
        <v>35264584.68622563</v>
      </c>
    </row>
    <row r="26" spans="1:7">
      <c r="A26" s="97">
        <v>6</v>
      </c>
      <c r="B26" s="93">
        <f t="shared" si="5"/>
        <v>32768</v>
      </c>
      <c r="C26" s="1">
        <f t="shared" si="1"/>
        <v>262144</v>
      </c>
      <c r="D26" s="9">
        <f>SUM($C$21:C26)</f>
        <v>299592</v>
      </c>
      <c r="E26" s="9">
        <f t="shared" si="2"/>
        <v>301628.07427573309</v>
      </c>
      <c r="F26" s="9">
        <f t="shared" si="3"/>
        <v>3.8737142837294292E-3</v>
      </c>
      <c r="G26" s="257">
        <f t="shared" si="4"/>
        <v>352428570.04898196</v>
      </c>
    </row>
    <row r="27" spans="1:7">
      <c r="A27" s="97">
        <v>7</v>
      </c>
      <c r="B27" s="93">
        <f t="shared" si="5"/>
        <v>262144</v>
      </c>
      <c r="C27" s="1">
        <f t="shared" si="1"/>
        <v>2097152</v>
      </c>
      <c r="D27" s="9">
        <f>SUM($C$21:C27)</f>
        <v>2396744</v>
      </c>
      <c r="E27" s="9">
        <f t="shared" si="2"/>
        <v>2403621.410706549</v>
      </c>
      <c r="F27" s="9">
        <f t="shared" si="3"/>
        <v>5.8794166233084406E-4</v>
      </c>
      <c r="G27" s="257">
        <f t="shared" si="4"/>
        <v>3396771741.1623001</v>
      </c>
    </row>
    <row r="28" spans="1:7">
      <c r="A28" s="97">
        <v>8</v>
      </c>
      <c r="B28" s="93">
        <f t="shared" si="5"/>
        <v>2097152</v>
      </c>
      <c r="C28" s="1">
        <f t="shared" si="1"/>
        <v>16777216</v>
      </c>
      <c r="D28" s="9">
        <f>SUM($C$21:C28)</f>
        <v>19173960</v>
      </c>
      <c r="E28" s="9">
        <f t="shared" si="2"/>
        <v>19197262.007297784</v>
      </c>
      <c r="F28" s="9">
        <f t="shared" si="3"/>
        <v>8.6441427535999423E-5</v>
      </c>
      <c r="G28" s="257">
        <f t="shared" si="4"/>
        <v>31856680136.573891</v>
      </c>
    </row>
    <row r="29" spans="1:7">
      <c r="A29" s="97">
        <v>9</v>
      </c>
      <c r="B29" s="93">
        <f t="shared" si="5"/>
        <v>16777216</v>
      </c>
      <c r="C29" s="1">
        <f t="shared" si="1"/>
        <v>134217728</v>
      </c>
      <c r="D29" s="9">
        <f>SUM($C$21:C29)</f>
        <v>153391688</v>
      </c>
      <c r="E29" s="9">
        <f t="shared" si="2"/>
        <v>153470742.49510032</v>
      </c>
      <c r="F29" s="9">
        <f t="shared" si="3"/>
        <v>1.2421931387142648E-5</v>
      </c>
      <c r="G29" s="257">
        <f t="shared" si="4"/>
        <v>292577089001.33911</v>
      </c>
    </row>
    <row r="30" spans="1:7" ht="17" thickBot="1">
      <c r="A30" s="129">
        <v>10</v>
      </c>
      <c r="B30" s="94">
        <f t="shared" si="5"/>
        <v>134217728</v>
      </c>
      <c r="C30" s="109">
        <f t="shared" si="1"/>
        <v>1073741824</v>
      </c>
      <c r="D30" s="10">
        <f>SUM($C$21:C30)</f>
        <v>1227133512</v>
      </c>
      <c r="E30" s="10">
        <f t="shared" si="2"/>
        <v>1227401860.441427</v>
      </c>
      <c r="F30" s="10">
        <f t="shared" si="3"/>
        <v>1.7546879970290167E-6</v>
      </c>
      <c r="G30" s="258">
        <f t="shared" si="4"/>
        <v>2643464361653.5981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0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8</v>
      </c>
      <c r="D33" s="57">
        <f>SUM($C$33:C33)</f>
        <v>8</v>
      </c>
      <c r="E33" s="9">
        <f t="shared" ref="E33:E42" si="7">D33/R7</f>
        <v>19.801019363227333</v>
      </c>
      <c r="F33" s="8">
        <f t="shared" ref="F33:F42" si="8">U7/E33</f>
        <v>5.0520665385906112</v>
      </c>
      <c r="G33" s="259">
        <f>E33*U7</f>
        <v>1980.8161067163912</v>
      </c>
    </row>
    <row r="34" spans="1:7">
      <c r="A34" s="97">
        <v>2</v>
      </c>
      <c r="B34" s="93">
        <f t="shared" ref="B34:B42" si="9">B33*($O$2+1)</f>
        <v>9</v>
      </c>
      <c r="C34" s="1">
        <f t="shared" si="6"/>
        <v>72</v>
      </c>
      <c r="D34" s="9">
        <f>SUM($C$33:C34)</f>
        <v>80</v>
      </c>
      <c r="E34" s="9">
        <f t="shared" si="7"/>
        <v>103.16933385809114</v>
      </c>
      <c r="F34" s="9">
        <f t="shared" si="8"/>
        <v>2.561128845705444</v>
      </c>
      <c r="G34" s="257">
        <f t="shared" ref="G34:G42" si="10">E34*U8</f>
        <v>27260.428642457027</v>
      </c>
    </row>
    <row r="35" spans="1:7">
      <c r="A35" s="97">
        <v>3</v>
      </c>
      <c r="B35" s="93">
        <f t="shared" si="9"/>
        <v>81</v>
      </c>
      <c r="C35" s="1">
        <f t="shared" si="6"/>
        <v>648</v>
      </c>
      <c r="D35" s="9">
        <f>SUM($C$33:C35)</f>
        <v>728</v>
      </c>
      <c r="E35" s="9">
        <f t="shared" si="7"/>
        <v>800.87238166001555</v>
      </c>
      <c r="F35" s="9">
        <f t="shared" si="8"/>
        <v>0.58283035598169186</v>
      </c>
      <c r="G35" s="257">
        <f t="shared" si="10"/>
        <v>373825.39221271977</v>
      </c>
    </row>
    <row r="36" spans="1:7">
      <c r="A36" s="97">
        <v>4</v>
      </c>
      <c r="B36" s="93">
        <f t="shared" si="9"/>
        <v>729</v>
      </c>
      <c r="C36" s="1">
        <f t="shared" si="6"/>
        <v>5832</v>
      </c>
      <c r="D36" s="9">
        <f>SUM($C$33:C36)</f>
        <v>6560</v>
      </c>
      <c r="E36" s="9">
        <f t="shared" si="7"/>
        <v>6818.3636736352291</v>
      </c>
      <c r="F36" s="9">
        <f t="shared" si="8"/>
        <v>0.10133211425371808</v>
      </c>
      <c r="G36" s="257">
        <f t="shared" si="10"/>
        <v>4710938.4210633915</v>
      </c>
    </row>
    <row r="37" spans="1:7">
      <c r="A37" s="97">
        <v>5</v>
      </c>
      <c r="B37" s="93">
        <f t="shared" si="9"/>
        <v>6561</v>
      </c>
      <c r="C37" s="1">
        <f t="shared" si="6"/>
        <v>52488</v>
      </c>
      <c r="D37" s="9">
        <f>SUM($C$33:C37)</f>
        <v>59048</v>
      </c>
      <c r="E37" s="9">
        <f t="shared" si="7"/>
        <v>60005.463286526741</v>
      </c>
      <c r="F37" s="9">
        <f t="shared" si="8"/>
        <v>1.544307395914166E-2</v>
      </c>
      <c r="G37" s="257">
        <f t="shared" si="10"/>
        <v>55605191.106394216</v>
      </c>
    </row>
    <row r="38" spans="1:7">
      <c r="A38" s="97">
        <v>6</v>
      </c>
      <c r="B38" s="93">
        <f t="shared" si="9"/>
        <v>59049</v>
      </c>
      <c r="C38" s="1">
        <f t="shared" si="6"/>
        <v>472392</v>
      </c>
      <c r="D38" s="9">
        <f>SUM($C$33:C38)</f>
        <v>531440</v>
      </c>
      <c r="E38" s="9">
        <f t="shared" si="7"/>
        <v>535051.74968989694</v>
      </c>
      <c r="F38" s="9">
        <f t="shared" si="8"/>
        <v>2.1837532170914252E-3</v>
      </c>
      <c r="G38" s="257">
        <f t="shared" si="10"/>
        <v>625165689.56057239</v>
      </c>
    </row>
    <row r="39" spans="1:7">
      <c r="A39" s="97">
        <v>7</v>
      </c>
      <c r="B39" s="93">
        <f t="shared" si="9"/>
        <v>531441</v>
      </c>
      <c r="C39" s="1">
        <f t="shared" si="6"/>
        <v>4251528</v>
      </c>
      <c r="D39" s="9">
        <f>SUM($C$33:C39)</f>
        <v>4782968</v>
      </c>
      <c r="E39" s="9">
        <f t="shared" si="7"/>
        <v>4796692.6344758896</v>
      </c>
      <c r="F39" s="9">
        <f t="shared" si="8"/>
        <v>2.9461741151968329E-4</v>
      </c>
      <c r="G39" s="257">
        <f t="shared" si="10"/>
        <v>6778634072.4264107</v>
      </c>
    </row>
    <row r="40" spans="1:7">
      <c r="A40" s="97">
        <v>8</v>
      </c>
      <c r="B40" s="93">
        <f t="shared" si="9"/>
        <v>4782969</v>
      </c>
      <c r="C40" s="1">
        <f t="shared" si="6"/>
        <v>38263752</v>
      </c>
      <c r="D40" s="9">
        <f>SUM($C$33:C40)</f>
        <v>43046720</v>
      </c>
      <c r="E40" s="9">
        <f t="shared" si="7"/>
        <v>43099034.440187924</v>
      </c>
      <c r="F40" s="9">
        <f t="shared" si="8"/>
        <v>3.8502921335659287E-5</v>
      </c>
      <c r="G40" s="257">
        <f t="shared" si="10"/>
        <v>71520207091.735779</v>
      </c>
    </row>
    <row r="41" spans="1:7">
      <c r="A41" s="97">
        <v>9</v>
      </c>
      <c r="B41" s="93">
        <f t="shared" si="9"/>
        <v>43046721</v>
      </c>
      <c r="C41" s="1">
        <f t="shared" si="6"/>
        <v>344373768</v>
      </c>
      <c r="D41" s="9">
        <f>SUM($C$33:C41)</f>
        <v>387420488</v>
      </c>
      <c r="E41" s="9">
        <f t="shared" si="7"/>
        <v>387620155.47526997</v>
      </c>
      <c r="F41" s="9">
        <f t="shared" si="8"/>
        <v>4.9182247266540855E-6</v>
      </c>
      <c r="G41" s="257">
        <f t="shared" si="10"/>
        <v>738960240130.60107</v>
      </c>
    </row>
    <row r="42" spans="1:7" ht="17" thickBot="1">
      <c r="A42" s="129">
        <v>10</v>
      </c>
      <c r="B42" s="94">
        <f t="shared" si="9"/>
        <v>387420489</v>
      </c>
      <c r="C42" s="109">
        <f t="shared" si="6"/>
        <v>3099363912</v>
      </c>
      <c r="D42" s="10">
        <f>SUM($C$33:C42)</f>
        <v>3486784400</v>
      </c>
      <c r="E42" s="9">
        <f t="shared" si="7"/>
        <v>3487546886.8444891</v>
      </c>
      <c r="F42" s="10">
        <f t="shared" si="8"/>
        <v>6.1754218134578747E-7</v>
      </c>
      <c r="G42" s="258">
        <f t="shared" si="10"/>
        <v>7511155231306.0156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0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8</v>
      </c>
      <c r="D45" s="57">
        <f>SUM(C45:C45)</f>
        <v>8</v>
      </c>
      <c r="E45" s="57">
        <f t="shared" ref="E45:E54" si="12">D45/R7</f>
        <v>19.801019363227333</v>
      </c>
      <c r="F45" s="8">
        <f t="shared" ref="F45:F54" si="13">U7/E45</f>
        <v>5.0520665385906112</v>
      </c>
      <c r="G45" s="256">
        <f>E45*U7</f>
        <v>1980.8161067163912</v>
      </c>
    </row>
    <row r="46" spans="1:7">
      <c r="A46" s="97">
        <v>2</v>
      </c>
      <c r="B46" s="93">
        <f t="shared" ref="B46:B54" si="14">B45*$O$2*2</f>
        <v>16</v>
      </c>
      <c r="C46" s="1">
        <f t="shared" si="11"/>
        <v>128</v>
      </c>
      <c r="D46" s="9">
        <f>SUM($C$45:C46)</f>
        <v>136</v>
      </c>
      <c r="E46" s="9">
        <f t="shared" si="12"/>
        <v>175.38786755875495</v>
      </c>
      <c r="F46" s="9">
        <f t="shared" si="13"/>
        <v>1.5065463798267316</v>
      </c>
      <c r="G46" s="257">
        <f t="shared" ref="G46:G54" si="15">E46*U8</f>
        <v>46342.728692176948</v>
      </c>
    </row>
    <row r="47" spans="1:7">
      <c r="A47" s="97">
        <v>3</v>
      </c>
      <c r="B47" s="93">
        <f t="shared" si="14"/>
        <v>256</v>
      </c>
      <c r="C47" s="1">
        <f t="shared" si="11"/>
        <v>2048</v>
      </c>
      <c r="D47" s="9">
        <f>SUM($C$45:C47)</f>
        <v>2184</v>
      </c>
      <c r="E47" s="9">
        <f t="shared" si="12"/>
        <v>2402.6171449800468</v>
      </c>
      <c r="F47" s="9">
        <f t="shared" si="13"/>
        <v>0.19427678532723061</v>
      </c>
      <c r="G47" s="257">
        <f t="shared" si="15"/>
        <v>1121476.1766381594</v>
      </c>
    </row>
    <row r="48" spans="1:7">
      <c r="A48" s="97">
        <v>4</v>
      </c>
      <c r="B48" s="93">
        <f t="shared" si="14"/>
        <v>4096</v>
      </c>
      <c r="C48" s="1">
        <f t="shared" si="11"/>
        <v>32768</v>
      </c>
      <c r="D48" s="9">
        <f>SUM($C$45:C48)</f>
        <v>34952</v>
      </c>
      <c r="E48" s="9">
        <f t="shared" si="12"/>
        <v>36328.574256234533</v>
      </c>
      <c r="F48" s="9">
        <f t="shared" si="13"/>
        <v>1.9018616087903142E-2</v>
      </c>
      <c r="G48" s="257">
        <f t="shared" si="15"/>
        <v>25100109.709299948</v>
      </c>
    </row>
    <row r="49" spans="1:7">
      <c r="A49" s="97">
        <v>5</v>
      </c>
      <c r="B49" s="93">
        <f t="shared" si="14"/>
        <v>65536</v>
      </c>
      <c r="C49" s="1">
        <f t="shared" si="11"/>
        <v>524288</v>
      </c>
      <c r="D49" s="9">
        <f>SUM($C$45:C49)</f>
        <v>559240</v>
      </c>
      <c r="E49" s="9">
        <f t="shared" si="12"/>
        <v>568308.07628297689</v>
      </c>
      <c r="F49" s="9">
        <f t="shared" si="13"/>
        <v>1.6305747642146424E-3</v>
      </c>
      <c r="G49" s="257">
        <f t="shared" si="15"/>
        <v>526633367.33403176</v>
      </c>
    </row>
    <row r="50" spans="1:7">
      <c r="A50" s="97">
        <v>6</v>
      </c>
      <c r="B50" s="93">
        <f t="shared" si="14"/>
        <v>1048576</v>
      </c>
      <c r="C50" s="1">
        <f t="shared" si="11"/>
        <v>8388608</v>
      </c>
      <c r="D50" s="9">
        <f>SUM($C$45:C50)</f>
        <v>8947848</v>
      </c>
      <c r="E50" s="9">
        <f t="shared" si="12"/>
        <v>9008658.980052771</v>
      </c>
      <c r="F50" s="9">
        <f t="shared" si="13"/>
        <v>1.2969976799908392E-4</v>
      </c>
      <c r="G50" s="257">
        <f t="shared" si="15"/>
        <v>10525906151.2178</v>
      </c>
    </row>
    <row r="51" spans="1:7">
      <c r="A51" s="97">
        <v>7</v>
      </c>
      <c r="B51" s="93">
        <f t="shared" si="14"/>
        <v>16777216</v>
      </c>
      <c r="C51" s="1">
        <f t="shared" si="11"/>
        <v>134217728</v>
      </c>
      <c r="D51" s="9">
        <f>SUM($C$45:C51)</f>
        <v>143165576</v>
      </c>
      <c r="E51" s="9">
        <f t="shared" si="12"/>
        <v>143576386.86056402</v>
      </c>
      <c r="F51" s="9">
        <f t="shared" si="13"/>
        <v>9.8427687081807751E-6</v>
      </c>
      <c r="G51" s="257">
        <f t="shared" si="15"/>
        <v>202900594666.77444</v>
      </c>
    </row>
    <row r="52" spans="1:7">
      <c r="A52" s="97">
        <v>8</v>
      </c>
      <c r="B52" s="93">
        <f t="shared" si="14"/>
        <v>268435456</v>
      </c>
      <c r="C52" s="1">
        <f t="shared" si="11"/>
        <v>2147483648</v>
      </c>
      <c r="D52" s="9">
        <f>SUM($C$45:C52)</f>
        <v>2290649224</v>
      </c>
      <c r="E52" s="9">
        <f t="shared" si="12"/>
        <v>2293433037.3037887</v>
      </c>
      <c r="F52" s="9">
        <f t="shared" si="13"/>
        <v>7.2356101342479112E-7</v>
      </c>
      <c r="G52" s="257">
        <f t="shared" si="15"/>
        <v>3805811612940.6343</v>
      </c>
    </row>
    <row r="53" spans="1:7">
      <c r="A53" s="97">
        <v>9</v>
      </c>
      <c r="B53" s="93">
        <f t="shared" si="14"/>
        <v>4294967296</v>
      </c>
      <c r="C53" s="1">
        <f t="shared" si="11"/>
        <v>34359738368</v>
      </c>
      <c r="D53" s="9">
        <f>SUM($C$45:C53)</f>
        <v>36650387592</v>
      </c>
      <c r="E53" s="9">
        <f t="shared" si="12"/>
        <v>36669276346.169762</v>
      </c>
      <c r="F53" s="9">
        <f t="shared" si="13"/>
        <v>5.1989109771649597E-8</v>
      </c>
      <c r="G53" s="257">
        <f t="shared" si="15"/>
        <v>69906419651879.438</v>
      </c>
    </row>
    <row r="54" spans="1:7" ht="17" thickBot="1">
      <c r="A54" s="129">
        <v>10</v>
      </c>
      <c r="B54" s="94">
        <f t="shared" si="14"/>
        <v>68719476736</v>
      </c>
      <c r="C54" s="109">
        <f t="shared" si="11"/>
        <v>549755813888</v>
      </c>
      <c r="D54" s="10">
        <f>SUM($C$45:C54)</f>
        <v>586406201480</v>
      </c>
      <c r="E54" s="10">
        <f t="shared" si="12"/>
        <v>586534436255.32922</v>
      </c>
      <c r="F54" s="10">
        <f t="shared" si="13"/>
        <v>3.6719196332235602E-9</v>
      </c>
      <c r="G54" s="258">
        <f t="shared" si="15"/>
        <v>1263223504130852.5</v>
      </c>
    </row>
  </sheetData>
  <mergeCells count="1">
    <mergeCell ref="A18:F18"/>
  </mergeCells>
  <conditionalFormatting sqref="F45:F54">
    <cfRule type="cellIs" dxfId="489" priority="71" operator="equal">
      <formula>MAX($F$45:$F$54)</formula>
    </cfRule>
  </conditionalFormatting>
  <conditionalFormatting sqref="F21:F30">
    <cfRule type="cellIs" dxfId="488" priority="69" operator="equal">
      <formula>MAX($F$21:$F$30)</formula>
    </cfRule>
  </conditionalFormatting>
  <conditionalFormatting sqref="E33:E42">
    <cfRule type="cellIs" dxfId="487" priority="65" stopIfTrue="1" operator="lessThan">
      <formula>0</formula>
    </cfRule>
    <cfRule type="cellIs" dxfId="486" priority="66" operator="equal">
      <formula>MIN($E$33:$E$42)</formula>
    </cfRule>
  </conditionalFormatting>
  <conditionalFormatting sqref="E21:E30">
    <cfRule type="cellIs" dxfId="485" priority="61" stopIfTrue="1" operator="lessThan">
      <formula>0</formula>
    </cfRule>
    <cfRule type="cellIs" dxfId="484" priority="62" operator="equal">
      <formula>MIN($E$21:$E$30)</formula>
    </cfRule>
  </conditionalFormatting>
  <conditionalFormatting sqref="E45:E54">
    <cfRule type="cellIs" dxfId="483" priority="57" stopIfTrue="1" operator="lessThan">
      <formula>0</formula>
    </cfRule>
    <cfRule type="cellIs" dxfId="482" priority="58" operator="equal">
      <formula>MIN($E$45:$E$54)</formula>
    </cfRule>
  </conditionalFormatting>
  <conditionalFormatting sqref="F33:F42">
    <cfRule type="cellIs" dxfId="481" priority="43" operator="lessThanOrEqual">
      <formula>0</formula>
    </cfRule>
    <cfRule type="cellIs" dxfId="480" priority="44" operator="equal">
      <formula>MAX($F$33:$F$42)</formula>
    </cfRule>
  </conditionalFormatting>
  <conditionalFormatting sqref="R7:R16">
    <cfRule type="cellIs" dxfId="479" priority="29" operator="lessThanOrEqual">
      <formula>0</formula>
    </cfRule>
    <cfRule type="cellIs" dxfId="478" priority="30" operator="greaterThan">
      <formula>0</formula>
    </cfRule>
  </conditionalFormatting>
  <conditionalFormatting sqref="U7:U16">
    <cfRule type="cellIs" dxfId="477" priority="9" operator="lessThanOrEqual">
      <formula>0</formula>
    </cfRule>
    <cfRule type="cellIs" dxfId="476" priority="10" operator="greaterThan">
      <formula>0</formula>
    </cfRule>
  </conditionalFormatting>
  <conditionalFormatting sqref="S7:T16">
    <cfRule type="cellIs" dxfId="475" priority="1" operator="lessThanOrEqual">
      <formula>0</formula>
    </cfRule>
    <cfRule type="cellIs" dxfId="47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13" max="13" width="9.1640625" bestFit="1" customWidth="1"/>
    <col min="14" max="14" width="5.6640625" bestFit="1" customWidth="1"/>
  </cols>
  <sheetData>
    <row r="1" spans="1:23">
      <c r="C1" t="s">
        <v>94</v>
      </c>
      <c r="D1">
        <f>C2+E2</f>
        <v>0.999999999999999</v>
      </c>
    </row>
    <row r="2" spans="1:23">
      <c r="A2" t="s">
        <v>39</v>
      </c>
      <c r="B2" s="133" t="s">
        <v>124</v>
      </c>
      <c r="C2" s="139">
        <f>Analysis!B16</f>
        <v>0.70638706878938795</v>
      </c>
      <c r="D2" s="133" t="s">
        <v>125</v>
      </c>
      <c r="E2" s="139">
        <f>Analysis!L16</f>
        <v>0.29361293121061105</v>
      </c>
      <c r="F2" s="133" t="s">
        <v>46</v>
      </c>
      <c r="G2" s="139">
        <f>Analysis!S16</f>
        <v>285.30456122054471</v>
      </c>
      <c r="H2" t="s">
        <v>153</v>
      </c>
      <c r="I2" s="153">
        <f>Analysis!T16</f>
        <v>-285.68149059865232</v>
      </c>
      <c r="J2" t="s">
        <v>47</v>
      </c>
      <c r="K2" s="153">
        <f>G2*C2+I2*E2</f>
        <v>117.65567286553613</v>
      </c>
      <c r="L2" t="s">
        <v>46</v>
      </c>
      <c r="M2" s="160">
        <v>1</v>
      </c>
      <c r="N2" t="s">
        <v>153</v>
      </c>
      <c r="O2" s="160">
        <v>9</v>
      </c>
    </row>
    <row r="4" spans="1:23">
      <c r="A4" t="s">
        <v>122</v>
      </c>
      <c r="B4">
        <f>$C$2</f>
        <v>0.70638706878938795</v>
      </c>
      <c r="C4" t="s">
        <v>123</v>
      </c>
      <c r="D4">
        <f>$E$2</f>
        <v>0.29361293121061105</v>
      </c>
      <c r="E4" t="s">
        <v>46</v>
      </c>
      <c r="F4">
        <f>G2</f>
        <v>285.30456122054471</v>
      </c>
      <c r="G4" t="s">
        <v>153</v>
      </c>
      <c r="H4">
        <f>I2</f>
        <v>-285.68149059865232</v>
      </c>
      <c r="I4" t="s">
        <v>47</v>
      </c>
      <c r="J4">
        <f>B4*F4+D4*H4</f>
        <v>117.65567286553613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164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0.70638706878938795</v>
      </c>
      <c r="C7" s="95">
        <v>1</v>
      </c>
      <c r="D7" s="107">
        <f>C7*D4</f>
        <v>0.29361293121061105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0.999999999999999</v>
      </c>
      <c r="R7" s="265">
        <f>B7-D7</f>
        <v>0.4127741375787769</v>
      </c>
      <c r="S7" s="266">
        <f>IF(Rules!B20=Rules!D20,SUM(C7)*B4*F4,SUM(C7)*B4*F4*POWER(O2,A7-1))</f>
        <v>201.53545271282306</v>
      </c>
      <c r="T7" s="252">
        <f>IF(Rules!B20=Rules!D20,SUM(C7)*D4*H4,SUM(C7)*D4*H4*POWER(O2,A7-1))</f>
        <v>-83.879779847286926</v>
      </c>
      <c r="U7" s="263">
        <f>S7+T7</f>
        <v>117.65567286553613</v>
      </c>
      <c r="V7" s="282">
        <f>S7/B4</f>
        <v>285.30456122054471</v>
      </c>
      <c r="W7" s="57">
        <f>T7/D4</f>
        <v>-285.68149059865232</v>
      </c>
    </row>
    <row r="8" spans="1:23">
      <c r="A8" s="98">
        <v>2</v>
      </c>
      <c r="B8" s="97">
        <f>C8*B4</f>
        <v>0.89123261476164528</v>
      </c>
      <c r="C8" s="97">
        <f>1/(1-B4*D4)</f>
        <v>1.261677420410664</v>
      </c>
      <c r="D8" s="93">
        <f>C8*D4</f>
        <v>0.37044480564901749</v>
      </c>
      <c r="E8" s="1">
        <f>D8*D4</f>
        <v>0.10876738523835315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0.99999999999999845</v>
      </c>
      <c r="R8" s="267">
        <f>B8-E8</f>
        <v>0.78246522952329212</v>
      </c>
      <c r="S8" s="268">
        <f>IF(Rules!B20=Rules!D20,SUM(C8:D8)*B4*F4,SUM(C8:D8)*B4*F4*POWER(O2,A8-1))</f>
        <v>328.93049171159845</v>
      </c>
      <c r="T8" s="253">
        <f>IF(Rules!B20=Rules!D20,SUM(C8:D8)*D4*H4,SUM(C8:D8)*D4*H4*POWER(O2,A8-1))</f>
        <v>-136.90205300574996</v>
      </c>
      <c r="U8" s="264">
        <f>S8+T8+U7</f>
        <v>309.68411157138462</v>
      </c>
      <c r="V8" s="93">
        <f>S8/B4</f>
        <v>465.65191556425611</v>
      </c>
      <c r="W8" s="9">
        <f>T8/D4</f>
        <v>-466.26711037992044</v>
      </c>
    </row>
    <row r="9" spans="1:23">
      <c r="A9" s="98">
        <v>3</v>
      </c>
      <c r="B9" s="97">
        <f>C9*B4</f>
        <v>0.95674585650934452</v>
      </c>
      <c r="C9" s="97">
        <f>1/(1-D4*B4/(1-D4*B4))</f>
        <v>1.354421532870107</v>
      </c>
      <c r="D9" s="93">
        <f>C9*D4*C8</f>
        <v>0.50173842151091119</v>
      </c>
      <c r="E9" s="1">
        <f>D9*(D4)</f>
        <v>0.14731688864080375</v>
      </c>
      <c r="F9" s="1">
        <f>E9*D4</f>
        <v>4.3254143490653561E-2</v>
      </c>
      <c r="G9" s="1"/>
      <c r="H9" s="1"/>
      <c r="I9" s="1"/>
      <c r="J9" s="1"/>
      <c r="K9" s="1"/>
      <c r="L9" s="1"/>
      <c r="M9" s="235"/>
      <c r="N9" s="97">
        <f>B9+F9</f>
        <v>0.99999999999999811</v>
      </c>
      <c r="R9" s="267">
        <f>B9-F9</f>
        <v>0.91349171301869092</v>
      </c>
      <c r="S9" s="268">
        <f>IF(Rules!B20=Rules!D20,SUM(C9:E9)*B4*F4,SUM(C9:E9)*B4*F4*POWER(O2,A9-1))</f>
        <v>403.77161255806038</v>
      </c>
      <c r="T9" s="253">
        <f>IF(Rules!B20=Rules!D20,SUM(C9:E9)*D4*H4,SUM(C9:E9)*D4*H4*POWER(O2,A9-1))</f>
        <v>-168.05119652180787</v>
      </c>
      <c r="U9" s="264">
        <f t="shared" ref="U9:U16" si="0">S9+T9+U8</f>
        <v>545.40452760763719</v>
      </c>
      <c r="V9" s="93">
        <f>S9/B4</f>
        <v>571.60108161386302</v>
      </c>
      <c r="W9" s="9">
        <f>T9/D4</f>
        <v>-572.35625089435632</v>
      </c>
    </row>
    <row r="10" spans="1:23">
      <c r="A10" s="98">
        <v>4</v>
      </c>
      <c r="B10" s="97">
        <f>C10*B4</f>
        <v>0.98233875029199469</v>
      </c>
      <c r="C10" s="97">
        <f>1/(1-D4*B4/(1-D4*B4/(1-D4*B4)))</f>
        <v>1.3906522269377539</v>
      </c>
      <c r="D10" s="93">
        <f>C10*D4*C9</f>
        <v>0.55302856493006991</v>
      </c>
      <c r="E10" s="1">
        <f>D10*D4*C8</f>
        <v>0.20486655925387481</v>
      </c>
      <c r="F10" s="1">
        <f>E10*D4</f>
        <v>6.0151470969562519E-2</v>
      </c>
      <c r="G10" s="1">
        <f>F10*D4</f>
        <v>1.7661249708003226E-2</v>
      </c>
      <c r="H10" s="1"/>
      <c r="I10" s="1"/>
      <c r="J10" s="1"/>
      <c r="K10" s="1"/>
      <c r="L10" s="1"/>
      <c r="M10" s="235"/>
      <c r="N10" s="97">
        <f>B10+G10</f>
        <v>0.99999999999999789</v>
      </c>
      <c r="R10" s="267">
        <f>B10-G10</f>
        <v>0.96467750058399149</v>
      </c>
      <c r="S10" s="268">
        <f>IF(Rules!B20=Rules!D20,SUM(C10:F10)*B4*F4,SUM(C10:F10)*B4*F4*POWER(O2,A10-1))</f>
        <v>445.13111701644129</v>
      </c>
      <c r="T10" s="253">
        <f>IF(Rules!B20=Rules!D20,SUM(C10:F10)*D4*H4,SUM(C10:F10)*D4*H4*POWER(O2,A10-1))</f>
        <v>-185.26517094597693</v>
      </c>
      <c r="U10" s="264">
        <f t="shared" si="0"/>
        <v>805.27047367810155</v>
      </c>
      <c r="V10" s="93">
        <f>S10/B4</f>
        <v>630.1518483050811</v>
      </c>
      <c r="W10" s="9">
        <f>T10/D4</f>
        <v>-630.98437177851906</v>
      </c>
    </row>
    <row r="11" spans="1:23">
      <c r="A11" s="98">
        <v>5</v>
      </c>
      <c r="B11" s="97">
        <f>C11*B4</f>
        <v>0.99271252012304534</v>
      </c>
      <c r="C11" s="97">
        <f>1/(1-D4*B4/(1-D4*B4/(1-D4*B4/(1-D4*B4))))</f>
        <v>1.4053379004012125</v>
      </c>
      <c r="D11" s="93">
        <f>C11*D4*C10</f>
        <v>0.57381840397486883</v>
      </c>
      <c r="E11" s="1">
        <f>D11*D4*C9</f>
        <v>0.22819362190895842</v>
      </c>
      <c r="F11" s="1">
        <f>E11*D4*C8</f>
        <v>8.453314191840948E-2</v>
      </c>
      <c r="G11" s="1">
        <f>F11*D4</f>
        <v>2.4820023583106785E-2</v>
      </c>
      <c r="H11" s="1">
        <f>G11*D4</f>
        <v>7.2874798769524763E-3</v>
      </c>
      <c r="I11" s="1"/>
      <c r="J11" s="1"/>
      <c r="K11" s="1"/>
      <c r="L11" s="1"/>
      <c r="M11" s="235"/>
      <c r="N11" s="97">
        <f>B11+H11</f>
        <v>0.99999999999999778</v>
      </c>
      <c r="R11" s="267">
        <f>B11-H11</f>
        <v>0.9854250402460929</v>
      </c>
      <c r="S11" s="268">
        <f>IF(Rules!B20=Rules!D20,SUM(C11:G11)*B4*F4,SUM(C11:G11)*B4*F4*POWER(O2,A11-1))</f>
        <v>466.89780640440034</v>
      </c>
      <c r="T11" s="253">
        <f>IF(Rules!B20=Rules!D20,SUM(C11:G11)*D4*H4,SUM(C11:G11)*D4*H4*POWER(O2,A11-1))</f>
        <v>-194.32454531058525</v>
      </c>
      <c r="U11" s="264">
        <f t="shared" si="0"/>
        <v>1077.8437347719166</v>
      </c>
      <c r="V11" s="93">
        <f>S11/B4</f>
        <v>660.96595908044253</v>
      </c>
      <c r="W11" s="9">
        <f>T11/D4</f>
        <v>-661.83919253608963</v>
      </c>
    </row>
    <row r="12" spans="1:23">
      <c r="A12" s="98">
        <v>6</v>
      </c>
      <c r="B12" s="97">
        <f>C12*B4</f>
        <v>0.99698007410994804</v>
      </c>
      <c r="C12" s="97">
        <f>1/(1-D4*B4/(1-D4*B4/(1-D4*B4/(1-D4*B4/(1-D4*B4)))))</f>
        <v>1.4113792822093711</v>
      </c>
      <c r="D12" s="93">
        <f>C12*D4*C11</f>
        <v>0.58237091303836641</v>
      </c>
      <c r="E12" s="1">
        <f>D12*D4*C10</f>
        <v>0.23778989220005967</v>
      </c>
      <c r="F12" s="1">
        <f>E12*D4*C9</f>
        <v>9.4563256212411198E-2</v>
      </c>
      <c r="G12" s="1">
        <f>F12*D4*C8</f>
        <v>3.5030467069144915E-2</v>
      </c>
      <c r="H12" s="1">
        <f>G12*D4</f>
        <v>1.0285398117848421E-2</v>
      </c>
      <c r="I12" s="1">
        <f>H12*D4</f>
        <v>3.0199258900495771E-3</v>
      </c>
      <c r="J12" s="1"/>
      <c r="K12" s="1"/>
      <c r="L12" s="1"/>
      <c r="M12" s="235"/>
      <c r="N12" s="97">
        <f>B12+I12</f>
        <v>0.99999999999999767</v>
      </c>
      <c r="R12" s="267">
        <f>B12-I12</f>
        <v>0.99396014821989842</v>
      </c>
      <c r="S12" s="268">
        <f>IF(Rules!B20=Rules!D20,SUM(C12:H12)*B4*F4,SUM(C12:H12)*B4*F4*POWER(O2,A12-1))</f>
        <v>477.92504382690561</v>
      </c>
      <c r="T12" s="253">
        <f>IF(Rules!B20=Rules!D20,SUM(C12:H12)*D4*H4,SUM(C12:H12)*D4*H4*POWER(O2,A12-1))</f>
        <v>-198.91412116373064</v>
      </c>
      <c r="U12" s="264">
        <f t="shared" si="0"/>
        <v>1356.8546574350917</v>
      </c>
      <c r="V12" s="93">
        <f>S12/B4</f>
        <v>676.57671685012235</v>
      </c>
      <c r="W12" s="9">
        <f>T12/D4</f>
        <v>-677.47057441774541</v>
      </c>
    </row>
    <row r="13" spans="1:23">
      <c r="A13" s="98">
        <v>7</v>
      </c>
      <c r="B13" s="97">
        <f>C13*B4</f>
        <v>0.99874632802011132</v>
      </c>
      <c r="C13" s="97">
        <f>1/(1-D4*B4/(1-D4*B4/(1-D4*B4/(1-D4*B4/(1-D4*B4/(1-D4*B4))))))</f>
        <v>1.4138796874237394</v>
      </c>
      <c r="D13" s="93">
        <f>C13*D4*C12</f>
        <v>0.5859106228162555</v>
      </c>
      <c r="E13" s="1">
        <f>D13*D4*C11</f>
        <v>0.2417615935485744</v>
      </c>
      <c r="F13" s="1">
        <f>E13*D4*C10</f>
        <v>9.8714516781237022E-2</v>
      </c>
      <c r="G13" s="1">
        <f>F13*D4*C9</f>
        <v>3.9256362227604133E-2</v>
      </c>
      <c r="H13" s="1">
        <f>G13*D4*C8</f>
        <v>1.4542315475892244E-2</v>
      </c>
      <c r="I13" s="1">
        <f>H13*D4</f>
        <v>4.2698118734661537E-3</v>
      </c>
      <c r="J13" s="1">
        <f>I13*D4</f>
        <v>1.2536719798862681E-3</v>
      </c>
      <c r="K13" s="1"/>
      <c r="L13" s="1"/>
      <c r="M13" s="235"/>
      <c r="N13" s="97">
        <f>B13+J13</f>
        <v>0.99999999999999756</v>
      </c>
      <c r="R13" s="267">
        <f>B13-J13</f>
        <v>0.99749265604022508</v>
      </c>
      <c r="S13" s="268">
        <f>IF(Rules!B20=Rules!D20,SUM(C13:I13)*B4*F4,SUM(C13:I13)*B4*F4*POWER(O2,A13-1))</f>
        <v>483.34951187339698</v>
      </c>
      <c r="T13" s="253">
        <f>IF(Rules!B20=Rules!D20,SUM(C13:I13)*D4*H4,SUM(C13:I13)*D4*H4*POWER(O2,A13-1))</f>
        <v>-201.17180426317367</v>
      </c>
      <c r="U13" s="264">
        <f t="shared" si="0"/>
        <v>1639.0323650453149</v>
      </c>
      <c r="V13" s="93">
        <f>S13/B4</f>
        <v>684.25588919933853</v>
      </c>
      <c r="W13" s="9">
        <f>T13/D4</f>
        <v>-685.15989208551389</v>
      </c>
    </row>
    <row r="14" spans="1:23">
      <c r="A14" s="98">
        <v>8</v>
      </c>
      <c r="B14" s="97">
        <f>C14*B4</f>
        <v>0.99947917705591116</v>
      </c>
      <c r="C14" s="97">
        <f>1/(1-D4*B4/(1-D4*B4/(1-D4*B4/(1-D4*B4/(1-D4*B4/(1-D4*B4/(1-D4*B4)))))))</f>
        <v>1.4149171484251926</v>
      </c>
      <c r="D14" s="93">
        <f>C14*D4*C13</f>
        <v>0.58737930910354996</v>
      </c>
      <c r="E14" s="1">
        <f>D14*D4*C12</f>
        <v>0.24340952054649656</v>
      </c>
      <c r="F14" s="1">
        <f>E14*D4*C11</f>
        <v>0.10043694597882415</v>
      </c>
      <c r="G14" s="1">
        <f>F14*D4*C10</f>
        <v>4.1009758596295853E-2</v>
      </c>
      <c r="H14" s="1">
        <f>G14*D4*C9</f>
        <v>1.6308583487173491E-2</v>
      </c>
      <c r="I14" s="1">
        <f>H14*D4*C8</f>
        <v>6.0414300403167599E-3</v>
      </c>
      <c r="J14" s="1">
        <f>I14*D4</f>
        <v>1.7738419828412439E-3</v>
      </c>
      <c r="K14" s="1">
        <f>J14*D4</f>
        <v>5.2082294408646005E-4</v>
      </c>
      <c r="L14" s="1"/>
      <c r="M14" s="235"/>
      <c r="N14" s="97">
        <f>B14+K14</f>
        <v>0.99999999999999767</v>
      </c>
      <c r="R14" s="267">
        <f>B14-K14</f>
        <v>0.99895835411182465</v>
      </c>
      <c r="S14" s="268">
        <f>IF(Rules!B20=Rules!D20,SUM(C14:J14)*B4*F4,SUM(C14:J14)*B4*F4*POWER(O2,A14-1))</f>
        <v>485.95770873402353</v>
      </c>
      <c r="T14" s="253">
        <f>IF(Rules!B20=Rules!D20,SUM(C14:J14)*D4*H4,SUM(C14:J14)*D4*H4*POWER(O2,A14-1))</f>
        <v>-202.25734517184688</v>
      </c>
      <c r="U14" s="264">
        <f t="shared" si="0"/>
        <v>1922.7327286074915</v>
      </c>
      <c r="V14" s="93">
        <f>S14/B4</f>
        <v>687.94819470132984</v>
      </c>
      <c r="W14" s="9">
        <f>T14/D4</f>
        <v>-688.85707566730423</v>
      </c>
    </row>
    <row r="15" spans="1:23">
      <c r="A15" s="98">
        <v>9</v>
      </c>
      <c r="B15" s="97">
        <f>C15*B4</f>
        <v>0.99978356447815131</v>
      </c>
      <c r="C15" s="97">
        <f>1/(1-D4*B4/(1-D4*B4/(1-D4*B4/(1-D4*B4/(1-D4*B4/(1-D4*B4/(1-D4*B4/(1-D4*B4))))))))</f>
        <v>1.415348055835151</v>
      </c>
      <c r="D15" s="93">
        <f>C15*D4*C14</f>
        <v>0.58798932509760959</v>
      </c>
      <c r="E15" s="1">
        <f>D15*D4*C13</f>
        <v>0.24409398382124184</v>
      </c>
      <c r="F15" s="1">
        <f>E15*D4*C12</f>
        <v>0.10115235359735567</v>
      </c>
      <c r="G15" s="1">
        <f>F15*D4*C11</f>
        <v>4.1738028369140374E-2</v>
      </c>
      <c r="H15" s="1">
        <f>G15*D4*C10</f>
        <v>1.7042199471742975E-2</v>
      </c>
      <c r="I15" s="1">
        <f>H15*D4*C9</f>
        <v>6.777268201600393E-3</v>
      </c>
      <c r="J15" s="1">
        <f>I15*D4*C8</f>
        <v>2.5106038017731237E-3</v>
      </c>
      <c r="K15" s="1">
        <f>J15*D4</f>
        <v>7.3714574134711079E-4</v>
      </c>
      <c r="L15" s="1">
        <f>K15*D4</f>
        <v>2.1643552184634412E-4</v>
      </c>
      <c r="M15" s="235"/>
      <c r="N15" s="97">
        <f>B15+L15</f>
        <v>0.99999999999999767</v>
      </c>
      <c r="R15" s="267">
        <f>B15-L15</f>
        <v>0.99956712895630495</v>
      </c>
      <c r="S15" s="268">
        <f>IF(Rules!B20=Rules!D20,SUM(C15:K15)*B4*F4,SUM(C15:K15)*B4*F4*POWER(O2,A15-1))</f>
        <v>487.18957923001796</v>
      </c>
      <c r="T15" s="253">
        <f>IF(Rules!B20=Rules!D20,SUM(C15:K15)*D4*H4,SUM(C15:K15)*D4*H4*POWER(O2,A15-1))</f>
        <v>-202.77005410029341</v>
      </c>
      <c r="U15" s="264">
        <f t="shared" si="0"/>
        <v>2207.1522537372161</v>
      </c>
      <c r="V15" s="93">
        <f>S15/B4</f>
        <v>689.69209765542212</v>
      </c>
      <c r="W15" s="9">
        <f>T15/D4</f>
        <v>-690.60328257424305</v>
      </c>
    </row>
    <row r="16" spans="1:23" ht="17" thickBot="1">
      <c r="A16" s="99">
        <v>10</v>
      </c>
      <c r="B16" s="129">
        <f>C16*B4</f>
        <v>0.99991004570389685</v>
      </c>
      <c r="C16" s="129">
        <f>1/(1-D4*B4/(1-D4*B4/(1-D4*B4/(1-D4*B4/(1-D4*B4/(1-D4*B4/(1-D4*B4/(1-D4*B4/(1-D4*B4)))))))))</f>
        <v>1.4155271095456929</v>
      </c>
      <c r="D16" s="94">
        <f>C16*D4*C15</f>
        <v>0.58824280328039791</v>
      </c>
      <c r="E16" s="109">
        <f>D16*D4*C14</f>
        <v>0.24437839686738694</v>
      </c>
      <c r="F16" s="109">
        <f>E16*D4*C13</f>
        <v>0.10144962485723105</v>
      </c>
      <c r="G16" s="109">
        <f>F16*D4*C12</f>
        <v>4.2040644202819957E-2</v>
      </c>
      <c r="H16" s="109">
        <f>G16*D4*C11</f>
        <v>1.734703680132765E-2</v>
      </c>
      <c r="I16" s="109">
        <f>H16*D4*C10</f>
        <v>7.0830289058519983E-3</v>
      </c>
      <c r="J16" s="109">
        <f>I16*D4*C9</f>
        <v>2.8167483108175154E-3</v>
      </c>
      <c r="K16" s="109">
        <f>J16*D4*C8</f>
        <v>1.0434497805629928E-3</v>
      </c>
      <c r="L16" s="109">
        <f>K16*D4</f>
        <v>3.0637034864216921E-4</v>
      </c>
      <c r="M16" s="237">
        <f>L16*D4</f>
        <v>8.9954296100844147E-5</v>
      </c>
      <c r="N16" s="129">
        <f>B16+M16</f>
        <v>0.99999999999999767</v>
      </c>
      <c r="R16" s="269">
        <f>B16-M16</f>
        <v>0.99982009140779604</v>
      </c>
      <c r="S16" s="270">
        <f>IF(Rules!B20=Rules!D20,SUM(C16:L16)*B4*F4,SUM(C16:L16)*B4*F4*POWER(O2,A16-1))</f>
        <v>487.76319930346455</v>
      </c>
      <c r="T16" s="254">
        <f>IF(Rules!B20=Rules!D20,SUM(C16:L16)*D4*H4,SUM(C16:L16)*D4*H4*POWER(O2,A16-1))</f>
        <v>-203.00879683676493</v>
      </c>
      <c r="U16" s="264">
        <f t="shared" si="0"/>
        <v>2491.9066562039156</v>
      </c>
      <c r="V16" s="94">
        <f>S16/B4</f>
        <v>690.50414546715467</v>
      </c>
      <c r="W16" s="10">
        <f>T16/D4</f>
        <v>-691.41640322082742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0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9</v>
      </c>
      <c r="D21" s="57">
        <f>SUM($C$21:C21)</f>
        <v>9</v>
      </c>
      <c r="E21" s="57">
        <f t="shared" ref="E21:E30" si="2">D21/R7</f>
        <v>21.803691609148775</v>
      </c>
      <c r="F21" s="8">
        <f t="shared" ref="F21:F30" si="3">U7/E21</f>
        <v>5.3961354331469309</v>
      </c>
      <c r="G21" s="256">
        <f>E21*U7</f>
        <v>2565.3280072270431</v>
      </c>
    </row>
    <row r="22" spans="1:7">
      <c r="A22" s="97">
        <v>2</v>
      </c>
      <c r="B22" s="93">
        <f>C21</f>
        <v>9</v>
      </c>
      <c r="C22" s="1">
        <f t="shared" si="1"/>
        <v>81</v>
      </c>
      <c r="D22" s="9">
        <f>SUM($C$21:C22)</f>
        <v>90</v>
      </c>
      <c r="E22" s="9">
        <f t="shared" si="2"/>
        <v>115.02108541593785</v>
      </c>
      <c r="F22" s="9">
        <f t="shared" si="3"/>
        <v>2.6924116604491144</v>
      </c>
      <c r="G22" s="257">
        <f t="shared" ref="G22:G30" si="4">E22*U8</f>
        <v>35620.202649011058</v>
      </c>
    </row>
    <row r="23" spans="1:7">
      <c r="A23" s="97">
        <v>3</v>
      </c>
      <c r="B23" s="93">
        <f t="shared" ref="B23:B30" si="5">C22</f>
        <v>81</v>
      </c>
      <c r="C23" s="1">
        <f t="shared" si="1"/>
        <v>729</v>
      </c>
      <c r="D23" s="9">
        <f>SUM($C$21:C23)</f>
        <v>819</v>
      </c>
      <c r="E23" s="9">
        <f t="shared" si="2"/>
        <v>896.55985744365751</v>
      </c>
      <c r="F23" s="9">
        <f t="shared" si="3"/>
        <v>0.60833030062570259</v>
      </c>
      <c r="G23" s="257">
        <f t="shared" si="4"/>
        <v>488987.80552102858</v>
      </c>
    </row>
    <row r="24" spans="1:7">
      <c r="A24" s="97">
        <v>4</v>
      </c>
      <c r="B24" s="93">
        <f t="shared" si="5"/>
        <v>729</v>
      </c>
      <c r="C24" s="1">
        <f t="shared" si="1"/>
        <v>6561</v>
      </c>
      <c r="D24" s="9">
        <f>SUM($C$21:C24)</f>
        <v>7380</v>
      </c>
      <c r="E24" s="9">
        <f t="shared" si="2"/>
        <v>7650.2250705881852</v>
      </c>
      <c r="F24" s="9">
        <f t="shared" si="3"/>
        <v>0.10526101732274767</v>
      </c>
      <c r="G24" s="257">
        <f t="shared" si="4"/>
        <v>6160500.3663366353</v>
      </c>
    </row>
    <row r="25" spans="1:7">
      <c r="A25" s="97">
        <v>5</v>
      </c>
      <c r="B25" s="93">
        <f t="shared" si="5"/>
        <v>6561</v>
      </c>
      <c r="C25" s="1">
        <f t="shared" si="1"/>
        <v>59049</v>
      </c>
      <c r="D25" s="9">
        <f>SUM($C$21:C25)</f>
        <v>66429</v>
      </c>
      <c r="E25" s="9">
        <f t="shared" si="2"/>
        <v>67411.520193773948</v>
      </c>
      <c r="F25" s="9">
        <f t="shared" si="3"/>
        <v>1.5989013920375363E-2</v>
      </c>
      <c r="G25" s="257">
        <f t="shared" si="4"/>
        <v>72659084.692309782</v>
      </c>
    </row>
    <row r="26" spans="1:7">
      <c r="A26" s="97">
        <v>6</v>
      </c>
      <c r="B26" s="93">
        <f t="shared" si="5"/>
        <v>59049</v>
      </c>
      <c r="C26" s="1">
        <f t="shared" si="1"/>
        <v>531441</v>
      </c>
      <c r="D26" s="9">
        <f>SUM($C$21:C26)</f>
        <v>597870</v>
      </c>
      <c r="E26" s="9">
        <f t="shared" si="2"/>
        <v>601502.98889823339</v>
      </c>
      <c r="F26" s="9">
        <f t="shared" si="3"/>
        <v>2.2557737575343191E-3</v>
      </c>
      <c r="G26" s="257">
        <f t="shared" si="4"/>
        <v>816152131.94769621</v>
      </c>
    </row>
    <row r="27" spans="1:7">
      <c r="A27" s="97">
        <v>7</v>
      </c>
      <c r="B27" s="93">
        <f t="shared" si="5"/>
        <v>531441</v>
      </c>
      <c r="C27" s="1">
        <f t="shared" si="1"/>
        <v>4782969</v>
      </c>
      <c r="D27" s="9">
        <f>SUM($C$21:C27)</f>
        <v>5380839</v>
      </c>
      <c r="E27" s="9">
        <f t="shared" si="2"/>
        <v>5394364.5273143854</v>
      </c>
      <c r="F27" s="9">
        <f t="shared" si="3"/>
        <v>3.0384160298142039E-4</v>
      </c>
      <c r="G27" s="257">
        <f t="shared" si="4"/>
        <v>8841538049.1206493</v>
      </c>
    </row>
    <row r="28" spans="1:7">
      <c r="A28" s="97">
        <v>8</v>
      </c>
      <c r="B28" s="93">
        <f t="shared" si="5"/>
        <v>4782969</v>
      </c>
      <c r="C28" s="1">
        <f t="shared" si="1"/>
        <v>43046721</v>
      </c>
      <c r="D28" s="9">
        <f>SUM($C$21:C28)</f>
        <v>48427560</v>
      </c>
      <c r="E28" s="9">
        <f t="shared" si="2"/>
        <v>48478056.968708187</v>
      </c>
      <c r="F28" s="9">
        <f t="shared" si="3"/>
        <v>3.9661918171526242E-5</v>
      </c>
      <c r="G28" s="257">
        <f t="shared" si="4"/>
        <v>93210346753.033707</v>
      </c>
    </row>
    <row r="29" spans="1:7">
      <c r="A29" s="97">
        <v>9</v>
      </c>
      <c r="B29" s="93">
        <f t="shared" si="5"/>
        <v>43046721</v>
      </c>
      <c r="C29" s="1">
        <f t="shared" si="1"/>
        <v>387420489</v>
      </c>
      <c r="D29" s="9">
        <f>SUM($C$21:C29)</f>
        <v>435848049</v>
      </c>
      <c r="E29" s="9">
        <f t="shared" si="2"/>
        <v>436036796.70327842</v>
      </c>
      <c r="F29" s="9">
        <f t="shared" si="3"/>
        <v>5.0618486109996263E-6</v>
      </c>
      <c r="G29" s="257">
        <f t="shared" si="4"/>
        <v>962399598555.99731</v>
      </c>
    </row>
    <row r="30" spans="1:7" ht="17" thickBot="1">
      <c r="A30" s="129">
        <v>10</v>
      </c>
      <c r="B30" s="94">
        <f t="shared" si="5"/>
        <v>387420489</v>
      </c>
      <c r="C30" s="109">
        <f t="shared" si="1"/>
        <v>3486784401</v>
      </c>
      <c r="D30" s="10">
        <f>SUM($C$21:C30)</f>
        <v>3922632450</v>
      </c>
      <c r="E30" s="10">
        <f t="shared" si="2"/>
        <v>3923338292.2689018</v>
      </c>
      <c r="F30" s="10">
        <f t="shared" si="3"/>
        <v>6.3514957685762638E-7</v>
      </c>
      <c r="G30" s="258">
        <f t="shared" si="4"/>
        <v>9776592805044.5801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0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9</v>
      </c>
      <c r="D33" s="57">
        <f>SUM($C$33:C33)</f>
        <v>9</v>
      </c>
      <c r="E33" s="9">
        <f t="shared" ref="E33:E42" si="7">D33/R7</f>
        <v>21.803691609148775</v>
      </c>
      <c r="F33" s="8">
        <f t="shared" ref="F33:F42" si="8">U7/E33</f>
        <v>5.3961354331469309</v>
      </c>
      <c r="G33" s="259">
        <f>E33*U7</f>
        <v>2565.3280072270431</v>
      </c>
    </row>
    <row r="34" spans="1:7">
      <c r="A34" s="97">
        <v>2</v>
      </c>
      <c r="B34" s="93">
        <f t="shared" ref="B34:B42" si="9">B33*($O$2+1)</f>
        <v>10</v>
      </c>
      <c r="C34" s="1">
        <f t="shared" si="6"/>
        <v>90</v>
      </c>
      <c r="D34" s="9">
        <f>SUM($C$33:C34)</f>
        <v>99</v>
      </c>
      <c r="E34" s="9">
        <f t="shared" si="7"/>
        <v>126.52319395753163</v>
      </c>
      <c r="F34" s="9">
        <f t="shared" si="8"/>
        <v>2.4476469640446492</v>
      </c>
      <c r="G34" s="257">
        <f t="shared" ref="G34:G42" si="10">E34*U8</f>
        <v>39182.222913912163</v>
      </c>
    </row>
    <row r="35" spans="1:7">
      <c r="A35" s="97">
        <v>3</v>
      </c>
      <c r="B35" s="93">
        <f t="shared" si="9"/>
        <v>100</v>
      </c>
      <c r="C35" s="1">
        <f t="shared" si="6"/>
        <v>900</v>
      </c>
      <c r="D35" s="9">
        <f>SUM($C$33:C35)</f>
        <v>999</v>
      </c>
      <c r="E35" s="9">
        <f t="shared" si="7"/>
        <v>1093.605979958747</v>
      </c>
      <c r="F35" s="9">
        <f t="shared" si="8"/>
        <v>0.49872123744990032</v>
      </c>
      <c r="G35" s="257">
        <f t="shared" si="10"/>
        <v>596457.65288828756</v>
      </c>
    </row>
    <row r="36" spans="1:7">
      <c r="A36" s="97">
        <v>4</v>
      </c>
      <c r="B36" s="93">
        <f t="shared" si="9"/>
        <v>1000</v>
      </c>
      <c r="C36" s="1">
        <f t="shared" si="6"/>
        <v>9000</v>
      </c>
      <c r="D36" s="9">
        <f>SUM($C$33:C36)</f>
        <v>9999</v>
      </c>
      <c r="E36" s="9">
        <f t="shared" si="7"/>
        <v>10365.122016370089</v>
      </c>
      <c r="F36" s="9">
        <f t="shared" si="8"/>
        <v>7.7690399824170212E-2</v>
      </c>
      <c r="G36" s="257">
        <f t="shared" si="10"/>
        <v>8346726.7158536604</v>
      </c>
    </row>
    <row r="37" spans="1:7">
      <c r="A37" s="97">
        <v>5</v>
      </c>
      <c r="B37" s="93">
        <f t="shared" si="9"/>
        <v>10000</v>
      </c>
      <c r="C37" s="1">
        <f t="shared" si="6"/>
        <v>90000</v>
      </c>
      <c r="D37" s="9">
        <f>SUM($C$33:C37)</f>
        <v>99999</v>
      </c>
      <c r="E37" s="9">
        <f t="shared" si="7"/>
        <v>101478.03832448481</v>
      </c>
      <c r="F37" s="9">
        <f t="shared" si="8"/>
        <v>1.0621448271648867E-2</v>
      </c>
      <c r="G37" s="257">
        <f t="shared" si="10"/>
        <v>109377467.82499039</v>
      </c>
    </row>
    <row r="38" spans="1:7">
      <c r="A38" s="97">
        <v>6</v>
      </c>
      <c r="B38" s="93">
        <f t="shared" si="9"/>
        <v>100000</v>
      </c>
      <c r="C38" s="1">
        <f t="shared" si="6"/>
        <v>900000</v>
      </c>
      <c r="D38" s="9">
        <f>SUM($C$33:C38)</f>
        <v>999999</v>
      </c>
      <c r="E38" s="9">
        <f t="shared" si="7"/>
        <v>1006075.5471845794</v>
      </c>
      <c r="F38" s="9">
        <f t="shared" si="8"/>
        <v>1.3486608050778484E-3</v>
      </c>
      <c r="G38" s="257">
        <f t="shared" si="10"/>
        <v>1365098291.9289548</v>
      </c>
    </row>
    <row r="39" spans="1:7">
      <c r="A39" s="97">
        <v>7</v>
      </c>
      <c r="B39" s="93">
        <f t="shared" si="9"/>
        <v>1000000</v>
      </c>
      <c r="C39" s="1">
        <f t="shared" si="6"/>
        <v>9000000</v>
      </c>
      <c r="D39" s="9">
        <f>SUM($C$33:C39)</f>
        <v>9999999</v>
      </c>
      <c r="E39" s="9">
        <f t="shared" si="7"/>
        <v>10025135.462848699</v>
      </c>
      <c r="F39" s="9">
        <f t="shared" si="8"/>
        <v>1.6349229106372342E-4</v>
      </c>
      <c r="G39" s="257">
        <f t="shared" si="10"/>
        <v>16431521487.572561</v>
      </c>
    </row>
    <row r="40" spans="1:7">
      <c r="A40" s="97">
        <v>8</v>
      </c>
      <c r="B40" s="93">
        <f t="shared" si="9"/>
        <v>10000000</v>
      </c>
      <c r="C40" s="1">
        <f t="shared" si="6"/>
        <v>90000000</v>
      </c>
      <c r="D40" s="9">
        <f>SUM($C$33:C40)</f>
        <v>99999999</v>
      </c>
      <c r="E40" s="9">
        <f t="shared" si="7"/>
        <v>100104272.2035296</v>
      </c>
      <c r="F40" s="9">
        <f t="shared" si="8"/>
        <v>1.9207299411739767E-5</v>
      </c>
      <c r="G40" s="257">
        <f t="shared" si="10"/>
        <v>192473760439.15952</v>
      </c>
    </row>
    <row r="41" spans="1:7">
      <c r="A41" s="97">
        <v>9</v>
      </c>
      <c r="B41" s="93">
        <f t="shared" si="9"/>
        <v>100000000</v>
      </c>
      <c r="C41" s="1">
        <f t="shared" si="6"/>
        <v>900000000</v>
      </c>
      <c r="D41" s="9">
        <f>SUM($C$33:C41)</f>
        <v>999999999</v>
      </c>
      <c r="E41" s="9">
        <f t="shared" si="7"/>
        <v>1000433057.5017478</v>
      </c>
      <c r="F41" s="9">
        <f t="shared" si="8"/>
        <v>2.2061968436437436E-6</v>
      </c>
      <c r="G41" s="257">
        <f t="shared" si="10"/>
        <v>2208108077578.1968</v>
      </c>
    </row>
    <row r="42" spans="1:7" ht="17" thickBot="1">
      <c r="A42" s="129">
        <v>10</v>
      </c>
      <c r="B42" s="94">
        <f t="shared" si="9"/>
        <v>1000000000</v>
      </c>
      <c r="C42" s="109">
        <f t="shared" si="6"/>
        <v>9000000000</v>
      </c>
      <c r="D42" s="10">
        <f>SUM($C$33:C42)</f>
        <v>9999999999</v>
      </c>
      <c r="E42" s="9">
        <f t="shared" si="7"/>
        <v>10001799408.651117</v>
      </c>
      <c r="F42" s="10">
        <f t="shared" si="8"/>
        <v>2.4914583410346402E-7</v>
      </c>
      <c r="G42" s="258">
        <f t="shared" si="10"/>
        <v>24923550520434.105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0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9</v>
      </c>
      <c r="D45" s="57">
        <f>SUM(C45:C45)</f>
        <v>9</v>
      </c>
      <c r="E45" s="57">
        <f t="shared" ref="E45:E54" si="12">D45/R7</f>
        <v>21.803691609148775</v>
      </c>
      <c r="F45" s="8">
        <f t="shared" ref="F45:F54" si="13">U7/E45</f>
        <v>5.3961354331469309</v>
      </c>
      <c r="G45" s="256">
        <f>E45*U7</f>
        <v>2565.3280072270431</v>
      </c>
    </row>
    <row r="46" spans="1:7">
      <c r="A46" s="97">
        <v>2</v>
      </c>
      <c r="B46" s="93">
        <f t="shared" ref="B46:B54" si="14">B45*$O$2*2</f>
        <v>18</v>
      </c>
      <c r="C46" s="1">
        <f t="shared" si="11"/>
        <v>162</v>
      </c>
      <c r="D46" s="9">
        <f>SUM($C$45:C46)</f>
        <v>171</v>
      </c>
      <c r="E46" s="9">
        <f t="shared" si="12"/>
        <v>218.54006229028192</v>
      </c>
      <c r="F46" s="9">
        <f t="shared" si="13"/>
        <v>1.4170587686574285</v>
      </c>
      <c r="G46" s="257">
        <f t="shared" ref="G46:G54" si="15">E46*U8</f>
        <v>67678.385033121012</v>
      </c>
    </row>
    <row r="47" spans="1:7">
      <c r="A47" s="97">
        <v>3</v>
      </c>
      <c r="B47" s="93">
        <f t="shared" si="14"/>
        <v>324</v>
      </c>
      <c r="C47" s="1">
        <f t="shared" si="11"/>
        <v>2916</v>
      </c>
      <c r="D47" s="9">
        <f>SUM($C$45:C47)</f>
        <v>3087</v>
      </c>
      <c r="E47" s="9">
        <f t="shared" si="12"/>
        <v>3379.341001133786</v>
      </c>
      <c r="F47" s="9">
        <f t="shared" si="13"/>
        <v>0.16139375322722721</v>
      </c>
      <c r="G47" s="257">
        <f t="shared" si="15"/>
        <v>1843107.8823484923</v>
      </c>
    </row>
    <row r="48" spans="1:7">
      <c r="A48" s="97">
        <v>4</v>
      </c>
      <c r="B48" s="93">
        <f t="shared" si="14"/>
        <v>5832</v>
      </c>
      <c r="C48" s="1">
        <f t="shared" si="11"/>
        <v>52488</v>
      </c>
      <c r="D48" s="9">
        <f>SUM($C$45:C48)</f>
        <v>55575</v>
      </c>
      <c r="E48" s="9">
        <f t="shared" si="12"/>
        <v>57609.926598636637</v>
      </c>
      <c r="F48" s="9">
        <f t="shared" si="13"/>
        <v>1.3977981247717101E-2</v>
      </c>
      <c r="G48" s="257">
        <f t="shared" si="15"/>
        <v>46391572.880644783</v>
      </c>
    </row>
    <row r="49" spans="1:7">
      <c r="A49" s="97">
        <v>5</v>
      </c>
      <c r="B49" s="93">
        <f t="shared" si="14"/>
        <v>104976</v>
      </c>
      <c r="C49" s="1">
        <f t="shared" si="11"/>
        <v>944784</v>
      </c>
      <c r="D49" s="9">
        <f>SUM($C$45:C49)</f>
        <v>1000359</v>
      </c>
      <c r="E49" s="9">
        <f t="shared" si="12"/>
        <v>1015154.8409508425</v>
      </c>
      <c r="F49" s="9">
        <f t="shared" si="13"/>
        <v>1.0617530363765558E-3</v>
      </c>
      <c r="G49" s="257">
        <f t="shared" si="15"/>
        <v>1094178285.142247</v>
      </c>
    </row>
    <row r="50" spans="1:7">
      <c r="A50" s="97">
        <v>6</v>
      </c>
      <c r="B50" s="93">
        <f t="shared" si="14"/>
        <v>1889568</v>
      </c>
      <c r="C50" s="1">
        <f t="shared" si="11"/>
        <v>17006112</v>
      </c>
      <c r="D50" s="9">
        <f>SUM($C$45:C50)</f>
        <v>18006471</v>
      </c>
      <c r="E50" s="9">
        <f t="shared" si="12"/>
        <v>18115888.280076541</v>
      </c>
      <c r="F50" s="9">
        <f t="shared" si="13"/>
        <v>7.4898599310050439E-5</v>
      </c>
      <c r="G50" s="257">
        <f t="shared" si="15"/>
        <v>24580627386.395645</v>
      </c>
    </row>
    <row r="51" spans="1:7">
      <c r="A51" s="97">
        <v>7</v>
      </c>
      <c r="B51" s="93">
        <f t="shared" si="14"/>
        <v>34012224</v>
      </c>
      <c r="C51" s="1">
        <f t="shared" si="11"/>
        <v>306110016</v>
      </c>
      <c r="D51" s="9">
        <f>SUM($C$45:C51)</f>
        <v>324116487</v>
      </c>
      <c r="E51" s="9">
        <f t="shared" si="12"/>
        <v>324931201.28488404</v>
      </c>
      <c r="F51" s="9">
        <f t="shared" si="13"/>
        <v>5.0442443156091072E-6</v>
      </c>
      <c r="G51" s="257">
        <f t="shared" si="15"/>
        <v>532572755318.97876</v>
      </c>
    </row>
    <row r="52" spans="1:7">
      <c r="A52" s="97">
        <v>8</v>
      </c>
      <c r="B52" s="93">
        <f t="shared" si="14"/>
        <v>612220032</v>
      </c>
      <c r="C52" s="1">
        <f t="shared" si="11"/>
        <v>5509980288</v>
      </c>
      <c r="D52" s="9">
        <f>SUM($C$45:C52)</f>
        <v>5834096775</v>
      </c>
      <c r="E52" s="9">
        <f t="shared" si="12"/>
        <v>5840180174.665143</v>
      </c>
      <c r="F52" s="9">
        <f t="shared" si="13"/>
        <v>3.2922489907903137E-7</v>
      </c>
      <c r="G52" s="257">
        <f t="shared" si="15"/>
        <v>11229105562793.287</v>
      </c>
    </row>
    <row r="53" spans="1:7">
      <c r="A53" s="97">
        <v>9</v>
      </c>
      <c r="B53" s="93">
        <f t="shared" si="14"/>
        <v>11019960576</v>
      </c>
      <c r="C53" s="1">
        <f t="shared" si="11"/>
        <v>99179645184</v>
      </c>
      <c r="D53" s="9">
        <f>SUM($C$45:C53)</f>
        <v>105013741959</v>
      </c>
      <c r="E53" s="9">
        <f t="shared" si="12"/>
        <v>105059219052.80118</v>
      </c>
      <c r="F53" s="9">
        <f t="shared" si="13"/>
        <v>2.1008648966141036E-8</v>
      </c>
      <c r="G53" s="257">
        <f t="shared" si="15"/>
        <v>231881692108262</v>
      </c>
    </row>
    <row r="54" spans="1:7" ht="17" thickBot="1">
      <c r="A54" s="129">
        <v>10</v>
      </c>
      <c r="B54" s="94">
        <f t="shared" si="14"/>
        <v>198359290368</v>
      </c>
      <c r="C54" s="109">
        <f t="shared" si="11"/>
        <v>1785233613312</v>
      </c>
      <c r="D54" s="10">
        <f>SUM($C$45:C54)</f>
        <v>1890247355271</v>
      </c>
      <c r="E54" s="10">
        <f t="shared" si="12"/>
        <v>1890587488204.4412</v>
      </c>
      <c r="F54" s="10">
        <f t="shared" si="13"/>
        <v>1.3180594242536582E-9</v>
      </c>
      <c r="G54" s="258">
        <f t="shared" si="15"/>
        <v>4711167545992489</v>
      </c>
    </row>
  </sheetData>
  <mergeCells count="1">
    <mergeCell ref="A18:F18"/>
  </mergeCells>
  <conditionalFormatting sqref="F45:F54">
    <cfRule type="cellIs" dxfId="473" priority="79" operator="equal">
      <formula>MAX($F$45:$F$54)</formula>
    </cfRule>
  </conditionalFormatting>
  <conditionalFormatting sqref="F21:F30">
    <cfRule type="cellIs" dxfId="472" priority="77" operator="equal">
      <formula>MAX($F$21:$F$30)</formula>
    </cfRule>
  </conditionalFormatting>
  <conditionalFormatting sqref="E33:E42">
    <cfRule type="cellIs" dxfId="471" priority="73" stopIfTrue="1" operator="lessThan">
      <formula>0</formula>
    </cfRule>
    <cfRule type="cellIs" dxfId="470" priority="74" operator="equal">
      <formula>MIN($E$33:$E$42)</formula>
    </cfRule>
  </conditionalFormatting>
  <conditionalFormatting sqref="E21:E30">
    <cfRule type="cellIs" dxfId="469" priority="69" stopIfTrue="1" operator="lessThan">
      <formula>0</formula>
    </cfRule>
    <cfRule type="cellIs" dxfId="468" priority="70" operator="equal">
      <formula>MIN($E$21:$E$30)</formula>
    </cfRule>
  </conditionalFormatting>
  <conditionalFormatting sqref="E45:E54">
    <cfRule type="cellIs" dxfId="467" priority="65" stopIfTrue="1" operator="lessThan">
      <formula>0</formula>
    </cfRule>
    <cfRule type="cellIs" dxfId="466" priority="66" operator="equal">
      <formula>MIN($E$45:$E$54)</formula>
    </cfRule>
  </conditionalFormatting>
  <conditionalFormatting sqref="F33:F42">
    <cfRule type="cellIs" dxfId="465" priority="47" operator="lessThanOrEqual">
      <formula>0</formula>
    </cfRule>
    <cfRule type="cellIs" dxfId="464" priority="48" operator="equal">
      <formula>MAX($F$33:$F$42)</formula>
    </cfRule>
  </conditionalFormatting>
  <conditionalFormatting sqref="R7:R16">
    <cfRule type="cellIs" dxfId="463" priority="29" operator="lessThanOrEqual">
      <formula>0</formula>
    </cfRule>
    <cfRule type="cellIs" dxfId="462" priority="30" operator="greaterThan">
      <formula>0</formula>
    </cfRule>
  </conditionalFormatting>
  <conditionalFormatting sqref="U7:U16">
    <cfRule type="cellIs" dxfId="461" priority="9" operator="lessThanOrEqual">
      <formula>0</formula>
    </cfRule>
    <cfRule type="cellIs" dxfId="460" priority="10" operator="greaterThan">
      <formula>0</formula>
    </cfRule>
  </conditionalFormatting>
  <conditionalFormatting sqref="S7:T16">
    <cfRule type="cellIs" dxfId="459" priority="1" operator="lessThanOrEqual">
      <formula>0</formula>
    </cfRule>
    <cfRule type="cellIs" dxfId="45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14" max="14" width="5.6640625" bestFit="1" customWidth="1"/>
  </cols>
  <sheetData>
    <row r="1" spans="1:23">
      <c r="C1" t="s">
        <v>94</v>
      </c>
      <c r="D1">
        <f>C2+E2</f>
        <v>0.99999999999999878</v>
      </c>
    </row>
    <row r="2" spans="1:23">
      <c r="A2" t="s">
        <v>39</v>
      </c>
      <c r="B2" s="133" t="s">
        <v>124</v>
      </c>
      <c r="C2" s="139">
        <f>Analysis!B17</f>
        <v>0.70944689042673348</v>
      </c>
      <c r="D2" s="133" t="s">
        <v>125</v>
      </c>
      <c r="E2" s="139">
        <f>Analysis!M17</f>
        <v>0.2905531095732653</v>
      </c>
      <c r="F2" s="133" t="s">
        <v>46</v>
      </c>
      <c r="G2" s="139">
        <f>Analysis!S17</f>
        <v>323.61105050189718</v>
      </c>
      <c r="H2" t="s">
        <v>153</v>
      </c>
      <c r="I2" s="153">
        <f>Analysis!T17</f>
        <v>-324.03858839856662</v>
      </c>
      <c r="J2" t="s">
        <v>47</v>
      </c>
      <c r="K2" s="153">
        <f>G2*C2+I2*E2</f>
        <v>135.43443400536461</v>
      </c>
      <c r="L2" t="s">
        <v>46</v>
      </c>
      <c r="M2" s="160">
        <v>1</v>
      </c>
      <c r="N2" t="s">
        <v>153</v>
      </c>
      <c r="O2" s="160">
        <v>10</v>
      </c>
    </row>
    <row r="4" spans="1:23">
      <c r="A4" t="s">
        <v>122</v>
      </c>
      <c r="B4">
        <f>$C$2</f>
        <v>0.70944689042673348</v>
      </c>
      <c r="C4" t="s">
        <v>123</v>
      </c>
      <c r="D4">
        <f>$E$2</f>
        <v>0.2905531095732653</v>
      </c>
      <c r="E4" t="s">
        <v>46</v>
      </c>
      <c r="F4">
        <f>G2</f>
        <v>323.61105050189718</v>
      </c>
      <c r="G4" t="s">
        <v>153</v>
      </c>
      <c r="H4">
        <f>I2</f>
        <v>-324.03858839856662</v>
      </c>
      <c r="I4" t="s">
        <v>47</v>
      </c>
      <c r="J4">
        <f>B4*F4+D4*H4</f>
        <v>135.43443400536461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164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0.70944689042673348</v>
      </c>
      <c r="C7" s="95">
        <v>1</v>
      </c>
      <c r="D7" s="107">
        <f>C7*D4</f>
        <v>0.2905531095732653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0.99999999999999878</v>
      </c>
      <c r="R7" s="265">
        <f>B7-D7</f>
        <v>0.41889378085346818</v>
      </c>
      <c r="S7" s="266">
        <f>IF(Rules!B20=Rules!D20,SUM(C7)*B4*F4,SUM(C7)*B4*F4*POWER(O2,A7-1))</f>
        <v>229.58485348629955</v>
      </c>
      <c r="T7" s="252">
        <f>IF(Rules!B20=Rules!D20,SUM(C7)*D4*H4,SUM(C7)*D4*H4*POWER(O2,A7-1))</f>
        <v>-94.150419480934943</v>
      </c>
      <c r="U7" s="263">
        <f>S7+T7</f>
        <v>135.43443400536461</v>
      </c>
      <c r="V7" s="282">
        <f>S7/B4</f>
        <v>323.61105050189718</v>
      </c>
      <c r="W7" s="57">
        <f>T7/D4</f>
        <v>-324.03858839856662</v>
      </c>
    </row>
    <row r="8" spans="1:23">
      <c r="A8" s="98">
        <v>2</v>
      </c>
      <c r="B8" s="97">
        <f>C8*B4</f>
        <v>0.89365850557986104</v>
      </c>
      <c r="C8" s="97">
        <f>1/(1-B4*D4)</f>
        <v>1.2596552576928259</v>
      </c>
      <c r="D8" s="93">
        <f>C8*D4</f>
        <v>0.3659967521129634</v>
      </c>
      <c r="E8" s="1">
        <f>D8*D4</f>
        <v>0.10634149442013707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0.99999999999999811</v>
      </c>
      <c r="R8" s="267">
        <f>B8-E8</f>
        <v>0.78731701115972397</v>
      </c>
      <c r="S8" s="268">
        <f>IF(Rules!B20=Rules!D20,SUM(C8:D8)*B4*F4,SUM(C8:D8)*B4*F4*POWER(O2,A8-1))</f>
        <v>373.22507849097059</v>
      </c>
      <c r="T8" s="253">
        <f>IF(Rules!B20=Rules!D20,SUM(C8:D8)*D4*H4,SUM(C8:D8)*D4*H4*POWER(O2,A8-1))</f>
        <v>-153.05581865324004</v>
      </c>
      <c r="U8" s="264">
        <f>S8+T8+U7</f>
        <v>355.60369384309513</v>
      </c>
      <c r="V8" s="93">
        <f>S8/B4</f>
        <v>526.07895464377202</v>
      </c>
      <c r="W8" s="9">
        <f>T8/D4</f>
        <v>-526.77398248476084</v>
      </c>
    </row>
    <row r="9" spans="1:23">
      <c r="A9" s="98">
        <v>3</v>
      </c>
      <c r="B9" s="97">
        <f>C9*B4</f>
        <v>0.95826558883345081</v>
      </c>
      <c r="C9" s="97">
        <f>1/(1-D4*B4/(1-D4*B4))</f>
        <v>1.3507220931746595</v>
      </c>
      <c r="D9" s="93">
        <f>C9*D4*C8</f>
        <v>0.4943598991091489</v>
      </c>
      <c r="E9" s="1">
        <f>D9*(D4)</f>
        <v>0.14363780593448891</v>
      </c>
      <c r="F9" s="1">
        <f>E9*D4</f>
        <v>4.173441116654697E-2</v>
      </c>
      <c r="G9" s="1"/>
      <c r="H9" s="1"/>
      <c r="I9" s="1"/>
      <c r="J9" s="1"/>
      <c r="K9" s="1"/>
      <c r="L9" s="1"/>
      <c r="M9" s="235"/>
      <c r="N9" s="97">
        <f>B9+F9</f>
        <v>0.99999999999999778</v>
      </c>
      <c r="R9" s="267">
        <f>B9-F9</f>
        <v>0.91653117766690384</v>
      </c>
      <c r="S9" s="268">
        <f>IF(Rules!B20=Rules!D20,SUM(C9:E9)*B4*F4,SUM(C9:E9)*B4*F4*POWER(O2,A9-1))</f>
        <v>456.57994349925099</v>
      </c>
      <c r="T9" s="253">
        <f>IF(Rules!B20=Rules!D20,SUM(C9:E9)*D4*H4,SUM(C9:E9)*D4*H4*POWER(O2,A9-1))</f>
        <v>-187.23880323229301</v>
      </c>
      <c r="U9" s="264">
        <f t="shared" ref="U9:U16" si="0">S9+T9+U8</f>
        <v>624.94483411005308</v>
      </c>
      <c r="V9" s="93">
        <f>S9/B4</f>
        <v>643.57170305534419</v>
      </c>
      <c r="W9" s="9">
        <f>T9/D4</f>
        <v>-644.42195613493936</v>
      </c>
    </row>
    <row r="10" spans="1:23">
      <c r="A10" s="98">
        <v>4</v>
      </c>
      <c r="B10" s="97">
        <f>C10*B4</f>
        <v>0.98319495917348021</v>
      </c>
      <c r="C10" s="97">
        <f>1/(1-D4*B4/(1-D4*B4/(1-D4*B4)))</f>
        <v>1.3858612567631199</v>
      </c>
      <c r="D10" s="93">
        <f>C10*D4*C9</f>
        <v>0.54389026433116616</v>
      </c>
      <c r="E10" s="1">
        <f>D10*D4*C8</f>
        <v>0.19906207025106795</v>
      </c>
      <c r="F10" s="1">
        <f>E10*D4</f>
        <v>5.7838103509539579E-2</v>
      </c>
      <c r="G10" s="1">
        <f>F10*D4</f>
        <v>1.6805040826517112E-2</v>
      </c>
      <c r="H10" s="1"/>
      <c r="I10" s="1"/>
      <c r="J10" s="1"/>
      <c r="K10" s="1"/>
      <c r="L10" s="1"/>
      <c r="M10" s="235"/>
      <c r="N10" s="97">
        <f>B10+G10</f>
        <v>0.99999999999999734</v>
      </c>
      <c r="R10" s="267">
        <f>B10-G10</f>
        <v>0.96638991834696308</v>
      </c>
      <c r="S10" s="268">
        <f>IF(Rules!B20=Rules!D20,SUM(C10:F10)*B4*F4,SUM(C10:F10)*B4*F4*POWER(O2,A10-1))</f>
        <v>502.02210898882936</v>
      </c>
      <c r="T10" s="253">
        <f>IF(Rules!B20=Rules!D20,SUM(C10:F10)*D4*H4,SUM(C10:F10)*D4*H4*POWER(O2,A10-1))</f>
        <v>-205.87417432928558</v>
      </c>
      <c r="U10" s="264">
        <f t="shared" si="0"/>
        <v>921.09276876959689</v>
      </c>
      <c r="V10" s="93">
        <f>S10/B4</f>
        <v>707.62465205374599</v>
      </c>
      <c r="W10" s="9">
        <f>T10/D4</f>
        <v>-708.55952852011296</v>
      </c>
    </row>
    <row r="11" spans="1:23">
      <c r="A11" s="98">
        <v>5</v>
      </c>
      <c r="B11" s="97">
        <f>C11*B4</f>
        <v>0.99316456080586957</v>
      </c>
      <c r="C11" s="97">
        <f>1/(1-D4*B4/(1-D4*B4/(1-D4*B4/(1-D4*B4))))</f>
        <v>1.3999138965969382</v>
      </c>
      <c r="D11" s="93">
        <f>C11*D4*C10</f>
        <v>0.5636981456869723</v>
      </c>
      <c r="E11" s="1">
        <f>D11*D4*C9</f>
        <v>0.22122700375992965</v>
      </c>
      <c r="F11" s="1">
        <f>E11*D4*C8</f>
        <v>8.0968364855816599E-2</v>
      </c>
      <c r="G11" s="1">
        <f>F11*D4</f>
        <v>2.3525610185920205E-2</v>
      </c>
      <c r="H11" s="1">
        <f>G11*D4</f>
        <v>6.8354391941275999E-3</v>
      </c>
      <c r="I11" s="1"/>
      <c r="J11" s="1"/>
      <c r="K11" s="1"/>
      <c r="L11" s="1"/>
      <c r="M11" s="235"/>
      <c r="N11" s="97">
        <f>B11+H11</f>
        <v>0.99999999999999711</v>
      </c>
      <c r="R11" s="267">
        <f>B11-H11</f>
        <v>0.98632912161174202</v>
      </c>
      <c r="S11" s="268">
        <f>IF(Rules!B20=Rules!D20,SUM(C11:G11)*B4*F4,SUM(C11:G11)*B4*F4*POWER(O2,A11-1))</f>
        <v>525.59618622727965</v>
      </c>
      <c r="T11" s="253">
        <f>IF(Rules!B20=Rules!D20,SUM(C11:G11)*D4*H4,SUM(C11:G11)*D4*H4*POWER(O2,A11-1))</f>
        <v>-215.54166426676312</v>
      </c>
      <c r="U11" s="264">
        <f t="shared" si="0"/>
        <v>1231.1472907301134</v>
      </c>
      <c r="V11" s="93">
        <f>S11/B4</f>
        <v>740.85346390218535</v>
      </c>
      <c r="W11" s="9">
        <f>T11/D4</f>
        <v>-741.83224052679623</v>
      </c>
    </row>
    <row r="12" spans="1:23">
      <c r="A12" s="98">
        <v>6</v>
      </c>
      <c r="B12" s="97">
        <f>C12*B4</f>
        <v>0.9972083692254754</v>
      </c>
      <c r="C12" s="97">
        <f>1/(1-D4*B4/(1-D4*B4/(1-D4*B4/(1-D4*B4/(1-D4*B4)))))</f>
        <v>1.4056138418277553</v>
      </c>
      <c r="D12" s="93">
        <f>C12*D4*C11</f>
        <v>0.57173249654216929</v>
      </c>
      <c r="E12" s="1">
        <f>D12*D4*C10</f>
        <v>0.2302174075943158</v>
      </c>
      <c r="F12" s="1">
        <f>E12*D4*C9</f>
        <v>9.0350319022960049E-2</v>
      </c>
      <c r="G12" s="1">
        <f>F12*D4*C8</f>
        <v>3.306792331477347E-2</v>
      </c>
      <c r="H12" s="1">
        <f>G12*D4</f>
        <v>9.6079879462377098E-3</v>
      </c>
      <c r="I12" s="1">
        <f>H12*D4</f>
        <v>2.7916307745218176E-3</v>
      </c>
      <c r="J12" s="1"/>
      <c r="K12" s="1"/>
      <c r="L12" s="1"/>
      <c r="M12" s="235"/>
      <c r="N12" s="97">
        <f>B12+I12</f>
        <v>0.99999999999999722</v>
      </c>
      <c r="R12" s="267">
        <f>B12-I12</f>
        <v>0.99441673845095357</v>
      </c>
      <c r="S12" s="268">
        <f>IF(Rules!B20=Rules!D20,SUM(C12:H12)*B4*F4,SUM(C12:H12)*B4*F4*POWER(O2,A12-1))</f>
        <v>537.3640067684471</v>
      </c>
      <c r="T12" s="253">
        <f>IF(Rules!B20=Rules!D20,SUM(C12:H12)*D4*H4,SUM(C12:H12)*D4*H4*POWER(O2,A12-1))</f>
        <v>-220.36752809664065</v>
      </c>
      <c r="U12" s="264">
        <f t="shared" si="0"/>
        <v>1548.1437694019198</v>
      </c>
      <c r="V12" s="93">
        <f>S12/B4</f>
        <v>757.44078100789443</v>
      </c>
      <c r="W12" s="9">
        <f>T12/D4</f>
        <v>-758.44147192330502</v>
      </c>
    </row>
    <row r="13" spans="1:23">
      <c r="A13" s="98">
        <v>7</v>
      </c>
      <c r="B13" s="97">
        <f>C13*B4</f>
        <v>0.99885799668031094</v>
      </c>
      <c r="C13" s="97">
        <f>1/(1-D4*B4/(1-D4*B4/(1-D4*B4/(1-D4*B4/(1-D4*B4/(1-D4*B4))))))</f>
        <v>1.4079390721967873</v>
      </c>
      <c r="D13" s="93">
        <f>C13*D4*C12</f>
        <v>0.57501002217574193</v>
      </c>
      <c r="E13" s="1">
        <f>D13*D4*C11</f>
        <v>0.23388494459318973</v>
      </c>
      <c r="F13" s="1">
        <f>E13*D4*C10</f>
        <v>9.4177584701297307E-2</v>
      </c>
      <c r="G13" s="1">
        <f>F13*D4*C9</f>
        <v>3.696060567916909E-2</v>
      </c>
      <c r="H13" s="1">
        <f>G13*D4*C8</f>
        <v>1.3527461634703837E-2</v>
      </c>
      <c r="I13" s="1">
        <f>H13*D4</f>
        <v>3.9304460425962466E-3</v>
      </c>
      <c r="J13" s="1">
        <f>I13*D4</f>
        <v>1.1420033196862741E-3</v>
      </c>
      <c r="K13" s="1"/>
      <c r="L13" s="1"/>
      <c r="M13" s="235"/>
      <c r="N13" s="97">
        <f>B13+J13</f>
        <v>0.99999999999999722</v>
      </c>
      <c r="R13" s="267">
        <f>B13-J13</f>
        <v>0.99771599336062466</v>
      </c>
      <c r="S13" s="268">
        <f>IF(Rules!B20=Rules!D20,SUM(C13:I13)*B4*F4,SUM(C13:I13)*B4*F4*POWER(O2,A13-1))</f>
        <v>543.06693144061444</v>
      </c>
      <c r="T13" s="253">
        <f>IF(Rules!B20=Rules!D20,SUM(C13:I13)*D4*H4,SUM(C13:I13)*D4*H4*POWER(O2,A13-1))</f>
        <v>-222.70623965360656</v>
      </c>
      <c r="U13" s="264">
        <f t="shared" si="0"/>
        <v>1868.5044611889277</v>
      </c>
      <c r="V13" s="93">
        <f>S13/B4</f>
        <v>765.47933153101678</v>
      </c>
      <c r="W13" s="9">
        <f>T13/D4</f>
        <v>-766.4906425565182</v>
      </c>
    </row>
    <row r="14" spans="1:23">
      <c r="A14" s="98">
        <v>8</v>
      </c>
      <c r="B14" s="97">
        <f>C14*B4</f>
        <v>0.99953251257855769</v>
      </c>
      <c r="C14" s="97">
        <f>1/(1-D4*B4/(1-D4*B4/(1-D4*B4/(1-D4*B4/(1-D4*B4/(1-D4*B4/(1-D4*B4)))))))</f>
        <v>1.4088898352593204</v>
      </c>
      <c r="D14" s="93">
        <f>C14*D4*C13</f>
        <v>0.57635016909211156</v>
      </c>
      <c r="E14" s="1">
        <f>D14*D4*C12</f>
        <v>0.23538456319246676</v>
      </c>
      <c r="F14" s="1">
        <f>E14*D4*C11</f>
        <v>9.5742514734006287E-2</v>
      </c>
      <c r="G14" s="1">
        <f>F14*D4*C10</f>
        <v>3.8552283929863672E-2</v>
      </c>
      <c r="H14" s="1">
        <f>G14*D4*C9</f>
        <v>1.513009458548399E-2</v>
      </c>
      <c r="I14" s="1">
        <f>H14*D4*C8</f>
        <v>5.5375654774490737E-3</v>
      </c>
      <c r="J14" s="1">
        <f>I14*D4</f>
        <v>1.6089568689383919E-3</v>
      </c>
      <c r="K14" s="1">
        <f>J14*D4</f>
        <v>4.6748742143931443E-4</v>
      </c>
      <c r="L14" s="1"/>
      <c r="M14" s="235"/>
      <c r="N14" s="97">
        <f>B14+K14</f>
        <v>0.999999999999997</v>
      </c>
      <c r="R14" s="267">
        <f>B14-K14</f>
        <v>0.99906502515711837</v>
      </c>
      <c r="S14" s="268">
        <f>IF(Rules!B20=Rules!D20,SUM(C14:J14)*B4*F4,SUM(C14:J14)*B4*F4*POWER(O2,A14-1))</f>
        <v>545.7681914973341</v>
      </c>
      <c r="T14" s="253">
        <f>IF(Rules!B20=Rules!D20,SUM(C14:J14)*D4*H4,SUM(C14:J14)*D4*H4*POWER(O2,A14-1))</f>
        <v>-223.81399900099066</v>
      </c>
      <c r="U14" s="264">
        <f t="shared" si="0"/>
        <v>2190.4586536852712</v>
      </c>
      <c r="V14" s="93">
        <f>S14/B4</f>
        <v>769.28688935270918</v>
      </c>
      <c r="W14" s="9">
        <f>T14/D4</f>
        <v>-770.3032307233118</v>
      </c>
    </row>
    <row r="15" spans="1:23">
      <c r="A15" s="98">
        <v>9</v>
      </c>
      <c r="B15" s="97">
        <f>C15*B4</f>
        <v>0.99980857774563547</v>
      </c>
      <c r="C15" s="97">
        <f>1/(1-D4*B4/(1-D4*B4/(1-D4*B4/(1-D4*B4/(1-D4*B4/(1-D4*B4/(1-D4*B4/(1-D4*B4))))))))</f>
        <v>1.4092789625792128</v>
      </c>
      <c r="D15" s="93">
        <f>C15*D4*C14</f>
        <v>0.57689866303174697</v>
      </c>
      <c r="E15" s="1">
        <f>D15*D4*C13</f>
        <v>0.23599832553704334</v>
      </c>
      <c r="F15" s="1">
        <f>E15*D4*C12</f>
        <v>9.6383007674302482E-2</v>
      </c>
      <c r="G15" s="1">
        <f>F15*D4*C11</f>
        <v>3.9203724353067848E-2</v>
      </c>
      <c r="H15" s="1">
        <f>G15*D4*C10</f>
        <v>1.5786018536974554E-2</v>
      </c>
      <c r="I15" s="1">
        <f>H15*D4*C9</f>
        <v>6.1953256524865307E-3</v>
      </c>
      <c r="J15" s="1">
        <f>I15*D4*C8</f>
        <v>2.2674690670921958E-3</v>
      </c>
      <c r="K15" s="1">
        <f>J15*D4</f>
        <v>6.5882018830482839E-4</v>
      </c>
      <c r="L15" s="1">
        <f>K15*D4</f>
        <v>1.9142225436161208E-4</v>
      </c>
      <c r="M15" s="235"/>
      <c r="N15" s="97">
        <f>B15+L15</f>
        <v>0.99999999999999711</v>
      </c>
      <c r="R15" s="267">
        <f>B15-L15</f>
        <v>0.99961715549127383</v>
      </c>
      <c r="S15" s="268">
        <f>IF(Rules!B20=Rules!D20,SUM(C15:K15)*B4*F4,SUM(C15:K15)*B4*F4*POWER(O2,A15-1))</f>
        <v>547.02501554741082</v>
      </c>
      <c r="T15" s="253">
        <f>IF(Rules!B20=Rules!D20,SUM(C15:K15)*D4*H4,SUM(C15:K15)*D4*H4*POWER(O2,A15-1))</f>
        <v>-224.32940979456686</v>
      </c>
      <c r="U15" s="264">
        <f t="shared" si="0"/>
        <v>2513.1542594381153</v>
      </c>
      <c r="V15" s="93">
        <f>S15/B4</f>
        <v>771.05844416116111</v>
      </c>
      <c r="W15" s="9">
        <f>T15/D4</f>
        <v>-772.07712601678554</v>
      </c>
    </row>
    <row r="16" spans="1:23" ht="17" thickBot="1">
      <c r="A16" s="99">
        <v>10</v>
      </c>
      <c r="B16" s="129">
        <f>C16*B4</f>
        <v>0.9999216093945239</v>
      </c>
      <c r="C16" s="129">
        <f>1/(1-D4*B4/(1-D4*B4/(1-D4*B4/(1-D4*B4/(1-D4*B4/(1-D4*B4/(1-D4*B4/(1-D4*B4/(1-D4*B4)))))))))</f>
        <v>1.4094382862021841</v>
      </c>
      <c r="D16" s="94">
        <f>C16*D4*C15</f>
        <v>0.57712323745038374</v>
      </c>
      <c r="E16" s="109">
        <f>D16*D4*C14</f>
        <v>0.23624962333954222</v>
      </c>
      <c r="F16" s="109">
        <f>E16*D4*C13</f>
        <v>9.6645250006101954E-2</v>
      </c>
      <c r="G16" s="109">
        <f>F16*D4*C12</f>
        <v>3.9470449003507393E-2</v>
      </c>
      <c r="H16" s="109">
        <f>G16*D4*C11</f>
        <v>1.6054578915551815E-2</v>
      </c>
      <c r="I16" s="109">
        <f>H16*D4*C10</f>
        <v>6.4646378512859129E-3</v>
      </c>
      <c r="J16" s="109">
        <f>I16*D4*C9</f>
        <v>2.5370891729475219E-3</v>
      </c>
      <c r="K16" s="109">
        <f>J16*D4*C8</f>
        <v>9.2856639711975757E-4</v>
      </c>
      <c r="L16" s="109">
        <f>K16*D4</f>
        <v>2.6979785412838912E-4</v>
      </c>
      <c r="M16" s="237">
        <f>L16*D4</f>
        <v>7.8390605473197688E-5</v>
      </c>
      <c r="N16" s="129">
        <f>B16+M16</f>
        <v>0.99999999999999711</v>
      </c>
      <c r="R16" s="269">
        <f>B16-M16</f>
        <v>0.99984321878905069</v>
      </c>
      <c r="S16" s="270">
        <f>IF(Rules!B20=Rules!D20,SUM(C16:L16)*B4*F4,SUM(C16:L16)*B4*F4*POWER(O2,A16-1))</f>
        <v>547.60154893334311</v>
      </c>
      <c r="T16" s="254">
        <f>IF(Rules!B20=Rules!D20,SUM(C16:L16)*D4*H4,SUM(C16:L16)*D4*H4*POWER(O2,A16-1))</f>
        <v>-224.56584028772014</v>
      </c>
      <c r="U16" s="264">
        <f t="shared" si="0"/>
        <v>2836.1899680837382</v>
      </c>
      <c r="V16" s="94">
        <f>S16/B4</f>
        <v>771.87109609284482</v>
      </c>
      <c r="W16" s="10">
        <f>T16/D4</f>
        <v>-772.89085158145258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0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10</v>
      </c>
      <c r="D21" s="57">
        <f>SUM($C$21:C21)</f>
        <v>10</v>
      </c>
      <c r="E21" s="57">
        <f t="shared" ref="E21:E30" si="2">D21/R7</f>
        <v>23.872400252936831</v>
      </c>
      <c r="F21" s="8">
        <f t="shared" ref="F21:F30" si="3">U7/E21</f>
        <v>5.6732642118256704</v>
      </c>
      <c r="G21" s="256">
        <f>E21*U7</f>
        <v>3233.1450166060226</v>
      </c>
    </row>
    <row r="22" spans="1:7">
      <c r="A22" s="97">
        <v>2</v>
      </c>
      <c r="B22" s="93">
        <f>C21</f>
        <v>10</v>
      </c>
      <c r="C22" s="1">
        <f t="shared" si="1"/>
        <v>100</v>
      </c>
      <c r="D22" s="9">
        <f>SUM($C$21:C22)</f>
        <v>110</v>
      </c>
      <c r="E22" s="9">
        <f t="shared" si="2"/>
        <v>139.71500480850676</v>
      </c>
      <c r="F22" s="9">
        <f t="shared" si="3"/>
        <v>2.545207612671847</v>
      </c>
      <c r="G22" s="257">
        <f t="shared" ref="G22:G30" si="4">E22*U8</f>
        <v>49683.171795210801</v>
      </c>
    </row>
    <row r="23" spans="1:7">
      <c r="A23" s="97">
        <v>3</v>
      </c>
      <c r="B23" s="93">
        <f t="shared" ref="B23:B30" si="5">C22</f>
        <v>100</v>
      </c>
      <c r="C23" s="1">
        <f t="shared" si="1"/>
        <v>1000</v>
      </c>
      <c r="D23" s="9">
        <f>SUM($C$21:C23)</f>
        <v>1110</v>
      </c>
      <c r="E23" s="9">
        <f t="shared" si="2"/>
        <v>1211.0880972162724</v>
      </c>
      <c r="F23" s="9">
        <f t="shared" si="3"/>
        <v>0.51601930160696829</v>
      </c>
      <c r="G23" s="257">
        <f t="shared" si="4"/>
        <v>756863.25000748318</v>
      </c>
    </row>
    <row r="24" spans="1:7">
      <c r="A24" s="97">
        <v>4</v>
      </c>
      <c r="B24" s="93">
        <f t="shared" si="5"/>
        <v>1000</v>
      </c>
      <c r="C24" s="1">
        <f t="shared" si="1"/>
        <v>10000</v>
      </c>
      <c r="D24" s="9">
        <f>SUM($C$21:C24)</f>
        <v>11110</v>
      </c>
      <c r="E24" s="9">
        <f t="shared" si="2"/>
        <v>11496.394766828658</v>
      </c>
      <c r="F24" s="9">
        <f t="shared" si="3"/>
        <v>8.0120140918202409E-2</v>
      </c>
      <c r="G24" s="257">
        <f t="shared" si="4"/>
        <v>10589246.086646512</v>
      </c>
    </row>
    <row r="25" spans="1:7">
      <c r="A25" s="97">
        <v>5</v>
      </c>
      <c r="B25" s="93">
        <f t="shared" si="5"/>
        <v>10000</v>
      </c>
      <c r="C25" s="1">
        <f t="shared" si="1"/>
        <v>100000</v>
      </c>
      <c r="D25" s="9">
        <f>SUM($C$21:C25)</f>
        <v>111110</v>
      </c>
      <c r="E25" s="9">
        <f t="shared" si="2"/>
        <v>112650.02478932917</v>
      </c>
      <c r="F25" s="9">
        <f t="shared" si="3"/>
        <v>1.0928957122135799E-2</v>
      </c>
      <c r="G25" s="257">
        <f t="shared" si="4"/>
        <v>138688772.82006273</v>
      </c>
    </row>
    <row r="26" spans="1:7">
      <c r="A26" s="97">
        <v>6</v>
      </c>
      <c r="B26" s="93">
        <f t="shared" si="5"/>
        <v>100000</v>
      </c>
      <c r="C26" s="1">
        <f t="shared" si="1"/>
        <v>1000000</v>
      </c>
      <c r="D26" s="9">
        <f>SUM($C$21:C26)</f>
        <v>1111110</v>
      </c>
      <c r="E26" s="9">
        <f t="shared" si="2"/>
        <v>1117348.4486301232</v>
      </c>
      <c r="F26" s="9">
        <f t="shared" si="3"/>
        <v>1.3855514555910957E-3</v>
      </c>
      <c r="G26" s="257">
        <f t="shared" si="4"/>
        <v>1729816038.9976263</v>
      </c>
    </row>
    <row r="27" spans="1:7">
      <c r="A27" s="97">
        <v>7</v>
      </c>
      <c r="B27" s="93">
        <f t="shared" si="5"/>
        <v>1000000</v>
      </c>
      <c r="C27" s="1">
        <f t="shared" si="1"/>
        <v>10000000</v>
      </c>
      <c r="D27" s="9">
        <f>SUM($C$21:C27)</f>
        <v>11111110</v>
      </c>
      <c r="E27" s="9">
        <f t="shared" si="2"/>
        <v>11136545.944877809</v>
      </c>
      <c r="F27" s="9">
        <f t="shared" si="3"/>
        <v>1.6778132739158103E-4</v>
      </c>
      <c r="G27" s="257">
        <f t="shared" si="4"/>
        <v>20808685780.239647</v>
      </c>
    </row>
    <row r="28" spans="1:7">
      <c r="A28" s="97">
        <v>8</v>
      </c>
      <c r="B28" s="93">
        <f t="shared" si="5"/>
        <v>10000000</v>
      </c>
      <c r="C28" s="1">
        <f t="shared" si="1"/>
        <v>100000000</v>
      </c>
      <c r="D28" s="9">
        <f>SUM($C$21:C28)</f>
        <v>111111110</v>
      </c>
      <c r="E28" s="9">
        <f t="shared" si="2"/>
        <v>111215093.31439769</v>
      </c>
      <c r="F28" s="9">
        <f t="shared" si="3"/>
        <v>1.9695695866504288E-5</v>
      </c>
      <c r="G28" s="257">
        <f t="shared" si="4"/>
        <v>243612063570.93738</v>
      </c>
    </row>
    <row r="29" spans="1:7">
      <c r="A29" s="97">
        <v>9</v>
      </c>
      <c r="B29" s="93">
        <f t="shared" si="5"/>
        <v>100000000</v>
      </c>
      <c r="C29" s="1">
        <f t="shared" si="1"/>
        <v>1000000000</v>
      </c>
      <c r="D29" s="9">
        <f>SUM($C$21:C29)</f>
        <v>1111111110</v>
      </c>
      <c r="E29" s="9">
        <f t="shared" si="2"/>
        <v>1111536655.7048845</v>
      </c>
      <c r="F29" s="9">
        <f t="shared" si="3"/>
        <v>2.2609729031782497E-6</v>
      </c>
      <c r="G29" s="257">
        <f t="shared" si="4"/>
        <v>2793463080806.3286</v>
      </c>
    </row>
    <row r="30" spans="1:7" ht="17" thickBot="1">
      <c r="A30" s="129">
        <v>10</v>
      </c>
      <c r="B30" s="94">
        <f t="shared" si="5"/>
        <v>1000000000</v>
      </c>
      <c r="C30" s="109">
        <f t="shared" si="1"/>
        <v>10000000000</v>
      </c>
      <c r="D30" s="10">
        <f>SUM($C$21:C30)</f>
        <v>11111111110</v>
      </c>
      <c r="E30" s="10">
        <f t="shared" si="2"/>
        <v>11112853396.612623</v>
      </c>
      <c r="F30" s="10">
        <f t="shared" si="3"/>
        <v>2.5521707763626708E-7</v>
      </c>
      <c r="G30" s="258">
        <f t="shared" si="4"/>
        <v>31518163320258.02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0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10</v>
      </c>
      <c r="D33" s="57">
        <f>SUM($C$33:C33)</f>
        <v>10</v>
      </c>
      <c r="E33" s="9">
        <f t="shared" ref="E33:E42" si="7">D33/R7</f>
        <v>23.872400252936831</v>
      </c>
      <c r="F33" s="8">
        <f t="shared" ref="F33:F42" si="8">U7/E33</f>
        <v>5.6732642118256704</v>
      </c>
      <c r="G33" s="259">
        <f>E33*U7</f>
        <v>3233.1450166060226</v>
      </c>
    </row>
    <row r="34" spans="1:7">
      <c r="A34" s="97">
        <v>2</v>
      </c>
      <c r="B34" s="93">
        <f t="shared" ref="B34:B42" si="9">B33*($O$2+1)</f>
        <v>11</v>
      </c>
      <c r="C34" s="1">
        <f t="shared" si="6"/>
        <v>110</v>
      </c>
      <c r="D34" s="9">
        <f>SUM($C$33:C34)</f>
        <v>120</v>
      </c>
      <c r="E34" s="9">
        <f t="shared" si="7"/>
        <v>152.41636888200736</v>
      </c>
      <c r="F34" s="9">
        <f t="shared" si="8"/>
        <v>2.3331069782825269</v>
      </c>
      <c r="G34" s="257">
        <f t="shared" ref="G34:G42" si="10">E34*U8</f>
        <v>54199.823776593599</v>
      </c>
    </row>
    <row r="35" spans="1:7">
      <c r="A35" s="97">
        <v>3</v>
      </c>
      <c r="B35" s="93">
        <f t="shared" si="9"/>
        <v>121</v>
      </c>
      <c r="C35" s="1">
        <f t="shared" si="6"/>
        <v>1210</v>
      </c>
      <c r="D35" s="9">
        <f>SUM($C$33:C35)</f>
        <v>1330</v>
      </c>
      <c r="E35" s="9">
        <f t="shared" si="7"/>
        <v>1451.1235759438221</v>
      </c>
      <c r="F35" s="9">
        <f t="shared" si="8"/>
        <v>0.43066272540130435</v>
      </c>
      <c r="G35" s="257">
        <f t="shared" si="10"/>
        <v>906872.18244139885</v>
      </c>
    </row>
    <row r="36" spans="1:7">
      <c r="A36" s="97">
        <v>4</v>
      </c>
      <c r="B36" s="93">
        <f t="shared" si="9"/>
        <v>1331</v>
      </c>
      <c r="C36" s="1">
        <f t="shared" si="6"/>
        <v>13310</v>
      </c>
      <c r="D36" s="9">
        <f>SUM($C$33:C36)</f>
        <v>14640</v>
      </c>
      <c r="E36" s="9">
        <f t="shared" si="7"/>
        <v>15149.164661239563</v>
      </c>
      <c r="F36" s="9">
        <f t="shared" si="8"/>
        <v>6.0801555027406341E-2</v>
      </c>
      <c r="G36" s="257">
        <f t="shared" si="10"/>
        <v>13953786.022367682</v>
      </c>
    </row>
    <row r="37" spans="1:7">
      <c r="A37" s="97">
        <v>5</v>
      </c>
      <c r="B37" s="93">
        <f t="shared" si="9"/>
        <v>14641</v>
      </c>
      <c r="C37" s="1">
        <f t="shared" si="6"/>
        <v>146410</v>
      </c>
      <c r="D37" s="9">
        <f>SUM($C$33:C37)</f>
        <v>161050</v>
      </c>
      <c r="E37" s="9">
        <f t="shared" si="7"/>
        <v>163282.21125300569</v>
      </c>
      <c r="F37" s="9">
        <f t="shared" si="8"/>
        <v>7.5399964348991533E-3</v>
      </c>
      <c r="G37" s="257">
        <f t="shared" si="10"/>
        <v>201024452.00855997</v>
      </c>
    </row>
    <row r="38" spans="1:7">
      <c r="A38" s="97">
        <v>6</v>
      </c>
      <c r="B38" s="93">
        <f t="shared" si="9"/>
        <v>161051</v>
      </c>
      <c r="C38" s="1">
        <f t="shared" si="6"/>
        <v>1610510</v>
      </c>
      <c r="D38" s="9">
        <f>SUM($C$33:C38)</f>
        <v>1771560</v>
      </c>
      <c r="E38" s="9">
        <f t="shared" si="7"/>
        <v>1781506.6173962804</v>
      </c>
      <c r="F38" s="9">
        <f t="shared" si="8"/>
        <v>8.6900814977862581E-4</v>
      </c>
      <c r="G38" s="257">
        <f t="shared" si="10"/>
        <v>2758028369.8703413</v>
      </c>
    </row>
    <row r="39" spans="1:7">
      <c r="A39" s="97">
        <v>7</v>
      </c>
      <c r="B39" s="93">
        <f t="shared" si="9"/>
        <v>1771561</v>
      </c>
      <c r="C39" s="1">
        <f t="shared" si="6"/>
        <v>17715610</v>
      </c>
      <c r="D39" s="9">
        <f>SUM($C$33:C39)</f>
        <v>19487170</v>
      </c>
      <c r="E39" s="9">
        <f t="shared" si="7"/>
        <v>19531780.716836076</v>
      </c>
      <c r="F39" s="9">
        <f t="shared" si="8"/>
        <v>9.5664828940983723E-5</v>
      </c>
      <c r="G39" s="257">
        <f t="shared" si="10"/>
        <v>36495219404.372078</v>
      </c>
    </row>
    <row r="40" spans="1:7">
      <c r="A40" s="97">
        <v>8</v>
      </c>
      <c r="B40" s="93">
        <f t="shared" si="9"/>
        <v>19487171</v>
      </c>
      <c r="C40" s="1">
        <f t="shared" si="6"/>
        <v>194871710</v>
      </c>
      <c r="D40" s="9">
        <f>SUM($C$33:C40)</f>
        <v>214358880</v>
      </c>
      <c r="E40" s="9">
        <f t="shared" si="7"/>
        <v>214559487.72332287</v>
      </c>
      <c r="F40" s="9">
        <f t="shared" si="8"/>
        <v>1.0209097145635876E-5</v>
      </c>
      <c r="G40" s="257">
        <f t="shared" si="10"/>
        <v>469983686613.8313</v>
      </c>
    </row>
    <row r="41" spans="1:7">
      <c r="A41" s="97">
        <v>9</v>
      </c>
      <c r="B41" s="93">
        <f t="shared" si="9"/>
        <v>214358881</v>
      </c>
      <c r="C41" s="1">
        <f t="shared" si="6"/>
        <v>2143588810</v>
      </c>
      <c r="D41" s="9">
        <f>SUM($C$33:C41)</f>
        <v>2357947690</v>
      </c>
      <c r="E41" s="9">
        <f t="shared" si="7"/>
        <v>2358850763.0615425</v>
      </c>
      <c r="F41" s="9">
        <f t="shared" si="8"/>
        <v>1.065414692100446E-6</v>
      </c>
      <c r="G41" s="257">
        <f t="shared" si="10"/>
        <v>5928155842566.9639</v>
      </c>
    </row>
    <row r="42" spans="1:7" ht="17" thickBot="1">
      <c r="A42" s="129">
        <v>10</v>
      </c>
      <c r="B42" s="94">
        <f t="shared" si="9"/>
        <v>2357947691</v>
      </c>
      <c r="C42" s="109">
        <f t="shared" si="6"/>
        <v>23579476910</v>
      </c>
      <c r="D42" s="10">
        <f>SUM($C$33:C42)</f>
        <v>25937424600</v>
      </c>
      <c r="E42" s="9">
        <f t="shared" si="7"/>
        <v>25941491738.48859</v>
      </c>
      <c r="F42" s="10">
        <f t="shared" si="8"/>
        <v>1.0933025736048058E-7</v>
      </c>
      <c r="G42" s="258">
        <f t="shared" si="10"/>
        <v>73574998625828.516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0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10</v>
      </c>
      <c r="D45" s="57">
        <f>SUM(C45:C45)</f>
        <v>10</v>
      </c>
      <c r="E45" s="57">
        <f t="shared" ref="E45:E54" si="12">D45/R7</f>
        <v>23.872400252936831</v>
      </c>
      <c r="F45" s="8">
        <f t="shared" ref="F45:F54" si="13">U7/E45</f>
        <v>5.6732642118256704</v>
      </c>
      <c r="G45" s="256">
        <f>E45*U7</f>
        <v>3233.1450166060226</v>
      </c>
    </row>
    <row r="46" spans="1:7">
      <c r="A46" s="97">
        <v>2</v>
      </c>
      <c r="B46" s="93">
        <f t="shared" ref="B46:B54" si="14">B45*$O$2*2</f>
        <v>20</v>
      </c>
      <c r="C46" s="1">
        <f t="shared" si="11"/>
        <v>200</v>
      </c>
      <c r="D46" s="9">
        <f>SUM($C$45:C46)</f>
        <v>210</v>
      </c>
      <c r="E46" s="9">
        <f t="shared" si="12"/>
        <v>266.72864554351287</v>
      </c>
      <c r="F46" s="9">
        <f t="shared" si="13"/>
        <v>1.3332039875900152</v>
      </c>
      <c r="G46" s="257">
        <f t="shared" ref="G46:G54" si="15">E46*U8</f>
        <v>94849.691609038797</v>
      </c>
    </row>
    <row r="47" spans="1:7">
      <c r="A47" s="97">
        <v>3</v>
      </c>
      <c r="B47" s="93">
        <f t="shared" si="14"/>
        <v>400</v>
      </c>
      <c r="C47" s="1">
        <f t="shared" si="11"/>
        <v>4000</v>
      </c>
      <c r="D47" s="9">
        <f>SUM($C$45:C47)</f>
        <v>4210</v>
      </c>
      <c r="E47" s="9">
        <f t="shared" si="12"/>
        <v>4593.406206559016</v>
      </c>
      <c r="F47" s="9">
        <f t="shared" si="13"/>
        <v>0.13605259496050706</v>
      </c>
      <c r="G47" s="257">
        <f t="shared" si="15"/>
        <v>2870625.4797581127</v>
      </c>
    </row>
    <row r="48" spans="1:7">
      <c r="A48" s="97">
        <v>4</v>
      </c>
      <c r="B48" s="93">
        <f t="shared" si="14"/>
        <v>8000</v>
      </c>
      <c r="C48" s="1">
        <f t="shared" si="11"/>
        <v>80000</v>
      </c>
      <c r="D48" s="9">
        <f>SUM($C$45:C48)</f>
        <v>84210</v>
      </c>
      <c r="E48" s="9">
        <f t="shared" si="12"/>
        <v>87138.740172334947</v>
      </c>
      <c r="F48" s="9">
        <f t="shared" si="13"/>
        <v>1.0570416406617135E-2</v>
      </c>
      <c r="G48" s="257">
        <f t="shared" si="15"/>
        <v>80262863.452430502</v>
      </c>
    </row>
    <row r="49" spans="1:7">
      <c r="A49" s="97">
        <v>5</v>
      </c>
      <c r="B49" s="93">
        <f t="shared" si="14"/>
        <v>160000</v>
      </c>
      <c r="C49" s="1">
        <f t="shared" si="11"/>
        <v>1600000</v>
      </c>
      <c r="D49" s="9">
        <f>SUM($C$45:C49)</f>
        <v>1684210</v>
      </c>
      <c r="E49" s="9">
        <f t="shared" si="12"/>
        <v>1707553.7597915225</v>
      </c>
      <c r="F49" s="9">
        <f t="shared" si="13"/>
        <v>7.2100060315549057E-4</v>
      </c>
      <c r="G49" s="257">
        <f t="shared" si="15"/>
        <v>2102250185.1433518</v>
      </c>
    </row>
    <row r="50" spans="1:7">
      <c r="A50" s="97">
        <v>6</v>
      </c>
      <c r="B50" s="93">
        <f t="shared" si="14"/>
        <v>3200000</v>
      </c>
      <c r="C50" s="1">
        <f t="shared" si="11"/>
        <v>32000000</v>
      </c>
      <c r="D50" s="9">
        <f>SUM($C$45:C50)</f>
        <v>33684210</v>
      </c>
      <c r="E50" s="9">
        <f t="shared" si="12"/>
        <v>33873333.681481838</v>
      </c>
      <c r="F50" s="9">
        <f t="shared" si="13"/>
        <v>4.5703909274458928E-5</v>
      </c>
      <c r="G50" s="257">
        <f t="shared" si="15"/>
        <v>52440790487.858299</v>
      </c>
    </row>
    <row r="51" spans="1:7">
      <c r="A51" s="97">
        <v>7</v>
      </c>
      <c r="B51" s="93">
        <f t="shared" si="14"/>
        <v>64000000</v>
      </c>
      <c r="C51" s="1">
        <f t="shared" si="11"/>
        <v>640000000</v>
      </c>
      <c r="D51" s="9">
        <f>SUM($C$45:C51)</f>
        <v>673684210</v>
      </c>
      <c r="E51" s="9">
        <f t="shared" si="12"/>
        <v>675226431.65297711</v>
      </c>
      <c r="F51" s="9">
        <f t="shared" si="13"/>
        <v>2.7672264792934211E-6</v>
      </c>
      <c r="G51" s="257">
        <f t="shared" si="15"/>
        <v>1261663599856.2683</v>
      </c>
    </row>
    <row r="52" spans="1:7">
      <c r="A52" s="97">
        <v>8</v>
      </c>
      <c r="B52" s="93">
        <f t="shared" si="14"/>
        <v>1280000000</v>
      </c>
      <c r="C52" s="1">
        <f t="shared" si="11"/>
        <v>12800000000</v>
      </c>
      <c r="D52" s="9">
        <f>SUM($C$45:C52)</f>
        <v>13473684210</v>
      </c>
      <c r="E52" s="9">
        <f t="shared" si="12"/>
        <v>13486293555.197826</v>
      </c>
      <c r="F52" s="9">
        <f t="shared" si="13"/>
        <v>1.6242110144792412E-7</v>
      </c>
      <c r="G52" s="257">
        <f t="shared" si="15"/>
        <v>29541168424122.98</v>
      </c>
    </row>
    <row r="53" spans="1:7">
      <c r="A53" s="97">
        <v>9</v>
      </c>
      <c r="B53" s="93">
        <f t="shared" si="14"/>
        <v>25600000000</v>
      </c>
      <c r="C53" s="1">
        <f t="shared" si="11"/>
        <v>256000000000</v>
      </c>
      <c r="D53" s="9">
        <f>SUM($C$45:C53)</f>
        <v>269473684210</v>
      </c>
      <c r="E53" s="9">
        <f t="shared" si="12"/>
        <v>269576890242.10867</v>
      </c>
      <c r="F53" s="9">
        <f t="shared" si="13"/>
        <v>9.3225879161267723E-9</v>
      </c>
      <c r="G53" s="257">
        <f t="shared" si="15"/>
        <v>677488309958036.75</v>
      </c>
    </row>
    <row r="54" spans="1:7" ht="17" thickBot="1">
      <c r="A54" s="129">
        <v>10</v>
      </c>
      <c r="B54" s="94">
        <f t="shared" si="14"/>
        <v>512000000000</v>
      </c>
      <c r="C54" s="109">
        <f t="shared" si="11"/>
        <v>5120000000000</v>
      </c>
      <c r="D54" s="10">
        <f>SUM($C$45:C54)</f>
        <v>5389473684210</v>
      </c>
      <c r="E54" s="10">
        <f t="shared" si="12"/>
        <v>5390318784916.502</v>
      </c>
      <c r="F54" s="10">
        <f t="shared" si="13"/>
        <v>5.2616367997012113E-10</v>
      </c>
      <c r="G54" s="258">
        <f t="shared" si="15"/>
        <v>1.5287968062553508E+16</v>
      </c>
    </row>
  </sheetData>
  <mergeCells count="1">
    <mergeCell ref="A18:F18"/>
  </mergeCells>
  <conditionalFormatting sqref="F45:F54">
    <cfRule type="cellIs" dxfId="457" priority="71" operator="equal">
      <formula>MAX($F$45:$F$54)</formula>
    </cfRule>
  </conditionalFormatting>
  <conditionalFormatting sqref="F21:F30">
    <cfRule type="cellIs" dxfId="456" priority="69" operator="equal">
      <formula>MAX($F$21:$F$30)</formula>
    </cfRule>
  </conditionalFormatting>
  <conditionalFormatting sqref="E33:E42">
    <cfRule type="cellIs" dxfId="455" priority="65" stopIfTrue="1" operator="lessThan">
      <formula>0</formula>
    </cfRule>
    <cfRule type="cellIs" dxfId="454" priority="66" operator="equal">
      <formula>MIN($E$33:$E$42)</formula>
    </cfRule>
  </conditionalFormatting>
  <conditionalFormatting sqref="E21:E30">
    <cfRule type="cellIs" dxfId="453" priority="61" stopIfTrue="1" operator="lessThan">
      <formula>0</formula>
    </cfRule>
    <cfRule type="cellIs" dxfId="452" priority="62" operator="equal">
      <formula>MIN($E$21:$E$30)</formula>
    </cfRule>
  </conditionalFormatting>
  <conditionalFormatting sqref="E45:E54">
    <cfRule type="cellIs" dxfId="451" priority="57" stopIfTrue="1" operator="lessThan">
      <formula>0</formula>
    </cfRule>
    <cfRule type="cellIs" dxfId="450" priority="58" operator="equal">
      <formula>MIN($E$45:$E$54)</formula>
    </cfRule>
  </conditionalFormatting>
  <conditionalFormatting sqref="F33:F42">
    <cfRule type="cellIs" dxfId="449" priority="43" operator="lessThanOrEqual">
      <formula>0</formula>
    </cfRule>
    <cfRule type="cellIs" dxfId="448" priority="44" operator="equal">
      <formula>MAX($F$33:$F$42)</formula>
    </cfRule>
  </conditionalFormatting>
  <conditionalFormatting sqref="R7:R16">
    <cfRule type="cellIs" dxfId="447" priority="29" operator="lessThanOrEqual">
      <formula>0</formula>
    </cfRule>
    <cfRule type="cellIs" dxfId="446" priority="30" operator="greaterThan">
      <formula>0</formula>
    </cfRule>
  </conditionalFormatting>
  <conditionalFormatting sqref="U7:U16">
    <cfRule type="cellIs" dxfId="445" priority="9" operator="lessThanOrEqual">
      <formula>0</formula>
    </cfRule>
    <cfRule type="cellIs" dxfId="444" priority="10" operator="greaterThan">
      <formula>0</formula>
    </cfRule>
  </conditionalFormatting>
  <conditionalFormatting sqref="S7:T16">
    <cfRule type="cellIs" dxfId="443" priority="1" operator="lessThanOrEqual">
      <formula>0</formula>
    </cfRule>
    <cfRule type="cellIs" dxfId="44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54"/>
  <sheetViews>
    <sheetView topLeftCell="A22" workbookViewId="0">
      <selection activeCell="B35" sqref="B35:B43"/>
    </sheetView>
  </sheetViews>
  <sheetFormatPr baseColWidth="10" defaultColWidth="8.83203125" defaultRowHeight="16"/>
  <sheetData>
    <row r="1" spans="1:11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2</v>
      </c>
      <c r="B2">
        <f>IF(Rules!$B$10=Rules!$E$10,Dealer!B14-SUM(Dealer!B15:B19),Dealer!B3-SUM(Dealer!B4:B8))</f>
        <v>-0.57578184676460165</v>
      </c>
      <c r="C2">
        <f>IF(Rules!$B$10=Rules!$E$10,Dealer!C14-SUM(Dealer!C15:C19),Dealer!C3-SUM(Dealer!C4:C8))</f>
        <v>-0.28654430084029509</v>
      </c>
      <c r="D2">
        <f>IF(Rules!$B$10=Rules!$E$10,Dealer!D14-SUM(Dealer!D15:D19),Dealer!D3-SUM(Dealer!D4:D8))</f>
        <v>-0.24663577379217239</v>
      </c>
      <c r="E2">
        <f>IF(Rules!$B$10=Rules!$E$10,Dealer!E14-SUM(Dealer!E15:E19),Dealer!E3-SUM(Dealer!E4:E8))</f>
        <v>-0.20584968608305471</v>
      </c>
      <c r="F2">
        <f>IF(Rules!$B$10=Rules!$E$10,Dealer!F14-SUM(Dealer!F15:F19),Dealer!F3-SUM(Dealer!F4:F8))</f>
        <v>-0.16468249424828357</v>
      </c>
      <c r="G2">
        <f>IF(Rules!$B$10=Rules!$E$10,Dealer!G14-SUM(Dealer!G15:G19),Dealer!G3-SUM(Dealer!G4:G8))</f>
        <v>-0.12106685019651225</v>
      </c>
      <c r="H2">
        <f>IF(Rules!$B$10=Rules!$E$10,Dealer!H14-SUM(Dealer!H15:H19),Dealer!H3-SUM(Dealer!H4:H8))</f>
        <v>-0.47537518327693323</v>
      </c>
      <c r="I2">
        <f>IF(Rules!$B$10=Rules!$E$10,Dealer!I14-SUM(Dealer!I15:I19),Dealer!I3-SUM(Dealer!I4:I8))</f>
        <v>-0.51051751549761715</v>
      </c>
      <c r="J2">
        <f>IF(Rules!$B$10=Rules!$E$10,Dealer!J14-SUM(Dealer!J15:J19),Dealer!J3-SUM(Dealer!J4:J8))</f>
        <v>-0.5431496811311094</v>
      </c>
      <c r="K2">
        <f>IF(Rules!$B$10=Rules!$E$10,Dealer!K14-SUM(Dealer!K15:K19),Dealer!K3-SUM(Dealer!K4:K8))</f>
        <v>-0.57578184676460153</v>
      </c>
    </row>
    <row r="3" spans="1:11">
      <c r="A3">
        <v>3</v>
      </c>
      <c r="B3">
        <f>B2</f>
        <v>-0.57578184676460165</v>
      </c>
      <c r="C3">
        <f t="shared" ref="C3:K16" si="0">C2</f>
        <v>-0.28654430084029509</v>
      </c>
      <c r="D3">
        <f t="shared" si="0"/>
        <v>-0.24663577379217239</v>
      </c>
      <c r="E3">
        <f t="shared" si="0"/>
        <v>-0.20584968608305471</v>
      </c>
      <c r="F3">
        <f t="shared" si="0"/>
        <v>-0.16468249424828357</v>
      </c>
      <c r="G3">
        <f t="shared" si="0"/>
        <v>-0.12106685019651225</v>
      </c>
      <c r="H3">
        <f t="shared" si="0"/>
        <v>-0.47537518327693323</v>
      </c>
      <c r="I3">
        <f t="shared" si="0"/>
        <v>-0.51051751549761715</v>
      </c>
      <c r="J3">
        <f t="shared" si="0"/>
        <v>-0.5431496811311094</v>
      </c>
      <c r="K3">
        <f t="shared" si="0"/>
        <v>-0.57578184676460153</v>
      </c>
    </row>
    <row r="4" spans="1:11">
      <c r="A4">
        <v>4</v>
      </c>
      <c r="B4">
        <f t="shared" ref="B4:B16" si="1">B3</f>
        <v>-0.57578184676460165</v>
      </c>
      <c r="C4">
        <f t="shared" si="0"/>
        <v>-0.28654430084029509</v>
      </c>
      <c r="D4">
        <f t="shared" si="0"/>
        <v>-0.24663577379217239</v>
      </c>
      <c r="E4">
        <f t="shared" si="0"/>
        <v>-0.20584968608305471</v>
      </c>
      <c r="F4">
        <f t="shared" si="0"/>
        <v>-0.16468249424828357</v>
      </c>
      <c r="G4">
        <f t="shared" si="0"/>
        <v>-0.12106685019651225</v>
      </c>
      <c r="H4">
        <f t="shared" si="0"/>
        <v>-0.47537518327693323</v>
      </c>
      <c r="I4">
        <f t="shared" si="0"/>
        <v>-0.51051751549761715</v>
      </c>
      <c r="J4">
        <f t="shared" si="0"/>
        <v>-0.5431496811311094</v>
      </c>
      <c r="K4">
        <f t="shared" si="0"/>
        <v>-0.57578184676460153</v>
      </c>
    </row>
    <row r="5" spans="1:11">
      <c r="A5">
        <v>5</v>
      </c>
      <c r="B5">
        <f t="shared" si="1"/>
        <v>-0.57578184676460165</v>
      </c>
      <c r="C5">
        <f t="shared" si="0"/>
        <v>-0.28654430084029509</v>
      </c>
      <c r="D5">
        <f t="shared" si="0"/>
        <v>-0.24663577379217239</v>
      </c>
      <c r="E5">
        <f t="shared" si="0"/>
        <v>-0.20584968608305471</v>
      </c>
      <c r="F5">
        <f t="shared" si="0"/>
        <v>-0.16468249424828357</v>
      </c>
      <c r="G5">
        <f t="shared" si="0"/>
        <v>-0.12106685019651225</v>
      </c>
      <c r="H5">
        <f t="shared" si="0"/>
        <v>-0.47537518327693323</v>
      </c>
      <c r="I5">
        <f t="shared" si="0"/>
        <v>-0.51051751549761715</v>
      </c>
      <c r="J5">
        <f t="shared" si="0"/>
        <v>-0.5431496811311094</v>
      </c>
      <c r="K5">
        <f t="shared" si="0"/>
        <v>-0.57578184676460153</v>
      </c>
    </row>
    <row r="6" spans="1:11">
      <c r="A6">
        <v>6</v>
      </c>
      <c r="B6">
        <f t="shared" si="1"/>
        <v>-0.57578184676460165</v>
      </c>
      <c r="C6">
        <f t="shared" si="0"/>
        <v>-0.28654430084029509</v>
      </c>
      <c r="D6">
        <f t="shared" si="0"/>
        <v>-0.24663577379217239</v>
      </c>
      <c r="E6">
        <f t="shared" si="0"/>
        <v>-0.20584968608305471</v>
      </c>
      <c r="F6">
        <f t="shared" si="0"/>
        <v>-0.16468249424828357</v>
      </c>
      <c r="G6">
        <f t="shared" si="0"/>
        <v>-0.12106685019651225</v>
      </c>
      <c r="H6">
        <f t="shared" si="0"/>
        <v>-0.47537518327693323</v>
      </c>
      <c r="I6">
        <f t="shared" si="0"/>
        <v>-0.51051751549761715</v>
      </c>
      <c r="J6">
        <f t="shared" si="0"/>
        <v>-0.5431496811311094</v>
      </c>
      <c r="K6">
        <f t="shared" si="0"/>
        <v>-0.57578184676460153</v>
      </c>
    </row>
    <row r="7" spans="1:11">
      <c r="A7">
        <v>7</v>
      </c>
      <c r="B7">
        <f t="shared" si="1"/>
        <v>-0.57578184676460165</v>
      </c>
      <c r="C7">
        <f t="shared" si="0"/>
        <v>-0.28654430084029509</v>
      </c>
      <c r="D7">
        <f t="shared" si="0"/>
        <v>-0.24663577379217239</v>
      </c>
      <c r="E7">
        <f t="shared" si="0"/>
        <v>-0.20584968608305471</v>
      </c>
      <c r="F7">
        <f t="shared" si="0"/>
        <v>-0.16468249424828357</v>
      </c>
      <c r="G7">
        <f t="shared" si="0"/>
        <v>-0.12106685019651225</v>
      </c>
      <c r="H7">
        <f t="shared" si="0"/>
        <v>-0.47537518327693323</v>
      </c>
      <c r="I7">
        <f t="shared" si="0"/>
        <v>-0.51051751549761715</v>
      </c>
      <c r="J7">
        <f t="shared" si="0"/>
        <v>-0.5431496811311094</v>
      </c>
      <c r="K7">
        <f t="shared" si="0"/>
        <v>-0.57578184676460153</v>
      </c>
    </row>
    <row r="8" spans="1:11">
      <c r="A8">
        <v>8</v>
      </c>
      <c r="B8">
        <f t="shared" si="1"/>
        <v>-0.57578184676460165</v>
      </c>
      <c r="C8">
        <f t="shared" si="0"/>
        <v>-0.28654430084029509</v>
      </c>
      <c r="D8">
        <f t="shared" si="0"/>
        <v>-0.24663577379217239</v>
      </c>
      <c r="E8">
        <f t="shared" si="0"/>
        <v>-0.20584968608305471</v>
      </c>
      <c r="F8">
        <f t="shared" si="0"/>
        <v>-0.16468249424828357</v>
      </c>
      <c r="G8">
        <f t="shared" si="0"/>
        <v>-0.12106685019651225</v>
      </c>
      <c r="H8">
        <f t="shared" si="0"/>
        <v>-0.47537518327693323</v>
      </c>
      <c r="I8">
        <f t="shared" si="0"/>
        <v>-0.51051751549761715</v>
      </c>
      <c r="J8">
        <f t="shared" si="0"/>
        <v>-0.5431496811311094</v>
      </c>
      <c r="K8">
        <f t="shared" si="0"/>
        <v>-0.57578184676460153</v>
      </c>
    </row>
    <row r="9" spans="1:11">
      <c r="A9">
        <v>9</v>
      </c>
      <c r="B9">
        <f t="shared" si="1"/>
        <v>-0.57578184676460165</v>
      </c>
      <c r="C9">
        <f t="shared" si="0"/>
        <v>-0.28654430084029509</v>
      </c>
      <c r="D9">
        <f t="shared" si="0"/>
        <v>-0.24663577379217239</v>
      </c>
      <c r="E9">
        <f t="shared" si="0"/>
        <v>-0.20584968608305471</v>
      </c>
      <c r="F9">
        <f t="shared" si="0"/>
        <v>-0.16468249424828357</v>
      </c>
      <c r="G9">
        <f t="shared" si="0"/>
        <v>-0.12106685019651225</v>
      </c>
      <c r="H9">
        <f t="shared" si="0"/>
        <v>-0.47537518327693323</v>
      </c>
      <c r="I9">
        <f t="shared" si="0"/>
        <v>-0.51051751549761715</v>
      </c>
      <c r="J9">
        <f t="shared" si="0"/>
        <v>-0.5431496811311094</v>
      </c>
      <c r="K9">
        <f t="shared" si="0"/>
        <v>-0.57578184676460153</v>
      </c>
    </row>
    <row r="10" spans="1:11">
      <c r="A10">
        <v>10</v>
      </c>
      <c r="B10">
        <f t="shared" si="1"/>
        <v>-0.57578184676460165</v>
      </c>
      <c r="C10">
        <f t="shared" si="0"/>
        <v>-0.28654430084029509</v>
      </c>
      <c r="D10">
        <f t="shared" si="0"/>
        <v>-0.24663577379217239</v>
      </c>
      <c r="E10">
        <f t="shared" si="0"/>
        <v>-0.20584968608305471</v>
      </c>
      <c r="F10">
        <f t="shared" si="0"/>
        <v>-0.16468249424828357</v>
      </c>
      <c r="G10">
        <f t="shared" si="0"/>
        <v>-0.12106685019651225</v>
      </c>
      <c r="H10">
        <f t="shared" si="0"/>
        <v>-0.47537518327693323</v>
      </c>
      <c r="I10">
        <f t="shared" si="0"/>
        <v>-0.51051751549761715</v>
      </c>
      <c r="J10">
        <f t="shared" si="0"/>
        <v>-0.5431496811311094</v>
      </c>
      <c r="K10">
        <f t="shared" si="0"/>
        <v>-0.57578184676460153</v>
      </c>
    </row>
    <row r="11" spans="1:11">
      <c r="A11">
        <v>11</v>
      </c>
      <c r="B11">
        <f t="shared" si="1"/>
        <v>-0.57578184676460165</v>
      </c>
      <c r="C11">
        <f t="shared" si="0"/>
        <v>-0.28654430084029509</v>
      </c>
      <c r="D11">
        <f t="shared" si="0"/>
        <v>-0.24663577379217239</v>
      </c>
      <c r="E11">
        <f t="shared" si="0"/>
        <v>-0.20584968608305471</v>
      </c>
      <c r="F11">
        <f t="shared" si="0"/>
        <v>-0.16468249424828357</v>
      </c>
      <c r="G11">
        <f t="shared" si="0"/>
        <v>-0.12106685019651225</v>
      </c>
      <c r="H11">
        <f t="shared" si="0"/>
        <v>-0.47537518327693323</v>
      </c>
      <c r="I11">
        <f t="shared" si="0"/>
        <v>-0.51051751549761715</v>
      </c>
      <c r="J11">
        <f t="shared" si="0"/>
        <v>-0.5431496811311094</v>
      </c>
      <c r="K11">
        <f t="shared" si="0"/>
        <v>-0.57578184676460153</v>
      </c>
    </row>
    <row r="12" spans="1:11">
      <c r="A12">
        <v>12</v>
      </c>
      <c r="B12">
        <f t="shared" si="1"/>
        <v>-0.57578184676460165</v>
      </c>
      <c r="C12">
        <f t="shared" si="0"/>
        <v>-0.28654430084029509</v>
      </c>
      <c r="D12">
        <f t="shared" si="0"/>
        <v>-0.24663577379217239</v>
      </c>
      <c r="E12">
        <f t="shared" si="0"/>
        <v>-0.20584968608305471</v>
      </c>
      <c r="F12">
        <f t="shared" si="0"/>
        <v>-0.16468249424828357</v>
      </c>
      <c r="G12">
        <f t="shared" si="0"/>
        <v>-0.12106685019651225</v>
      </c>
      <c r="H12">
        <f t="shared" si="0"/>
        <v>-0.47537518327693323</v>
      </c>
      <c r="I12">
        <f t="shared" si="0"/>
        <v>-0.51051751549761715</v>
      </c>
      <c r="J12">
        <f t="shared" si="0"/>
        <v>-0.5431496811311094</v>
      </c>
      <c r="K12">
        <f t="shared" si="0"/>
        <v>-0.57578184676460153</v>
      </c>
    </row>
    <row r="13" spans="1:11">
      <c r="A13">
        <v>13</v>
      </c>
      <c r="B13">
        <f t="shared" si="1"/>
        <v>-0.57578184676460165</v>
      </c>
      <c r="C13">
        <f t="shared" si="0"/>
        <v>-0.28654430084029509</v>
      </c>
      <c r="D13">
        <f t="shared" si="0"/>
        <v>-0.24663577379217239</v>
      </c>
      <c r="E13">
        <f t="shared" si="0"/>
        <v>-0.20584968608305471</v>
      </c>
      <c r="F13">
        <f t="shared" si="0"/>
        <v>-0.16468249424828357</v>
      </c>
      <c r="G13">
        <f t="shared" si="0"/>
        <v>-0.12106685019651225</v>
      </c>
      <c r="H13">
        <f t="shared" si="0"/>
        <v>-0.47537518327693323</v>
      </c>
      <c r="I13">
        <f t="shared" si="0"/>
        <v>-0.51051751549761715</v>
      </c>
      <c r="J13">
        <f t="shared" si="0"/>
        <v>-0.5431496811311094</v>
      </c>
      <c r="K13">
        <f t="shared" si="0"/>
        <v>-0.57578184676460153</v>
      </c>
    </row>
    <row r="14" spans="1:11">
      <c r="A14">
        <v>14</v>
      </c>
      <c r="B14">
        <f t="shared" si="1"/>
        <v>-0.57578184676460165</v>
      </c>
      <c r="C14">
        <f t="shared" si="0"/>
        <v>-0.28654430084029509</v>
      </c>
      <c r="D14">
        <f t="shared" si="0"/>
        <v>-0.24663577379217239</v>
      </c>
      <c r="E14">
        <f t="shared" si="0"/>
        <v>-0.20584968608305471</v>
      </c>
      <c r="F14">
        <f t="shared" si="0"/>
        <v>-0.16468249424828357</v>
      </c>
      <c r="G14">
        <f t="shared" si="0"/>
        <v>-0.12106685019651225</v>
      </c>
      <c r="H14">
        <f t="shared" si="0"/>
        <v>-0.47537518327693323</v>
      </c>
      <c r="I14">
        <f t="shared" si="0"/>
        <v>-0.51051751549761715</v>
      </c>
      <c r="J14">
        <f t="shared" si="0"/>
        <v>-0.5431496811311094</v>
      </c>
      <c r="K14">
        <f t="shared" si="0"/>
        <v>-0.57578184676460153</v>
      </c>
    </row>
    <row r="15" spans="1:11">
      <c r="A15">
        <v>15</v>
      </c>
      <c r="B15">
        <f t="shared" si="1"/>
        <v>-0.57578184676460165</v>
      </c>
      <c r="C15">
        <f t="shared" si="0"/>
        <v>-0.28654430084029509</v>
      </c>
      <c r="D15">
        <f t="shared" si="0"/>
        <v>-0.24663577379217239</v>
      </c>
      <c r="E15">
        <f t="shared" si="0"/>
        <v>-0.20584968608305471</v>
      </c>
      <c r="F15">
        <f t="shared" si="0"/>
        <v>-0.16468249424828357</v>
      </c>
      <c r="G15">
        <f t="shared" si="0"/>
        <v>-0.12106685019651225</v>
      </c>
      <c r="H15">
        <f t="shared" si="0"/>
        <v>-0.47537518327693323</v>
      </c>
      <c r="I15">
        <f t="shared" si="0"/>
        <v>-0.51051751549761715</v>
      </c>
      <c r="J15">
        <f t="shared" si="0"/>
        <v>-0.5431496811311094</v>
      </c>
      <c r="K15">
        <f t="shared" si="0"/>
        <v>-0.57578184676460153</v>
      </c>
    </row>
    <row r="16" spans="1:11">
      <c r="A16">
        <v>16</v>
      </c>
      <c r="B16">
        <f t="shared" si="1"/>
        <v>-0.57578184676460165</v>
      </c>
      <c r="C16">
        <f t="shared" si="0"/>
        <v>-0.28654430084029509</v>
      </c>
      <c r="D16">
        <f t="shared" si="0"/>
        <v>-0.24663577379217239</v>
      </c>
      <c r="E16">
        <f t="shared" si="0"/>
        <v>-0.20584968608305471</v>
      </c>
      <c r="F16">
        <f t="shared" si="0"/>
        <v>-0.16468249424828357</v>
      </c>
      <c r="G16">
        <f t="shared" si="0"/>
        <v>-0.12106685019651225</v>
      </c>
      <c r="H16">
        <f t="shared" si="0"/>
        <v>-0.47537518327693323</v>
      </c>
      <c r="I16">
        <f t="shared" si="0"/>
        <v>-0.51051751549761715</v>
      </c>
      <c r="J16">
        <f t="shared" si="0"/>
        <v>-0.5431496811311094</v>
      </c>
      <c r="K16">
        <f t="shared" si="0"/>
        <v>-0.57578184676460153</v>
      </c>
    </row>
    <row r="17" spans="1:11">
      <c r="A17">
        <v>17</v>
      </c>
      <c r="B17">
        <f>IF(Rules!$B$10=Rules!$E$10,Dealer!B14-SUM(Dealer!B16:B19),Dealer!B3-SUM(Dealer!B5:B8))</f>
        <v>-0.46435750824198752</v>
      </c>
      <c r="C17">
        <f>IF(Rules!$B$10=Rules!$E$10,Dealer!C14-SUM(Dealer!C16:C19),Dealer!C3-SUM(Dealer!C5:C8))</f>
        <v>-0.15641021825706786</v>
      </c>
      <c r="D17">
        <f>IF(Rules!$B$10=Rules!$E$10,Dealer!D14-SUM(Dealer!D16:D19),Dealer!D3-SUM(Dealer!D5:D8))</f>
        <v>-0.12030774273351591</v>
      </c>
      <c r="E17">
        <f>IF(Rules!$B$10=Rules!$E$10,Dealer!E14-SUM(Dealer!E16:E19),Dealer!E3-SUM(Dealer!E5:E8))</f>
        <v>-8.3444052932191204E-2</v>
      </c>
      <c r="F17">
        <f>IF(Rules!$B$10=Rules!$E$10,Dealer!F14-SUM(Dealer!F16:F19),Dealer!F3-SUM(Dealer!F5:F8))</f>
        <v>-4.6323554721567961E-2</v>
      </c>
      <c r="G17">
        <f>IF(Rules!$B$10=Rules!$E$10,Dealer!G14-SUM(Dealer!G16:G19),Dealer!G3-SUM(Dealer!G5:G8))</f>
        <v>-6.2291683630239514E-3</v>
      </c>
      <c r="H17">
        <f>IF(Rules!$B$10=Rules!$E$10,Dealer!H14-SUM(Dealer!H16:H19),Dealer!H3-SUM(Dealer!H5:H8))</f>
        <v>-0.10680898948269468</v>
      </c>
      <c r="I17">
        <f>IF(Rules!$B$10=Rules!$E$10,Dealer!I14-SUM(Dealer!I16:I19),Dealer!I3-SUM(Dealer!I5:I8))</f>
        <v>-0.38195097104844711</v>
      </c>
      <c r="J17">
        <f>IF(Rules!$B$10=Rules!$E$10,Dealer!J14-SUM(Dealer!J16:J19),Dealer!J3-SUM(Dealer!J5:J8))</f>
        <v>-0.42315423964521737</v>
      </c>
      <c r="K17">
        <f>IF(Rules!$B$10=Rules!$E$10,Dealer!K14-SUM(Dealer!K16:K19),Dealer!K3-SUM(Dealer!K5:K8))</f>
        <v>-0.46435750824198763</v>
      </c>
    </row>
    <row r="18" spans="1:11">
      <c r="A18">
        <v>18</v>
      </c>
      <c r="B18">
        <f>IF(Rules!$B$10=Rules!$E$10,Dealer!B14+Dealer!B15-SUM(Dealer!B17:B19),SUM(Dealer!B3:B4)-SUM(Dealer!B6:B8))</f>
        <v>-0.24150883119675959</v>
      </c>
      <c r="C18">
        <f>IF(Rules!$B$10=Rules!$E$10,Dealer!C14+Dealer!C15-SUM(Dealer!C17:C19),SUM(Dealer!C3:C4)-SUM(Dealer!C6:C8))</f>
        <v>0.11027005064085793</v>
      </c>
      <c r="D18">
        <f>IF(Rules!$B$10=Rules!$E$10,Dealer!D14+Dealer!D15-SUM(Dealer!D17:D19),SUM(Dealer!D3:D4)-SUM(Dealer!D6:D8))</f>
        <v>0.13797729703756356</v>
      </c>
      <c r="E18">
        <f>IF(Rules!$B$10=Rules!$E$10,Dealer!E14+Dealer!E15-SUM(Dealer!E17:E19),SUM(Dealer!E3:E4)-SUM(Dealer!E6:E8))</f>
        <v>0.16626900252257676</v>
      </c>
      <c r="F18">
        <f>IF(Rules!$B$10=Rules!$E$10,Dealer!F14+Dealer!F15-SUM(Dealer!F17:F19),SUM(Dealer!F3:F4)-SUM(Dealer!F6:F8))</f>
        <v>0.19494598568825822</v>
      </c>
      <c r="G18">
        <f>IF(Rules!$B$10=Rules!$E$10,Dealer!G14+Dealer!G15-SUM(Dealer!G17:G19),SUM(Dealer!G3:G4)-SUM(Dealer!G6:G8))</f>
        <v>0.22344619530395254</v>
      </c>
      <c r="H18">
        <f>IF(Rules!$B$10=Rules!$E$10,Dealer!H14+Dealer!H15-SUM(Dealer!H17:H19),SUM(Dealer!H3:H4)-SUM(Dealer!H6:H8))</f>
        <v>0.3995541673365518</v>
      </c>
      <c r="I18">
        <f>IF(Rules!$B$10=Rules!$E$10,Dealer!I14+Dealer!I15-SUM(Dealer!I17:I19),SUM(Dealer!I3:I4)-SUM(Dealer!I6:I8))</f>
        <v>0.10595134861912359</v>
      </c>
      <c r="J18">
        <f>IF(Rules!$B$10=Rules!$E$10,Dealer!J14+Dealer!J15-SUM(Dealer!J17:J19),SUM(Dealer!J3:J4)-SUM(Dealer!J6:J8))</f>
        <v>-0.18316335667343331</v>
      </c>
      <c r="K18">
        <f>IF(Rules!$B$10=Rules!$E$10,Dealer!K14+Dealer!K15-SUM(Dealer!K17:K19),SUM(Dealer!K3:K4)-SUM(Dealer!K6:K8))</f>
        <v>-0.24150883119675959</v>
      </c>
    </row>
    <row r="19" spans="1:11">
      <c r="A19">
        <v>19</v>
      </c>
      <c r="B19">
        <f>IF(Rules!$B$10=Rules!$E$10,SUM(Dealer!B14:B16)-Dealer!B18-Dealer!B19,SUM(Dealer!B3:B5)-SUM(Dealer!B7:B8))</f>
        <v>-1.8660154151531549E-2</v>
      </c>
      <c r="C19">
        <f>IF(Rules!$B$10=Rules!$E$10,SUM(Dealer!C14:C16)-Dealer!C18-Dealer!C19,SUM(Dealer!C3:C5)-SUM(Dealer!C7:C8))</f>
        <v>0.37811050632056864</v>
      </c>
      <c r="D19">
        <f>IF(Rules!$B$10=Rules!$E$10,SUM(Dealer!D14:D16)-Dealer!D18-Dealer!D19,SUM(Dealer!D3:D5)-SUM(Dealer!D7:D8))</f>
        <v>0.39698952530936887</v>
      </c>
      <c r="E19">
        <f>IF(Rules!$B$10=Rules!$E$10,SUM(Dealer!E14:E16)-Dealer!E18-Dealer!E19,SUM(Dealer!E3:E5)-SUM(Dealer!E7:E8))</f>
        <v>0.41633218577399039</v>
      </c>
      <c r="F19">
        <f>IF(Rules!$B$10=Rules!$E$10,SUM(Dealer!F14:F16)-Dealer!F18-Dealer!F19,SUM(Dealer!F3:F5)-SUM(Dealer!F7:F8))</f>
        <v>0.43621552609808445</v>
      </c>
      <c r="G19">
        <f>IF(Rules!$B$10=Rules!$E$10,SUM(Dealer!G14:G16)-Dealer!G18-Dealer!G19,SUM(Dealer!G3:G5)-SUM(Dealer!G7:G8))</f>
        <v>0.45312155897092921</v>
      </c>
      <c r="H19">
        <f>IF(Rules!$B$10=Rules!$E$10,SUM(Dealer!H14:H16)-Dealer!H18-Dealer!H19,SUM(Dealer!H3:H5)-SUM(Dealer!H7:H8))</f>
        <v>0.6159764957534315</v>
      </c>
      <c r="I19">
        <f>IF(Rules!$B$10=Rules!$E$10,SUM(Dealer!I14:I16)-Dealer!I18-Dealer!I19,SUM(Dealer!I3:I5)-SUM(Dealer!I7:I8))</f>
        <v>0.5938536682866945</v>
      </c>
      <c r="J19">
        <f>IF(Rules!$B$10=Rules!$E$10,SUM(Dealer!J14:J16)-Dealer!J18-Dealer!J19,SUM(Dealer!J3:J5)-SUM(Dealer!J7:J8))</f>
        <v>0.28759675706758142</v>
      </c>
      <c r="K19">
        <f>IF(Rules!$B$10=Rules!$E$10,SUM(Dealer!K14:K16)-Dealer!K18-Dealer!K19,SUM(Dealer!K3:K5)-SUM(Dealer!K7:K8))</f>
        <v>-1.8660154151531536E-2</v>
      </c>
    </row>
    <row r="20" spans="1:11">
      <c r="A20">
        <v>20</v>
      </c>
      <c r="B20">
        <f>IF(Rules!$B$10=Rules!$E$10,SUM(Dealer!B14:B17)-Dealer!B19,SUM(Dealer!B3:B6)-Dealer!B8)</f>
        <v>0.20418852289369649</v>
      </c>
      <c r="C20">
        <f>IF(Rules!$B$10=Rules!$E$10,SUM(Dealer!C14:C17)-Dealer!C19,SUM(Dealer!C3:C6)-Dealer!C8)</f>
        <v>0.63507006739682603</v>
      </c>
      <c r="D20">
        <f>IF(Rules!$B$10=Rules!$E$10,SUM(Dealer!D14:D17)-Dealer!D19,SUM(Dealer!D3:D6)-Dealer!D8)</f>
        <v>0.64584804747844671</v>
      </c>
      <c r="E20">
        <f>IF(Rules!$B$10=Rules!$E$10,SUM(Dealer!E14:E17)-Dealer!E19,SUM(Dealer!E3:E6)-Dealer!E8)</f>
        <v>0.65694191851596806</v>
      </c>
      <c r="F20">
        <f>IF(Rules!$B$10=Rules!$E$10,SUM(Dealer!F14:F17)-Dealer!F19,SUM(Dealer!F3:F6)-Dealer!F8)</f>
        <v>0.66838174379512039</v>
      </c>
      <c r="G20">
        <f>IF(Rules!$B$10=Rules!$E$10,SUM(Dealer!G14:G17)-Dealer!G19,SUM(Dealer!G3:G6)-Dealer!G8)</f>
        <v>0.67824526128151064</v>
      </c>
      <c r="H20">
        <f>IF(Rules!$B$10=Rules!$E$10,SUM(Dealer!H14:H17)-Dealer!H19,SUM(Dealer!H3:H6)-Dealer!H8)</f>
        <v>0.77322722653717491</v>
      </c>
      <c r="I20">
        <f>IF(Rules!$B$10=Rules!$E$10,SUM(Dealer!I14:I17)-Dealer!I19,SUM(Dealer!I3:I6)-Dealer!I8)</f>
        <v>0.79181515955189841</v>
      </c>
      <c r="J20">
        <f>IF(Rules!$B$10=Rules!$E$10,SUM(Dealer!J14:J17)-Dealer!J19,SUM(Dealer!J3:J6)-Dealer!J8)</f>
        <v>0.75835687080859626</v>
      </c>
      <c r="K20">
        <f>IF(Rules!$B$10=Rules!$E$10,SUM(Dealer!K14:K17)-Dealer!K19,SUM(Dealer!K3:K6)-Dealer!K8)</f>
        <v>0.43495775366292722</v>
      </c>
    </row>
    <row r="21" spans="1:11">
      <c r="A21">
        <v>21</v>
      </c>
      <c r="B21">
        <f>IF(Rules!$B$13=Rules!$D$13,1,IF(Rules!$B$10=Rules!$E$10,SUM(Dealer!B14:B18),SUM(Dealer!B3:B7)))</f>
        <v>0.65780643070815525</v>
      </c>
      <c r="C21">
        <f>IF(Rules!$B$13=Rules!$D$13,1,IF(Rules!$B$10=Rules!$E$10,SUM(Dealer!C14:C18),SUM(Dealer!C3:C7)))</f>
        <v>0.88036767955403561</v>
      </c>
      <c r="D21">
        <f>IF(Rules!$B$13=Rules!$D$13,1,IF(Rules!$B$10=Rules!$E$10,SUM(Dealer!D14:D18),SUM(Dealer!D3:D7)))</f>
        <v>0.88382567504407128</v>
      </c>
      <c r="E21">
        <f>IF(Rules!$B$13=Rules!$D$13,1,IF(Rules!$B$10=Rules!$E$10,SUM(Dealer!E14:E18),SUM(Dealer!E3:E7)))</f>
        <v>0.8873979451552183</v>
      </c>
      <c r="F21">
        <f>IF(Rules!$B$13=Rules!$D$13,1,IF(Rules!$B$10=Rules!$E$10,SUM(Dealer!F14:F18),SUM(Dealer!F3:F7)))</f>
        <v>0.89109451098272041</v>
      </c>
      <c r="G21">
        <f>IF(Rules!$B$13=Rules!$D$13,1,IF(Rules!$B$10=Rules!$E$10,SUM(Dealer!G14:G18),SUM(Dealer!G3:G7)))</f>
        <v>0.89426564087930194</v>
      </c>
      <c r="H21">
        <f>IF(Rules!$B$13=Rules!$D$13,1,IF(Rules!$B$10=Rules!$E$10,SUM(Dealer!H14:H18),SUM(Dealer!H3:H7)))</f>
        <v>0.92592629596452325</v>
      </c>
      <c r="I21">
        <f>IF(Rules!$B$13=Rules!$D$13,1,IF(Rules!$B$10=Rules!$E$10,SUM(Dealer!I14:I18),SUM(Dealer!I3:I7)))</f>
        <v>0.93060505318396614</v>
      </c>
      <c r="J21">
        <f>IF(Rules!$B$13=Rules!$D$13,1,IF(Rules!$B$10=Rules!$E$10,SUM(Dealer!J14:J18),SUM(Dealer!J3:J7)))</f>
        <v>0.93917615614724415</v>
      </c>
      <c r="K21">
        <f>IF(Rules!$B$13=Rules!$D$13,1,IF(Rules!$B$10=Rules!$E$10,SUM(Dealer!K14:K18),SUM(Dealer!K3:K7)))</f>
        <v>0.88857566147738598</v>
      </c>
    </row>
    <row r="22" spans="1:11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>
      <c r="A34">
        <v>11</v>
      </c>
      <c r="B34">
        <f>B11</f>
        <v>-0.57578184676460165</v>
      </c>
      <c r="C34">
        <f t="shared" ref="C34:K34" si="2">C11</f>
        <v>-0.28654430084029509</v>
      </c>
      <c r="D34">
        <f t="shared" si="2"/>
        <v>-0.24663577379217239</v>
      </c>
      <c r="E34">
        <f t="shared" si="2"/>
        <v>-0.20584968608305471</v>
      </c>
      <c r="F34">
        <f t="shared" si="2"/>
        <v>-0.16468249424828357</v>
      </c>
      <c r="G34">
        <f t="shared" si="2"/>
        <v>-0.12106685019651225</v>
      </c>
      <c r="H34">
        <f t="shared" si="2"/>
        <v>-0.47537518327693323</v>
      </c>
      <c r="I34">
        <f t="shared" si="2"/>
        <v>-0.51051751549761715</v>
      </c>
      <c r="J34">
        <f t="shared" si="2"/>
        <v>-0.5431496811311094</v>
      </c>
      <c r="K34">
        <f t="shared" si="2"/>
        <v>-0.57578184676460153</v>
      </c>
    </row>
    <row r="35" spans="1:11">
      <c r="A35">
        <v>12</v>
      </c>
      <c r="B35">
        <f t="shared" ref="B35:K35" si="3">B12</f>
        <v>-0.57578184676460165</v>
      </c>
      <c r="C35">
        <f t="shared" si="3"/>
        <v>-0.28654430084029509</v>
      </c>
      <c r="D35">
        <f t="shared" si="3"/>
        <v>-0.24663577379217239</v>
      </c>
      <c r="E35">
        <f t="shared" si="3"/>
        <v>-0.20584968608305471</v>
      </c>
      <c r="F35">
        <f t="shared" si="3"/>
        <v>-0.16468249424828357</v>
      </c>
      <c r="G35">
        <f t="shared" si="3"/>
        <v>-0.12106685019651225</v>
      </c>
      <c r="H35">
        <f t="shared" si="3"/>
        <v>-0.47537518327693323</v>
      </c>
      <c r="I35">
        <f t="shared" si="3"/>
        <v>-0.51051751549761715</v>
      </c>
      <c r="J35">
        <f t="shared" si="3"/>
        <v>-0.5431496811311094</v>
      </c>
      <c r="K35">
        <f t="shared" si="3"/>
        <v>-0.57578184676460153</v>
      </c>
    </row>
    <row r="36" spans="1:11">
      <c r="A36">
        <v>13</v>
      </c>
      <c r="B36">
        <f t="shared" ref="B36:K36" si="4">B13</f>
        <v>-0.57578184676460165</v>
      </c>
      <c r="C36">
        <f t="shared" si="4"/>
        <v>-0.28654430084029509</v>
      </c>
      <c r="D36">
        <f t="shared" si="4"/>
        <v>-0.24663577379217239</v>
      </c>
      <c r="E36">
        <f t="shared" si="4"/>
        <v>-0.20584968608305471</v>
      </c>
      <c r="F36">
        <f t="shared" si="4"/>
        <v>-0.16468249424828357</v>
      </c>
      <c r="G36">
        <f t="shared" si="4"/>
        <v>-0.12106685019651225</v>
      </c>
      <c r="H36">
        <f t="shared" si="4"/>
        <v>-0.47537518327693323</v>
      </c>
      <c r="I36">
        <f t="shared" si="4"/>
        <v>-0.51051751549761715</v>
      </c>
      <c r="J36">
        <f t="shared" si="4"/>
        <v>-0.5431496811311094</v>
      </c>
      <c r="K36">
        <f t="shared" si="4"/>
        <v>-0.57578184676460153</v>
      </c>
    </row>
    <row r="37" spans="1:11">
      <c r="A37">
        <v>14</v>
      </c>
      <c r="B37">
        <f t="shared" ref="B37:K37" si="5">B14</f>
        <v>-0.57578184676460165</v>
      </c>
      <c r="C37">
        <f t="shared" si="5"/>
        <v>-0.28654430084029509</v>
      </c>
      <c r="D37">
        <f t="shared" si="5"/>
        <v>-0.24663577379217239</v>
      </c>
      <c r="E37">
        <f t="shared" si="5"/>
        <v>-0.20584968608305471</v>
      </c>
      <c r="F37">
        <f t="shared" si="5"/>
        <v>-0.16468249424828357</v>
      </c>
      <c r="G37">
        <f t="shared" si="5"/>
        <v>-0.12106685019651225</v>
      </c>
      <c r="H37">
        <f t="shared" si="5"/>
        <v>-0.47537518327693323</v>
      </c>
      <c r="I37">
        <f t="shared" si="5"/>
        <v>-0.51051751549761715</v>
      </c>
      <c r="J37">
        <f t="shared" si="5"/>
        <v>-0.5431496811311094</v>
      </c>
      <c r="K37">
        <f t="shared" si="5"/>
        <v>-0.57578184676460153</v>
      </c>
    </row>
    <row r="38" spans="1:11">
      <c r="A38">
        <v>15</v>
      </c>
      <c r="B38">
        <f t="shared" ref="B38:K38" si="6">B15</f>
        <v>-0.57578184676460165</v>
      </c>
      <c r="C38">
        <f t="shared" si="6"/>
        <v>-0.28654430084029509</v>
      </c>
      <c r="D38">
        <f t="shared" si="6"/>
        <v>-0.24663577379217239</v>
      </c>
      <c r="E38">
        <f t="shared" si="6"/>
        <v>-0.20584968608305471</v>
      </c>
      <c r="F38">
        <f t="shared" si="6"/>
        <v>-0.16468249424828357</v>
      </c>
      <c r="G38">
        <f t="shared" si="6"/>
        <v>-0.12106685019651225</v>
      </c>
      <c r="H38">
        <f t="shared" si="6"/>
        <v>-0.47537518327693323</v>
      </c>
      <c r="I38">
        <f t="shared" si="6"/>
        <v>-0.51051751549761715</v>
      </c>
      <c r="J38">
        <f t="shared" si="6"/>
        <v>-0.5431496811311094</v>
      </c>
      <c r="K38">
        <f t="shared" si="6"/>
        <v>-0.57578184676460153</v>
      </c>
    </row>
    <row r="39" spans="1:11">
      <c r="A39">
        <v>16</v>
      </c>
      <c r="B39">
        <f t="shared" ref="B39:K39" si="7">B16</f>
        <v>-0.57578184676460165</v>
      </c>
      <c r="C39">
        <f t="shared" si="7"/>
        <v>-0.28654430084029509</v>
      </c>
      <c r="D39">
        <f t="shared" si="7"/>
        <v>-0.24663577379217239</v>
      </c>
      <c r="E39">
        <f t="shared" si="7"/>
        <v>-0.20584968608305471</v>
      </c>
      <c r="F39">
        <f t="shared" si="7"/>
        <v>-0.16468249424828357</v>
      </c>
      <c r="G39">
        <f t="shared" si="7"/>
        <v>-0.12106685019651225</v>
      </c>
      <c r="H39">
        <f t="shared" si="7"/>
        <v>-0.47537518327693323</v>
      </c>
      <c r="I39">
        <f t="shared" si="7"/>
        <v>-0.51051751549761715</v>
      </c>
      <c r="J39">
        <f t="shared" si="7"/>
        <v>-0.5431496811311094</v>
      </c>
      <c r="K39">
        <f t="shared" si="7"/>
        <v>-0.57578184676460153</v>
      </c>
    </row>
    <row r="40" spans="1:11">
      <c r="A40">
        <v>17</v>
      </c>
      <c r="B40">
        <f t="shared" ref="B40:K40" si="8">B17</f>
        <v>-0.46435750824198752</v>
      </c>
      <c r="C40">
        <f t="shared" si="8"/>
        <v>-0.15641021825706786</v>
      </c>
      <c r="D40">
        <f t="shared" si="8"/>
        <v>-0.12030774273351591</v>
      </c>
      <c r="E40">
        <f t="shared" si="8"/>
        <v>-8.3444052932191204E-2</v>
      </c>
      <c r="F40">
        <f t="shared" si="8"/>
        <v>-4.6323554721567961E-2</v>
      </c>
      <c r="G40">
        <f t="shared" si="8"/>
        <v>-6.2291683630239514E-3</v>
      </c>
      <c r="H40">
        <f t="shared" si="8"/>
        <v>-0.10680898948269468</v>
      </c>
      <c r="I40">
        <f t="shared" si="8"/>
        <v>-0.38195097104844711</v>
      </c>
      <c r="J40">
        <f t="shared" si="8"/>
        <v>-0.42315423964521737</v>
      </c>
      <c r="K40">
        <f t="shared" si="8"/>
        <v>-0.46435750824198763</v>
      </c>
    </row>
    <row r="41" spans="1:11">
      <c r="A41">
        <v>18</v>
      </c>
      <c r="B41">
        <f t="shared" ref="B41:K41" si="9">B18</f>
        <v>-0.24150883119675959</v>
      </c>
      <c r="C41">
        <f t="shared" si="9"/>
        <v>0.11027005064085793</v>
      </c>
      <c r="D41">
        <f t="shared" si="9"/>
        <v>0.13797729703756356</v>
      </c>
      <c r="E41">
        <f t="shared" si="9"/>
        <v>0.16626900252257676</v>
      </c>
      <c r="F41">
        <f t="shared" si="9"/>
        <v>0.19494598568825822</v>
      </c>
      <c r="G41">
        <f t="shared" si="9"/>
        <v>0.22344619530395254</v>
      </c>
      <c r="H41">
        <f t="shared" si="9"/>
        <v>0.3995541673365518</v>
      </c>
      <c r="I41">
        <f t="shared" si="9"/>
        <v>0.10595134861912359</v>
      </c>
      <c r="J41">
        <f t="shared" si="9"/>
        <v>-0.18316335667343331</v>
      </c>
      <c r="K41">
        <f t="shared" si="9"/>
        <v>-0.24150883119675959</v>
      </c>
    </row>
    <row r="42" spans="1:11">
      <c r="A42">
        <v>19</v>
      </c>
      <c r="B42">
        <f t="shared" ref="B42:K42" si="10">B19</f>
        <v>-1.8660154151531549E-2</v>
      </c>
      <c r="C42">
        <f t="shared" si="10"/>
        <v>0.37811050632056864</v>
      </c>
      <c r="D42">
        <f t="shared" si="10"/>
        <v>0.39698952530936887</v>
      </c>
      <c r="E42">
        <f t="shared" si="10"/>
        <v>0.41633218577399039</v>
      </c>
      <c r="F42">
        <f t="shared" si="10"/>
        <v>0.43621552609808445</v>
      </c>
      <c r="G42">
        <f t="shared" si="10"/>
        <v>0.45312155897092921</v>
      </c>
      <c r="H42">
        <f t="shared" si="10"/>
        <v>0.6159764957534315</v>
      </c>
      <c r="I42">
        <f t="shared" si="10"/>
        <v>0.5938536682866945</v>
      </c>
      <c r="J42">
        <f t="shared" si="10"/>
        <v>0.28759675706758142</v>
      </c>
      <c r="K42">
        <f t="shared" si="10"/>
        <v>-1.8660154151531536E-2</v>
      </c>
    </row>
    <row r="43" spans="1:11">
      <c r="A43">
        <v>20</v>
      </c>
      <c r="B43">
        <f t="shared" ref="B43:K43" si="11">B20</f>
        <v>0.20418852289369649</v>
      </c>
      <c r="C43">
        <f t="shared" si="11"/>
        <v>0.63507006739682603</v>
      </c>
      <c r="D43">
        <f t="shared" si="11"/>
        <v>0.64584804747844671</v>
      </c>
      <c r="E43">
        <f t="shared" si="11"/>
        <v>0.65694191851596806</v>
      </c>
      <c r="F43">
        <f t="shared" si="11"/>
        <v>0.66838174379512039</v>
      </c>
      <c r="G43">
        <f t="shared" si="11"/>
        <v>0.67824526128151064</v>
      </c>
      <c r="H43">
        <f t="shared" si="11"/>
        <v>0.77322722653717491</v>
      </c>
      <c r="I43">
        <f t="shared" si="11"/>
        <v>0.79181515955189841</v>
      </c>
      <c r="J43">
        <f t="shared" si="11"/>
        <v>0.75835687080859626</v>
      </c>
      <c r="K43">
        <f t="shared" si="11"/>
        <v>0.43495775366292722</v>
      </c>
    </row>
    <row r="44" spans="1:11">
      <c r="A44">
        <v>21</v>
      </c>
      <c r="B44">
        <f t="shared" ref="B44:K44" si="12">B21</f>
        <v>0.65780643070815525</v>
      </c>
      <c r="C44">
        <f t="shared" si="12"/>
        <v>0.88036767955403561</v>
      </c>
      <c r="D44">
        <f t="shared" si="12"/>
        <v>0.88382567504407128</v>
      </c>
      <c r="E44">
        <f t="shared" si="12"/>
        <v>0.8873979451552183</v>
      </c>
      <c r="F44">
        <f t="shared" si="12"/>
        <v>0.89109451098272041</v>
      </c>
      <c r="G44">
        <f t="shared" si="12"/>
        <v>0.89426564087930194</v>
      </c>
      <c r="H44">
        <f t="shared" si="12"/>
        <v>0.92592629596452325</v>
      </c>
      <c r="I44">
        <f t="shared" si="12"/>
        <v>0.93060505318396614</v>
      </c>
      <c r="J44">
        <f t="shared" si="12"/>
        <v>0.93917615614724415</v>
      </c>
      <c r="K44">
        <f t="shared" si="12"/>
        <v>0.88857566147738598</v>
      </c>
    </row>
    <row r="45" spans="1:11">
      <c r="A45">
        <v>22</v>
      </c>
      <c r="B45">
        <f>B12</f>
        <v>-0.57578184676460165</v>
      </c>
      <c r="C45">
        <f t="shared" ref="C45:K45" si="13">C12</f>
        <v>-0.28654430084029509</v>
      </c>
      <c r="D45">
        <f t="shared" si="13"/>
        <v>-0.24663577379217239</v>
      </c>
      <c r="E45">
        <f t="shared" si="13"/>
        <v>-0.20584968608305471</v>
      </c>
      <c r="F45">
        <f t="shared" si="13"/>
        <v>-0.16468249424828357</v>
      </c>
      <c r="G45">
        <f t="shared" si="13"/>
        <v>-0.12106685019651225</v>
      </c>
      <c r="H45">
        <f t="shared" si="13"/>
        <v>-0.47537518327693323</v>
      </c>
      <c r="I45">
        <f t="shared" si="13"/>
        <v>-0.51051751549761715</v>
      </c>
      <c r="J45">
        <f t="shared" si="13"/>
        <v>-0.5431496811311094</v>
      </c>
      <c r="K45">
        <f t="shared" si="13"/>
        <v>-0.57578184676460153</v>
      </c>
    </row>
    <row r="46" spans="1:11">
      <c r="A46">
        <v>23</v>
      </c>
      <c r="B46">
        <f t="shared" ref="B46:K46" si="14">B13</f>
        <v>-0.57578184676460165</v>
      </c>
      <c r="C46">
        <f t="shared" si="14"/>
        <v>-0.28654430084029509</v>
      </c>
      <c r="D46">
        <f t="shared" si="14"/>
        <v>-0.24663577379217239</v>
      </c>
      <c r="E46">
        <f t="shared" si="14"/>
        <v>-0.20584968608305471</v>
      </c>
      <c r="F46">
        <f t="shared" si="14"/>
        <v>-0.16468249424828357</v>
      </c>
      <c r="G46">
        <f t="shared" si="14"/>
        <v>-0.12106685019651225</v>
      </c>
      <c r="H46">
        <f t="shared" si="14"/>
        <v>-0.47537518327693323</v>
      </c>
      <c r="I46">
        <f t="shared" si="14"/>
        <v>-0.51051751549761715</v>
      </c>
      <c r="J46">
        <f t="shared" si="14"/>
        <v>-0.5431496811311094</v>
      </c>
      <c r="K46">
        <f t="shared" si="14"/>
        <v>-0.57578184676460153</v>
      </c>
    </row>
    <row r="47" spans="1:11">
      <c r="A47">
        <v>24</v>
      </c>
      <c r="B47">
        <f t="shared" ref="B47:K47" si="15">B14</f>
        <v>-0.57578184676460165</v>
      </c>
      <c r="C47">
        <f t="shared" si="15"/>
        <v>-0.28654430084029509</v>
      </c>
      <c r="D47">
        <f t="shared" si="15"/>
        <v>-0.24663577379217239</v>
      </c>
      <c r="E47">
        <f t="shared" si="15"/>
        <v>-0.20584968608305471</v>
      </c>
      <c r="F47">
        <f t="shared" si="15"/>
        <v>-0.16468249424828357</v>
      </c>
      <c r="G47">
        <f t="shared" si="15"/>
        <v>-0.12106685019651225</v>
      </c>
      <c r="H47">
        <f t="shared" si="15"/>
        <v>-0.47537518327693323</v>
      </c>
      <c r="I47">
        <f t="shared" si="15"/>
        <v>-0.51051751549761715</v>
      </c>
      <c r="J47">
        <f t="shared" si="15"/>
        <v>-0.5431496811311094</v>
      </c>
      <c r="K47">
        <f t="shared" si="15"/>
        <v>-0.57578184676460153</v>
      </c>
    </row>
    <row r="48" spans="1:11">
      <c r="A48">
        <v>25</v>
      </c>
      <c r="B48">
        <f t="shared" ref="B48:K48" si="16">B15</f>
        <v>-0.57578184676460165</v>
      </c>
      <c r="C48">
        <f t="shared" si="16"/>
        <v>-0.28654430084029509</v>
      </c>
      <c r="D48">
        <f t="shared" si="16"/>
        <v>-0.24663577379217239</v>
      </c>
      <c r="E48">
        <f t="shared" si="16"/>
        <v>-0.20584968608305471</v>
      </c>
      <c r="F48">
        <f t="shared" si="16"/>
        <v>-0.16468249424828357</v>
      </c>
      <c r="G48">
        <f t="shared" si="16"/>
        <v>-0.12106685019651225</v>
      </c>
      <c r="H48">
        <f t="shared" si="16"/>
        <v>-0.47537518327693323</v>
      </c>
      <c r="I48">
        <f t="shared" si="16"/>
        <v>-0.51051751549761715</v>
      </c>
      <c r="J48">
        <f t="shared" si="16"/>
        <v>-0.5431496811311094</v>
      </c>
      <c r="K48">
        <f t="shared" si="16"/>
        <v>-0.57578184676460153</v>
      </c>
    </row>
    <row r="49" spans="1:11">
      <c r="A49">
        <v>26</v>
      </c>
      <c r="B49">
        <f t="shared" ref="B49:K49" si="17">B16</f>
        <v>-0.57578184676460165</v>
      </c>
      <c r="C49">
        <f t="shared" si="17"/>
        <v>-0.28654430084029509</v>
      </c>
      <c r="D49">
        <f t="shared" si="17"/>
        <v>-0.24663577379217239</v>
      </c>
      <c r="E49">
        <f t="shared" si="17"/>
        <v>-0.20584968608305471</v>
      </c>
      <c r="F49">
        <f t="shared" si="17"/>
        <v>-0.16468249424828357</v>
      </c>
      <c r="G49">
        <f t="shared" si="17"/>
        <v>-0.12106685019651225</v>
      </c>
      <c r="H49">
        <f t="shared" si="17"/>
        <v>-0.47537518327693323</v>
      </c>
      <c r="I49">
        <f t="shared" si="17"/>
        <v>-0.51051751549761715</v>
      </c>
      <c r="J49">
        <f t="shared" si="17"/>
        <v>-0.5431496811311094</v>
      </c>
      <c r="K49">
        <f t="shared" si="17"/>
        <v>-0.57578184676460153</v>
      </c>
    </row>
    <row r="50" spans="1:11">
      <c r="A50">
        <v>27</v>
      </c>
      <c r="B50">
        <f t="shared" ref="B50:K50" si="18">B17</f>
        <v>-0.46435750824198752</v>
      </c>
      <c r="C50">
        <f t="shared" si="18"/>
        <v>-0.15641021825706786</v>
      </c>
      <c r="D50">
        <f t="shared" si="18"/>
        <v>-0.12030774273351591</v>
      </c>
      <c r="E50">
        <f t="shared" si="18"/>
        <v>-8.3444052932191204E-2</v>
      </c>
      <c r="F50">
        <f t="shared" si="18"/>
        <v>-4.6323554721567961E-2</v>
      </c>
      <c r="G50">
        <f t="shared" si="18"/>
        <v>-6.2291683630239514E-3</v>
      </c>
      <c r="H50">
        <f t="shared" si="18"/>
        <v>-0.10680898948269468</v>
      </c>
      <c r="I50">
        <f t="shared" si="18"/>
        <v>-0.38195097104844711</v>
      </c>
      <c r="J50">
        <f t="shared" si="18"/>
        <v>-0.42315423964521737</v>
      </c>
      <c r="K50">
        <f t="shared" si="18"/>
        <v>-0.46435750824198763</v>
      </c>
    </row>
    <row r="51" spans="1:11">
      <c r="A51">
        <v>28</v>
      </c>
      <c r="B51">
        <f t="shared" ref="B51:K51" si="19">B18</f>
        <v>-0.24150883119675959</v>
      </c>
      <c r="C51">
        <f t="shared" si="19"/>
        <v>0.11027005064085793</v>
      </c>
      <c r="D51">
        <f t="shared" si="19"/>
        <v>0.13797729703756356</v>
      </c>
      <c r="E51">
        <f t="shared" si="19"/>
        <v>0.16626900252257676</v>
      </c>
      <c r="F51">
        <f t="shared" si="19"/>
        <v>0.19494598568825822</v>
      </c>
      <c r="G51">
        <f t="shared" si="19"/>
        <v>0.22344619530395254</v>
      </c>
      <c r="H51">
        <f t="shared" si="19"/>
        <v>0.3995541673365518</v>
      </c>
      <c r="I51">
        <f t="shared" si="19"/>
        <v>0.10595134861912359</v>
      </c>
      <c r="J51">
        <f t="shared" si="19"/>
        <v>-0.18316335667343331</v>
      </c>
      <c r="K51">
        <f t="shared" si="19"/>
        <v>-0.24150883119675959</v>
      </c>
    </row>
    <row r="52" spans="1:11">
      <c r="A52">
        <v>29</v>
      </c>
      <c r="B52">
        <f t="shared" ref="B52:K52" si="20">B19</f>
        <v>-1.8660154151531549E-2</v>
      </c>
      <c r="C52">
        <f t="shared" si="20"/>
        <v>0.37811050632056864</v>
      </c>
      <c r="D52">
        <f t="shared" si="20"/>
        <v>0.39698952530936887</v>
      </c>
      <c r="E52">
        <f t="shared" si="20"/>
        <v>0.41633218577399039</v>
      </c>
      <c r="F52">
        <f t="shared" si="20"/>
        <v>0.43621552609808445</v>
      </c>
      <c r="G52">
        <f t="shared" si="20"/>
        <v>0.45312155897092921</v>
      </c>
      <c r="H52">
        <f t="shared" si="20"/>
        <v>0.6159764957534315</v>
      </c>
      <c r="I52">
        <f t="shared" si="20"/>
        <v>0.5938536682866945</v>
      </c>
      <c r="J52">
        <f t="shared" si="20"/>
        <v>0.28759675706758142</v>
      </c>
      <c r="K52">
        <f t="shared" si="20"/>
        <v>-1.8660154151531536E-2</v>
      </c>
    </row>
    <row r="53" spans="1:11">
      <c r="A53">
        <v>30</v>
      </c>
      <c r="B53">
        <f t="shared" ref="B53:K53" si="21">B20</f>
        <v>0.20418852289369649</v>
      </c>
      <c r="C53">
        <f t="shared" si="21"/>
        <v>0.63507006739682603</v>
      </c>
      <c r="D53">
        <f t="shared" si="21"/>
        <v>0.64584804747844671</v>
      </c>
      <c r="E53">
        <f t="shared" si="21"/>
        <v>0.65694191851596806</v>
      </c>
      <c r="F53">
        <f t="shared" si="21"/>
        <v>0.66838174379512039</v>
      </c>
      <c r="G53">
        <f t="shared" si="21"/>
        <v>0.67824526128151064</v>
      </c>
      <c r="H53">
        <f t="shared" si="21"/>
        <v>0.77322722653717491</v>
      </c>
      <c r="I53">
        <f t="shared" si="21"/>
        <v>0.79181515955189841</v>
      </c>
      <c r="J53">
        <f t="shared" si="21"/>
        <v>0.75835687080859626</v>
      </c>
      <c r="K53">
        <f t="shared" si="21"/>
        <v>0.43495775366292722</v>
      </c>
    </row>
    <row r="54" spans="1:11">
      <c r="A54">
        <v>31</v>
      </c>
      <c r="B54">
        <f t="shared" ref="B54:K54" si="22">B21</f>
        <v>0.65780643070815525</v>
      </c>
      <c r="C54">
        <f t="shared" si="22"/>
        <v>0.88036767955403561</v>
      </c>
      <c r="D54">
        <f t="shared" si="22"/>
        <v>0.88382567504407128</v>
      </c>
      <c r="E54">
        <f t="shared" si="22"/>
        <v>0.8873979451552183</v>
      </c>
      <c r="F54">
        <f t="shared" si="22"/>
        <v>0.89109451098272041</v>
      </c>
      <c r="G54">
        <f t="shared" si="22"/>
        <v>0.89426564087930194</v>
      </c>
      <c r="H54">
        <f t="shared" si="22"/>
        <v>0.92592629596452325</v>
      </c>
      <c r="I54">
        <f t="shared" si="22"/>
        <v>0.93060505318396614</v>
      </c>
      <c r="J54">
        <f t="shared" si="22"/>
        <v>0.93917615614724415</v>
      </c>
      <c r="K54">
        <f t="shared" si="22"/>
        <v>0.88857566147738598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0.99999999999999956</v>
      </c>
    </row>
    <row r="2" spans="1:23">
      <c r="A2" t="s">
        <v>39</v>
      </c>
      <c r="B2" s="133" t="s">
        <v>124</v>
      </c>
      <c r="C2" s="139">
        <f>Analysis!B26</f>
        <v>0.40041942934471342</v>
      </c>
      <c r="D2" s="133" t="s">
        <v>125</v>
      </c>
      <c r="E2" s="139">
        <f>Analysis!G26</f>
        <v>0.59958057065528614</v>
      </c>
      <c r="F2" s="133" t="s">
        <v>46</v>
      </c>
      <c r="G2" s="139">
        <f>Analysis!S26</f>
        <v>147.04918411934969</v>
      </c>
      <c r="H2" t="s">
        <v>153</v>
      </c>
      <c r="I2" s="153">
        <f>Analysis!T26</f>
        <v>-147.24345776602473</v>
      </c>
      <c r="J2" t="s">
        <v>47</v>
      </c>
      <c r="K2" s="153">
        <f>G2*C2+I2*E2</f>
        <v>-29.402966041934938</v>
      </c>
      <c r="L2" t="s">
        <v>46</v>
      </c>
      <c r="M2" s="160">
        <v>2</v>
      </c>
      <c r="N2" t="s">
        <v>153</v>
      </c>
      <c r="O2" s="160">
        <v>3</v>
      </c>
    </row>
    <row r="4" spans="1:23">
      <c r="A4" t="s">
        <v>122</v>
      </c>
      <c r="B4">
        <f>$C$2</f>
        <v>0.40041942934471342</v>
      </c>
      <c r="C4" t="s">
        <v>123</v>
      </c>
      <c r="D4">
        <f>$E$2</f>
        <v>0.59958057065528614</v>
      </c>
      <c r="E4" t="s">
        <v>46</v>
      </c>
      <c r="F4">
        <f>G2</f>
        <v>147.04918411934969</v>
      </c>
      <c r="G4" t="s">
        <v>153</v>
      </c>
      <c r="H4">
        <f>I2</f>
        <v>-147.24345776602473</v>
      </c>
      <c r="I4" t="s">
        <v>47</v>
      </c>
      <c r="J4">
        <f>B4*F4+D4*H4</f>
        <v>-29.402966041934938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0.40041942934471342</v>
      </c>
      <c r="C7" s="95">
        <v>1</v>
      </c>
      <c r="D7" s="22">
        <f>C7*D4</f>
        <v>0.59958057065528614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0.99999999999999956</v>
      </c>
      <c r="R7" s="265">
        <f>B7-D7</f>
        <v>-0.19916114131057272</v>
      </c>
      <c r="S7" s="266">
        <f>IF(Rules!B20=Rules!D20,SUM(C7)*B4*F4,SUM(C7)*B4*F4*POWER(O2,A7-1))</f>
        <v>58.881350390675699</v>
      </c>
      <c r="T7" s="252">
        <f>IF(Rules!B20=Rules!D20,SUM(C7)*D4*H4,SUM(C7)*D4*H4*POWER(O2,A7-1))</f>
        <v>-88.284316432610638</v>
      </c>
      <c r="U7" s="263">
        <f>S7+T7</f>
        <v>-29.402966041934938</v>
      </c>
      <c r="V7" s="282">
        <f>S7/B4</f>
        <v>147.04918411934969</v>
      </c>
      <c r="W7" s="57">
        <f>T7/D4</f>
        <v>-147.24345776602473</v>
      </c>
    </row>
    <row r="8" spans="1:23">
      <c r="A8" s="98">
        <v>2</v>
      </c>
      <c r="B8" s="97">
        <f>C8*B4</f>
        <v>0.52692570824780727</v>
      </c>
      <c r="C8" s="97">
        <f>1/(1-B4*D4)</f>
        <v>1.3159344168441611</v>
      </c>
      <c r="D8" s="128">
        <f>C8*D4</f>
        <v>0.7890087085963533</v>
      </c>
      <c r="E8" s="1">
        <f>D8*D4</f>
        <v>0.4730742917521919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0.99999999999999911</v>
      </c>
      <c r="R8" s="267">
        <f>B8-E8</f>
        <v>5.3851416495615367E-2</v>
      </c>
      <c r="S8" s="268">
        <f>IF(Rules!B20=Rules!D20,SUM(C8:D8)*B4*F4,SUM(C8:D8)*B4*F4*POWER(O2,A8-1))</f>
        <v>123.94189372150696</v>
      </c>
      <c r="T8" s="253">
        <f>IF(Rules!B20=Rules!D20,SUM(C8:D8)*D4*H4,SUM(C8:D8)*D4*H4*POWER(O2,A8-1))</f>
        <v>-185.83346495903879</v>
      </c>
      <c r="U8" s="264">
        <f>S8+T8+U7</f>
        <v>-91.294537279466766</v>
      </c>
      <c r="V8" s="93">
        <f>S8/B4</f>
        <v>309.53016921366162</v>
      </c>
      <c r="W8" s="9">
        <f>T8/D4</f>
        <v>-309.93910419068447</v>
      </c>
    </row>
    <row r="9" spans="1:23">
      <c r="A9" s="98">
        <v>3</v>
      </c>
      <c r="B9" s="97">
        <f>C9*B4</f>
        <v>0.5853523977882874</v>
      </c>
      <c r="C9" s="97">
        <f>1/(1-D4*B4/(1-D4*B4))</f>
        <v>1.4618481394527156</v>
      </c>
      <c r="D9" s="128">
        <f>C9*D4*C8</f>
        <v>1.153410912673569</v>
      </c>
      <c r="E9" s="1">
        <f>D9*(D4)</f>
        <v>0.69156277322085291</v>
      </c>
      <c r="F9" s="1">
        <f>E9*D4</f>
        <v>0.41464760221171121</v>
      </c>
      <c r="G9" s="1"/>
      <c r="H9" s="1"/>
      <c r="I9" s="1"/>
      <c r="J9" s="1"/>
      <c r="K9" s="1"/>
      <c r="L9" s="1"/>
      <c r="M9" s="235"/>
      <c r="N9" s="97">
        <f>B9+F9</f>
        <v>0.99999999999999867</v>
      </c>
      <c r="R9" s="267">
        <f>B9-F9</f>
        <v>0.1707047955765762</v>
      </c>
      <c r="S9" s="268">
        <f>IF(Rules!B20=Rules!D20,SUM(C9:E9)*B4*F4,SUM(C9:E9)*B4*F4*POWER(O2,A9-1))</f>
        <v>194.71013457779861</v>
      </c>
      <c r="T9" s="253">
        <f>IF(Rules!B20=Rules!D20,SUM(C9:E9)*D4*H4,SUM(C9:E9)*D4*H4*POWER(O2,A9-1))</f>
        <v>-291.94050441520977</v>
      </c>
      <c r="U9" s="264">
        <f t="shared" ref="U9:U16" si="0">S9+T9+U8</f>
        <v>-188.52490711687793</v>
      </c>
      <c r="V9" s="93">
        <f>S9/B4</f>
        <v>486.26545144535527</v>
      </c>
      <c r="W9" s="9">
        <f>T9/D4</f>
        <v>-486.90787978027004</v>
      </c>
    </row>
    <row r="10" spans="1:23">
      <c r="A10" s="98">
        <v>4</v>
      </c>
      <c r="B10" s="97">
        <f>C10*B4</f>
        <v>0.61694669753639675</v>
      </c>
      <c r="C10" s="97">
        <f>1/(1-D4*B4/(1-D4*B4/(1-D4*B4)))</f>
        <v>1.5407511532245832</v>
      </c>
      <c r="D10" s="128">
        <f>C10*D4*C9</f>
        <v>1.350461824765903</v>
      </c>
      <c r="E10" s="1">
        <f>D10*D4*C8</f>
        <v>1.0655261403672198</v>
      </c>
      <c r="F10" s="1">
        <f>E10*D4</f>
        <v>0.63886877128950215</v>
      </c>
      <c r="G10" s="1">
        <f>F10*D4</f>
        <v>0.3830533024636012</v>
      </c>
      <c r="H10" s="1"/>
      <c r="I10" s="1"/>
      <c r="J10" s="1"/>
      <c r="K10" s="1"/>
      <c r="L10" s="1"/>
      <c r="M10" s="235"/>
      <c r="N10" s="97">
        <f>B10+G10</f>
        <v>0.999999999999998</v>
      </c>
      <c r="R10" s="267">
        <f>B10-G10</f>
        <v>0.23389339507279555</v>
      </c>
      <c r="S10" s="268">
        <f>IF(Rules!B20=Rules!D20,SUM(C10:F10)*B4*F4,SUM(C10:F10)*B4*F4*POWER(O2,A10-1))</f>
        <v>270.59559840847095</v>
      </c>
      <c r="T10" s="253">
        <f>IF(Rules!B20=Rules!D20,SUM(C10:F10)*D4*H4,SUM(C10:F10)*D4*H4*POWER(O2,A10-1))</f>
        <v>-405.7201011298161</v>
      </c>
      <c r="U10" s="264">
        <f t="shared" si="0"/>
        <v>-323.64940983822305</v>
      </c>
      <c r="V10" s="93">
        <f>S10/B4</f>
        <v>675.78039070506838</v>
      </c>
      <c r="W10" s="9">
        <f>T10/D4</f>
        <v>-676.67319620847877</v>
      </c>
    </row>
    <row r="11" spans="1:23">
      <c r="A11" s="98">
        <v>5</v>
      </c>
      <c r="B11" s="97">
        <f>C11*B4</f>
        <v>0.63549485726284916</v>
      </c>
      <c r="C11" s="97">
        <f>1/(1-D4*B4/(1-D4*B4/(1-D4*B4/(1-D4*B4))))</f>
        <v>1.5870729807063477</v>
      </c>
      <c r="D11" s="128">
        <f>C11*D4*C10</f>
        <v>1.4661450910788543</v>
      </c>
      <c r="E11" s="1">
        <f>D11*D4*C9</f>
        <v>1.28506992899282</v>
      </c>
      <c r="F11" s="1">
        <f>E11*D4*C8</f>
        <v>1.0139313651306323</v>
      </c>
      <c r="G11" s="1">
        <f>F11*D4</f>
        <v>0.60793354651031783</v>
      </c>
      <c r="H11" s="1">
        <f>G11*D4</f>
        <v>0.36450514273714829</v>
      </c>
      <c r="I11" s="1"/>
      <c r="J11" s="1"/>
      <c r="K11" s="1"/>
      <c r="L11" s="1"/>
      <c r="M11" s="235"/>
      <c r="N11" s="97">
        <f>B11+H11</f>
        <v>0.99999999999999745</v>
      </c>
      <c r="R11" s="267">
        <f>B11-H11</f>
        <v>0.27098971452570086</v>
      </c>
      <c r="S11" s="268">
        <f>IF(Rules!B20=Rules!D20,SUM(C11:G11)*B4*F4,SUM(C11:G11)*B4*F4*POWER(O2,A11-1))</f>
        <v>350.94185201814776</v>
      </c>
      <c r="T11" s="253">
        <f>IF(Rules!B20=Rules!D20,SUM(C11:G11)*D4*H4,SUM(C11:G11)*D4*H4*POWER(O2,A11-1))</f>
        <v>-526.18802570674234</v>
      </c>
      <c r="U11" s="264">
        <f t="shared" si="0"/>
        <v>-498.89558352681763</v>
      </c>
      <c r="V11" s="93">
        <f>S11/B4</f>
        <v>876.43562299777579</v>
      </c>
      <c r="W11" s="9">
        <f>T11/D4</f>
        <v>-877.59352363881214</v>
      </c>
    </row>
    <row r="12" spans="1:23">
      <c r="A12" s="98">
        <v>6</v>
      </c>
      <c r="B12" s="97">
        <f>C12*B4</f>
        <v>0.64691288457123619</v>
      </c>
      <c r="C12" s="97">
        <f>1/(1-D4*B4/(1-D4*B4/(1-D4*B4/(1-D4*B4/(1-D4*B4)))))</f>
        <v>1.6155881487317172</v>
      </c>
      <c r="D12" s="128">
        <f>C12*D4*C11</f>
        <v>1.5373583388276824</v>
      </c>
      <c r="E12" s="1">
        <f>D12*D4*C10</f>
        <v>1.4202184833984006</v>
      </c>
      <c r="F12" s="1">
        <f>E12*D4*C9</f>
        <v>1.2448154529318096</v>
      </c>
      <c r="G12" s="1">
        <f>F12*D4*C8</f>
        <v>0.9821702329585118</v>
      </c>
      <c r="H12" s="1">
        <f>G12*D4</f>
        <v>0.58889018875789978</v>
      </c>
      <c r="I12" s="1">
        <f>H12*D4</f>
        <v>0.3530871154287607</v>
      </c>
      <c r="J12" s="1"/>
      <c r="K12" s="1"/>
      <c r="L12" s="1"/>
      <c r="M12" s="235"/>
      <c r="N12" s="97">
        <f>B12+I12</f>
        <v>0.99999999999999689</v>
      </c>
      <c r="R12" s="267">
        <f>B12-I12</f>
        <v>0.29382576914247549</v>
      </c>
      <c r="S12" s="268">
        <f>IF(Rules!B20=Rules!D20,SUM(C12:H12)*B4*F4,SUM(C12:H12)*B4*F4*POWER(O2,A12-1))</f>
        <v>435.0767030811428</v>
      </c>
      <c r="T12" s="253">
        <f>IF(Rules!B20=Rules!D20,SUM(C12:H12)*D4*H4,SUM(C12:H12)*D4*H4*POWER(O2,A12-1))</f>
        <v>-652.33642014696682</v>
      </c>
      <c r="U12" s="264">
        <f t="shared" si="0"/>
        <v>-716.15530059264165</v>
      </c>
      <c r="V12" s="93">
        <f>S12/B4</f>
        <v>1086.5524277709151</v>
      </c>
      <c r="W12" s="9">
        <f>T12/D4</f>
        <v>-1087.9879236814218</v>
      </c>
    </row>
    <row r="13" spans="1:23">
      <c r="A13" s="98">
        <v>7</v>
      </c>
      <c r="B13" s="97">
        <f>C13*B4</f>
        <v>0.65414799731988449</v>
      </c>
      <c r="C13" s="97">
        <f>1/(1-D4*B4/(1-D4*B4/(1-D4*B4/(1-D4*B4/(1-D4*B4/(1-D4*B4))))))</f>
        <v>1.6336569841038882</v>
      </c>
      <c r="D13" s="128">
        <f>C13*D4*C12</f>
        <v>1.5824831106244475</v>
      </c>
      <c r="E13" s="1">
        <f>D13*D4*C11</f>
        <v>1.5058563087890411</v>
      </c>
      <c r="F13" s="1">
        <f>E13*D4*C10</f>
        <v>1.3911167676854808</v>
      </c>
      <c r="G13" s="1">
        <f>F13*D4*C9</f>
        <v>1.2193079230343067</v>
      </c>
      <c r="H13" s="1">
        <f>G13*D4*C8</f>
        <v>0.96204456973460006</v>
      </c>
      <c r="I13" s="1">
        <f>H13*D4</f>
        <v>0.5768232321172907</v>
      </c>
      <c r="J13" s="1">
        <f>I13*D4</f>
        <v>0.34585200268011174</v>
      </c>
      <c r="K13" s="1"/>
      <c r="L13" s="1"/>
      <c r="M13" s="235"/>
      <c r="N13" s="97">
        <f>B13+J13</f>
        <v>0.99999999999999623</v>
      </c>
      <c r="R13" s="267">
        <f>B13-J13</f>
        <v>0.30829599463977275</v>
      </c>
      <c r="S13" s="268">
        <f>IF(Rules!B20=Rules!D20,SUM(C13:I13)*B4*F4,SUM(C13:I13)*B4*F4*POWER(O2,A13-1))</f>
        <v>522.3534699075301</v>
      </c>
      <c r="T13" s="253">
        <f>IF(Rules!B20=Rules!D20,SUM(C13:I13)*D4*H4,SUM(C13:I13)*D4*H4*POWER(O2,A13-1))</f>
        <v>-783.19567606743112</v>
      </c>
      <c r="U13" s="264">
        <f t="shared" si="0"/>
        <v>-976.99750675254268</v>
      </c>
      <c r="V13" s="93">
        <f>S13/B4</f>
        <v>1304.5157942569415</v>
      </c>
      <c r="W13" s="9">
        <f>T13/D4</f>
        <v>-1306.2392519014927</v>
      </c>
    </row>
    <row r="14" spans="1:23">
      <c r="A14" s="98">
        <v>8</v>
      </c>
      <c r="B14" s="97">
        <f>C14*B4</f>
        <v>0.65881693938946195</v>
      </c>
      <c r="C14" s="97">
        <f>1/(1-D4*B4/(1-D4*B4/(1-D4*B4/(1-D4*B4/(1-D4*B4/(1-D4*B4/(1-D4*B4)))))))</f>
        <v>1.6453171127775097</v>
      </c>
      <c r="D14" s="128">
        <f>C14*D4*C13</f>
        <v>1.6116028980750798</v>
      </c>
      <c r="E14" s="1">
        <f>D14*D4*C12</f>
        <v>1.5611198630146736</v>
      </c>
      <c r="F14" s="1">
        <f>E14*D4*C11</f>
        <v>1.4855275097178735</v>
      </c>
      <c r="G14" s="1">
        <f>F14*D4*C10</f>
        <v>1.3723369325247463</v>
      </c>
      <c r="H14" s="1">
        <f>G14*D4*C9</f>
        <v>1.2028474774867628</v>
      </c>
      <c r="I14" s="1">
        <f>H14*D4*C8</f>
        <v>0.94905713485021193</v>
      </c>
      <c r="J14" s="1">
        <f>I14*D4</f>
        <v>0.56903621849796093</v>
      </c>
      <c r="K14" s="1">
        <f>J14*D4</f>
        <v>0.3411830606105335</v>
      </c>
      <c r="L14" s="1"/>
      <c r="M14" s="235"/>
      <c r="N14" s="97">
        <f>B14+K14</f>
        <v>0.99999999999999545</v>
      </c>
      <c r="R14" s="267">
        <f>B14-K14</f>
        <v>0.31763387877892846</v>
      </c>
      <c r="S14" s="268">
        <f>IF(Rules!B20=Rules!D20,SUM(C14:J14)*B4*F4,SUM(C14:J14)*B4*F4*POWER(O2,A14-1))</f>
        <v>612.18028205485416</v>
      </c>
      <c r="T14" s="253">
        <f>IF(Rules!B20=Rules!D20,SUM(C14:J14)*D4*H4,SUM(C14:J14)*D4*H4*POWER(O2,A14-1))</f>
        <v>-917.87836685372861</v>
      </c>
      <c r="U14" s="264">
        <f t="shared" si="0"/>
        <v>-1282.6955915514172</v>
      </c>
      <c r="V14" s="93">
        <f>S14/B4</f>
        <v>1528.8475962734562</v>
      </c>
      <c r="W14" s="9">
        <f>T14/D4</f>
        <v>-1530.8674292940686</v>
      </c>
    </row>
    <row r="15" spans="1:23">
      <c r="A15" s="98">
        <v>9</v>
      </c>
      <c r="B15" s="97">
        <f>C15*B4</f>
        <v>0.66186543343839843</v>
      </c>
      <c r="C15" s="97">
        <f>1/(1-D4*B4/(1-D4*B4/(1-D4*B4/(1-D4*B4/(1-D4*B4/(1-D4*B4/(1-D4*B4/(1-D4*B4))))))))</f>
        <v>1.6529303648465348</v>
      </c>
      <c r="D15" s="128">
        <f>C15*D4*C14</f>
        <v>1.6306160915194745</v>
      </c>
      <c r="E15" s="1">
        <f>D15*D4*C13</f>
        <v>1.5972031156379316</v>
      </c>
      <c r="F15" s="1">
        <f>E15*D4*C12</f>
        <v>1.5471711499585155</v>
      </c>
      <c r="G15" s="1">
        <f>F15*D4*C11</f>
        <v>1.4722542195234429</v>
      </c>
      <c r="H15" s="1">
        <f>G15*D4*C10</f>
        <v>1.3600750079014889</v>
      </c>
      <c r="I15" s="1">
        <f>H15*D4*C9</f>
        <v>1.1920999527698677</v>
      </c>
      <c r="J15" s="1">
        <f>I15*D4*C8</f>
        <v>0.94057724425272704</v>
      </c>
      <c r="K15" s="1">
        <f>J15*D4</f>
        <v>0.56395184085442651</v>
      </c>
      <c r="L15" s="1">
        <f>K15*D4</f>
        <v>0.33813456656159618</v>
      </c>
      <c r="M15" s="235"/>
      <c r="N15" s="97">
        <f>B15+L15</f>
        <v>0.99999999999999467</v>
      </c>
      <c r="R15" s="267">
        <f>B15-L15</f>
        <v>0.32373086687680225</v>
      </c>
      <c r="S15" s="268">
        <f>IF(Rules!B20=Rules!D20,SUM(C15:K15)*B4*F4,SUM(C15:K15)*B4*F4*POWER(O2,A15-1))</f>
        <v>704.03718122802331</v>
      </c>
      <c r="T15" s="253">
        <f>IF(Rules!B20=Rules!D20,SUM(C15:K15)*D4*H4,SUM(C15:K15)*D4*H4*POWER(O2,A15-1))</f>
        <v>-1055.6048880580843</v>
      </c>
      <c r="U15" s="264">
        <f t="shared" si="0"/>
        <v>-1634.2632983814783</v>
      </c>
      <c r="V15" s="93">
        <f>S15/B4</f>
        <v>1758.2492996910278</v>
      </c>
      <c r="W15" s="9">
        <f>T15/D4</f>
        <v>-1760.572206174736</v>
      </c>
    </row>
    <row r="16" spans="1:23" ht="17" thickBot="1">
      <c r="A16" s="99">
        <v>10</v>
      </c>
      <c r="B16" s="129">
        <f>C16*B4</f>
        <v>0.66387115785557205</v>
      </c>
      <c r="C16" s="129">
        <f>1/(1-D4*B4/(1-D4*B4/(1-D4*B4/(1-D4*B4/(1-D4*B4/(1-D4*B4/(1-D4*B4/(1-D4*B4/(1-D4*B4)))))))))</f>
        <v>1.6579394235239722</v>
      </c>
      <c r="D16" s="137">
        <f>C16*D4*C15</f>
        <v>1.6431256210536294</v>
      </c>
      <c r="E16" s="109">
        <f>D16*D4*C14</f>
        <v>1.6209437100677477</v>
      </c>
      <c r="F16" s="109">
        <f>E16*D4*C13</f>
        <v>1.5877289310823621</v>
      </c>
      <c r="G16" s="109">
        <f>F16*D4*C12</f>
        <v>1.5379937417314442</v>
      </c>
      <c r="H16" s="109">
        <f>G16*D4*C11</f>
        <v>1.4635211986246515</v>
      </c>
      <c r="I16" s="109">
        <f>H16*D4*C10</f>
        <v>1.3520074042835672</v>
      </c>
      <c r="J16" s="109">
        <f>I16*D4*C9</f>
        <v>1.1850287325533229</v>
      </c>
      <c r="K16" s="109">
        <f>J16*D4*C8</f>
        <v>0.93499798992147065</v>
      </c>
      <c r="L16" s="109">
        <f>K16*D4</f>
        <v>0.56060662835866082</v>
      </c>
      <c r="M16" s="237">
        <f>L16*D4</f>
        <v>0.33612884214442179</v>
      </c>
      <c r="N16" s="129">
        <f>B16+M16</f>
        <v>0.99999999999999378</v>
      </c>
      <c r="R16" s="269">
        <f>B16-M16</f>
        <v>0.32774231571115026</v>
      </c>
      <c r="S16" s="270">
        <f>IF(Rules!B20=Rules!D20,SUM(C16:L16)*B4*F4,SUM(C16:L16)*B4*F4*POWER(O2,A16-1))</f>
        <v>797.4827318324393</v>
      </c>
      <c r="T16" s="254">
        <f>IF(Rules!B20=Rules!D20,SUM(C16:L16)*D4*H4,SUM(C16:L16)*D4*H4*POWER(O2,A16-1))</f>
        <v>-1195.7133689954746</v>
      </c>
      <c r="U16" s="264">
        <f t="shared" si="0"/>
        <v>-2032.4939355445135</v>
      </c>
      <c r="V16" s="94">
        <f>S16/B4</f>
        <v>1991.618471505042</v>
      </c>
      <c r="W16" s="10">
        <f>T16/D4</f>
        <v>-1994.2496930623861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3</v>
      </c>
      <c r="D21" s="57">
        <f>SUM($C$21:C21)</f>
        <v>3</v>
      </c>
      <c r="E21" s="57">
        <f t="shared" ref="E21:E30" si="2">D21/R7</f>
        <v>-15.063179394627928</v>
      </c>
      <c r="F21" s="8">
        <f t="shared" ref="F21:F30" si="3">U7/E21</f>
        <v>1.9519760916092583</v>
      </c>
      <c r="G21" s="256">
        <f>E21*U7</f>
        <v>442.90215222381909</v>
      </c>
    </row>
    <row r="22" spans="1:7">
      <c r="A22" s="97">
        <v>2</v>
      </c>
      <c r="B22" s="93">
        <f>C21</f>
        <v>3</v>
      </c>
      <c r="C22" s="1">
        <f t="shared" si="1"/>
        <v>9</v>
      </c>
      <c r="D22" s="9">
        <f>SUM($C$21:C22)</f>
        <v>12</v>
      </c>
      <c r="E22" s="9">
        <f t="shared" si="2"/>
        <v>222.83536406098159</v>
      </c>
      <c r="F22" s="9">
        <f t="shared" si="3"/>
        <v>-0.40969501256758739</v>
      </c>
      <c r="G22" s="257">
        <f t="shared" ref="G22:G30" si="4">E22*U8</f>
        <v>-20343.651451448834</v>
      </c>
    </row>
    <row r="23" spans="1:7">
      <c r="A23" s="97">
        <v>3</v>
      </c>
      <c r="B23" s="93">
        <f t="shared" ref="B23:B30" si="5">C22</f>
        <v>9</v>
      </c>
      <c r="C23" s="1">
        <f t="shared" si="1"/>
        <v>27</v>
      </c>
      <c r="D23" s="9">
        <f>SUM($C$21:C23)</f>
        <v>39</v>
      </c>
      <c r="E23" s="9">
        <f t="shared" si="2"/>
        <v>228.46458336611317</v>
      </c>
      <c r="F23" s="9">
        <f t="shared" si="3"/>
        <v>-0.82518219821742722</v>
      </c>
      <c r="G23" s="257">
        <f t="shared" si="4"/>
        <v>-43071.2643585927</v>
      </c>
    </row>
    <row r="24" spans="1:7">
      <c r="A24" s="97">
        <v>4</v>
      </c>
      <c r="B24" s="93">
        <f t="shared" si="5"/>
        <v>27</v>
      </c>
      <c r="C24" s="1">
        <f t="shared" si="1"/>
        <v>81</v>
      </c>
      <c r="D24" s="9">
        <f>SUM($C$21:C24)</f>
        <v>120</v>
      </c>
      <c r="E24" s="9">
        <f t="shared" si="2"/>
        <v>513.05424833673453</v>
      </c>
      <c r="F24" s="9">
        <f t="shared" si="3"/>
        <v>-0.63082882733640522</v>
      </c>
      <c r="G24" s="257">
        <f t="shared" si="4"/>
        <v>-166049.70468917725</v>
      </c>
    </row>
    <row r="25" spans="1:7">
      <c r="A25" s="97">
        <v>5</v>
      </c>
      <c r="B25" s="93">
        <f t="shared" si="5"/>
        <v>81</v>
      </c>
      <c r="C25" s="1">
        <f t="shared" si="1"/>
        <v>243</v>
      </c>
      <c r="D25" s="9">
        <f>SUM($C$21:C25)</f>
        <v>363</v>
      </c>
      <c r="E25" s="9">
        <f t="shared" si="2"/>
        <v>1339.5342352212147</v>
      </c>
      <c r="F25" s="9">
        <f t="shared" si="3"/>
        <v>-0.3724395916200145</v>
      </c>
      <c r="G25" s="257">
        <f t="shared" si="4"/>
        <v>-668287.71393483726</v>
      </c>
    </row>
    <row r="26" spans="1:7">
      <c r="A26" s="97">
        <v>6</v>
      </c>
      <c r="B26" s="93">
        <f t="shared" si="5"/>
        <v>243</v>
      </c>
      <c r="C26" s="1">
        <f t="shared" si="1"/>
        <v>729</v>
      </c>
      <c r="D26" s="9">
        <f>SUM($C$21:C26)</f>
        <v>1092</v>
      </c>
      <c r="E26" s="9">
        <f t="shared" si="2"/>
        <v>3716.4881868155394</v>
      </c>
      <c r="F26" s="9">
        <f t="shared" si="3"/>
        <v>-0.19269677840851068</v>
      </c>
      <c r="G26" s="257">
        <f t="shared" si="4"/>
        <v>-2661582.7145778844</v>
      </c>
    </row>
    <row r="27" spans="1:7">
      <c r="A27" s="97">
        <v>7</v>
      </c>
      <c r="B27" s="93">
        <f t="shared" si="5"/>
        <v>729</v>
      </c>
      <c r="C27" s="1">
        <f t="shared" si="1"/>
        <v>2187</v>
      </c>
      <c r="D27" s="9">
        <f>SUM($C$21:C27)</f>
        <v>3279</v>
      </c>
      <c r="E27" s="9">
        <f t="shared" si="2"/>
        <v>10635.882583655797</v>
      </c>
      <c r="F27" s="9">
        <f t="shared" si="3"/>
        <v>-9.1858620952989703E-2</v>
      </c>
      <c r="G27" s="257">
        <f t="shared" si="4"/>
        <v>-10391230.766344506</v>
      </c>
    </row>
    <row r="28" spans="1:7">
      <c r="A28" s="97">
        <v>8</v>
      </c>
      <c r="B28" s="93">
        <f t="shared" si="5"/>
        <v>2187</v>
      </c>
      <c r="C28" s="1">
        <f t="shared" si="1"/>
        <v>6561</v>
      </c>
      <c r="D28" s="9">
        <f>SUM($C$21:C28)</f>
        <v>9840</v>
      </c>
      <c r="E28" s="9">
        <f t="shared" si="2"/>
        <v>30979.063183775146</v>
      </c>
      <c r="F28" s="9">
        <f t="shared" si="3"/>
        <v>-4.1405241467185855E-2</v>
      </c>
      <c r="G28" s="257">
        <f t="shared" si="4"/>
        <v>-39736707.776221193</v>
      </c>
    </row>
    <row r="29" spans="1:7">
      <c r="A29" s="97">
        <v>9</v>
      </c>
      <c r="B29" s="93">
        <f t="shared" si="5"/>
        <v>6561</v>
      </c>
      <c r="C29" s="1">
        <f t="shared" si="1"/>
        <v>19683</v>
      </c>
      <c r="D29" s="9">
        <f>SUM($C$21:C29)</f>
        <v>29523</v>
      </c>
      <c r="E29" s="9">
        <f t="shared" si="2"/>
        <v>91196.123140260082</v>
      </c>
      <c r="F29" s="9">
        <f t="shared" si="3"/>
        <v>-1.792031549266599E-2</v>
      </c>
      <c r="G29" s="257">
        <f t="shared" si="4"/>
        <v>-149038477.00280491</v>
      </c>
    </row>
    <row r="30" spans="1:7" ht="17" thickBot="1">
      <c r="A30" s="129">
        <v>10</v>
      </c>
      <c r="B30" s="94">
        <f t="shared" si="5"/>
        <v>19683</v>
      </c>
      <c r="C30" s="109">
        <f t="shared" si="1"/>
        <v>59049</v>
      </c>
      <c r="D30" s="10">
        <f>SUM($C$21:C30)</f>
        <v>88572</v>
      </c>
      <c r="E30" s="10">
        <f t="shared" si="2"/>
        <v>270248.89907124877</v>
      </c>
      <c r="F30" s="10">
        <f t="shared" si="3"/>
        <v>-7.5208222587751011E-3</v>
      </c>
      <c r="G30" s="258">
        <f t="shared" si="4"/>
        <v>-549279248.44989443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3</v>
      </c>
      <c r="D33" s="57">
        <f>SUM($C$33:C33)</f>
        <v>3</v>
      </c>
      <c r="E33" s="9">
        <f t="shared" ref="E33:E42" si="7">D33/R7</f>
        <v>-15.063179394627928</v>
      </c>
      <c r="F33" s="8">
        <f t="shared" ref="F33:F42" si="8">U7/E33</f>
        <v>1.9519760916092583</v>
      </c>
      <c r="G33" s="259">
        <f>E33*U7</f>
        <v>442.90215222381909</v>
      </c>
    </row>
    <row r="34" spans="1:7">
      <c r="A34" s="97">
        <v>2</v>
      </c>
      <c r="B34" s="93">
        <f t="shared" ref="B34:B42" si="9">B33*($O$2+1)</f>
        <v>4</v>
      </c>
      <c r="C34" s="1">
        <f t="shared" si="6"/>
        <v>12</v>
      </c>
      <c r="D34" s="9">
        <f>SUM($C$33:C34)</f>
        <v>15</v>
      </c>
      <c r="E34" s="9">
        <f t="shared" si="7"/>
        <v>278.544205076227</v>
      </c>
      <c r="F34" s="9">
        <f t="shared" si="8"/>
        <v>-0.3277560100540699</v>
      </c>
      <c r="G34" s="257">
        <f t="shared" ref="G34:G42" si="10">E34*U8</f>
        <v>-25429.564314311043</v>
      </c>
    </row>
    <row r="35" spans="1:7">
      <c r="A35" s="97">
        <v>3</v>
      </c>
      <c r="B35" s="93">
        <f t="shared" si="9"/>
        <v>16</v>
      </c>
      <c r="C35" s="1">
        <f t="shared" si="6"/>
        <v>48</v>
      </c>
      <c r="D35" s="9">
        <f>SUM($C$33:C35)</f>
        <v>63</v>
      </c>
      <c r="E35" s="9">
        <f t="shared" si="7"/>
        <v>369.05817312987512</v>
      </c>
      <c r="F35" s="9">
        <f t="shared" si="8"/>
        <v>-0.51082707508697878</v>
      </c>
      <c r="G35" s="257">
        <f t="shared" si="10"/>
        <v>-69576.657810034361</v>
      </c>
    </row>
    <row r="36" spans="1:7">
      <c r="A36" s="97">
        <v>4</v>
      </c>
      <c r="B36" s="93">
        <f t="shared" si="9"/>
        <v>64</v>
      </c>
      <c r="C36" s="1">
        <f t="shared" si="6"/>
        <v>192</v>
      </c>
      <c r="D36" s="9">
        <f>SUM($C$33:C36)</f>
        <v>255</v>
      </c>
      <c r="E36" s="9">
        <f t="shared" si="7"/>
        <v>1090.2402777155608</v>
      </c>
      <c r="F36" s="9">
        <f t="shared" si="8"/>
        <v>-0.29686062462889656</v>
      </c>
      <c r="G36" s="257">
        <f t="shared" si="10"/>
        <v>-352855.62246450165</v>
      </c>
    </row>
    <row r="37" spans="1:7">
      <c r="A37" s="97">
        <v>5</v>
      </c>
      <c r="B37" s="93">
        <f t="shared" si="9"/>
        <v>256</v>
      </c>
      <c r="C37" s="1">
        <f t="shared" si="6"/>
        <v>768</v>
      </c>
      <c r="D37" s="9">
        <f>SUM($C$33:C37)</f>
        <v>1023</v>
      </c>
      <c r="E37" s="9">
        <f t="shared" si="7"/>
        <v>3775.0510265325142</v>
      </c>
      <c r="F37" s="9">
        <f t="shared" si="8"/>
        <v>-0.13215598412323096</v>
      </c>
      <c r="G37" s="257">
        <f t="shared" si="10"/>
        <v>-1883356.2847254507</v>
      </c>
    </row>
    <row r="38" spans="1:7">
      <c r="A38" s="97">
        <v>6</v>
      </c>
      <c r="B38" s="93">
        <f t="shared" si="9"/>
        <v>1024</v>
      </c>
      <c r="C38" s="1">
        <f t="shared" si="6"/>
        <v>3072</v>
      </c>
      <c r="D38" s="9">
        <f>SUM($C$33:C38)</f>
        <v>4095</v>
      </c>
      <c r="E38" s="9">
        <f t="shared" si="7"/>
        <v>13936.830700558272</v>
      </c>
      <c r="F38" s="9">
        <f t="shared" si="8"/>
        <v>-5.1385807575602849E-2</v>
      </c>
      <c r="G38" s="257">
        <f t="shared" si="10"/>
        <v>-9980935.1796670649</v>
      </c>
    </row>
    <row r="39" spans="1:7">
      <c r="A39" s="97">
        <v>7</v>
      </c>
      <c r="B39" s="93">
        <f t="shared" si="9"/>
        <v>4096</v>
      </c>
      <c r="C39" s="1">
        <f t="shared" si="6"/>
        <v>12288</v>
      </c>
      <c r="D39" s="9">
        <f>SUM($C$33:C39)</f>
        <v>16383</v>
      </c>
      <c r="E39" s="9">
        <f t="shared" si="7"/>
        <v>53140.489285767893</v>
      </c>
      <c r="F39" s="9">
        <f t="shared" si="8"/>
        <v>-1.8385180864606804E-2</v>
      </c>
      <c r="G39" s="257">
        <f t="shared" si="10"/>
        <v>-51918125.539805442</v>
      </c>
    </row>
    <row r="40" spans="1:7">
      <c r="A40" s="97">
        <v>8</v>
      </c>
      <c r="B40" s="93">
        <f t="shared" si="9"/>
        <v>16384</v>
      </c>
      <c r="C40" s="1">
        <f t="shared" si="6"/>
        <v>49152</v>
      </c>
      <c r="D40" s="9">
        <f>SUM($C$33:C40)</f>
        <v>65535</v>
      </c>
      <c r="E40" s="9">
        <f t="shared" si="7"/>
        <v>206322.44977120977</v>
      </c>
      <c r="F40" s="9">
        <f t="shared" si="8"/>
        <v>-6.21694630406819E-3</v>
      </c>
      <c r="G40" s="257">
        <f t="shared" si="10"/>
        <v>-264648896.75961947</v>
      </c>
    </row>
    <row r="41" spans="1:7">
      <c r="A41" s="97">
        <v>9</v>
      </c>
      <c r="B41" s="93">
        <f t="shared" si="9"/>
        <v>65536</v>
      </c>
      <c r="C41" s="1">
        <f t="shared" si="6"/>
        <v>196608</v>
      </c>
      <c r="D41" s="9">
        <f>SUM($C$33:C41)</f>
        <v>262143</v>
      </c>
      <c r="E41" s="9">
        <f t="shared" si="7"/>
        <v>809755.96343045076</v>
      </c>
      <c r="F41" s="9">
        <f t="shared" si="8"/>
        <v>-2.0182170582086043E-3</v>
      </c>
      <c r="G41" s="257">
        <f t="shared" si="10"/>
        <v>-1323354451.6799202</v>
      </c>
    </row>
    <row r="42" spans="1:7" ht="17" thickBot="1">
      <c r="A42" s="129">
        <v>10</v>
      </c>
      <c r="B42" s="94">
        <f t="shared" si="9"/>
        <v>262144</v>
      </c>
      <c r="C42" s="109">
        <f t="shared" si="6"/>
        <v>786432</v>
      </c>
      <c r="D42" s="10">
        <f>SUM($C$33:C42)</f>
        <v>1048575</v>
      </c>
      <c r="E42" s="9">
        <f t="shared" si="7"/>
        <v>3199388.5126635358</v>
      </c>
      <c r="F42" s="10">
        <f t="shared" si="8"/>
        <v>-6.3527574956891803E-4</v>
      </c>
      <c r="G42" s="258">
        <f t="shared" si="10"/>
        <v>-6502737749.4394178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3</v>
      </c>
      <c r="D45" s="57">
        <f>SUM(C45:C45)</f>
        <v>3</v>
      </c>
      <c r="E45" s="57">
        <f t="shared" ref="E45:E54" si="12">D45/R7</f>
        <v>-15.063179394627928</v>
      </c>
      <c r="F45" s="8">
        <f t="shared" ref="F45:F54" si="13">U7/E45</f>
        <v>1.9519760916092583</v>
      </c>
      <c r="G45" s="256">
        <f>E45*U7</f>
        <v>442.90215222381909</v>
      </c>
    </row>
    <row r="46" spans="1:7">
      <c r="A46" s="97">
        <v>2</v>
      </c>
      <c r="B46" s="93">
        <f t="shared" ref="B46:B54" si="14">B45*$O$2*2</f>
        <v>6</v>
      </c>
      <c r="C46" s="1">
        <f t="shared" si="11"/>
        <v>18</v>
      </c>
      <c r="D46" s="9">
        <f>SUM($C$45:C46)</f>
        <v>21</v>
      </c>
      <c r="E46" s="9">
        <f t="shared" si="12"/>
        <v>389.96188710671777</v>
      </c>
      <c r="F46" s="9">
        <f t="shared" si="13"/>
        <v>-0.2341114357529071</v>
      </c>
      <c r="G46" s="257">
        <f t="shared" ref="G46:G54" si="15">E46*U8</f>
        <v>-35601.390040035454</v>
      </c>
    </row>
    <row r="47" spans="1:7">
      <c r="A47" s="97">
        <v>3</v>
      </c>
      <c r="B47" s="93">
        <f t="shared" si="14"/>
        <v>36</v>
      </c>
      <c r="C47" s="1">
        <f t="shared" si="11"/>
        <v>108</v>
      </c>
      <c r="D47" s="9">
        <f>SUM($C$45:C47)</f>
        <v>129</v>
      </c>
      <c r="E47" s="9">
        <f t="shared" si="12"/>
        <v>755.69054498022047</v>
      </c>
      <c r="F47" s="9">
        <f t="shared" si="13"/>
        <v>-0.24947368783317569</v>
      </c>
      <c r="G47" s="257">
        <f t="shared" si="15"/>
        <v>-142466.48980149892</v>
      </c>
    </row>
    <row r="48" spans="1:7">
      <c r="A48" s="97">
        <v>4</v>
      </c>
      <c r="B48" s="93">
        <f t="shared" si="14"/>
        <v>216</v>
      </c>
      <c r="C48" s="1">
        <f t="shared" si="11"/>
        <v>648</v>
      </c>
      <c r="D48" s="9">
        <f>SUM($C$45:C48)</f>
        <v>777</v>
      </c>
      <c r="E48" s="9">
        <f t="shared" si="12"/>
        <v>3322.0262579803557</v>
      </c>
      <c r="F48" s="9">
        <f t="shared" si="13"/>
        <v>-9.7425301519135948E-2</v>
      </c>
      <c r="G48" s="257">
        <f t="shared" si="15"/>
        <v>-1075171.8378624227</v>
      </c>
    </row>
    <row r="49" spans="1:7">
      <c r="A49" s="97">
        <v>5</v>
      </c>
      <c r="B49" s="93">
        <f t="shared" si="14"/>
        <v>1296</v>
      </c>
      <c r="C49" s="1">
        <f t="shared" si="11"/>
        <v>3888</v>
      </c>
      <c r="D49" s="9">
        <f>SUM($C$45:C49)</f>
        <v>4665</v>
      </c>
      <c r="E49" s="9">
        <f t="shared" si="12"/>
        <v>17214.67550222305</v>
      </c>
      <c r="F49" s="9">
        <f t="shared" si="13"/>
        <v>-2.8980829958856431E-2</v>
      </c>
      <c r="G49" s="257">
        <f t="shared" si="15"/>
        <v>-8588325.5799063817</v>
      </c>
    </row>
    <row r="50" spans="1:7">
      <c r="A50" s="97">
        <v>6</v>
      </c>
      <c r="B50" s="93">
        <f t="shared" si="14"/>
        <v>7776</v>
      </c>
      <c r="C50" s="1">
        <f t="shared" si="11"/>
        <v>23328</v>
      </c>
      <c r="D50" s="9">
        <f>SUM($C$45:C50)</f>
        <v>27993</v>
      </c>
      <c r="E50" s="9">
        <f t="shared" si="12"/>
        <v>95270.745250482956</v>
      </c>
      <c r="F50" s="9">
        <f t="shared" si="13"/>
        <v>-7.5170536213372517E-3</v>
      </c>
      <c r="G50" s="257">
        <f t="shared" si="15"/>
        <v>-68228649.202544615</v>
      </c>
    </row>
    <row r="51" spans="1:7">
      <c r="A51" s="97">
        <v>7</v>
      </c>
      <c r="B51" s="93">
        <f t="shared" si="14"/>
        <v>46656</v>
      </c>
      <c r="C51" s="1">
        <f t="shared" si="11"/>
        <v>139968</v>
      </c>
      <c r="D51" s="9">
        <f>SUM($C$45:C51)</f>
        <v>167961</v>
      </c>
      <c r="E51" s="9">
        <f t="shared" si="12"/>
        <v>544804.35334962222</v>
      </c>
      <c r="F51" s="9">
        <f t="shared" si="13"/>
        <v>-1.7932997428263303E-3</v>
      </c>
      <c r="G51" s="257">
        <f t="shared" si="15"/>
        <v>-532272494.89051217</v>
      </c>
    </row>
    <row r="52" spans="1:7">
      <c r="A52" s="97">
        <v>8</v>
      </c>
      <c r="B52" s="93">
        <f t="shared" si="14"/>
        <v>279936</v>
      </c>
      <c r="C52" s="1">
        <f t="shared" si="11"/>
        <v>839808</v>
      </c>
      <c r="D52" s="9">
        <f>SUM($C$45:C52)</f>
        <v>1007769</v>
      </c>
      <c r="E52" s="9">
        <f t="shared" si="12"/>
        <v>3172737.7566717374</v>
      </c>
      <c r="F52" s="9">
        <f t="shared" si="13"/>
        <v>-4.0428667287553872E-4</v>
      </c>
      <c r="G52" s="257">
        <f t="shared" si="15"/>
        <v>-4069656733.6315708</v>
      </c>
    </row>
    <row r="53" spans="1:7">
      <c r="A53" s="97">
        <v>9</v>
      </c>
      <c r="B53" s="93">
        <f t="shared" si="14"/>
        <v>1679616</v>
      </c>
      <c r="C53" s="1">
        <f t="shared" si="11"/>
        <v>5038848</v>
      </c>
      <c r="D53" s="9">
        <f>SUM($C$45:C53)</f>
        <v>6046617</v>
      </c>
      <c r="E53" s="9">
        <f t="shared" si="12"/>
        <v>18677913.102123428</v>
      </c>
      <c r="F53" s="9">
        <f t="shared" si="13"/>
        <v>-8.7497103634971108E-5</v>
      </c>
      <c r="G53" s="257">
        <f t="shared" si="15"/>
        <v>-30524627873.158863</v>
      </c>
    </row>
    <row r="54" spans="1:7" ht="17" thickBot="1">
      <c r="A54" s="129">
        <v>10</v>
      </c>
      <c r="B54" s="94">
        <f t="shared" si="14"/>
        <v>10077696</v>
      </c>
      <c r="C54" s="109">
        <f t="shared" si="11"/>
        <v>30233088</v>
      </c>
      <c r="D54" s="10">
        <f>SUM($C$45:C54)</f>
        <v>36279705</v>
      </c>
      <c r="E54" s="10">
        <f t="shared" si="12"/>
        <v>110695821.87237141</v>
      </c>
      <c r="F54" s="10">
        <f t="shared" si="13"/>
        <v>-1.8361071819746831E-5</v>
      </c>
      <c r="G54" s="258">
        <f t="shared" si="15"/>
        <v>-224988586645.7106</v>
      </c>
    </row>
  </sheetData>
  <mergeCells count="1">
    <mergeCell ref="A18:F18"/>
  </mergeCells>
  <conditionalFormatting sqref="F45:F54">
    <cfRule type="cellIs" dxfId="441" priority="63" operator="equal">
      <formula>MAX($F$45:$F$54)</formula>
    </cfRule>
  </conditionalFormatting>
  <conditionalFormatting sqref="F21:F30">
    <cfRule type="cellIs" dxfId="440" priority="61" operator="equal">
      <formula>MAX($F$21:$F$30)</formula>
    </cfRule>
  </conditionalFormatting>
  <conditionalFormatting sqref="F33:F42">
    <cfRule type="cellIs" dxfId="439" priority="38" operator="lessThanOrEqual">
      <formula>0</formula>
    </cfRule>
    <cfRule type="cellIs" dxfId="438" priority="59" operator="equal">
      <formula>MAX($F$33:$F$42)</formula>
    </cfRule>
  </conditionalFormatting>
  <conditionalFormatting sqref="E33:E42">
    <cfRule type="cellIs" dxfId="437" priority="57" stopIfTrue="1" operator="lessThan">
      <formula>0</formula>
    </cfRule>
    <cfRule type="cellIs" dxfId="436" priority="58" operator="equal">
      <formula>MIN($E$33:$E$42)</formula>
    </cfRule>
  </conditionalFormatting>
  <conditionalFormatting sqref="E21:E30">
    <cfRule type="cellIs" dxfId="435" priority="53" stopIfTrue="1" operator="lessThan">
      <formula>0</formula>
    </cfRule>
    <cfRule type="cellIs" dxfId="434" priority="54" operator="equal">
      <formula>MIN($E$21:$E$30)</formula>
    </cfRule>
  </conditionalFormatting>
  <conditionalFormatting sqref="E45:E54">
    <cfRule type="cellIs" dxfId="433" priority="49" stopIfTrue="1" operator="lessThan">
      <formula>0</formula>
    </cfRule>
    <cfRule type="cellIs" dxfId="432" priority="50" operator="equal">
      <formula>MIN($E$45:$E$54)</formula>
    </cfRule>
  </conditionalFormatting>
  <conditionalFormatting sqref="R7:R16">
    <cfRule type="cellIs" dxfId="431" priority="31" operator="lessThanOrEqual">
      <formula>0</formula>
    </cfRule>
    <cfRule type="cellIs" dxfId="430" priority="32" operator="greaterThan">
      <formula>0</formula>
    </cfRule>
  </conditionalFormatting>
  <conditionalFormatting sqref="U7:U16">
    <cfRule type="cellIs" dxfId="429" priority="9" operator="lessThanOrEqual">
      <formula>0</formula>
    </cfRule>
    <cfRule type="cellIs" dxfId="428" priority="10" operator="greaterThan">
      <formula>0</formula>
    </cfRule>
  </conditionalFormatting>
  <conditionalFormatting sqref="S7:T16">
    <cfRule type="cellIs" dxfId="427" priority="1" operator="lessThanOrEqual">
      <formula>0</formula>
    </cfRule>
    <cfRule type="cellIs" dxfId="42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0.99999999999999911</v>
      </c>
    </row>
    <row r="2" spans="1:23">
      <c r="A2" t="s">
        <v>39</v>
      </c>
      <c r="B2" s="133" t="s">
        <v>124</v>
      </c>
      <c r="C2" s="139">
        <f>Analysis!B27</f>
        <v>0.43761405040142359</v>
      </c>
      <c r="D2" s="133" t="s">
        <v>125</v>
      </c>
      <c r="E2" s="139">
        <f>Analysis!H27</f>
        <v>0.56238594959857557</v>
      </c>
      <c r="F2" s="133" t="s">
        <v>46</v>
      </c>
      <c r="G2" s="139">
        <f>Analysis!S27</f>
        <v>202.51670930662871</v>
      </c>
      <c r="H2" t="s">
        <v>153</v>
      </c>
      <c r="I2" s="153">
        <f>Analysis!T27</f>
        <v>-202.78426372976443</v>
      </c>
      <c r="J2" t="s">
        <v>47</v>
      </c>
      <c r="K2" s="153">
        <f>G2*C2+I2*E2</f>
        <v>-25.418863287670092</v>
      </c>
      <c r="L2" t="s">
        <v>46</v>
      </c>
      <c r="M2" s="160">
        <v>2</v>
      </c>
      <c r="N2" t="s">
        <v>153</v>
      </c>
      <c r="O2" s="160">
        <v>4</v>
      </c>
    </row>
    <row r="4" spans="1:23">
      <c r="A4" t="s">
        <v>122</v>
      </c>
      <c r="B4">
        <f>$C$2</f>
        <v>0.43761405040142359</v>
      </c>
      <c r="C4" t="s">
        <v>123</v>
      </c>
      <c r="D4">
        <f>$E$2</f>
        <v>0.56238594959857557</v>
      </c>
      <c r="E4" t="s">
        <v>46</v>
      </c>
      <c r="F4">
        <f>G2</f>
        <v>202.51670930662871</v>
      </c>
      <c r="G4" t="s">
        <v>153</v>
      </c>
      <c r="H4">
        <f>I2</f>
        <v>-202.78426372976443</v>
      </c>
      <c r="I4" t="s">
        <v>47</v>
      </c>
      <c r="J4">
        <f>B4*F4+D4*H4</f>
        <v>-25.418863287670092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0.43761405040142359</v>
      </c>
      <c r="C7" s="95">
        <v>1</v>
      </c>
      <c r="D7" s="22">
        <f>C7*D4</f>
        <v>0.56238594959857557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0.99999999999999911</v>
      </c>
      <c r="R7" s="265">
        <f>B7-D7</f>
        <v>-0.12477189919715198</v>
      </c>
      <c r="S7" s="266">
        <f>IF(Rules!B20=Rules!D20,SUM(C7)*B4*F4,SUM(C7)*B4*F4*POWER(O2,A7-1))</f>
        <v>88.624157433641471</v>
      </c>
      <c r="T7" s="252">
        <f>IF(Rules!B20=Rules!D20,SUM(C7)*D4*H4,SUM(C7)*D4*H4*POWER(O2,A7-1))</f>
        <v>-114.04302072131156</v>
      </c>
      <c r="U7" s="263">
        <f>S7+T7</f>
        <v>-25.418863287670092</v>
      </c>
      <c r="V7" s="282">
        <f>S7/B4</f>
        <v>202.51670930662871</v>
      </c>
      <c r="W7" s="57">
        <f>T7/D4</f>
        <v>-202.78426372976443</v>
      </c>
    </row>
    <row r="8" spans="1:23">
      <c r="A8" s="98">
        <v>2</v>
      </c>
      <c r="B8" s="97">
        <f>C8*B4</f>
        <v>0.58047312679801166</v>
      </c>
      <c r="C8" s="97">
        <f>1/(1-B4*D4)</f>
        <v>1.3264499306307542</v>
      </c>
      <c r="D8" s="128">
        <f>C8*D4</f>
        <v>0.74597680383274145</v>
      </c>
      <c r="E8" s="1">
        <f>D8*D4</f>
        <v>0.41952687320198662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0.99999999999999822</v>
      </c>
      <c r="R8" s="267">
        <f>B8-E8</f>
        <v>0.16094625359602505</v>
      </c>
      <c r="S8" s="268">
        <f>IF(Rules!B20=Rules!D20,SUM(C8:D8)*B4*F4,SUM(C8:D8)*B4*F4*POWER(O2,A8-1))</f>
        <v>183.66707318478029</v>
      </c>
      <c r="T8" s="253">
        <f>IF(Rules!B20=Rules!D20,SUM(C8:D8)*D4*H4,SUM(C8:D8)*D4*H4*POWER(O2,A8-1))</f>
        <v>-236.34580502182047</v>
      </c>
      <c r="U8" s="264">
        <f>S8+T8+U7</f>
        <v>-78.097595124710267</v>
      </c>
      <c r="V8" s="93">
        <f>S8/B4</f>
        <v>419.70104254262952</v>
      </c>
      <c r="W8" s="9">
        <f>T8/D4</f>
        <v>-420.25552948205996</v>
      </c>
    </row>
    <row r="9" spans="1:23">
      <c r="A9" s="98">
        <v>3</v>
      </c>
      <c r="B9" s="97">
        <f>C9*B4</f>
        <v>0.6497127241204691</v>
      </c>
      <c r="C9" s="97">
        <f>1/(1-D4*B4/(1-D4*B4))</f>
        <v>1.4846706213488512</v>
      </c>
      <c r="D9" s="128">
        <f>C9*D4*C8</f>
        <v>1.1075298448581863</v>
      </c>
      <c r="E9" s="1">
        <f>D9*(D4)</f>
        <v>0.6228592235093342</v>
      </c>
      <c r="F9" s="1">
        <f>E9*D4</f>
        <v>0.35028727587952835</v>
      </c>
      <c r="G9" s="1"/>
      <c r="H9" s="1"/>
      <c r="I9" s="1"/>
      <c r="J9" s="1"/>
      <c r="K9" s="1"/>
      <c r="L9" s="1"/>
      <c r="M9" s="235"/>
      <c r="N9" s="97">
        <f>B9+F9</f>
        <v>0.99999999999999745</v>
      </c>
      <c r="R9" s="267">
        <f>B9-F9</f>
        <v>0.29942544824094075</v>
      </c>
      <c r="S9" s="268">
        <f>IF(Rules!B20=Rules!D20,SUM(C9:E9)*B4*F4,SUM(C9:E9)*B4*F4*POWER(O2,A9-1))</f>
        <v>284.93195609997821</v>
      </c>
      <c r="T9" s="253">
        <f>IF(Rules!B20=Rules!D20,SUM(C9:E9)*D4*H4,SUM(C9:E9)*D4*H4*POWER(O2,A9-1))</f>
        <v>-366.65511881457769</v>
      </c>
      <c r="U9" s="264">
        <f t="shared" ref="U9:U16" si="0">S9+T9+U8</f>
        <v>-159.82075783930975</v>
      </c>
      <c r="V9" s="93">
        <f>S9/B4</f>
        <v>651.10330858575037</v>
      </c>
      <c r="W9" s="9">
        <f>T9/D4</f>
        <v>-651.96351202637936</v>
      </c>
    </row>
    <row r="10" spans="1:23">
      <c r="A10" s="98">
        <v>4</v>
      </c>
      <c r="B10" s="97">
        <f>C10*B4</f>
        <v>0.68957875347779229</v>
      </c>
      <c r="C10" s="97">
        <f>1/(1-D4*B4/(1-D4*B4/(1-D4*B4)))</f>
        <v>1.5757692259771856</v>
      </c>
      <c r="D10" s="128">
        <f>C10*D4*C9</f>
        <v>1.3157009594391043</v>
      </c>
      <c r="E10" s="1">
        <f>D10*D4*C8</f>
        <v>0.98148239652205438</v>
      </c>
      <c r="F10" s="1">
        <f>E10*D4</f>
        <v>0.55197190958234121</v>
      </c>
      <c r="G10" s="1">
        <f>F10*D4</f>
        <v>0.31042124652220404</v>
      </c>
      <c r="H10" s="1"/>
      <c r="I10" s="1"/>
      <c r="J10" s="1"/>
      <c r="K10" s="1"/>
      <c r="L10" s="1"/>
      <c r="M10" s="235"/>
      <c r="N10" s="97">
        <f>B10+G10</f>
        <v>0.99999999999999634</v>
      </c>
      <c r="R10" s="267">
        <f>B10-G10</f>
        <v>0.37915750695558825</v>
      </c>
      <c r="S10" s="268">
        <f>IF(Rules!B20=Rules!D20,SUM(C10:F10)*B4*F4,SUM(C10:F10)*B4*F4*POWER(O2,A10-1))</f>
        <v>392.15520476850514</v>
      </c>
      <c r="T10" s="253">
        <f>IF(Rules!B20=Rules!D20,SUM(C10:F10)*D4*H4,SUM(C10:F10)*D4*H4*POWER(O2,A10-1))</f>
        <v>-504.63175547673251</v>
      </c>
      <c r="U10" s="264">
        <f t="shared" si="0"/>
        <v>-272.29730854753711</v>
      </c>
      <c r="V10" s="93">
        <f>S10/B4</f>
        <v>896.1211469530765</v>
      </c>
      <c r="W10" s="9">
        <f>T10/D4</f>
        <v>-897.30505507282442</v>
      </c>
    </row>
    <row r="11" spans="1:23">
      <c r="A11" s="98">
        <v>5</v>
      </c>
      <c r="B11" s="97">
        <f>C11*B4</f>
        <v>0.71483301426200385</v>
      </c>
      <c r="C11" s="97">
        <f>1/(1-D4*B4/(1-D4*B4/(1-D4*B4/(1-D4*B4))))</f>
        <v>1.6334782066670097</v>
      </c>
      <c r="D11" s="128">
        <f>C11*D4*C10</f>
        <v>1.4475728237836967</v>
      </c>
      <c r="E11" s="1">
        <f>D11*D4*C9</f>
        <v>1.2086623610313849</v>
      </c>
      <c r="F11" s="1">
        <f>E11*D4*C8</f>
        <v>0.90163408499512743</v>
      </c>
      <c r="G11" s="1">
        <f>F11*D4</f>
        <v>0.50706634108042759</v>
      </c>
      <c r="H11" s="1">
        <f>G11*D4</f>
        <v>0.28516698573799149</v>
      </c>
      <c r="I11" s="1"/>
      <c r="J11" s="1"/>
      <c r="K11" s="1"/>
      <c r="L11" s="1"/>
      <c r="M11" s="235"/>
      <c r="N11" s="97">
        <f>B11+H11</f>
        <v>0.99999999999999534</v>
      </c>
      <c r="R11" s="267">
        <f>B11-H11</f>
        <v>0.42966602852401237</v>
      </c>
      <c r="S11" s="268">
        <f>IF(Rules!B20=Rules!D20,SUM(C11:G11)*B4*F4,SUM(C11:G11)*B4*F4*POWER(O2,A11-1))</f>
        <v>505.01712328926675</v>
      </c>
      <c r="T11" s="253">
        <f>IF(Rules!B20=Rules!D20,SUM(C11:G11)*D4*H4,SUM(C11:G11)*D4*H4*POWER(O2,A11-1))</f>
        <v>-649.86432507433483</v>
      </c>
      <c r="U11" s="264">
        <f t="shared" si="0"/>
        <v>-417.14451033260519</v>
      </c>
      <c r="V11" s="93">
        <f>S11/B4</f>
        <v>1154.0240145991984</v>
      </c>
      <c r="W11" s="9">
        <f>T11/D4</f>
        <v>-1155.5486504209437</v>
      </c>
    </row>
    <row r="12" spans="1:23">
      <c r="A12" s="98">
        <v>6</v>
      </c>
      <c r="B12" s="97">
        <f>C12*B4</f>
        <v>0.73181080934275811</v>
      </c>
      <c r="C12" s="97">
        <f>1/(1-D4*B4/(1-D4*B4/(1-D4*B4/(1-D4*B4/(1-D4*B4)))))</f>
        <v>1.67227448175274</v>
      </c>
      <c r="D12" s="128">
        <f>C12*D4*C11</f>
        <v>1.5362269130437252</v>
      </c>
      <c r="E12" s="1">
        <f>D12*D4*C10</f>
        <v>1.3613896539365011</v>
      </c>
      <c r="F12" s="1">
        <f>E12*D4*C9</f>
        <v>1.1367030427592941</v>
      </c>
      <c r="G12" s="1">
        <f>F12*D4*C8</f>
        <v>0.8479541027445302</v>
      </c>
      <c r="H12" s="1">
        <f>G12*D4</f>
        <v>0.47687747328799074</v>
      </c>
      <c r="I12" s="1">
        <f>H12*D4</f>
        <v>0.26818919065723601</v>
      </c>
      <c r="J12" s="1"/>
      <c r="K12" s="1"/>
      <c r="L12" s="1"/>
      <c r="M12" s="235"/>
      <c r="N12" s="97">
        <f>B12+I12</f>
        <v>0.99999999999999412</v>
      </c>
      <c r="R12" s="267">
        <f>B12-I12</f>
        <v>0.4636216186855221</v>
      </c>
      <c r="S12" s="268">
        <f>IF(Rules!B20=Rules!D20,SUM(C12:H12)*B4*F4,SUM(C12:H12)*B4*F4*POWER(O2,A12-1))</f>
        <v>623.15417534166374</v>
      </c>
      <c r="T12" s="253">
        <f>IF(Rules!B20=Rules!D20,SUM(C12:H12)*D4*H4,SUM(C12:H12)*D4*H4*POWER(O2,A12-1))</f>
        <v>-801.88502310189051</v>
      </c>
      <c r="U12" s="264">
        <f t="shared" si="0"/>
        <v>-595.8753580928319</v>
      </c>
      <c r="V12" s="93">
        <f>S12/B4</f>
        <v>1423.9811879212839</v>
      </c>
      <c r="W12" s="9">
        <f>T12/D4</f>
        <v>-1425.8624769595801</v>
      </c>
    </row>
    <row r="13" spans="1:23">
      <c r="A13" s="98">
        <v>7</v>
      </c>
      <c r="B13" s="97">
        <f>C13*B4</f>
        <v>0.74368523106353979</v>
      </c>
      <c r="C13" s="97">
        <f>1/(1-D4*B4/(1-D4*B4/(1-D4*B4/(1-D4*B4/(1-D4*B4/(1-D4*B4))))))</f>
        <v>1.6994089435230815</v>
      </c>
      <c r="D13" s="128">
        <f>C13*D4*C12</f>
        <v>1.5982323759520822</v>
      </c>
      <c r="E13" s="1">
        <f>D13*D4*C11</f>
        <v>1.4682084885144082</v>
      </c>
      <c r="F13" s="1">
        <f>E13*D4*C10</f>
        <v>1.3011123741642014</v>
      </c>
      <c r="G13" s="1">
        <f>F13*D4*C9</f>
        <v>1.0863740519899678</v>
      </c>
      <c r="H13" s="1">
        <f>G13*D4*C8</f>
        <v>0.81040984307030073</v>
      </c>
      <c r="I13" s="1">
        <f>H13*D4</f>
        <v>0.45576310915912366</v>
      </c>
      <c r="J13" s="1">
        <f>I13*D4</f>
        <v>0.256314768936453</v>
      </c>
      <c r="K13" s="1"/>
      <c r="L13" s="1"/>
      <c r="M13" s="235"/>
      <c r="N13" s="97">
        <f>B13+J13</f>
        <v>0.99999999999999278</v>
      </c>
      <c r="R13" s="267">
        <f>B13-J13</f>
        <v>0.48737046212708679</v>
      </c>
      <c r="S13" s="268">
        <f>IF(Rules!B20=Rules!D20,SUM(C13:I13)*B4*F4,SUM(C13:I13)*B4*F4*POWER(O2,A13-1))</f>
        <v>746.17190764712598</v>
      </c>
      <c r="T13" s="253">
        <f>IF(Rules!B20=Rules!D20,SUM(C13:I13)*D4*H4,SUM(C13:I13)*D4*H4*POWER(O2,A13-1))</f>
        <v>-960.18626060482791</v>
      </c>
      <c r="U13" s="264">
        <f t="shared" si="0"/>
        <v>-809.88971105053383</v>
      </c>
      <c r="V13" s="93">
        <f>S13/B4</f>
        <v>1705.0912944012243</v>
      </c>
      <c r="W13" s="9">
        <f>T13/D4</f>
        <v>-1707.3439713246703</v>
      </c>
    </row>
    <row r="14" spans="1:23">
      <c r="A14" s="98">
        <v>8</v>
      </c>
      <c r="B14" s="97">
        <f>C14*B4</f>
        <v>0.75222194700662115</v>
      </c>
      <c r="C14" s="97">
        <f>1/(1-D4*B4/(1-D4*B4/(1-D4*B4/(1-D4*B4/(1-D4*B4/(1-D4*B4/(1-D4*B4)))))))</f>
        <v>1.7189163517867116</v>
      </c>
      <c r="D14" s="128">
        <f>C14*D4*C13</f>
        <v>1.6428091171370052</v>
      </c>
      <c r="E14" s="1">
        <f>D14*D4*C12</f>
        <v>1.5450022953712657</v>
      </c>
      <c r="F14" s="1">
        <f>E14*D4*C11</f>
        <v>1.41930893089751</v>
      </c>
      <c r="G14" s="1">
        <f>F14*D4*C10</f>
        <v>1.2577780520946711</v>
      </c>
      <c r="H14" s="1">
        <f>G14*D4*C9</f>
        <v>1.0501917175569755</v>
      </c>
      <c r="I14" s="1">
        <f>H14*D4*C8</f>
        <v>0.78341866087476963</v>
      </c>
      <c r="J14" s="1">
        <f>I14*D4</f>
        <v>0.44058364752930179</v>
      </c>
      <c r="K14" s="1">
        <f>J14*D4</f>
        <v>0.2477780529933705</v>
      </c>
      <c r="L14" s="1"/>
      <c r="M14" s="235"/>
      <c r="N14" s="97">
        <f>B14+K14</f>
        <v>0.99999999999999167</v>
      </c>
      <c r="R14" s="267">
        <f>B14-K14</f>
        <v>0.50444389401325063</v>
      </c>
      <c r="S14" s="268">
        <f>IF(Rules!B20=Rules!D20,SUM(C14:J14)*B4*F4,SUM(C14:J14)*B4*F4*POWER(O2,A14-1))</f>
        <v>873.65772150256794</v>
      </c>
      <c r="T14" s="253">
        <f>IF(Rules!B20=Rules!D20,SUM(C14:J14)*D4*H4,SUM(C14:J14)*D4*H4*POWER(O2,A14-1))</f>
        <v>-1124.2370987984166</v>
      </c>
      <c r="U14" s="264">
        <f t="shared" si="0"/>
        <v>-1060.4690883463825</v>
      </c>
      <c r="V14" s="93">
        <f>S14/B4</f>
        <v>1996.4114970741027</v>
      </c>
      <c r="W14" s="9">
        <f>T14/D4</f>
        <v>-1999.0490509246963</v>
      </c>
    </row>
    <row r="15" spans="1:23">
      <c r="A15" s="98">
        <v>9</v>
      </c>
      <c r="B15" s="97">
        <f>C15*B4</f>
        <v>0.75848123415857305</v>
      </c>
      <c r="C15" s="97">
        <f>1/(1-D4*B4/(1-D4*B4/(1-D4*B4/(1-D4*B4/(1-D4*B4/(1-D4*B4/(1-D4*B4/(1-D4*B4))))))))</f>
        <v>1.733219565191789</v>
      </c>
      <c r="D15" s="128">
        <f>C15*D4*C14</f>
        <v>1.6754936559262812</v>
      </c>
      <c r="E15" s="1">
        <f>D15*D4*C13</f>
        <v>1.601309017044273</v>
      </c>
      <c r="F15" s="1">
        <f>E15*D4*C12</f>
        <v>1.5059729588326729</v>
      </c>
      <c r="G15" s="1">
        <f>F15*D4*C11</f>
        <v>1.3834548185235749</v>
      </c>
      <c r="H15" s="1">
        <f>G15*D4*C10</f>
        <v>1.2260044793089673</v>
      </c>
      <c r="I15" s="1">
        <f>H15*D4*C9</f>
        <v>1.0236621220363913</v>
      </c>
      <c r="J15" s="1">
        <f>I15*D4*C8</f>
        <v>0.76362819800134885</v>
      </c>
      <c r="K15" s="1">
        <f>J15*D4</f>
        <v>0.42945376927323764</v>
      </c>
      <c r="L15" s="1">
        <f>K15*D4</f>
        <v>0.24151876584141732</v>
      </c>
      <c r="M15" s="235"/>
      <c r="N15" s="97">
        <f>B15+L15</f>
        <v>0.99999999999999034</v>
      </c>
      <c r="R15" s="267">
        <f>B15-L15</f>
        <v>0.51696246831715575</v>
      </c>
      <c r="S15" s="268">
        <f>IF(Rules!B20=Rules!D20,SUM(C15:K15)*B4*F4,SUM(C15:K15)*B4*F4*POWER(O2,A15-1))</f>
        <v>1005.1927929643191</v>
      </c>
      <c r="T15" s="253">
        <f>IF(Rules!B20=Rules!D20,SUM(C15:K15)*D4*H4,SUM(C15:K15)*D4*H4*POWER(O2,A15-1))</f>
        <v>-1293.4985881561418</v>
      </c>
      <c r="U15" s="264">
        <f t="shared" si="0"/>
        <v>-1348.7748835382051</v>
      </c>
      <c r="V15" s="93">
        <f>S15/B4</f>
        <v>2296.9847335620398</v>
      </c>
      <c r="W15" s="9">
        <f>T15/D4</f>
        <v>-2300.0193889613097</v>
      </c>
    </row>
    <row r="16" spans="1:23" ht="17" thickBot="1">
      <c r="A16" s="99">
        <v>10</v>
      </c>
      <c r="B16" s="129">
        <f>C16*B4</f>
        <v>0.76313726212414945</v>
      </c>
      <c r="C16" s="129">
        <f>1/(1-D4*B4/(1-D4*B4/(1-D4*B4/(1-D4*B4/(1-D4*B4/(1-D4*B4/(1-D4*B4/(1-D4*B4/(1-D4*B4)))))))))</f>
        <v>1.7438591412321502</v>
      </c>
      <c r="D16" s="137">
        <f>C16*D4*C15</f>
        <v>1.6998063488816408</v>
      </c>
      <c r="E16" s="109">
        <f>D16*D4*C14</f>
        <v>1.6431932866735541</v>
      </c>
      <c r="F16" s="109">
        <f>E16*D4*C13</f>
        <v>1.5704387882282429</v>
      </c>
      <c r="G16" s="109">
        <f>F16*D4*C12</f>
        <v>1.476940630072213</v>
      </c>
      <c r="H16" s="109">
        <f>G16*D4*C11</f>
        <v>1.3567844092834569</v>
      </c>
      <c r="I16" s="109">
        <f>H16*D4*C10</f>
        <v>1.202369416742715</v>
      </c>
      <c r="J16" s="109">
        <f>I16*D4*C9</f>
        <v>1.0039278398952121</v>
      </c>
      <c r="K16" s="109">
        <f>J16*D4*C8</f>
        <v>0.74890688128373839</v>
      </c>
      <c r="L16" s="109">
        <f>K16*D4</f>
        <v>0.42117470759166292</v>
      </c>
      <c r="M16" s="237">
        <f>L16*D4</f>
        <v>0.23686273787583975</v>
      </c>
      <c r="N16" s="129">
        <f>B16+M16</f>
        <v>0.99999999999998923</v>
      </c>
      <c r="R16" s="269">
        <f>B16-M16</f>
        <v>0.52627452424830967</v>
      </c>
      <c r="S16" s="270">
        <f>IF(Rules!B20=Rules!D20,SUM(C16:L16)*B4*F4,SUM(C16:L16)*B4*F4*POWER(O2,A16-1))</f>
        <v>1140.362611856438</v>
      </c>
      <c r="T16" s="254">
        <f>IF(Rules!B20=Rules!D20,SUM(C16:L16)*D4*H4,SUM(C16:L16)*D4*H4*POWER(O2,A16-1))</f>
        <v>-1467.437330178622</v>
      </c>
      <c r="U16" s="264">
        <f t="shared" si="0"/>
        <v>-1675.8496018603892</v>
      </c>
      <c r="V16" s="94">
        <f>S16/B4</f>
        <v>2605.8637989579693</v>
      </c>
      <c r="W16" s="10">
        <f>T16/D4</f>
        <v>-2609.3065291301486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4</v>
      </c>
      <c r="D21" s="57">
        <f>SUM($C$21:C21)</f>
        <v>4</v>
      </c>
      <c r="E21" s="57">
        <f t="shared" ref="E21:E30" si="2">D21/R7</f>
        <v>-32.05850055772256</v>
      </c>
      <c r="F21" s="8">
        <f t="shared" ref="F21:F30" si="3">U7/E21</f>
        <v>0.79288996195883998</v>
      </c>
      <c r="G21" s="256">
        <f>E21*U7</f>
        <v>814.89064288444513</v>
      </c>
    </row>
    <row r="22" spans="1:7">
      <c r="A22" s="97">
        <v>2</v>
      </c>
      <c r="B22" s="93">
        <f>C21</f>
        <v>4</v>
      </c>
      <c r="C22" s="1">
        <f t="shared" si="1"/>
        <v>16</v>
      </c>
      <c r="D22" s="9">
        <f>SUM($C$21:C22)</f>
        <v>20</v>
      </c>
      <c r="E22" s="9">
        <f t="shared" si="2"/>
        <v>124.2650857235856</v>
      </c>
      <c r="F22" s="9">
        <f t="shared" si="3"/>
        <v>-0.62847576750906542</v>
      </c>
      <c r="G22" s="257">
        <f t="shared" ref="G22:G30" si="4">E22*U8</f>
        <v>-9704.8043529780025</v>
      </c>
    </row>
    <row r="23" spans="1:7">
      <c r="A23" s="97">
        <v>3</v>
      </c>
      <c r="B23" s="93">
        <f t="shared" ref="B23:B30" si="5">C22</f>
        <v>16</v>
      </c>
      <c r="C23" s="1">
        <f t="shared" si="1"/>
        <v>64</v>
      </c>
      <c r="D23" s="9">
        <f>SUM($C$21:C23)</f>
        <v>84</v>
      </c>
      <c r="E23" s="9">
        <f t="shared" si="2"/>
        <v>280.53727728715677</v>
      </c>
      <c r="F23" s="9">
        <f t="shared" si="3"/>
        <v>-0.56969526255050196</v>
      </c>
      <c r="G23" s="257">
        <f t="shared" si="4"/>
        <v>-44835.68025820997</v>
      </c>
    </row>
    <row r="24" spans="1:7">
      <c r="A24" s="97">
        <v>4</v>
      </c>
      <c r="B24" s="93">
        <f t="shared" si="5"/>
        <v>64</v>
      </c>
      <c r="C24" s="1">
        <f t="shared" si="1"/>
        <v>256</v>
      </c>
      <c r="D24" s="9">
        <f>SUM($C$21:C24)</f>
        <v>340</v>
      </c>
      <c r="E24" s="9">
        <f t="shared" si="2"/>
        <v>896.72495931835817</v>
      </c>
      <c r="F24" s="9">
        <f t="shared" si="3"/>
        <v>-0.30365755488117874</v>
      </c>
      <c r="G24" s="257">
        <f t="shared" si="4"/>
        <v>-244175.79292978864</v>
      </c>
    </row>
    <row r="25" spans="1:7">
      <c r="A25" s="97">
        <v>5</v>
      </c>
      <c r="B25" s="93">
        <f t="shared" si="5"/>
        <v>256</v>
      </c>
      <c r="C25" s="1">
        <f t="shared" si="1"/>
        <v>1024</v>
      </c>
      <c r="D25" s="9">
        <f>SUM($C$21:C25)</f>
        <v>1364</v>
      </c>
      <c r="E25" s="9">
        <f t="shared" si="2"/>
        <v>3174.5586326329062</v>
      </c>
      <c r="F25" s="9">
        <f t="shared" si="3"/>
        <v>-0.1314023644246366</v>
      </c>
      <c r="G25" s="257">
        <f t="shared" si="4"/>
        <v>-1324249.7063317983</v>
      </c>
    </row>
    <row r="26" spans="1:7">
      <c r="A26" s="97">
        <v>6</v>
      </c>
      <c r="B26" s="93">
        <f t="shared" si="5"/>
        <v>1024</v>
      </c>
      <c r="C26" s="1">
        <f t="shared" si="1"/>
        <v>4096</v>
      </c>
      <c r="D26" s="9">
        <f>SUM($C$21:C26)</f>
        <v>5460</v>
      </c>
      <c r="E26" s="9">
        <f t="shared" si="2"/>
        <v>11776.845125299382</v>
      </c>
      <c r="F26" s="9">
        <f t="shared" si="3"/>
        <v>-5.0597197445753452E-2</v>
      </c>
      <c r="G26" s="257">
        <f t="shared" si="4"/>
        <v>-7017531.8062415905</v>
      </c>
    </row>
    <row r="27" spans="1:7">
      <c r="A27" s="97">
        <v>7</v>
      </c>
      <c r="B27" s="93">
        <f t="shared" si="5"/>
        <v>4096</v>
      </c>
      <c r="C27" s="1">
        <f t="shared" si="1"/>
        <v>16384</v>
      </c>
      <c r="D27" s="9">
        <f>SUM($C$21:C27)</f>
        <v>21844</v>
      </c>
      <c r="E27" s="9">
        <f t="shared" si="2"/>
        <v>44820.114671422074</v>
      </c>
      <c r="F27" s="9">
        <f t="shared" si="3"/>
        <v>-1.8069782216932406E-2</v>
      </c>
      <c r="G27" s="257">
        <f t="shared" si="4"/>
        <v>-36299349.720489815</v>
      </c>
    </row>
    <row r="28" spans="1:7">
      <c r="A28" s="97">
        <v>8</v>
      </c>
      <c r="B28" s="93">
        <f t="shared" si="5"/>
        <v>16384</v>
      </c>
      <c r="C28" s="1">
        <f t="shared" si="1"/>
        <v>65536</v>
      </c>
      <c r="D28" s="9">
        <f>SUM($C$21:C28)</f>
        <v>87380</v>
      </c>
      <c r="E28" s="9">
        <f t="shared" si="2"/>
        <v>173220.45332895778</v>
      </c>
      <c r="F28" s="9">
        <f t="shared" si="3"/>
        <v>-6.122077779882479E-3</v>
      </c>
      <c r="G28" s="257">
        <f t="shared" si="4"/>
        <v>-183694936.22470695</v>
      </c>
    </row>
    <row r="29" spans="1:7">
      <c r="A29" s="97">
        <v>9</v>
      </c>
      <c r="B29" s="93">
        <f t="shared" si="5"/>
        <v>65536</v>
      </c>
      <c r="C29" s="1">
        <f t="shared" si="1"/>
        <v>262144</v>
      </c>
      <c r="D29" s="9">
        <f>SUM($C$21:C29)</f>
        <v>349524</v>
      </c>
      <c r="E29" s="9">
        <f t="shared" si="2"/>
        <v>676110.977916423</v>
      </c>
      <c r="F29" s="9">
        <f t="shared" si="3"/>
        <v>-1.9949016176230953E-3</v>
      </c>
      <c r="G29" s="257">
        <f t="shared" si="4"/>
        <v>-911921505.49812543</v>
      </c>
    </row>
    <row r="30" spans="1:7" ht="17" thickBot="1">
      <c r="A30" s="129">
        <v>10</v>
      </c>
      <c r="B30" s="94">
        <f t="shared" si="5"/>
        <v>262144</v>
      </c>
      <c r="C30" s="109">
        <f t="shared" si="1"/>
        <v>1048576</v>
      </c>
      <c r="D30" s="10">
        <f>SUM($C$21:C30)</f>
        <v>1398100</v>
      </c>
      <c r="E30" s="10">
        <f t="shared" si="2"/>
        <v>2656598.2877414394</v>
      </c>
      <c r="F30" s="10">
        <f t="shared" si="3"/>
        <v>-6.3082537152621084E-4</v>
      </c>
      <c r="G30" s="258">
        <f t="shared" si="4"/>
        <v>-4452059182.8144827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4</v>
      </c>
      <c r="D33" s="57">
        <f>SUM($C$33:C33)</f>
        <v>4</v>
      </c>
      <c r="E33" s="9">
        <f t="shared" ref="E33:E42" si="7">D33/R7</f>
        <v>-32.05850055772256</v>
      </c>
      <c r="F33" s="8">
        <f t="shared" ref="F33:F42" si="8">U7/E33</f>
        <v>0.79288996195883998</v>
      </c>
      <c r="G33" s="259">
        <f>E33*U7</f>
        <v>814.89064288444513</v>
      </c>
    </row>
    <row r="34" spans="1:7">
      <c r="A34" s="97">
        <v>2</v>
      </c>
      <c r="B34" s="93">
        <f t="shared" ref="B34:B42" si="9">B33*($O$2+1)</f>
        <v>5</v>
      </c>
      <c r="C34" s="1">
        <f t="shared" si="6"/>
        <v>20</v>
      </c>
      <c r="D34" s="9">
        <f>SUM($C$33:C34)</f>
        <v>24</v>
      </c>
      <c r="E34" s="9">
        <f t="shared" si="7"/>
        <v>149.11810286830271</v>
      </c>
      <c r="F34" s="9">
        <f t="shared" si="8"/>
        <v>-0.5237298062575545</v>
      </c>
      <c r="G34" s="257">
        <f t="shared" ref="G34:G42" si="10">E34*U8</f>
        <v>-11645.765223573602</v>
      </c>
    </row>
    <row r="35" spans="1:7">
      <c r="A35" s="97">
        <v>3</v>
      </c>
      <c r="B35" s="93">
        <f t="shared" si="9"/>
        <v>25</v>
      </c>
      <c r="C35" s="1">
        <f t="shared" si="6"/>
        <v>100</v>
      </c>
      <c r="D35" s="9">
        <f>SUM($C$33:C35)</f>
        <v>124</v>
      </c>
      <c r="E35" s="9">
        <f t="shared" si="7"/>
        <v>414.1264569477076</v>
      </c>
      <c r="F35" s="9">
        <f t="shared" si="8"/>
        <v>-0.38592259721163036</v>
      </c>
      <c r="G35" s="257">
        <f t="shared" si="10"/>
        <v>-66186.004190690903</v>
      </c>
    </row>
    <row r="36" spans="1:7">
      <c r="A36" s="97">
        <v>4</v>
      </c>
      <c r="B36" s="93">
        <f t="shared" si="9"/>
        <v>125</v>
      </c>
      <c r="C36" s="1">
        <f t="shared" si="6"/>
        <v>500</v>
      </c>
      <c r="D36" s="9">
        <f>SUM($C$33:C36)</f>
        <v>624</v>
      </c>
      <c r="E36" s="9">
        <f t="shared" si="7"/>
        <v>1645.7540429842809</v>
      </c>
      <c r="F36" s="9">
        <f t="shared" si="8"/>
        <v>-0.16545443695448842</v>
      </c>
      <c r="G36" s="257">
        <f t="shared" si="10"/>
        <v>-448134.39643584739</v>
      </c>
    </row>
    <row r="37" spans="1:7">
      <c r="A37" s="97">
        <v>5</v>
      </c>
      <c r="B37" s="93">
        <f t="shared" si="9"/>
        <v>625</v>
      </c>
      <c r="C37" s="1">
        <f t="shared" si="6"/>
        <v>2500</v>
      </c>
      <c r="D37" s="9">
        <f>SUM($C$33:C37)</f>
        <v>3124</v>
      </c>
      <c r="E37" s="9">
        <f t="shared" si="7"/>
        <v>7270.7633199011725</v>
      </c>
      <c r="F37" s="9">
        <f t="shared" si="8"/>
        <v>-5.7372863340334285E-2</v>
      </c>
      <c r="G37" s="257">
        <f t="shared" si="10"/>
        <v>-3032959.0048244414</v>
      </c>
    </row>
    <row r="38" spans="1:7">
      <c r="A38" s="97">
        <v>6</v>
      </c>
      <c r="B38" s="93">
        <f t="shared" si="9"/>
        <v>3125</v>
      </c>
      <c r="C38" s="1">
        <f t="shared" si="6"/>
        <v>12500</v>
      </c>
      <c r="D38" s="9">
        <f>SUM($C$33:C38)</f>
        <v>15624</v>
      </c>
      <c r="E38" s="9">
        <f t="shared" si="7"/>
        <v>33699.895281625926</v>
      </c>
      <c r="F38" s="9">
        <f t="shared" si="8"/>
        <v>-1.7681816311688033E-2</v>
      </c>
      <c r="G38" s="257">
        <f t="shared" si="10"/>
        <v>-20080937.168629784</v>
      </c>
    </row>
    <row r="39" spans="1:7">
      <c r="A39" s="97">
        <v>7</v>
      </c>
      <c r="B39" s="93">
        <f t="shared" si="9"/>
        <v>15625</v>
      </c>
      <c r="C39" s="1">
        <f t="shared" si="6"/>
        <v>62500</v>
      </c>
      <c r="D39" s="9">
        <f>SUM($C$33:C39)</f>
        <v>78124</v>
      </c>
      <c r="E39" s="9">
        <f t="shared" si="7"/>
        <v>160296.95287448171</v>
      </c>
      <c r="F39" s="9">
        <f t="shared" si="8"/>
        <v>-5.0524336023075045E-3</v>
      </c>
      <c r="G39" s="257">
        <f t="shared" si="10"/>
        <v>-129822852.84579504</v>
      </c>
    </row>
    <row r="40" spans="1:7">
      <c r="A40" s="97">
        <v>8</v>
      </c>
      <c r="B40" s="93">
        <f t="shared" si="9"/>
        <v>78125</v>
      </c>
      <c r="C40" s="1">
        <f t="shared" si="6"/>
        <v>312500</v>
      </c>
      <c r="D40" s="9">
        <f>SUM($C$33:C40)</f>
        <v>390624</v>
      </c>
      <c r="E40" s="9">
        <f t="shared" si="7"/>
        <v>774365.60266846872</v>
      </c>
      <c r="F40" s="9">
        <f t="shared" si="8"/>
        <v>-1.3694682262383549E-3</v>
      </c>
      <c r="G40" s="257">
        <f t="shared" si="10"/>
        <v>-821190784.70862806</v>
      </c>
    </row>
    <row r="41" spans="1:7">
      <c r="A41" s="97">
        <v>9</v>
      </c>
      <c r="B41" s="93">
        <f t="shared" si="9"/>
        <v>390625</v>
      </c>
      <c r="C41" s="1">
        <f t="shared" si="6"/>
        <v>1562500</v>
      </c>
      <c r="D41" s="9">
        <f>SUM($C$33:C41)</f>
        <v>1953124</v>
      </c>
      <c r="E41" s="9">
        <f t="shared" si="7"/>
        <v>3778076.9779243646</v>
      </c>
      <c r="F41" s="9">
        <f t="shared" si="8"/>
        <v>-3.570003711992146E-4</v>
      </c>
      <c r="G41" s="257">
        <f t="shared" si="10"/>
        <v>-5095775335.8983088</v>
      </c>
    </row>
    <row r="42" spans="1:7" ht="17" thickBot="1">
      <c r="A42" s="129">
        <v>10</v>
      </c>
      <c r="B42" s="94">
        <f t="shared" si="9"/>
        <v>1953125</v>
      </c>
      <c r="C42" s="109">
        <f t="shared" si="6"/>
        <v>7812500</v>
      </c>
      <c r="D42" s="10">
        <f>SUM($C$33:C42)</f>
        <v>9765624</v>
      </c>
      <c r="E42" s="9">
        <f t="shared" si="7"/>
        <v>18556140.474305633</v>
      </c>
      <c r="F42" s="10">
        <f t="shared" si="8"/>
        <v>-9.031240112570333E-5</v>
      </c>
      <c r="G42" s="258">
        <f t="shared" si="10"/>
        <v>-31097300625.93055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4</v>
      </c>
      <c r="D45" s="57">
        <f>SUM(C45:C45)</f>
        <v>4</v>
      </c>
      <c r="E45" s="57">
        <f t="shared" ref="E45:E54" si="12">D45/R7</f>
        <v>-32.05850055772256</v>
      </c>
      <c r="F45" s="8">
        <f t="shared" ref="F45:F54" si="13">U7/E45</f>
        <v>0.79288996195883998</v>
      </c>
      <c r="G45" s="256">
        <f>E45*U7</f>
        <v>814.89064288444513</v>
      </c>
    </row>
    <row r="46" spans="1:7">
      <c r="A46" s="97">
        <v>2</v>
      </c>
      <c r="B46" s="93">
        <f t="shared" ref="B46:B54" si="14">B45*$O$2*2</f>
        <v>8</v>
      </c>
      <c r="C46" s="1">
        <f t="shared" si="11"/>
        <v>32</v>
      </c>
      <c r="D46" s="9">
        <f>SUM($C$45:C46)</f>
        <v>36</v>
      </c>
      <c r="E46" s="9">
        <f t="shared" si="12"/>
        <v>223.67715430245408</v>
      </c>
      <c r="F46" s="9">
        <f t="shared" si="13"/>
        <v>-0.34915320417170298</v>
      </c>
      <c r="G46" s="257">
        <f t="shared" ref="G46:G54" si="15">E46*U8</f>
        <v>-17468.647835360403</v>
      </c>
    </row>
    <row r="47" spans="1:7">
      <c r="A47" s="97">
        <v>3</v>
      </c>
      <c r="B47" s="93">
        <f t="shared" si="14"/>
        <v>64</v>
      </c>
      <c r="C47" s="1">
        <f t="shared" si="11"/>
        <v>256</v>
      </c>
      <c r="D47" s="9">
        <f>SUM($C$45:C47)</f>
        <v>292</v>
      </c>
      <c r="E47" s="9">
        <f t="shared" si="12"/>
        <v>975.20101152202108</v>
      </c>
      <c r="F47" s="9">
        <f t="shared" si="13"/>
        <v>-0.16388493854192523</v>
      </c>
      <c r="G47" s="257">
        <f t="shared" si="15"/>
        <v>-155857.36470711086</v>
      </c>
    </row>
    <row r="48" spans="1:7">
      <c r="A48" s="97">
        <v>4</v>
      </c>
      <c r="B48" s="93">
        <f t="shared" si="14"/>
        <v>512</v>
      </c>
      <c r="C48" s="1">
        <f t="shared" si="11"/>
        <v>2048</v>
      </c>
      <c r="D48" s="9">
        <f>SUM($C$45:C48)</f>
        <v>2340</v>
      </c>
      <c r="E48" s="9">
        <f t="shared" si="12"/>
        <v>6171.5776611910533</v>
      </c>
      <c r="F48" s="9">
        <f t="shared" si="13"/>
        <v>-4.412118318786358E-2</v>
      </c>
      <c r="G48" s="257">
        <f t="shared" si="15"/>
        <v>-1680503.9866344277</v>
      </c>
    </row>
    <row r="49" spans="1:7">
      <c r="A49" s="97">
        <v>5</v>
      </c>
      <c r="B49" s="93">
        <f t="shared" si="14"/>
        <v>4096</v>
      </c>
      <c r="C49" s="1">
        <f t="shared" si="11"/>
        <v>16384</v>
      </c>
      <c r="D49" s="9">
        <f>SUM($C$45:C49)</f>
        <v>18724</v>
      </c>
      <c r="E49" s="9">
        <f t="shared" si="12"/>
        <v>43578.032138869894</v>
      </c>
      <c r="F49" s="9">
        <f t="shared" si="13"/>
        <v>-9.5723576733178981E-3</v>
      </c>
      <c r="G49" s="257">
        <f t="shared" si="15"/>
        <v>-18178336.877827413</v>
      </c>
    </row>
    <row r="50" spans="1:7">
      <c r="A50" s="97">
        <v>6</v>
      </c>
      <c r="B50" s="93">
        <f t="shared" si="14"/>
        <v>32768</v>
      </c>
      <c r="C50" s="1">
        <f t="shared" si="11"/>
        <v>131072</v>
      </c>
      <c r="D50" s="9">
        <f>SUM($C$45:C50)</f>
        <v>149796</v>
      </c>
      <c r="E50" s="9">
        <f t="shared" si="12"/>
        <v>323099.68725079601</v>
      </c>
      <c r="F50" s="9">
        <f t="shared" si="13"/>
        <v>-1.8442461618054812E-3</v>
      </c>
      <c r="G50" s="257">
        <f t="shared" si="15"/>
        <v>-192527141.84025007</v>
      </c>
    </row>
    <row r="51" spans="1:7">
      <c r="A51" s="97">
        <v>7</v>
      </c>
      <c r="B51" s="93">
        <f t="shared" si="14"/>
        <v>262144</v>
      </c>
      <c r="C51" s="1">
        <f t="shared" si="11"/>
        <v>1048576</v>
      </c>
      <c r="D51" s="9">
        <f>SUM($C$45:C51)</f>
        <v>1198372</v>
      </c>
      <c r="E51" s="9">
        <f t="shared" si="12"/>
        <v>2458852.3374391785</v>
      </c>
      <c r="F51" s="9">
        <f t="shared" si="13"/>
        <v>-3.2937712392034485E-4</v>
      </c>
      <c r="G51" s="257">
        <f t="shared" si="15"/>
        <v>-1991399209.0845461</v>
      </c>
    </row>
    <row r="52" spans="1:7">
      <c r="A52" s="97">
        <v>8</v>
      </c>
      <c r="B52" s="93">
        <f t="shared" si="14"/>
        <v>2097152</v>
      </c>
      <c r="C52" s="1">
        <f t="shared" si="11"/>
        <v>8388608</v>
      </c>
      <c r="D52" s="9">
        <f>SUM($C$45:C52)</f>
        <v>9586980</v>
      </c>
      <c r="E52" s="9">
        <f t="shared" si="12"/>
        <v>19005047.169325378</v>
      </c>
      <c r="F52" s="9">
        <f t="shared" si="13"/>
        <v>-5.5799339980487189E-5</v>
      </c>
      <c r="G52" s="257">
        <f t="shared" si="15"/>
        <v>-20154265045.63448</v>
      </c>
    </row>
    <row r="53" spans="1:7">
      <c r="A53" s="97">
        <v>9</v>
      </c>
      <c r="B53" s="93">
        <f t="shared" si="14"/>
        <v>16777216</v>
      </c>
      <c r="C53" s="1">
        <f t="shared" si="11"/>
        <v>67108864</v>
      </c>
      <c r="D53" s="9">
        <f>SUM($C$45:C53)</f>
        <v>76695844</v>
      </c>
      <c r="E53" s="9">
        <f t="shared" si="12"/>
        <v>148358630.8492848</v>
      </c>
      <c r="F53" s="9">
        <f t="shared" si="13"/>
        <v>-9.091313904806821E-6</v>
      </c>
      <c r="G53" s="257">
        <f t="shared" si="15"/>
        <v>-200102395045.63168</v>
      </c>
    </row>
    <row r="54" spans="1:7" ht="17" thickBot="1">
      <c r="A54" s="129">
        <v>10</v>
      </c>
      <c r="B54" s="94">
        <f t="shared" si="14"/>
        <v>134217728</v>
      </c>
      <c r="C54" s="109">
        <f t="shared" si="11"/>
        <v>536870912</v>
      </c>
      <c r="D54" s="10">
        <f>SUM($C$45:C54)</f>
        <v>613566756</v>
      </c>
      <c r="E54" s="10">
        <f t="shared" si="12"/>
        <v>1165868245.050189</v>
      </c>
      <c r="F54" s="10">
        <f t="shared" si="13"/>
        <v>-1.437426234890072E-6</v>
      </c>
      <c r="G54" s="258">
        <f t="shared" si="15"/>
        <v>-1953819834289.0298</v>
      </c>
    </row>
  </sheetData>
  <mergeCells count="1">
    <mergeCell ref="A18:F18"/>
  </mergeCells>
  <conditionalFormatting sqref="F45:F54">
    <cfRule type="cellIs" dxfId="425" priority="65" operator="equal">
      <formula>MAX($F$45:$F$54)</formula>
    </cfRule>
  </conditionalFormatting>
  <conditionalFormatting sqref="F21:F30">
    <cfRule type="cellIs" dxfId="424" priority="63" operator="equal">
      <formula>MAX($F$21:$F$30)</formula>
    </cfRule>
  </conditionalFormatting>
  <conditionalFormatting sqref="F33:F42">
    <cfRule type="cellIs" dxfId="423" priority="44" operator="lessThanOrEqual">
      <formula>0</formula>
    </cfRule>
    <cfRule type="cellIs" dxfId="422" priority="61" operator="equal">
      <formula>MAX($F$33:$F$42)</formula>
    </cfRule>
  </conditionalFormatting>
  <conditionalFormatting sqref="E33:E42">
    <cfRule type="cellIs" dxfId="421" priority="59" stopIfTrue="1" operator="lessThan">
      <formula>0</formula>
    </cfRule>
    <cfRule type="cellIs" dxfId="420" priority="60" operator="equal">
      <formula>MIN($E$33:$E$42)</formula>
    </cfRule>
  </conditionalFormatting>
  <conditionalFormatting sqref="E21:E30">
    <cfRule type="cellIs" dxfId="419" priority="55" stopIfTrue="1" operator="lessThan">
      <formula>0</formula>
    </cfRule>
    <cfRule type="cellIs" dxfId="418" priority="56" operator="equal">
      <formula>MIN($E$21:$E$30)</formula>
    </cfRule>
  </conditionalFormatting>
  <conditionalFormatting sqref="E45:E54">
    <cfRule type="cellIs" dxfId="417" priority="51" stopIfTrue="1" operator="lessThan">
      <formula>0</formula>
    </cfRule>
    <cfRule type="cellIs" dxfId="416" priority="52" operator="equal">
      <formula>MIN($E$45:$E$54)</formula>
    </cfRule>
  </conditionalFormatting>
  <conditionalFormatting sqref="R7:R16">
    <cfRule type="cellIs" dxfId="415" priority="29" operator="lessThanOrEqual">
      <formula>0</formula>
    </cfRule>
    <cfRule type="cellIs" dxfId="414" priority="30" operator="greaterThan">
      <formula>0</formula>
    </cfRule>
  </conditionalFormatting>
  <conditionalFormatting sqref="U7:U16">
    <cfRule type="cellIs" dxfId="413" priority="9" operator="lessThanOrEqual">
      <formula>0</formula>
    </cfRule>
    <cfRule type="cellIs" dxfId="412" priority="10" operator="greaterThan">
      <formula>0</formula>
    </cfRule>
  </conditionalFormatting>
  <conditionalFormatting sqref="S7:T16">
    <cfRule type="cellIs" dxfId="411" priority="1" operator="lessThanOrEqual">
      <formula>0</formula>
    </cfRule>
    <cfRule type="cellIs" dxfId="41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0.99999999999999911</v>
      </c>
    </row>
    <row r="2" spans="1:23">
      <c r="A2" t="s">
        <v>39</v>
      </c>
      <c r="B2" s="133" t="s">
        <v>124</v>
      </c>
      <c r="C2" s="139">
        <f>Analysis!B28</f>
        <v>0.46156038955494794</v>
      </c>
      <c r="D2" s="133" t="s">
        <v>125</v>
      </c>
      <c r="E2" s="139">
        <f>Analysis!I28</f>
        <v>0.53843961044505118</v>
      </c>
      <c r="F2" s="133" t="s">
        <v>46</v>
      </c>
      <c r="G2" s="139">
        <f>Analysis!S28</f>
        <v>260.6880707892268</v>
      </c>
      <c r="H2" t="s">
        <v>153</v>
      </c>
      <c r="I2" s="153">
        <f>Analysis!T28</f>
        <v>-261.03247815510377</v>
      </c>
      <c r="J2" t="s">
        <v>47</v>
      </c>
      <c r="K2" s="153">
        <f>G2*C2+I2*E2</f>
        <v>-20.226938345537036</v>
      </c>
      <c r="L2" t="s">
        <v>46</v>
      </c>
      <c r="M2" s="160">
        <v>2</v>
      </c>
      <c r="N2" t="s">
        <v>153</v>
      </c>
      <c r="O2" s="160">
        <v>5</v>
      </c>
    </row>
    <row r="4" spans="1:23">
      <c r="A4" t="s">
        <v>122</v>
      </c>
      <c r="B4">
        <f>$C$2</f>
        <v>0.46156038955494794</v>
      </c>
      <c r="C4" t="s">
        <v>123</v>
      </c>
      <c r="D4">
        <f>$E$2</f>
        <v>0.53843961044505118</v>
      </c>
      <c r="E4" t="s">
        <v>46</v>
      </c>
      <c r="F4">
        <f>G2</f>
        <v>260.6880707892268</v>
      </c>
      <c r="G4" t="s">
        <v>153</v>
      </c>
      <c r="H4">
        <f>I2</f>
        <v>-261.03247815510377</v>
      </c>
      <c r="I4" t="s">
        <v>47</v>
      </c>
      <c r="J4">
        <f>B4*F4+D4*H4</f>
        <v>-20.226938345537036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0.46156038955494794</v>
      </c>
      <c r="C7" s="95">
        <v>1</v>
      </c>
      <c r="D7" s="22">
        <f>C7*D4</f>
        <v>0.53843961044505118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0.99999999999999911</v>
      </c>
      <c r="R7" s="265">
        <f>B7-D7</f>
        <v>-7.6879220890103239E-2</v>
      </c>
      <c r="S7" s="266">
        <f>IF(Rules!B20=Rules!D20,SUM(C7)*B4*F4,SUM(C7)*B4*F4*POWER(O2,A7-1))</f>
        <v>120.32328750580336</v>
      </c>
      <c r="T7" s="252">
        <f>IF(Rules!B20=Rules!D20,SUM(C7)*D4*H4,SUM(C7)*D4*H4*POWER(O2,A7-1))</f>
        <v>-140.5502258513404</v>
      </c>
      <c r="U7" s="263">
        <f>S7+T7</f>
        <v>-20.226938345537036</v>
      </c>
      <c r="V7" s="282">
        <f>S7/B4</f>
        <v>260.6880707892268</v>
      </c>
      <c r="W7" s="57">
        <f>T7/D4</f>
        <v>-261.03247815510377</v>
      </c>
    </row>
    <row r="8" spans="1:23">
      <c r="A8" s="98">
        <v>2</v>
      </c>
      <c r="B8" s="97">
        <f>C8*B4</f>
        <v>0.61420378639680928</v>
      </c>
      <c r="C8" s="97">
        <f>1/(1-B4*D4)</f>
        <v>1.3307116474813734</v>
      </c>
      <c r="D8" s="128">
        <f>C8*D4</f>
        <v>0.71650786108456299</v>
      </c>
      <c r="E8" s="1">
        <f>D8*D4</f>
        <v>0.38579621360318894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0.99999999999999822</v>
      </c>
      <c r="R8" s="267">
        <f>B8-E8</f>
        <v>0.22840757279362034</v>
      </c>
      <c r="S8" s="268">
        <f>IF(Rules!B20=Rules!D20,SUM(C8:D8)*B4*F4,SUM(C8:D8)*B4*F4*POWER(O2,A8-1))</f>
        <v>246.32818151666862</v>
      </c>
      <c r="T8" s="253">
        <f>IF(Rules!B20=Rules!D20,SUM(C8:D8)*D4*H4,SUM(C8:D8)*D4*H4*POWER(O2,A8-1))</f>
        <v>-287.73716429621243</v>
      </c>
      <c r="U8" s="264">
        <f>S8+T8+U7</f>
        <v>-61.635921125080841</v>
      </c>
      <c r="V8" s="93">
        <f>S8/B4</f>
        <v>533.6857041701229</v>
      </c>
      <c r="W8" s="9">
        <f>T8/D4</f>
        <v>-534.39078164844</v>
      </c>
    </row>
    <row r="9" spans="1:23">
      <c r="A9" s="98">
        <v>3</v>
      </c>
      <c r="B9" s="97">
        <f>C9*B4</f>
        <v>0.68962860001676551</v>
      </c>
      <c r="C9" s="97">
        <f>1/(1-D4*B4/(1-D4*B4))</f>
        <v>1.4941243131407542</v>
      </c>
      <c r="D9" s="128">
        <f>C9*D4*C8</f>
        <v>1.0705518158029237</v>
      </c>
      <c r="E9" s="1">
        <f>D9*(D4)</f>
        <v>0.57642750266216847</v>
      </c>
      <c r="F9" s="1">
        <f>E9*D4</f>
        <v>0.31037139998323171</v>
      </c>
      <c r="G9" s="1"/>
      <c r="H9" s="1"/>
      <c r="I9" s="1"/>
      <c r="J9" s="1"/>
      <c r="K9" s="1"/>
      <c r="L9" s="1"/>
      <c r="M9" s="235"/>
      <c r="N9" s="97">
        <f>B9+F9</f>
        <v>0.99999999999999722</v>
      </c>
      <c r="R9" s="267">
        <f>B9-F9</f>
        <v>0.3792572000335338</v>
      </c>
      <c r="S9" s="268">
        <f>IF(Rules!B20=Rules!D20,SUM(C9:E9)*B4*F4,SUM(C9:E9)*B4*F4*POWER(O2,A9-1))</f>
        <v>377.94791535123335</v>
      </c>
      <c r="T9" s="253">
        <f>IF(Rules!B20=Rules!D20,SUM(C9:E9)*D4*H4,SUM(C9:E9)*D4*H4*POWER(O2,A9-1))</f>
        <v>-441.48282484466728</v>
      </c>
      <c r="U9" s="264">
        <f t="shared" ref="U9:U16" si="0">S9+T9+U8</f>
        <v>-125.17083061851477</v>
      </c>
      <c r="V9" s="93">
        <f>S9/B4</f>
        <v>818.84824587236233</v>
      </c>
      <c r="W9" s="9">
        <f>T9/D4</f>
        <v>-819.93006510007024</v>
      </c>
    </row>
    <row r="10" spans="1:23">
      <c r="A10" s="98">
        <v>4</v>
      </c>
      <c r="B10" s="97">
        <f>C10*B4</f>
        <v>0.73417772560579353</v>
      </c>
      <c r="C10" s="97">
        <f>1/(1-D4*B4/(1-D4*B4/(1-D4*B4)))</f>
        <v>1.5906428329209801</v>
      </c>
      <c r="D10" s="128">
        <f>C10*D4*C9</f>
        <v>1.2796653401963234</v>
      </c>
      <c r="E10" s="1">
        <f>D10*D4*C8</f>
        <v>0.91689027580811722</v>
      </c>
      <c r="F10" s="1">
        <f>E10*D4</f>
        <v>0.49369004292697816</v>
      </c>
      <c r="G10" s="1">
        <f>F10*D4</f>
        <v>0.2658222743942027</v>
      </c>
      <c r="H10" s="1"/>
      <c r="I10" s="1"/>
      <c r="J10" s="1"/>
      <c r="K10" s="1"/>
      <c r="L10" s="1"/>
      <c r="M10" s="235"/>
      <c r="N10" s="97">
        <f>B10+G10</f>
        <v>0.99999999999999623</v>
      </c>
      <c r="R10" s="267">
        <f>B10-G10</f>
        <v>0.46835545121159083</v>
      </c>
      <c r="S10" s="268">
        <f>IF(Rules!B20=Rules!D20,SUM(C10:F10)*B4*F4,SUM(C10:F10)*B4*F4*POWER(O2,A10-1))</f>
        <v>515.09057678544116</v>
      </c>
      <c r="T10" s="253">
        <f>IF(Rules!B20=Rules!D20,SUM(C10:F10)*D4*H4,SUM(C10:F10)*D4*H4*POWER(O2,A10-1))</f>
        <v>-601.67984437425866</v>
      </c>
      <c r="U10" s="264">
        <f t="shared" si="0"/>
        <v>-211.76009820733228</v>
      </c>
      <c r="V10" s="93">
        <f>S10/B4</f>
        <v>1115.9765622048046</v>
      </c>
      <c r="W10" s="9">
        <f>T10/D4</f>
        <v>-1117.4509317338964</v>
      </c>
    </row>
    <row r="11" spans="1:23">
      <c r="A11" s="98">
        <v>5</v>
      </c>
      <c r="B11" s="97">
        <f>C11*B4</f>
        <v>0.76330131288248604</v>
      </c>
      <c r="C11" s="97">
        <f>1/(1-D4*B4/(1-D4*B4/(1-D4*B4/(1-D4*B4))))</f>
        <v>1.6537409408517201</v>
      </c>
      <c r="D11" s="128">
        <f>C11*D4*C10</f>
        <v>1.4163714123780837</v>
      </c>
      <c r="E11" s="1">
        <f>D11*D4*C9</f>
        <v>1.1394647294495357</v>
      </c>
      <c r="F11" s="1">
        <f>E11*D4*C8</f>
        <v>0.81643543607918712</v>
      </c>
      <c r="G11" s="1">
        <f>F11*D4</f>
        <v>0.43960117815601302</v>
      </c>
      <c r="H11" s="1">
        <f>G11*D4</f>
        <v>0.23669868711750919</v>
      </c>
      <c r="I11" s="1"/>
      <c r="J11" s="1"/>
      <c r="K11" s="1"/>
      <c r="L11" s="1"/>
      <c r="M11" s="235"/>
      <c r="N11" s="97">
        <f>B11+H11</f>
        <v>0.99999999999999523</v>
      </c>
      <c r="R11" s="267">
        <f>B11-H11</f>
        <v>0.52660262576497685</v>
      </c>
      <c r="S11" s="268">
        <f>IF(Rules!B20=Rules!D20,SUM(C11:G11)*B4*F4,SUM(C11:G11)*B4*F4*POWER(O2,A11-1))</f>
        <v>657.64060824950502</v>
      </c>
      <c r="T11" s="253">
        <f>IF(Rules!B20=Rules!D20,SUM(C11:G11)*D4*H4,SUM(C11:G11)*D4*H4*POWER(O2,A11-1))</f>
        <v>-768.19323951751824</v>
      </c>
      <c r="U11" s="264">
        <f t="shared" si="0"/>
        <v>-322.31272947534546</v>
      </c>
      <c r="V11" s="93">
        <f>S11/B4</f>
        <v>1424.8202903278252</v>
      </c>
      <c r="W11" s="9">
        <f>T11/D4</f>
        <v>-1426.7026879440807</v>
      </c>
    </row>
    <row r="12" spans="1:23">
      <c r="A12" s="98">
        <v>6</v>
      </c>
      <c r="B12" s="97">
        <f>C12*B4</f>
        <v>0.78362284442000019</v>
      </c>
      <c r="C12" s="97">
        <f>1/(1-D4*B4/(1-D4*B4/(1-D4*B4/(1-D4*B4/(1-D4*B4)))))</f>
        <v>1.6977688340535368</v>
      </c>
      <c r="D12" s="128">
        <f>C12*D4*C11</f>
        <v>1.5117606489723892</v>
      </c>
      <c r="E12" s="1">
        <f>D12*D4*C10</f>
        <v>1.2947702464570112</v>
      </c>
      <c r="F12" s="1">
        <f>E12*D4*C9</f>
        <v>1.0416371127551542</v>
      </c>
      <c r="G12" s="1">
        <f>F12*D4*C8</f>
        <v>0.74634117968649527</v>
      </c>
      <c r="H12" s="1">
        <f>G12*D4</f>
        <v>0.40185965404949647</v>
      </c>
      <c r="I12" s="1">
        <f>H12*D4</f>
        <v>0.2163771555799939</v>
      </c>
      <c r="J12" s="1"/>
      <c r="K12" s="1"/>
      <c r="L12" s="1"/>
      <c r="M12" s="235"/>
      <c r="N12" s="97">
        <f>B12+I12</f>
        <v>0.99999999999999412</v>
      </c>
      <c r="R12" s="267">
        <f>B12-I12</f>
        <v>0.56724568884000626</v>
      </c>
      <c r="S12" s="268">
        <f>IF(Rules!B20=Rules!D20,SUM(C12:H12)*B4*F4,SUM(C12:H12)*B4*F4*POWER(O2,A12-1))</f>
        <v>805.46065218965987</v>
      </c>
      <c r="T12" s="253">
        <f>IF(Rules!B20=Rules!D20,SUM(C12:H12)*D4*H4,SUM(C12:H12)*D4*H4*POWER(O2,A12-1))</f>
        <v>-940.86256223812438</v>
      </c>
      <c r="U12" s="264">
        <f t="shared" si="0"/>
        <v>-457.71463952380998</v>
      </c>
      <c r="V12" s="93">
        <f>S12/B4</f>
        <v>1745.0818363471617</v>
      </c>
      <c r="W12" s="9">
        <f>T12/D4</f>
        <v>-1747.387346670962</v>
      </c>
    </row>
    <row r="13" spans="1:23">
      <c r="A13" s="98">
        <v>7</v>
      </c>
      <c r="B13" s="97">
        <f>C13*B4</f>
        <v>0.79845563218261106</v>
      </c>
      <c r="C13" s="97">
        <f>1/(1-D4*B4/(1-D4*B4/(1-D4*B4/(1-D4*B4/(1-D4*B4/(1-D4*B4))))))</f>
        <v>1.7299050140600429</v>
      </c>
      <c r="D13" s="128">
        <f>C13*D4*C12</f>
        <v>1.5813857310499324</v>
      </c>
      <c r="E13" s="1">
        <f>D13*D4*C11</f>
        <v>1.4081285220319546</v>
      </c>
      <c r="F13" s="1">
        <f>E13*D4*C10</f>
        <v>1.206012945735671</v>
      </c>
      <c r="G13" s="1">
        <f>F13*D4*C9</f>
        <v>0.97023224481637926</v>
      </c>
      <c r="H13" s="1">
        <f>G13*D4*C8</f>
        <v>0.69517903048865803</v>
      </c>
      <c r="I13" s="1">
        <f>H13*D4</f>
        <v>0.3743119263658814</v>
      </c>
      <c r="J13" s="1">
        <f>I13*D4</f>
        <v>0.20154436781738186</v>
      </c>
      <c r="K13" s="1"/>
      <c r="L13" s="1"/>
      <c r="M13" s="235"/>
      <c r="N13" s="97">
        <f>B13+J13</f>
        <v>0.99999999999999289</v>
      </c>
      <c r="R13" s="267">
        <f>B13-J13</f>
        <v>0.59691126436522923</v>
      </c>
      <c r="S13" s="268">
        <f>IF(Rules!B20=Rules!D20,SUM(C13:I13)*B4*F4,SUM(C13:I13)*B4*F4*POWER(O2,A13-1))</f>
        <v>958.39368497312785</v>
      </c>
      <c r="T13" s="253">
        <f>IF(Rules!B20=Rules!D20,SUM(C13:I13)*D4*H4,SUM(C13:I13)*D4*H4*POWER(O2,A13-1))</f>
        <v>-1119.5043924558213</v>
      </c>
      <c r="U13" s="264">
        <f t="shared" si="0"/>
        <v>-618.82534700650342</v>
      </c>
      <c r="V13" s="93">
        <f>S13/B4</f>
        <v>2076.4209985550174</v>
      </c>
      <c r="W13" s="9">
        <f>T13/D4</f>
        <v>-2079.1642567501431</v>
      </c>
    </row>
    <row r="14" spans="1:23">
      <c r="A14" s="98">
        <v>8</v>
      </c>
      <c r="B14" s="97">
        <f>C14*B4</f>
        <v>0.80964163370138986</v>
      </c>
      <c r="C14" s="97">
        <f>1/(1-D4*B4/(1-D4*B4/(1-D4*B4/(1-D4*B4/(1-D4*B4/(1-D4*B4/(1-D4*B4)))))))</f>
        <v>1.7541401992533925</v>
      </c>
      <c r="D14" s="128">
        <f>C14*D4*C13</f>
        <v>1.6338928043209249</v>
      </c>
      <c r="E14" s="1">
        <f>D14*D4*C12</f>
        <v>1.4936165545610638</v>
      </c>
      <c r="F14" s="1">
        <f>E14*D4*C11</f>
        <v>1.3299753691720406</v>
      </c>
      <c r="G14" s="1">
        <f>F14*D4*C10</f>
        <v>1.1390774972844848</v>
      </c>
      <c r="H14" s="1">
        <f>G14*D4*C9</f>
        <v>0.91638296348136838</v>
      </c>
      <c r="I14" s="1">
        <f>H14*D4*C8</f>
        <v>0.65659559709836846</v>
      </c>
      <c r="J14" s="1">
        <f>I14*D4</f>
        <v>0.35353707752158131</v>
      </c>
      <c r="K14" s="1">
        <f>J14*D4</f>
        <v>0.19035836629860209</v>
      </c>
      <c r="L14" s="1"/>
      <c r="M14" s="235"/>
      <c r="N14" s="97">
        <f>B14+K14</f>
        <v>0.99999999999999201</v>
      </c>
      <c r="R14" s="267">
        <f>B14-K14</f>
        <v>0.61928326740278772</v>
      </c>
      <c r="S14" s="268">
        <f>IF(Rules!B20=Rules!D20,SUM(C14:J14)*B4*F4,SUM(C14:J14)*B4*F4*POWER(O2,A14-1))</f>
        <v>1116.2653762114689</v>
      </c>
      <c r="T14" s="253">
        <f>IF(Rules!B20=Rules!D20,SUM(C14:J14)*D4*H4,SUM(C14:J14)*D4*H4*POWER(O2,A14-1))</f>
        <v>-1303.9150939836675</v>
      </c>
      <c r="U14" s="264">
        <f t="shared" si="0"/>
        <v>-806.47506477870195</v>
      </c>
      <c r="V14" s="93">
        <f>S14/B4</f>
        <v>2418.4600790544646</v>
      </c>
      <c r="W14" s="9">
        <f>T14/D4</f>
        <v>-2421.6552212901033</v>
      </c>
    </row>
    <row r="15" spans="1:23">
      <c r="A15" s="98">
        <v>9</v>
      </c>
      <c r="B15" s="97">
        <f>C15*B4</f>
        <v>0.81828696840316628</v>
      </c>
      <c r="C15" s="97">
        <f>1/(1-D4*B4/(1-D4*B4/(1-D4*B4/(1-D4*B4/(1-D4*B4/(1-D4*B4/(1-D4*B4/(1-D4*B4))))))))</f>
        <v>1.7728708678666862</v>
      </c>
      <c r="D15" s="128">
        <f>C15*D4*C14</f>
        <v>1.6744739916090163</v>
      </c>
      <c r="E15" s="1">
        <f>D15*D4*C13</f>
        <v>1.5596877644540517</v>
      </c>
      <c r="F15" s="1">
        <f>E15*D4*C12</f>
        <v>1.425782314956165</v>
      </c>
      <c r="G15" s="1">
        <f>F15*D4*C11</f>
        <v>1.2695730740946789</v>
      </c>
      <c r="H15" s="1">
        <f>G15*D4*C10</f>
        <v>1.0873450391489687</v>
      </c>
      <c r="I15" s="1">
        <f>H15*D4*C9</f>
        <v>0.87476442268197951</v>
      </c>
      <c r="J15" s="1">
        <f>I15*D4*C8</f>
        <v>0.62677558544873768</v>
      </c>
      <c r="K15" s="1">
        <f>J15*D4</f>
        <v>0.3374808020654872</v>
      </c>
      <c r="L15" s="1">
        <f>K15*D4</f>
        <v>0.18171303159682434</v>
      </c>
      <c r="M15" s="235"/>
      <c r="N15" s="97">
        <f>B15+L15</f>
        <v>0.99999999999999067</v>
      </c>
      <c r="R15" s="267">
        <f>B15-L15</f>
        <v>0.63657393680634189</v>
      </c>
      <c r="S15" s="268">
        <f>IF(Rules!B20=Rules!D20,SUM(C15:K15)*B4*F4,SUM(C15:K15)*B4*F4*POWER(O2,A15-1))</f>
        <v>1278.8866068050415</v>
      </c>
      <c r="T15" s="253">
        <f>IF(Rules!B20=Rules!D20,SUM(C15:K15)*D4*H4,SUM(C15:K15)*D4*H4*POWER(O2,A15-1))</f>
        <v>-1493.8737558681935</v>
      </c>
      <c r="U15" s="264">
        <f t="shared" si="0"/>
        <v>-1021.4622138418539</v>
      </c>
      <c r="V15" s="93">
        <f>S15/B4</f>
        <v>2770.7893392632482</v>
      </c>
      <c r="W15" s="9">
        <f>T15/D4</f>
        <v>-2774.4499603835261</v>
      </c>
    </row>
    <row r="16" spans="1:23" ht="17" thickBot="1">
      <c r="A16" s="99">
        <v>10</v>
      </c>
      <c r="B16" s="129">
        <f>C16*B4</f>
        <v>0.82509623790771469</v>
      </c>
      <c r="C16" s="129">
        <f>1/(1-D4*B4/(1-D4*B4/(1-D4*B4/(1-D4*B4/(1-D4*B4/(1-D4*B4/(1-D4*B4/(1-D4*B4/(1-D4*B4)))))))))</f>
        <v>1.7876235842146253</v>
      </c>
      <c r="D16" s="137">
        <f>C16*D4*C15</f>
        <v>1.7064366917925482</v>
      </c>
      <c r="E16" s="109">
        <f>D16*D4*C14</f>
        <v>1.6117270076033641</v>
      </c>
      <c r="F16" s="109">
        <f>E16*D4*C13</f>
        <v>1.5012421249873138</v>
      </c>
      <c r="G16" s="109">
        <f>F16*D4*C12</f>
        <v>1.3723544680260791</v>
      </c>
      <c r="H16" s="109">
        <f>G16*D4*C11</f>
        <v>1.2219988019510559</v>
      </c>
      <c r="I16" s="109">
        <f>H16*D4*C10</f>
        <v>1.0465993350520388</v>
      </c>
      <c r="J16" s="109">
        <f>I16*D4*C9</f>
        <v>0.84198467840778091</v>
      </c>
      <c r="K16" s="109">
        <f>J16*D4*C8</f>
        <v>0.60328864099193269</v>
      </c>
      <c r="L16" s="109">
        <f>K16*D4</f>
        <v>0.32483450084162058</v>
      </c>
      <c r="M16" s="237">
        <f>L16*D4</f>
        <v>0.17490376209227484</v>
      </c>
      <c r="N16" s="129">
        <f>B16+M16</f>
        <v>0.99999999999998956</v>
      </c>
      <c r="R16" s="269">
        <f>B16-M16</f>
        <v>0.65019247581543982</v>
      </c>
      <c r="S16" s="270">
        <f>IF(Rules!B20=Rules!D20,SUM(C16:L16)*B4*F4,SUM(C16:L16)*B4*F4*POWER(O2,A16-1))</f>
        <v>1446.0560783511153</v>
      </c>
      <c r="T16" s="254">
        <f>IF(Rules!B20=Rules!D20,SUM(C16:L16)*D4*H4,SUM(C16:L16)*D4*H4*POWER(O2,A16-1))</f>
        <v>-1689.1452404518959</v>
      </c>
      <c r="U16" s="264">
        <f t="shared" si="0"/>
        <v>-1264.5513759426344</v>
      </c>
      <c r="V16" s="94">
        <f>S16/B4</f>
        <v>3132.9726533627618</v>
      </c>
      <c r="W16" s="10">
        <f>T16/D4</f>
        <v>-3137.1117720253169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5</v>
      </c>
      <c r="D21" s="57">
        <f>SUM($C$21:C21)</f>
        <v>5</v>
      </c>
      <c r="E21" s="57">
        <f t="shared" ref="E21:E30" si="2">D21/R7</f>
        <v>-65.037079487932957</v>
      </c>
      <c r="F21" s="8">
        <f t="shared" ref="F21:F30" si="3">U7/E21</f>
        <v>0.3110062521994082</v>
      </c>
      <c r="G21" s="256">
        <f>E21*U7</f>
        <v>1315.5009969762114</v>
      </c>
    </row>
    <row r="22" spans="1:7">
      <c r="A22" s="97">
        <v>2</v>
      </c>
      <c r="B22" s="93">
        <f>C21</f>
        <v>5</v>
      </c>
      <c r="C22" s="1">
        <f t="shared" si="1"/>
        <v>25</v>
      </c>
      <c r="D22" s="9">
        <f>SUM($C$21:C22)</f>
        <v>30</v>
      </c>
      <c r="E22" s="9">
        <f t="shared" si="2"/>
        <v>131.3441565578334</v>
      </c>
      <c r="F22" s="9">
        <f t="shared" si="3"/>
        <v>-0.46927037136929151</v>
      </c>
      <c r="G22" s="257">
        <f t="shared" ref="G22:G30" si="4">E22*U8</f>
        <v>-8095.518073838889</v>
      </c>
    </row>
    <row r="23" spans="1:7">
      <c r="A23" s="97">
        <v>3</v>
      </c>
      <c r="B23" s="93">
        <f t="shared" ref="B23:B30" si="5">C22</f>
        <v>25</v>
      </c>
      <c r="C23" s="1">
        <f t="shared" si="1"/>
        <v>125</v>
      </c>
      <c r="D23" s="9">
        <f>SUM($C$21:C23)</f>
        <v>155</v>
      </c>
      <c r="E23" s="9">
        <f t="shared" si="2"/>
        <v>408.6936252925322</v>
      </c>
      <c r="F23" s="9">
        <f t="shared" si="3"/>
        <v>-0.30627057255644924</v>
      </c>
      <c r="G23" s="257">
        <f t="shared" si="4"/>
        <v>-51156.52054635829</v>
      </c>
    </row>
    <row r="24" spans="1:7">
      <c r="A24" s="97">
        <v>4</v>
      </c>
      <c r="B24" s="93">
        <f t="shared" si="5"/>
        <v>125</v>
      </c>
      <c r="C24" s="1">
        <f t="shared" si="1"/>
        <v>625</v>
      </c>
      <c r="D24" s="9">
        <f>SUM($C$21:C24)</f>
        <v>780</v>
      </c>
      <c r="E24" s="9">
        <f t="shared" si="2"/>
        <v>1665.4017754724846</v>
      </c>
      <c r="F24" s="9">
        <f t="shared" si="3"/>
        <v>-0.12715255941603321</v>
      </c>
      <c r="G24" s="257">
        <f t="shared" si="4"/>
        <v>-352665.64352871885</v>
      </c>
    </row>
    <row r="25" spans="1:7">
      <c r="A25" s="97">
        <v>5</v>
      </c>
      <c r="B25" s="93">
        <f t="shared" si="5"/>
        <v>625</v>
      </c>
      <c r="C25" s="1">
        <f t="shared" si="1"/>
        <v>3125</v>
      </c>
      <c r="D25" s="9">
        <f>SUM($C$21:C25)</f>
        <v>3905</v>
      </c>
      <c r="E25" s="9">
        <f t="shared" si="2"/>
        <v>7415.4586569471539</v>
      </c>
      <c r="F25" s="9">
        <f t="shared" si="3"/>
        <v>-4.3464975584940738E-2</v>
      </c>
      <c r="G25" s="257">
        <f t="shared" si="4"/>
        <v>-2390096.7200322165</v>
      </c>
    </row>
    <row r="26" spans="1:7">
      <c r="A26" s="97">
        <v>6</v>
      </c>
      <c r="B26" s="93">
        <f t="shared" si="5"/>
        <v>3125</v>
      </c>
      <c r="C26" s="1">
        <f t="shared" si="1"/>
        <v>15625</v>
      </c>
      <c r="D26" s="9">
        <f>SUM($C$21:C26)</f>
        <v>19530</v>
      </c>
      <c r="E26" s="9">
        <f t="shared" si="2"/>
        <v>34429.525660984807</v>
      </c>
      <c r="F26" s="9">
        <f t="shared" si="3"/>
        <v>-1.3294247618476127E-2</v>
      </c>
      <c r="G26" s="257">
        <f t="shared" si="4"/>
        <v>-15758897.926893426</v>
      </c>
    </row>
    <row r="27" spans="1:7">
      <c r="A27" s="97">
        <v>7</v>
      </c>
      <c r="B27" s="93">
        <f t="shared" si="5"/>
        <v>15625</v>
      </c>
      <c r="C27" s="1">
        <f t="shared" si="1"/>
        <v>78125</v>
      </c>
      <c r="D27" s="9">
        <f>SUM($C$21:C27)</f>
        <v>97655</v>
      </c>
      <c r="E27" s="9">
        <f t="shared" si="2"/>
        <v>163600.53131825017</v>
      </c>
      <c r="F27" s="9">
        <f t="shared" si="3"/>
        <v>-3.7825387363975599E-3</v>
      </c>
      <c r="G27" s="257">
        <f t="shared" si="4"/>
        <v>-101240155.56346449</v>
      </c>
    </row>
    <row r="28" spans="1:7">
      <c r="A28" s="97">
        <v>8</v>
      </c>
      <c r="B28" s="93">
        <f t="shared" si="5"/>
        <v>78125</v>
      </c>
      <c r="C28" s="1">
        <f t="shared" si="1"/>
        <v>390625</v>
      </c>
      <c r="D28" s="9">
        <f>SUM($C$21:C28)</f>
        <v>488280</v>
      </c>
      <c r="E28" s="9">
        <f t="shared" si="2"/>
        <v>788459.86271807028</v>
      </c>
      <c r="F28" s="9">
        <f t="shared" si="3"/>
        <v>-1.0228485975158298E-3</v>
      </c>
      <c r="G28" s="257">
        <f t="shared" si="4"/>
        <v>-635873218.86096215</v>
      </c>
    </row>
    <row r="29" spans="1:7">
      <c r="A29" s="97">
        <v>9</v>
      </c>
      <c r="B29" s="93">
        <f t="shared" si="5"/>
        <v>390625</v>
      </c>
      <c r="C29" s="1">
        <f t="shared" si="1"/>
        <v>1953125</v>
      </c>
      <c r="D29" s="9">
        <f>SUM($C$21:C29)</f>
        <v>2441405</v>
      </c>
      <c r="E29" s="9">
        <f t="shared" si="2"/>
        <v>3835226.1361003895</v>
      </c>
      <c r="F29" s="9">
        <f t="shared" si="3"/>
        <v>-2.6633689320871808E-4</v>
      </c>
      <c r="G29" s="257">
        <f t="shared" si="4"/>
        <v>-3917538579.5652432</v>
      </c>
    </row>
    <row r="30" spans="1:7" ht="17" thickBot="1">
      <c r="A30" s="129">
        <v>10</v>
      </c>
      <c r="B30" s="94">
        <f t="shared" si="5"/>
        <v>1953125</v>
      </c>
      <c r="C30" s="109">
        <f t="shared" si="1"/>
        <v>9765625</v>
      </c>
      <c r="D30" s="10">
        <f>SUM($C$21:C30)</f>
        <v>12207030</v>
      </c>
      <c r="E30" s="10">
        <f t="shared" si="2"/>
        <v>18774486.715938285</v>
      </c>
      <c r="F30" s="10">
        <f t="shared" si="3"/>
        <v>-6.7354777527372543E-5</v>
      </c>
      <c r="G30" s="258">
        <f t="shared" si="4"/>
        <v>-23741303009.25647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5</v>
      </c>
      <c r="D33" s="57">
        <f>SUM($C$33:C33)</f>
        <v>5</v>
      </c>
      <c r="E33" s="9">
        <f t="shared" ref="E33:E42" si="7">D33/R7</f>
        <v>-65.037079487932957</v>
      </c>
      <c r="F33" s="8">
        <f t="shared" ref="F33:F42" si="8">U7/E33</f>
        <v>0.3110062521994082</v>
      </c>
      <c r="G33" s="259">
        <f>E33*U7</f>
        <v>1315.5009969762114</v>
      </c>
    </row>
    <row r="34" spans="1:7">
      <c r="A34" s="97">
        <v>2</v>
      </c>
      <c r="B34" s="93">
        <f t="shared" ref="B34:B42" si="9">B33*($O$2+1)</f>
        <v>6</v>
      </c>
      <c r="C34" s="1">
        <f t="shared" si="6"/>
        <v>30</v>
      </c>
      <c r="D34" s="9">
        <f>SUM($C$33:C34)</f>
        <v>35</v>
      </c>
      <c r="E34" s="9">
        <f t="shared" si="7"/>
        <v>153.23484931747231</v>
      </c>
      <c r="F34" s="9">
        <f t="shared" si="8"/>
        <v>-0.40223174688796409</v>
      </c>
      <c r="G34" s="257">
        <f t="shared" ref="G34:G42" si="10">E34*U8</f>
        <v>-9444.7710861453706</v>
      </c>
    </row>
    <row r="35" spans="1:7">
      <c r="A35" s="97">
        <v>3</v>
      </c>
      <c r="B35" s="93">
        <f t="shared" si="9"/>
        <v>36</v>
      </c>
      <c r="C35" s="1">
        <f t="shared" si="6"/>
        <v>180</v>
      </c>
      <c r="D35" s="9">
        <f>SUM($C$33:C35)</f>
        <v>215</v>
      </c>
      <c r="E35" s="9">
        <f t="shared" si="7"/>
        <v>566.89760927673819</v>
      </c>
      <c r="F35" s="9">
        <f t="shared" si="8"/>
        <v>-0.22079971509883553</v>
      </c>
      <c r="G35" s="257">
        <f t="shared" si="10"/>
        <v>-70959.044628819567</v>
      </c>
    </row>
    <row r="36" spans="1:7">
      <c r="A36" s="97">
        <v>4</v>
      </c>
      <c r="B36" s="93">
        <f t="shared" si="9"/>
        <v>216</v>
      </c>
      <c r="C36" s="1">
        <f t="shared" si="6"/>
        <v>1080</v>
      </c>
      <c r="D36" s="9">
        <f>SUM($C$33:C36)</f>
        <v>1295</v>
      </c>
      <c r="E36" s="9">
        <f t="shared" si="7"/>
        <v>2764.9939733805995</v>
      </c>
      <c r="F36" s="9">
        <f t="shared" si="8"/>
        <v>-7.6586097563325017E-2</v>
      </c>
      <c r="G36" s="257">
        <f t="shared" si="10"/>
        <v>-585515.3953457576</v>
      </c>
    </row>
    <row r="37" spans="1:7">
      <c r="A37" s="97">
        <v>5</v>
      </c>
      <c r="B37" s="93">
        <f t="shared" si="9"/>
        <v>1296</v>
      </c>
      <c r="C37" s="1">
        <f t="shared" si="6"/>
        <v>6480</v>
      </c>
      <c r="D37" s="9">
        <f>SUM($C$33:C37)</f>
        <v>7775</v>
      </c>
      <c r="E37" s="9">
        <f t="shared" si="7"/>
        <v>14764.453535919109</v>
      </c>
      <c r="F37" s="9">
        <f t="shared" si="8"/>
        <v>-2.183031892722747E-2</v>
      </c>
      <c r="G37" s="257">
        <f t="shared" si="10"/>
        <v>-4758771.3183740033</v>
      </c>
    </row>
    <row r="38" spans="1:7">
      <c r="A38" s="97">
        <v>6</v>
      </c>
      <c r="B38" s="93">
        <f t="shared" si="9"/>
        <v>7776</v>
      </c>
      <c r="C38" s="1">
        <f t="shared" si="6"/>
        <v>38880</v>
      </c>
      <c r="D38" s="9">
        <f>SUM($C$33:C38)</f>
        <v>46655</v>
      </c>
      <c r="E38" s="9">
        <f t="shared" si="7"/>
        <v>82248.311301241483</v>
      </c>
      <c r="F38" s="9">
        <f t="shared" si="8"/>
        <v>-5.5650338868039606E-3</v>
      </c>
      <c r="G38" s="257">
        <f t="shared" si="10"/>
        <v>-37646256.158689849</v>
      </c>
    </row>
    <row r="39" spans="1:7">
      <c r="A39" s="97">
        <v>7</v>
      </c>
      <c r="B39" s="93">
        <f t="shared" si="9"/>
        <v>46656</v>
      </c>
      <c r="C39" s="1">
        <f t="shared" si="6"/>
        <v>233280</v>
      </c>
      <c r="D39" s="9">
        <f>SUM($C$33:C39)</f>
        <v>279935</v>
      </c>
      <c r="E39" s="9">
        <f t="shared" si="7"/>
        <v>468972.55373072927</v>
      </c>
      <c r="F39" s="9">
        <f t="shared" si="8"/>
        <v>-1.3195342501041445E-3</v>
      </c>
      <c r="G39" s="257">
        <f t="shared" si="10"/>
        <v>-290212103.29894459</v>
      </c>
    </row>
    <row r="40" spans="1:7">
      <c r="A40" s="97">
        <v>8</v>
      </c>
      <c r="B40" s="93">
        <f t="shared" si="9"/>
        <v>279936</v>
      </c>
      <c r="C40" s="1">
        <f t="shared" si="6"/>
        <v>1399680</v>
      </c>
      <c r="D40" s="9">
        <f>SUM($C$33:C40)</f>
        <v>1679615</v>
      </c>
      <c r="E40" s="9">
        <f t="shared" si="7"/>
        <v>2712191.8004407543</v>
      </c>
      <c r="F40" s="9">
        <f t="shared" si="8"/>
        <v>-2.9735178192325591E-4</v>
      </c>
      <c r="G40" s="257">
        <f t="shared" si="10"/>
        <v>-2187315057.9527216</v>
      </c>
    </row>
    <row r="41" spans="1:7">
      <c r="A41" s="97">
        <v>9</v>
      </c>
      <c r="B41" s="93">
        <f t="shared" si="9"/>
        <v>1679616</v>
      </c>
      <c r="C41" s="1">
        <f t="shared" si="6"/>
        <v>8398080</v>
      </c>
      <c r="D41" s="9">
        <f>SUM($C$33:C41)</f>
        <v>10077695</v>
      </c>
      <c r="E41" s="9">
        <f t="shared" si="7"/>
        <v>15831146.104660314</v>
      </c>
      <c r="F41" s="9">
        <f t="shared" si="8"/>
        <v>-6.4522316141164262E-5</v>
      </c>
      <c r="G41" s="257">
        <f t="shared" si="10"/>
        <v>-16170917547.720165</v>
      </c>
    </row>
    <row r="42" spans="1:7" ht="17" thickBot="1">
      <c r="A42" s="129">
        <v>10</v>
      </c>
      <c r="B42" s="94">
        <f t="shared" si="9"/>
        <v>10077696</v>
      </c>
      <c r="C42" s="109">
        <f t="shared" si="6"/>
        <v>50388480</v>
      </c>
      <c r="D42" s="10">
        <f>SUM($C$33:C42)</f>
        <v>60466175</v>
      </c>
      <c r="E42" s="9">
        <f t="shared" si="7"/>
        <v>92997346.55367437</v>
      </c>
      <c r="F42" s="10">
        <f t="shared" si="8"/>
        <v>-1.3597714588692976E-5</v>
      </c>
      <c r="G42" s="258">
        <f t="shared" si="10"/>
        <v>-117599922543.46294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5</v>
      </c>
      <c r="D45" s="57">
        <f>SUM(C45:C45)</f>
        <v>5</v>
      </c>
      <c r="E45" s="57">
        <f t="shared" ref="E45:E54" si="12">D45/R7</f>
        <v>-65.037079487932957</v>
      </c>
      <c r="F45" s="8">
        <f t="shared" ref="F45:F54" si="13">U7/E45</f>
        <v>0.3110062521994082</v>
      </c>
      <c r="G45" s="256">
        <f>E45*U7</f>
        <v>1315.5009969762114</v>
      </c>
    </row>
    <row r="46" spans="1:7">
      <c r="A46" s="97">
        <v>2</v>
      </c>
      <c r="B46" s="93">
        <f t="shared" ref="B46:B54" si="14">B45*$O$2*2</f>
        <v>10</v>
      </c>
      <c r="C46" s="1">
        <f t="shared" si="11"/>
        <v>50</v>
      </c>
      <c r="D46" s="9">
        <f>SUM($C$45:C46)</f>
        <v>55</v>
      </c>
      <c r="E46" s="9">
        <f t="shared" si="12"/>
        <v>240.79762035602792</v>
      </c>
      <c r="F46" s="9">
        <f t="shared" si="13"/>
        <v>-0.2559656571105226</v>
      </c>
      <c r="G46" s="257">
        <f t="shared" ref="G46:G54" si="15">E46*U8</f>
        <v>-14841.783135371297</v>
      </c>
    </row>
    <row r="47" spans="1:7">
      <c r="A47" s="97">
        <v>3</v>
      </c>
      <c r="B47" s="93">
        <f t="shared" si="14"/>
        <v>100</v>
      </c>
      <c r="C47" s="1">
        <f t="shared" si="11"/>
        <v>500</v>
      </c>
      <c r="D47" s="9">
        <f>SUM($C$45:C47)</f>
        <v>555</v>
      </c>
      <c r="E47" s="9">
        <f t="shared" si="12"/>
        <v>1463.3868518539057</v>
      </c>
      <c r="F47" s="9">
        <f t="shared" si="13"/>
        <v>-8.5535024768017359E-2</v>
      </c>
      <c r="G47" s="257">
        <f t="shared" si="15"/>
        <v>-183173.34776276679</v>
      </c>
    </row>
    <row r="48" spans="1:7">
      <c r="A48" s="97">
        <v>4</v>
      </c>
      <c r="B48" s="93">
        <f t="shared" si="14"/>
        <v>1000</v>
      </c>
      <c r="C48" s="1">
        <f t="shared" si="11"/>
        <v>5000</v>
      </c>
      <c r="D48" s="9">
        <f>SUM($C$45:C48)</f>
        <v>5555</v>
      </c>
      <c r="E48" s="9">
        <f t="shared" si="12"/>
        <v>11860.649824038015</v>
      </c>
      <c r="F48" s="9">
        <f t="shared" si="13"/>
        <v>-1.7854004742485309E-2</v>
      </c>
      <c r="G48" s="257">
        <f t="shared" si="15"/>
        <v>-2511612.3715410684</v>
      </c>
    </row>
    <row r="49" spans="1:7">
      <c r="A49" s="97">
        <v>5</v>
      </c>
      <c r="B49" s="93">
        <f t="shared" si="14"/>
        <v>10000</v>
      </c>
      <c r="C49" s="1">
        <f t="shared" si="11"/>
        <v>50000</v>
      </c>
      <c r="D49" s="9">
        <f>SUM($C$45:C49)</f>
        <v>55555</v>
      </c>
      <c r="E49" s="9">
        <f t="shared" si="12"/>
        <v>105497.00529749018</v>
      </c>
      <c r="F49" s="9">
        <f t="shared" si="13"/>
        <v>-3.0551836857023412E-3</v>
      </c>
      <c r="G49" s="257">
        <f t="shared" si="15"/>
        <v>-34003027.728909038</v>
      </c>
    </row>
    <row r="50" spans="1:7">
      <c r="A50" s="97">
        <v>6</v>
      </c>
      <c r="B50" s="93">
        <f t="shared" si="14"/>
        <v>100000</v>
      </c>
      <c r="C50" s="1">
        <f t="shared" si="11"/>
        <v>500000</v>
      </c>
      <c r="D50" s="9">
        <f>SUM($C$45:C50)</f>
        <v>555555</v>
      </c>
      <c r="E50" s="9">
        <f t="shared" si="12"/>
        <v>979390.43157134741</v>
      </c>
      <c r="F50" s="9">
        <f t="shared" si="13"/>
        <v>-4.673464481263579E-4</v>
      </c>
      <c r="G50" s="257">
        <f t="shared" si="15"/>
        <v>-448281338.33974797</v>
      </c>
    </row>
    <row r="51" spans="1:7">
      <c r="A51" s="97">
        <v>7</v>
      </c>
      <c r="B51" s="93">
        <f t="shared" si="14"/>
        <v>1000000</v>
      </c>
      <c r="C51" s="1">
        <f t="shared" si="11"/>
        <v>5000000</v>
      </c>
      <c r="D51" s="9">
        <f>SUM($C$45:C51)</f>
        <v>5555555</v>
      </c>
      <c r="E51" s="9">
        <f t="shared" si="12"/>
        <v>9307170.6494061891</v>
      </c>
      <c r="F51" s="9">
        <f t="shared" si="13"/>
        <v>-6.6489094303432095E-5</v>
      </c>
      <c r="G51" s="257">
        <f t="shared" si="15"/>
        <v>-5759513106.7675285</v>
      </c>
    </row>
    <row r="52" spans="1:7">
      <c r="A52" s="97">
        <v>8</v>
      </c>
      <c r="B52" s="93">
        <f t="shared" si="14"/>
        <v>10000000</v>
      </c>
      <c r="C52" s="1">
        <f t="shared" si="11"/>
        <v>50000000</v>
      </c>
      <c r="D52" s="9">
        <f>SUM($C$45:C52)</f>
        <v>55555555</v>
      </c>
      <c r="E52" s="9">
        <f t="shared" si="12"/>
        <v>89709439.806107566</v>
      </c>
      <c r="F52" s="9">
        <f t="shared" si="13"/>
        <v>-8.9898573274091025E-6</v>
      </c>
      <c r="G52" s="257">
        <f t="shared" si="15"/>
        <v>-72348426278.891663</v>
      </c>
    </row>
    <row r="53" spans="1:7">
      <c r="A53" s="97">
        <v>9</v>
      </c>
      <c r="B53" s="93">
        <f t="shared" si="14"/>
        <v>100000000</v>
      </c>
      <c r="C53" s="1">
        <f t="shared" si="11"/>
        <v>500000000</v>
      </c>
      <c r="D53" s="9">
        <f>SUM($C$45:C53)</f>
        <v>555555555</v>
      </c>
      <c r="E53" s="9">
        <f t="shared" si="12"/>
        <v>872727460.04524338</v>
      </c>
      <c r="F53" s="9">
        <f t="shared" si="13"/>
        <v>-1.1704252021460399E-6</v>
      </c>
      <c r="G53" s="257">
        <f t="shared" si="15"/>
        <v>-891458123418.39246</v>
      </c>
    </row>
    <row r="54" spans="1:7" ht="17" thickBot="1">
      <c r="A54" s="129">
        <v>10</v>
      </c>
      <c r="B54" s="94">
        <f t="shared" si="14"/>
        <v>1000000000</v>
      </c>
      <c r="C54" s="109">
        <f t="shared" si="11"/>
        <v>5000000000</v>
      </c>
      <c r="D54" s="10">
        <f>SUM($C$45:C54)</f>
        <v>5555555555</v>
      </c>
      <c r="E54" s="10">
        <f t="shared" si="12"/>
        <v>8544478383.9316072</v>
      </c>
      <c r="F54" s="10">
        <f t="shared" si="13"/>
        <v>-1.4799632220039288E-7</v>
      </c>
      <c r="G54" s="258">
        <f t="shared" si="15"/>
        <v>-10804931897112.811</v>
      </c>
    </row>
  </sheetData>
  <mergeCells count="1">
    <mergeCell ref="A18:F18"/>
  </mergeCells>
  <conditionalFormatting sqref="F45:F54">
    <cfRule type="cellIs" dxfId="409" priority="65" operator="equal">
      <formula>MAX($F$45:$F$54)</formula>
    </cfRule>
  </conditionalFormatting>
  <conditionalFormatting sqref="F21:F30">
    <cfRule type="cellIs" dxfId="408" priority="63" operator="equal">
      <formula>MAX($F$21:$F$30)</formula>
    </cfRule>
  </conditionalFormatting>
  <conditionalFormatting sqref="F33:F42">
    <cfRule type="cellIs" dxfId="407" priority="44" operator="lessThanOrEqual">
      <formula>0</formula>
    </cfRule>
    <cfRule type="cellIs" dxfId="406" priority="61" operator="equal">
      <formula>MAX($F$33:$F$42)</formula>
    </cfRule>
  </conditionalFormatting>
  <conditionalFormatting sqref="E33:E42">
    <cfRule type="cellIs" dxfId="405" priority="59" stopIfTrue="1" operator="lessThan">
      <formula>0</formula>
    </cfRule>
    <cfRule type="cellIs" dxfId="404" priority="60" operator="equal">
      <formula>MIN($E$33:$E$42)</formula>
    </cfRule>
  </conditionalFormatting>
  <conditionalFormatting sqref="E21:E30">
    <cfRule type="cellIs" dxfId="403" priority="55" stopIfTrue="1" operator="lessThan">
      <formula>0</formula>
    </cfRule>
    <cfRule type="cellIs" dxfId="402" priority="56" operator="equal">
      <formula>MIN($E$21:$E$30)</formula>
    </cfRule>
  </conditionalFormatting>
  <conditionalFormatting sqref="E45:E54">
    <cfRule type="cellIs" dxfId="401" priority="51" stopIfTrue="1" operator="lessThan">
      <formula>0</formula>
    </cfRule>
    <cfRule type="cellIs" dxfId="400" priority="52" operator="equal">
      <formula>MIN($E$45:$E$54)</formula>
    </cfRule>
  </conditionalFormatting>
  <conditionalFormatting sqref="R7:R16">
    <cfRule type="cellIs" dxfId="399" priority="29" operator="lessThanOrEqual">
      <formula>0</formula>
    </cfRule>
    <cfRule type="cellIs" dxfId="398" priority="30" operator="greaterThan">
      <formula>0</formula>
    </cfRule>
  </conditionalFormatting>
  <conditionalFormatting sqref="U7:U16">
    <cfRule type="cellIs" dxfId="397" priority="9" operator="lessThanOrEqual">
      <formula>0</formula>
    </cfRule>
    <cfRule type="cellIs" dxfId="396" priority="10" operator="greaterThan">
      <formula>0</formula>
    </cfRule>
  </conditionalFormatting>
  <conditionalFormatting sqref="S7:T16">
    <cfRule type="cellIs" dxfId="395" priority="1" operator="lessThanOrEqual">
      <formula>0</formula>
    </cfRule>
    <cfRule type="cellIs" dxfId="39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0.99999999999999856</v>
      </c>
    </row>
    <row r="2" spans="1:23">
      <c r="A2" t="s">
        <v>39</v>
      </c>
      <c r="B2" s="133" t="s">
        <v>124</v>
      </c>
      <c r="C2" s="139">
        <f>Analysis!B29</f>
        <v>0.47751007520579447</v>
      </c>
      <c r="D2" s="133" t="s">
        <v>125</v>
      </c>
      <c r="E2" s="139">
        <f>Analysis!J29</f>
        <v>0.52248992479420409</v>
      </c>
      <c r="F2" s="133" t="s">
        <v>46</v>
      </c>
      <c r="G2" s="139">
        <f>Analysis!S29</f>
        <v>321.22903338873232</v>
      </c>
      <c r="H2" t="s">
        <v>153</v>
      </c>
      <c r="I2" s="153">
        <f>Analysis!T29</f>
        <v>-321.65342428969569</v>
      </c>
      <c r="J2" t="s">
        <v>47</v>
      </c>
      <c r="K2" s="153">
        <f>G2*C2+I2*E2</f>
        <v>-14.670573575183084</v>
      </c>
      <c r="L2" t="s">
        <v>46</v>
      </c>
      <c r="M2" s="160">
        <v>2</v>
      </c>
      <c r="N2" t="s">
        <v>153</v>
      </c>
      <c r="O2" s="160">
        <v>6</v>
      </c>
    </row>
    <row r="4" spans="1:23">
      <c r="A4" t="s">
        <v>122</v>
      </c>
      <c r="B4">
        <f>$C$2</f>
        <v>0.47751007520579447</v>
      </c>
      <c r="C4" t="s">
        <v>123</v>
      </c>
      <c r="D4">
        <f>$E$2</f>
        <v>0.52248992479420409</v>
      </c>
      <c r="E4" t="s">
        <v>46</v>
      </c>
      <c r="F4">
        <f>G2</f>
        <v>321.22903338873232</v>
      </c>
      <c r="G4" t="s">
        <v>153</v>
      </c>
      <c r="H4">
        <f>I2</f>
        <v>-321.65342428969569</v>
      </c>
      <c r="I4" t="s">
        <v>47</v>
      </c>
      <c r="J4">
        <f>B4*F4+D4*H4</f>
        <v>-14.670573575183084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0.47751007520579447</v>
      </c>
      <c r="C7" s="95">
        <v>1</v>
      </c>
      <c r="D7" s="22">
        <f>C7*D4</f>
        <v>0.52248992479420409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0.99999999999999856</v>
      </c>
      <c r="R7" s="265">
        <f>B7-D7</f>
        <v>-4.4979849588409615E-2</v>
      </c>
      <c r="S7" s="266">
        <f>IF(Rules!B20=Rules!D20,SUM(C7)*B4*F4,SUM(C7)*B4*F4*POWER(O2,A7-1))</f>
        <v>153.39009989173823</v>
      </c>
      <c r="T7" s="252">
        <f>IF(Rules!B20=Rules!D20,SUM(C7)*D4*H4,SUM(C7)*D4*H4*POWER(O2,A7-1))</f>
        <v>-168.06067346692132</v>
      </c>
      <c r="U7" s="263">
        <f>S7+T7</f>
        <v>-14.670573575183084</v>
      </c>
      <c r="V7" s="282">
        <f>S7/B4</f>
        <v>321.22903338873232</v>
      </c>
      <c r="W7" s="57">
        <f>T7/D4</f>
        <v>-321.65342428969569</v>
      </c>
    </row>
    <row r="8" spans="1:23">
      <c r="A8" s="98">
        <v>2</v>
      </c>
      <c r="B8" s="97">
        <f>C8*B4</f>
        <v>0.63625101537449502</v>
      </c>
      <c r="C8" s="97">
        <f>1/(1-B4*D4)</f>
        <v>1.3324347451732559</v>
      </c>
      <c r="D8" s="128">
        <f>C8*D4</f>
        <v>0.69618372979875898</v>
      </c>
      <c r="E8" s="1">
        <f>D8*D4</f>
        <v>0.36374898462550209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0.99999999999999711</v>
      </c>
      <c r="R8" s="267">
        <f>B8-E8</f>
        <v>0.27250203074899293</v>
      </c>
      <c r="S8" s="268">
        <f>IF(Rules!B20=Rules!D20,SUM(C8:D8)*B4*F4,SUM(C8:D8)*B4*F4*POWER(O2,A8-1))</f>
        <v>311.16999051818306</v>
      </c>
      <c r="T8" s="253">
        <f>IF(Rules!B20=Rules!D20,SUM(C8:D8)*D4*H4,SUM(C8:D8)*D4*H4*POWER(O2,A8-1))</f>
        <v>-340.93098711123565</v>
      </c>
      <c r="U8" s="264">
        <f>S8+T8+U7</f>
        <v>-44.43157016823568</v>
      </c>
      <c r="V8" s="93">
        <f>S8/B4</f>
        <v>651.65115182978468</v>
      </c>
      <c r="W8" s="9">
        <f>T8/D4</f>
        <v>-652.51207905208889</v>
      </c>
    </row>
    <row r="9" spans="1:23">
      <c r="A9" s="98">
        <v>3</v>
      </c>
      <c r="B9" s="97">
        <f>C9*B4</f>
        <v>0.715300971333094</v>
      </c>
      <c r="C9" s="97">
        <f>1/(1-D4*B4/(1-D4*B4))</f>
        <v>1.4979808981513485</v>
      </c>
      <c r="D9" s="128">
        <f>C9*D4*C8</f>
        <v>1.0428699288423007</v>
      </c>
      <c r="E9" s="1">
        <f>D9*(D4)</f>
        <v>0.54488903069095063</v>
      </c>
      <c r="F9" s="1">
        <f>E9*D4</f>
        <v>0.28469902866690155</v>
      </c>
      <c r="G9" s="1"/>
      <c r="H9" s="1"/>
      <c r="I9" s="1"/>
      <c r="J9" s="1"/>
      <c r="K9" s="1"/>
      <c r="L9" s="1"/>
      <c r="M9" s="235"/>
      <c r="N9" s="97">
        <f>B9+F9</f>
        <v>0.99999999999999556</v>
      </c>
      <c r="R9" s="267">
        <f>B9-F9</f>
        <v>0.43060194266619245</v>
      </c>
      <c r="S9" s="268">
        <f>IF(Rules!B20=Rules!D20,SUM(C9:E9)*B4*F4,SUM(C9:E9)*B4*F4*POWER(O2,A9-1))</f>
        <v>473.32194501015891</v>
      </c>
      <c r="T9" s="253">
        <f>IF(Rules!B20=Rules!D20,SUM(C9:E9)*D4*H4,SUM(C9:E9)*D4*H4*POWER(O2,A9-1))</f>
        <v>-518.59151862619581</v>
      </c>
      <c r="U9" s="264">
        <f t="shared" ref="U9:U16" si="0">S9+T9+U8</f>
        <v>-89.701143784272574</v>
      </c>
      <c r="V9" s="93">
        <f>S9/B4</f>
        <v>991.22923177310849</v>
      </c>
      <c r="W9" s="9">
        <f>T9/D4</f>
        <v>-992.53879169144977</v>
      </c>
    </row>
    <row r="10" spans="1:23">
      <c r="A10" s="98">
        <v>4</v>
      </c>
      <c r="B10" s="97">
        <f>C10*B4</f>
        <v>0.76247598072106582</v>
      </c>
      <c r="C10" s="97">
        <f>1/(1-D4*B4/(1-D4*B4/(1-D4*B4)))</f>
        <v>1.596774644791439</v>
      </c>
      <c r="D10" s="128">
        <f>C10*D4*C9</f>
        <v>1.2497634621306044</v>
      </c>
      <c r="E10" s="1">
        <f>D10*D4*C8</f>
        <v>0.87006498843229418</v>
      </c>
      <c r="F10" s="1">
        <f>E10*D4</f>
        <v>0.45460019037205945</v>
      </c>
      <c r="G10" s="1">
        <f>F10*D4</f>
        <v>0.23752401927892822</v>
      </c>
      <c r="H10" s="1"/>
      <c r="I10" s="1"/>
      <c r="J10" s="1"/>
      <c r="K10" s="1"/>
      <c r="L10" s="1"/>
      <c r="M10" s="235"/>
      <c r="N10" s="97">
        <f>B10+G10</f>
        <v>0.999999999999994</v>
      </c>
      <c r="R10" s="267">
        <f>B10-G10</f>
        <v>0.52495196144213763</v>
      </c>
      <c r="S10" s="268">
        <f>IF(Rules!B20=Rules!D20,SUM(C10:F10)*B4*F4,SUM(C10:F10)*B4*F4*POWER(O2,A10-1))</f>
        <v>639.82128866631888</v>
      </c>
      <c r="T10" s="253">
        <f>IF(Rules!B20=Rules!D20,SUM(C10:F10)*D4*H4,SUM(C10:F10)*D4*H4*POWER(O2,A10-1))</f>
        <v>-701.01523336661342</v>
      </c>
      <c r="U10" s="264">
        <f t="shared" si="0"/>
        <v>-150.89508848456711</v>
      </c>
      <c r="V10" s="93">
        <f>S10/B4</f>
        <v>1339.9115995417949</v>
      </c>
      <c r="W10" s="9">
        <f>T10/D4</f>
        <v>-1341.6818202623258</v>
      </c>
    </row>
    <row r="11" spans="1:23">
      <c r="A11" s="98">
        <v>5</v>
      </c>
      <c r="B11" s="97">
        <f>C11*B4</f>
        <v>0.79371505542297682</v>
      </c>
      <c r="C11" s="97">
        <f>1/(1-D4*B4/(1-D4*B4/(1-D4*B4/(1-D4*B4))))</f>
        <v>1.6621954103919299</v>
      </c>
      <c r="D11" s="128">
        <f>C11*D4*C10</f>
        <v>1.3867674103138889</v>
      </c>
      <c r="E11" s="1">
        <f>D11*D4*C9</f>
        <v>1.085395015218412</v>
      </c>
      <c r="F11" s="1">
        <f>E11*D4*C8</f>
        <v>0.75563434999973478</v>
      </c>
      <c r="G11" s="1">
        <f>F11*D4</f>
        <v>0.39481133470327873</v>
      </c>
      <c r="H11" s="1">
        <f>G11*D4</f>
        <v>0.20628494457701543</v>
      </c>
      <c r="I11" s="1"/>
      <c r="J11" s="1"/>
      <c r="K11" s="1"/>
      <c r="L11" s="1"/>
      <c r="M11" s="235"/>
      <c r="N11" s="97">
        <f>B11+H11</f>
        <v>0.99999999999999223</v>
      </c>
      <c r="R11" s="267">
        <f>B11-H11</f>
        <v>0.58743011084596142</v>
      </c>
      <c r="S11" s="268">
        <f>IF(Rules!B20=Rules!D20,SUM(C11:G11)*B4*F4,SUM(C11:G11)*B4*F4*POWER(O2,A11-1))</f>
        <v>810.63653993722289</v>
      </c>
      <c r="T11" s="253">
        <f>IF(Rules!B20=Rules!D20,SUM(C11:G11)*D4*H4,SUM(C11:G11)*D4*H4*POWER(O2,A11-1))</f>
        <v>-888.16763881697148</v>
      </c>
      <c r="U11" s="264">
        <f t="shared" si="0"/>
        <v>-228.42618736431569</v>
      </c>
      <c r="V11" s="93">
        <f>S11/B4</f>
        <v>1697.6323265804592</v>
      </c>
      <c r="W11" s="9">
        <f>T11/D4</f>
        <v>-1699.8751491079925</v>
      </c>
    </row>
    <row r="12" spans="1:23">
      <c r="A12" s="98">
        <v>6</v>
      </c>
      <c r="B12" s="97">
        <f>C12*B4</f>
        <v>0.81584947819964793</v>
      </c>
      <c r="C12" s="97">
        <f>1/(1-D4*B4/(1-D4*B4/(1-D4*B4/(1-D4*B4/(1-D4*B4)))))</f>
        <v>1.7085492444280634</v>
      </c>
      <c r="D12" s="128">
        <f>C12*D4*C11</f>
        <v>1.4838414542828169</v>
      </c>
      <c r="E12" s="1">
        <f>D12*D4*C10</f>
        <v>1.2379669430003906</v>
      </c>
      <c r="F12" s="1">
        <f>E12*D4*C9</f>
        <v>0.96893187635096123</v>
      </c>
      <c r="G12" s="1">
        <f>F12*D4*C8</f>
        <v>0.67455460759892216</v>
      </c>
      <c r="H12" s="1">
        <f>G12*D4</f>
        <v>0.35244798619394468</v>
      </c>
      <c r="I12" s="1">
        <f>H12*D4</f>
        <v>0.18415052180034283</v>
      </c>
      <c r="J12" s="1"/>
      <c r="K12" s="1"/>
      <c r="L12" s="1"/>
      <c r="M12" s="235"/>
      <c r="N12" s="97">
        <f>B12+I12</f>
        <v>0.99999999999999079</v>
      </c>
      <c r="R12" s="267">
        <f>B12-I12</f>
        <v>0.63169895639930507</v>
      </c>
      <c r="S12" s="268">
        <f>IF(Rules!B20=Rules!D20,SUM(C12:H12)*B4*F4,SUM(C12:H12)*B4*F4*POWER(O2,A12-1))</f>
        <v>985.72958897094293</v>
      </c>
      <c r="T12" s="253">
        <f>IF(Rules!B20=Rules!D20,SUM(C12:H12)*D4*H4,SUM(C12:H12)*D4*H4*POWER(O2,A12-1))</f>
        <v>-1080.006980213532</v>
      </c>
      <c r="U12" s="264">
        <f t="shared" si="0"/>
        <v>-322.70357860690473</v>
      </c>
      <c r="V12" s="93">
        <f>S12/B4</f>
        <v>2064.3116033648485</v>
      </c>
      <c r="W12" s="9">
        <f>T12/D4</f>
        <v>-2067.0388632640525</v>
      </c>
    </row>
    <row r="13" spans="1:23">
      <c r="A13" s="98">
        <v>7</v>
      </c>
      <c r="B13" s="97">
        <f>C13*B4</f>
        <v>0.83229512554140617</v>
      </c>
      <c r="C13" s="97">
        <f>1/(1-D4*B4/(1-D4*B4/(1-D4*B4/(1-D4*B4/(1-D4*B4/(1-D4*B4))))))</f>
        <v>1.7429896640038611</v>
      </c>
      <c r="D13" s="128">
        <f>C13*D4*C12</f>
        <v>1.5559664655947871</v>
      </c>
      <c r="E13" s="1">
        <f>D13*D4*C11</f>
        <v>1.3513263083595444</v>
      </c>
      <c r="F13" s="1">
        <f>E13*D4*C10</f>
        <v>1.127409733787514</v>
      </c>
      <c r="G13" s="1">
        <f>F13*D4*C9</f>
        <v>0.88240096793499678</v>
      </c>
      <c r="H13" s="1">
        <f>G13*D4*C8</f>
        <v>0.61431319703502119</v>
      </c>
      <c r="I13" s="1">
        <f>H13*D4</f>
        <v>0.32097245611891528</v>
      </c>
      <c r="J13" s="1">
        <f>I13*D4</f>
        <v>0.16770487445858301</v>
      </c>
      <c r="K13" s="1"/>
      <c r="L13" s="1"/>
      <c r="M13" s="235"/>
      <c r="N13" s="97">
        <f>B13+J13</f>
        <v>0.99999999999998912</v>
      </c>
      <c r="R13" s="267">
        <f>B13-J13</f>
        <v>0.66459025108282321</v>
      </c>
      <c r="S13" s="268">
        <f>IF(Rules!B20=Rules!D20,SUM(C13:I13)*B4*F4,SUM(C13:I13)*B4*F4*POWER(O2,A13-1))</f>
        <v>1165.0559117484959</v>
      </c>
      <c r="T13" s="253">
        <f>IF(Rules!B20=Rules!D20,SUM(C13:I13)*D4*H4,SUM(C13:I13)*D4*H4*POWER(O2,A13-1))</f>
        <v>-1276.4844751601615</v>
      </c>
      <c r="U13" s="264">
        <f t="shared" si="0"/>
        <v>-434.13214201857039</v>
      </c>
      <c r="V13" s="93">
        <f>S13/B4</f>
        <v>2439.8561878435485</v>
      </c>
      <c r="W13" s="9">
        <f>T13/D4</f>
        <v>-2443.0795974925973</v>
      </c>
    </row>
    <row r="14" spans="1:23">
      <c r="A14" s="98">
        <v>8</v>
      </c>
      <c r="B14" s="97">
        <f>C14*B4</f>
        <v>0.84494990753570909</v>
      </c>
      <c r="C14" s="97">
        <f>1/(1-D4*B4/(1-D4*B4/(1-D4*B4/(1-D4*B4/(1-D4*B4/(1-D4*B4/(1-D4*B4)))))))</f>
        <v>1.7694912660671245</v>
      </c>
      <c r="D14" s="128">
        <f>C14*D4*C13</f>
        <v>1.6114660318643406</v>
      </c>
      <c r="E14" s="1">
        <f>D14*D4*C12</f>
        <v>1.4385553499303252</v>
      </c>
      <c r="F14" s="1">
        <f>E14*D4*C11</f>
        <v>1.2493570609499718</v>
      </c>
      <c r="G14" s="1">
        <f>F14*D4*C10</f>
        <v>1.0423369268974465</v>
      </c>
      <c r="H14" s="1">
        <f>G14*D4*C9</f>
        <v>0.81581618966405545</v>
      </c>
      <c r="I14" s="1">
        <f>H14*D4*C8</f>
        <v>0.56795795775053382</v>
      </c>
      <c r="J14" s="1">
        <f>I14*D4</f>
        <v>0.29675231063134616</v>
      </c>
      <c r="K14" s="1">
        <f>J14*D4</f>
        <v>0.15505009246427834</v>
      </c>
      <c r="L14" s="1"/>
      <c r="M14" s="235"/>
      <c r="N14" s="97">
        <f>B14+K14</f>
        <v>0.99999999999998745</v>
      </c>
      <c r="R14" s="267">
        <f>B14-K14</f>
        <v>0.68989981507143072</v>
      </c>
      <c r="S14" s="268">
        <f>IF(Rules!B20=Rules!D20,SUM(C14:J14)*B4*F4,SUM(C14:J14)*B4*F4*POWER(O2,A14-1))</f>
        <v>1348.564817472602</v>
      </c>
      <c r="T14" s="253">
        <f>IF(Rules!B20=Rules!D20,SUM(C14:J14)*D4*H4,SUM(C14:J14)*D4*H4*POWER(O2,A14-1))</f>
        <v>-1477.5445846779089</v>
      </c>
      <c r="U14" s="264">
        <f t="shared" si="0"/>
        <v>-563.11190922387732</v>
      </c>
      <c r="V14" s="93">
        <f>S14/B4</f>
        <v>2824.1599235186932</v>
      </c>
      <c r="W14" s="9">
        <f>T14/D4</f>
        <v>-2827.8910550473815</v>
      </c>
    </row>
    <row r="15" spans="1:23">
      <c r="A15" s="98">
        <v>9</v>
      </c>
      <c r="B15" s="97">
        <f>C15*B4</f>
        <v>0.85495274291709022</v>
      </c>
      <c r="C15" s="97">
        <f>1/(1-D4*B4/(1-D4*B4/(1-D4*B4/(1-D4*B4/(1-D4*B4/(1-D4*B4/(1-D4*B4/(1-D4*B4))))))))</f>
        <v>1.7904391704167242</v>
      </c>
      <c r="D15" s="128">
        <f>C15*D4*C14</f>
        <v>1.6553350629849339</v>
      </c>
      <c r="E15" s="1">
        <f>D15*D4*C13</f>
        <v>1.5075046011857791</v>
      </c>
      <c r="F15" s="1">
        <f>E15*D4*C12</f>
        <v>1.3457490050668022</v>
      </c>
      <c r="G15" s="1">
        <f>F15*D4*C11</f>
        <v>1.1687565736195287</v>
      </c>
      <c r="H15" s="1">
        <f>G15*D4*C10</f>
        <v>0.97509204799423688</v>
      </c>
      <c r="I15" s="1">
        <f>H15*D4*C9</f>
        <v>0.76318497276518915</v>
      </c>
      <c r="J15" s="1">
        <f>I15*D4*C8</f>
        <v>0.53131696086603364</v>
      </c>
      <c r="K15" s="1">
        <f>J15*D4</f>
        <v>0.27760775892477901</v>
      </c>
      <c r="L15" s="1">
        <f>K15*D4</f>
        <v>0.14504725708289531</v>
      </c>
      <c r="M15" s="235"/>
      <c r="N15" s="97">
        <f>B15+L15</f>
        <v>0.99999999999998557</v>
      </c>
      <c r="R15" s="267">
        <f>B15-L15</f>
        <v>0.70990548583419488</v>
      </c>
      <c r="S15" s="268">
        <f>IF(Rules!B20=Rules!D20,SUM(C15:K15)*B4*F4,SUM(C15:K15)*B4*F4*POWER(O2,A15-1))</f>
        <v>1536.1997265494399</v>
      </c>
      <c r="T15" s="253">
        <f>IF(Rules!B20=Rules!D20,SUM(C15:K15)*D4*H4,SUM(C15:K15)*D4*H4*POWER(O2,A15-1))</f>
        <v>-1683.1253177735548</v>
      </c>
      <c r="U15" s="264">
        <f t="shared" si="0"/>
        <v>-710.03750044799222</v>
      </c>
      <c r="V15" s="93">
        <f>S15/B4</f>
        <v>3217.1043215944242</v>
      </c>
      <c r="W15" s="9">
        <f>T15/D4</f>
        <v>-3221.3545905913811</v>
      </c>
    </row>
    <row r="16" spans="1:23" ht="17" thickBot="1">
      <c r="A16" s="99">
        <v>10</v>
      </c>
      <c r="B16" s="129">
        <f>C16*B4</f>
        <v>0.86302854698900922</v>
      </c>
      <c r="C16" s="129">
        <f>1/(1-D4*B4/(1-D4*B4/(1-D4*B4/(1-D4*B4/(1-D4*B4/(1-D4*B4/(1-D4*B4/(1-D4*B4/(1-D4*B4)))))))))</f>
        <v>1.8073514922529461</v>
      </c>
      <c r="D16" s="137">
        <f>C16*D4*C15</f>
        <v>1.6907527907238362</v>
      </c>
      <c r="E16" s="109">
        <f>D16*D4*C14</f>
        <v>1.563170882076593</v>
      </c>
      <c r="F16" s="109">
        <f>E16*D4*C13</f>
        <v>1.4235711849906876</v>
      </c>
      <c r="G16" s="109">
        <f>F16*D4*C12</f>
        <v>1.2708216640506917</v>
      </c>
      <c r="H16" s="109">
        <f>G16*D4*C11</f>
        <v>1.1036836498969773</v>
      </c>
      <c r="I16" s="109">
        <f>H16*D4*C10</f>
        <v>0.92080179466535905</v>
      </c>
      <c r="J16" s="109">
        <f>I16*D4*C9</f>
        <v>0.72069308126279863</v>
      </c>
      <c r="K16" s="109">
        <f>J16*D4*C8</f>
        <v>0.50173479735369531</v>
      </c>
      <c r="L16" s="109">
        <f>K16*D4</f>
        <v>0.26215137653596748</v>
      </c>
      <c r="M16" s="237">
        <f>L16*D4</f>
        <v>0.13697145301097474</v>
      </c>
      <c r="N16" s="129">
        <f>B16+M16</f>
        <v>0.99999999999998401</v>
      </c>
      <c r="R16" s="269">
        <f>B16-M16</f>
        <v>0.72605709397803442</v>
      </c>
      <c r="S16" s="270">
        <f>IF(Rules!B20=Rules!D20,SUM(C16:L16)*B4*F4,SUM(C16:L16)*B4*F4*POWER(O2,A16-1))</f>
        <v>1727.8984762249784</v>
      </c>
      <c r="T16" s="254">
        <f>IF(Rules!B20=Rules!D20,SUM(C16:L16)*D4*H4,SUM(C16:L16)*D4*H4*POWER(O2,A16-1))</f>
        <v>-1893.1585663076935</v>
      </c>
      <c r="U16" s="264">
        <f t="shared" si="0"/>
        <v>-875.29759053070734</v>
      </c>
      <c r="V16" s="94">
        <f>S16/B4</f>
        <v>3618.559201039473</v>
      </c>
      <c r="W16" s="10">
        <f>T16/D4</f>
        <v>-3623.3398511049991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6</v>
      </c>
      <c r="D21" s="57">
        <f>SUM($C$21:C21)</f>
        <v>6</v>
      </c>
      <c r="E21" s="57">
        <f t="shared" ref="E21:E30" si="2">D21/R7</f>
        <v>-133.39306500362503</v>
      </c>
      <c r="F21" s="8">
        <f t="shared" ref="F21:F30" si="3">U7/E21</f>
        <v>0.10998003213123864</v>
      </c>
      <c r="G21" s="256">
        <f>E21*U7</f>
        <v>1956.9527745548608</v>
      </c>
    </row>
    <row r="22" spans="1:7">
      <c r="A22" s="97">
        <v>2</v>
      </c>
      <c r="B22" s="93">
        <f>C21</f>
        <v>6</v>
      </c>
      <c r="C22" s="1">
        <f t="shared" si="1"/>
        <v>36</v>
      </c>
      <c r="D22" s="9">
        <f>SUM($C$21:C22)</f>
        <v>42</v>
      </c>
      <c r="E22" s="9">
        <f t="shared" si="2"/>
        <v>154.12729176571546</v>
      </c>
      <c r="F22" s="9">
        <f t="shared" si="3"/>
        <v>-0.28827840714787134</v>
      </c>
      <c r="G22" s="257">
        <f t="shared" ref="G22:G30" si="4">E22*U8</f>
        <v>-6848.1175789285198</v>
      </c>
    </row>
    <row r="23" spans="1:7">
      <c r="A23" s="97">
        <v>3</v>
      </c>
      <c r="B23" s="93">
        <f t="shared" ref="B23:B30" si="5">C22</f>
        <v>36</v>
      </c>
      <c r="C23" s="1">
        <f t="shared" si="1"/>
        <v>216</v>
      </c>
      <c r="D23" s="9">
        <f>SUM($C$21:C23)</f>
        <v>258</v>
      </c>
      <c r="E23" s="9">
        <f t="shared" si="2"/>
        <v>599.16125413304178</v>
      </c>
      <c r="F23" s="9">
        <f t="shared" si="3"/>
        <v>-0.14971118904219854</v>
      </c>
      <c r="G23" s="257">
        <f t="shared" si="4"/>
        <v>-53745.44980695306</v>
      </c>
    </row>
    <row r="24" spans="1:7">
      <c r="A24" s="97">
        <v>4</v>
      </c>
      <c r="B24" s="93">
        <f t="shared" si="5"/>
        <v>216</v>
      </c>
      <c r="C24" s="1">
        <f t="shared" si="1"/>
        <v>1296</v>
      </c>
      <c r="D24" s="9">
        <f>SUM($C$21:C24)</f>
        <v>1554</v>
      </c>
      <c r="E24" s="9">
        <f t="shared" si="2"/>
        <v>2960.2708707495481</v>
      </c>
      <c r="F24" s="9">
        <f t="shared" si="3"/>
        <v>-5.0973405837811084E-2</v>
      </c>
      <c r="G24" s="257">
        <f t="shared" si="4"/>
        <v>-446690.33498003957</v>
      </c>
    </row>
    <row r="25" spans="1:7">
      <c r="A25" s="97">
        <v>5</v>
      </c>
      <c r="B25" s="93">
        <f t="shared" si="5"/>
        <v>1296</v>
      </c>
      <c r="C25" s="1">
        <f t="shared" si="1"/>
        <v>7776</v>
      </c>
      <c r="D25" s="9">
        <f>SUM($C$21:C25)</f>
        <v>9330</v>
      </c>
      <c r="E25" s="9">
        <f t="shared" si="2"/>
        <v>15882.740478801494</v>
      </c>
      <c r="F25" s="9">
        <f t="shared" si="3"/>
        <v>-1.4382038645609895E-2</v>
      </c>
      <c r="G25" s="257">
        <f t="shared" si="4"/>
        <v>-3628033.8524695113</v>
      </c>
    </row>
    <row r="26" spans="1:7">
      <c r="A26" s="97">
        <v>6</v>
      </c>
      <c r="B26" s="93">
        <f t="shared" si="5"/>
        <v>7776</v>
      </c>
      <c r="C26" s="1">
        <f t="shared" si="1"/>
        <v>46656</v>
      </c>
      <c r="D26" s="9">
        <f>SUM($C$21:C26)</f>
        <v>55986</v>
      </c>
      <c r="E26" s="9">
        <f t="shared" si="2"/>
        <v>88627.659477421272</v>
      </c>
      <c r="F26" s="9">
        <f t="shared" si="3"/>
        <v>-3.6411158831190448E-3</v>
      </c>
      <c r="G26" s="257">
        <f t="shared" si="4"/>
        <v>-28600462.876917999</v>
      </c>
    </row>
    <row r="27" spans="1:7">
      <c r="A27" s="97">
        <v>7</v>
      </c>
      <c r="B27" s="93">
        <f t="shared" si="5"/>
        <v>46656</v>
      </c>
      <c r="C27" s="1">
        <f t="shared" si="1"/>
        <v>279936</v>
      </c>
      <c r="D27" s="9">
        <f>SUM($C$21:C27)</f>
        <v>335922</v>
      </c>
      <c r="E27" s="9">
        <f t="shared" si="2"/>
        <v>505457.3091505316</v>
      </c>
      <c r="F27" s="9">
        <f t="shared" si="3"/>
        <v>-8.588898293867194E-4</v>
      </c>
      <c r="G27" s="257">
        <f t="shared" si="4"/>
        <v>-219435264.32046303</v>
      </c>
    </row>
    <row r="28" spans="1:7">
      <c r="A28" s="97">
        <v>8</v>
      </c>
      <c r="B28" s="93">
        <f t="shared" si="5"/>
        <v>279936</v>
      </c>
      <c r="C28" s="1">
        <f t="shared" si="1"/>
        <v>1679616</v>
      </c>
      <c r="D28" s="9">
        <f>SUM($C$21:C28)</f>
        <v>2015538</v>
      </c>
      <c r="E28" s="9">
        <f t="shared" si="2"/>
        <v>2921493.7531057545</v>
      </c>
      <c r="F28" s="9">
        <f t="shared" si="3"/>
        <v>-1.9274794225565244E-4</v>
      </c>
      <c r="G28" s="257">
        <f t="shared" si="4"/>
        <v>-1645127925.0970123</v>
      </c>
    </row>
    <row r="29" spans="1:7">
      <c r="A29" s="97">
        <v>9</v>
      </c>
      <c r="B29" s="93">
        <f t="shared" si="5"/>
        <v>1679616</v>
      </c>
      <c r="C29" s="1">
        <f t="shared" si="1"/>
        <v>10077696</v>
      </c>
      <c r="D29" s="9">
        <f>SUM($C$21:C29)</f>
        <v>12093234</v>
      </c>
      <c r="E29" s="9">
        <f t="shared" si="2"/>
        <v>17034991.616932634</v>
      </c>
      <c r="F29" s="9">
        <f t="shared" si="3"/>
        <v>-4.1681118277875818E-5</v>
      </c>
      <c r="G29" s="257">
        <f t="shared" si="4"/>
        <v>-12095482867.83935</v>
      </c>
    </row>
    <row r="30" spans="1:7" ht="17" thickBot="1">
      <c r="A30" s="129">
        <v>10</v>
      </c>
      <c r="B30" s="94">
        <f t="shared" si="5"/>
        <v>10077696</v>
      </c>
      <c r="C30" s="109">
        <f t="shared" si="1"/>
        <v>60466176</v>
      </c>
      <c r="D30" s="10">
        <f>SUM($C$21:C30)</f>
        <v>72559410</v>
      </c>
      <c r="E30" s="10">
        <f t="shared" si="2"/>
        <v>99936231.739642173</v>
      </c>
      <c r="F30" s="10">
        <f t="shared" si="3"/>
        <v>-8.7585610873448511E-6</v>
      </c>
      <c r="G30" s="258">
        <f t="shared" si="4"/>
        <v>-87473942848.4272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6</v>
      </c>
      <c r="D33" s="57">
        <f>SUM($C$33:C33)</f>
        <v>6</v>
      </c>
      <c r="E33" s="9">
        <f t="shared" ref="E33:E42" si="7">D33/R7</f>
        <v>-133.39306500362503</v>
      </c>
      <c r="F33" s="8">
        <f t="shared" ref="F33:F42" si="8">U7/E33</f>
        <v>0.10998003213123864</v>
      </c>
      <c r="G33" s="259">
        <f>E33*U7</f>
        <v>1956.9527745548608</v>
      </c>
    </row>
    <row r="34" spans="1:7">
      <c r="A34" s="97">
        <v>2</v>
      </c>
      <c r="B34" s="93">
        <f t="shared" ref="B34:B42" si="9">B33*($O$2+1)</f>
        <v>7</v>
      </c>
      <c r="C34" s="1">
        <f t="shared" si="6"/>
        <v>42</v>
      </c>
      <c r="D34" s="9">
        <f>SUM($C$33:C34)</f>
        <v>48</v>
      </c>
      <c r="E34" s="9">
        <f t="shared" si="7"/>
        <v>176.14547630367483</v>
      </c>
      <c r="F34" s="9">
        <f t="shared" si="8"/>
        <v>-0.25224360625438741</v>
      </c>
      <c r="G34" s="257">
        <f t="shared" ref="G34:G42" si="10">E34*U8</f>
        <v>-7826.4200902040229</v>
      </c>
    </row>
    <row r="35" spans="1:7">
      <c r="A35" s="97">
        <v>3</v>
      </c>
      <c r="B35" s="93">
        <f t="shared" si="9"/>
        <v>49</v>
      </c>
      <c r="C35" s="1">
        <f t="shared" si="6"/>
        <v>294</v>
      </c>
      <c r="D35" s="9">
        <f>SUM($C$33:C35)</f>
        <v>342</v>
      </c>
      <c r="E35" s="9">
        <f t="shared" si="7"/>
        <v>794.23701129263668</v>
      </c>
      <c r="F35" s="9">
        <f t="shared" si="8"/>
        <v>-0.11294001980376382</v>
      </c>
      <c r="G35" s="257">
        <f t="shared" si="10"/>
        <v>-71243.968348751718</v>
      </c>
    </row>
    <row r="36" spans="1:7">
      <c r="A36" s="97">
        <v>4</v>
      </c>
      <c r="B36" s="93">
        <f t="shared" si="9"/>
        <v>343</v>
      </c>
      <c r="C36" s="1">
        <f t="shared" si="6"/>
        <v>2058</v>
      </c>
      <c r="D36" s="9">
        <f>SUM($C$33:C36)</f>
        <v>2400</v>
      </c>
      <c r="E36" s="9">
        <f t="shared" si="7"/>
        <v>4571.8469046325072</v>
      </c>
      <c r="F36" s="9">
        <f t="shared" si="8"/>
        <v>-3.3005280279982674E-2</v>
      </c>
      <c r="G36" s="257">
        <f t="shared" si="10"/>
        <v>-689869.24321241642</v>
      </c>
    </row>
    <row r="37" spans="1:7">
      <c r="A37" s="97">
        <v>5</v>
      </c>
      <c r="B37" s="93">
        <f t="shared" si="9"/>
        <v>2401</v>
      </c>
      <c r="C37" s="1">
        <f t="shared" si="6"/>
        <v>14406</v>
      </c>
      <c r="D37" s="9">
        <f>SUM($C$33:C37)</f>
        <v>16806</v>
      </c>
      <c r="E37" s="9">
        <f t="shared" si="7"/>
        <v>28609.360823873303</v>
      </c>
      <c r="F37" s="9">
        <f t="shared" si="8"/>
        <v>-7.9843163491336612E-3</v>
      </c>
      <c r="G37" s="257">
        <f t="shared" si="10"/>
        <v>-6535127.215927396</v>
      </c>
    </row>
    <row r="38" spans="1:7">
      <c r="A38" s="97">
        <v>6</v>
      </c>
      <c r="B38" s="93">
        <f t="shared" si="9"/>
        <v>16807</v>
      </c>
      <c r="C38" s="1">
        <f t="shared" si="6"/>
        <v>100842</v>
      </c>
      <c r="D38" s="9">
        <f>SUM($C$33:C38)</f>
        <v>117648</v>
      </c>
      <c r="E38" s="9">
        <f t="shared" si="7"/>
        <v>186240.61162075624</v>
      </c>
      <c r="F38" s="9">
        <f t="shared" si="8"/>
        <v>-1.7327240057825276E-3</v>
      </c>
      <c r="G38" s="257">
        <f t="shared" si="10"/>
        <v>-60100511.851956725</v>
      </c>
    </row>
    <row r="39" spans="1:7">
      <c r="A39" s="97">
        <v>7</v>
      </c>
      <c r="B39" s="93">
        <f t="shared" si="9"/>
        <v>117649</v>
      </c>
      <c r="C39" s="1">
        <f t="shared" si="6"/>
        <v>705894</v>
      </c>
      <c r="D39" s="9">
        <f>SUM($C$33:C39)</f>
        <v>823542</v>
      </c>
      <c r="E39" s="9">
        <f t="shared" si="7"/>
        <v>1239172.5558089293</v>
      </c>
      <c r="F39" s="9">
        <f t="shared" si="8"/>
        <v>-3.5034034605065139E-4</v>
      </c>
      <c r="G39" s="257">
        <f t="shared" si="10"/>
        <v>-537964635.98395693</v>
      </c>
    </row>
    <row r="40" spans="1:7">
      <c r="A40" s="97">
        <v>8</v>
      </c>
      <c r="B40" s="93">
        <f t="shared" si="9"/>
        <v>823543</v>
      </c>
      <c r="C40" s="1">
        <f t="shared" si="6"/>
        <v>4941258</v>
      </c>
      <c r="D40" s="9">
        <f>SUM($C$33:C40)</f>
        <v>5764800</v>
      </c>
      <c r="E40" s="9">
        <f t="shared" si="7"/>
        <v>8355995.8620993765</v>
      </c>
      <c r="F40" s="9">
        <f t="shared" si="8"/>
        <v>-6.7390161330501181E-5</v>
      </c>
      <c r="G40" s="257">
        <f t="shared" si="10"/>
        <v>-4705360783.3735991</v>
      </c>
    </row>
    <row r="41" spans="1:7">
      <c r="A41" s="97">
        <v>9</v>
      </c>
      <c r="B41" s="93">
        <f t="shared" si="9"/>
        <v>5764801</v>
      </c>
      <c r="C41" s="1">
        <f t="shared" si="6"/>
        <v>34588806</v>
      </c>
      <c r="D41" s="9">
        <f>SUM($C$33:C41)</f>
        <v>40353606</v>
      </c>
      <c r="E41" s="9">
        <f t="shared" si="7"/>
        <v>56843631.730189174</v>
      </c>
      <c r="F41" s="9">
        <f t="shared" si="8"/>
        <v>-1.2491065029381248E-5</v>
      </c>
      <c r="G41" s="257">
        <f t="shared" si="10"/>
        <v>-40361110190.089699</v>
      </c>
    </row>
    <row r="42" spans="1:7" ht="17" thickBot="1">
      <c r="A42" s="129">
        <v>10</v>
      </c>
      <c r="B42" s="94">
        <f t="shared" si="9"/>
        <v>40353607</v>
      </c>
      <c r="C42" s="109">
        <f t="shared" si="6"/>
        <v>242121642</v>
      </c>
      <c r="D42" s="10">
        <f>SUM($C$33:C42)</f>
        <v>282475248</v>
      </c>
      <c r="E42" s="9">
        <f t="shared" si="7"/>
        <v>389053767.7310344</v>
      </c>
      <c r="F42" s="10">
        <f t="shared" si="8"/>
        <v>-2.2498113708947018E-6</v>
      </c>
      <c r="G42" s="258">
        <f t="shared" si="10"/>
        <v>-340537825481.86786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6</v>
      </c>
      <c r="D45" s="57">
        <f>SUM(C45:C45)</f>
        <v>6</v>
      </c>
      <c r="E45" s="57">
        <f t="shared" ref="E45:E54" si="12">D45/R7</f>
        <v>-133.39306500362503</v>
      </c>
      <c r="F45" s="8">
        <f t="shared" ref="F45:F54" si="13">U7/E45</f>
        <v>0.10998003213123864</v>
      </c>
      <c r="G45" s="256">
        <f>E45*U7</f>
        <v>1956.9527745548608</v>
      </c>
    </row>
    <row r="46" spans="1:7">
      <c r="A46" s="97">
        <v>2</v>
      </c>
      <c r="B46" s="93">
        <f t="shared" ref="B46:B54" si="14">B45*$O$2*2</f>
        <v>12</v>
      </c>
      <c r="C46" s="1">
        <f t="shared" si="11"/>
        <v>72</v>
      </c>
      <c r="D46" s="9">
        <f>SUM($C$45:C46)</f>
        <v>78</v>
      </c>
      <c r="E46" s="9">
        <f t="shared" si="12"/>
        <v>286.2363989934716</v>
      </c>
      <c r="F46" s="9">
        <f t="shared" si="13"/>
        <v>-0.15522683461808456</v>
      </c>
      <c r="G46" s="257">
        <f t="shared" ref="G46:G54" si="15">E46*U8</f>
        <v>-12717.932646581537</v>
      </c>
    </row>
    <row r="47" spans="1:7">
      <c r="A47" s="97">
        <v>3</v>
      </c>
      <c r="B47" s="93">
        <f t="shared" si="14"/>
        <v>144</v>
      </c>
      <c r="C47" s="1">
        <f t="shared" si="11"/>
        <v>864</v>
      </c>
      <c r="D47" s="9">
        <f>SUM($C$45:C47)</f>
        <v>942</v>
      </c>
      <c r="E47" s="9">
        <f t="shared" si="12"/>
        <v>2187.6352767183153</v>
      </c>
      <c r="F47" s="9">
        <f t="shared" si="13"/>
        <v>-4.1003701457417434E-2</v>
      </c>
      <c r="G47" s="257">
        <f t="shared" si="15"/>
        <v>-196233.38650445652</v>
      </c>
    </row>
    <row r="48" spans="1:7">
      <c r="A48" s="97">
        <v>4</v>
      </c>
      <c r="B48" s="93">
        <f t="shared" si="14"/>
        <v>1728</v>
      </c>
      <c r="C48" s="1">
        <f t="shared" si="11"/>
        <v>10368</v>
      </c>
      <c r="D48" s="9">
        <f>SUM($C$45:C48)</f>
        <v>11310</v>
      </c>
      <c r="E48" s="9">
        <f t="shared" si="12"/>
        <v>21544.828538080688</v>
      </c>
      <c r="F48" s="9">
        <f t="shared" si="13"/>
        <v>-7.0037730037098515E-3</v>
      </c>
      <c r="G48" s="257">
        <f t="shared" si="15"/>
        <v>-3251008.8086385122</v>
      </c>
    </row>
    <row r="49" spans="1:7">
      <c r="A49" s="97">
        <v>5</v>
      </c>
      <c r="B49" s="93">
        <f t="shared" si="14"/>
        <v>20736</v>
      </c>
      <c r="C49" s="1">
        <f t="shared" si="11"/>
        <v>124416</v>
      </c>
      <c r="D49" s="9">
        <f>SUM($C$45:C49)</f>
        <v>135726</v>
      </c>
      <c r="E49" s="9">
        <f t="shared" si="12"/>
        <v>231050.46454724669</v>
      </c>
      <c r="F49" s="9">
        <f t="shared" si="13"/>
        <v>-9.8864197400306739E-4</v>
      </c>
      <c r="G49" s="257">
        <f t="shared" si="15"/>
        <v>-52777976.705281556</v>
      </c>
    </row>
    <row r="50" spans="1:7">
      <c r="A50" s="97">
        <v>6</v>
      </c>
      <c r="B50" s="93">
        <f t="shared" si="14"/>
        <v>248832</v>
      </c>
      <c r="C50" s="1">
        <f t="shared" si="11"/>
        <v>1492992</v>
      </c>
      <c r="D50" s="9">
        <f>SUM($C$45:C50)</f>
        <v>1628718</v>
      </c>
      <c r="E50" s="9">
        <f t="shared" si="12"/>
        <v>2578313.5835520779</v>
      </c>
      <c r="F50" s="9">
        <f t="shared" si="13"/>
        <v>-1.2516071771313561E-4</v>
      </c>
      <c r="G50" s="257">
        <f t="shared" si="15"/>
        <v>-832031020.18304813</v>
      </c>
    </row>
    <row r="51" spans="1:7">
      <c r="A51" s="97">
        <v>7</v>
      </c>
      <c r="B51" s="93">
        <f t="shared" si="14"/>
        <v>2985984</v>
      </c>
      <c r="C51" s="1">
        <f t="shared" si="11"/>
        <v>17915904</v>
      </c>
      <c r="D51" s="9">
        <f>SUM($C$45:C51)</f>
        <v>19544622</v>
      </c>
      <c r="E51" s="9">
        <f t="shared" si="12"/>
        <v>29408529.493407045</v>
      </c>
      <c r="F51" s="9">
        <f t="shared" si="13"/>
        <v>-1.476211662048238E-5</v>
      </c>
      <c r="G51" s="257">
        <f t="shared" si="15"/>
        <v>-12767187902.589104</v>
      </c>
    </row>
    <row r="52" spans="1:7">
      <c r="A52" s="97">
        <v>8</v>
      </c>
      <c r="B52" s="93">
        <f t="shared" si="14"/>
        <v>35831808</v>
      </c>
      <c r="C52" s="1">
        <f t="shared" si="11"/>
        <v>214990848</v>
      </c>
      <c r="D52" s="9">
        <f>SUM($C$45:C52)</f>
        <v>234535470</v>
      </c>
      <c r="E52" s="9">
        <f t="shared" si="12"/>
        <v>339955838.33533382</v>
      </c>
      <c r="F52" s="9">
        <f t="shared" si="13"/>
        <v>-1.6564266464175898E-6</v>
      </c>
      <c r="G52" s="257">
        <f t="shared" si="15"/>
        <v>-191433181176.8136</v>
      </c>
    </row>
    <row r="53" spans="1:7">
      <c r="A53" s="97">
        <v>9</v>
      </c>
      <c r="B53" s="93">
        <f t="shared" si="14"/>
        <v>429981696</v>
      </c>
      <c r="C53" s="1">
        <f t="shared" si="11"/>
        <v>2579890176</v>
      </c>
      <c r="D53" s="9">
        <f>SUM($C$45:C53)</f>
        <v>2814425646</v>
      </c>
      <c r="E53" s="9">
        <f t="shared" si="12"/>
        <v>3964507532.5665755</v>
      </c>
      <c r="F53" s="9">
        <f t="shared" si="13"/>
        <v>-1.7909853736318223E-7</v>
      </c>
      <c r="G53" s="257">
        <f t="shared" si="15"/>
        <v>-2814949018930.8086</v>
      </c>
    </row>
    <row r="54" spans="1:7" ht="17" thickBot="1">
      <c r="A54" s="129">
        <v>10</v>
      </c>
      <c r="B54" s="94">
        <f t="shared" si="14"/>
        <v>5159780352</v>
      </c>
      <c r="C54" s="109">
        <f t="shared" si="11"/>
        <v>30958682112</v>
      </c>
      <c r="D54" s="10">
        <f>SUM($C$45:C54)</f>
        <v>33773107758</v>
      </c>
      <c r="E54" s="10">
        <f t="shared" si="12"/>
        <v>46515774087.349869</v>
      </c>
      <c r="F54" s="10">
        <f t="shared" si="13"/>
        <v>-1.8817220775193929E-8</v>
      </c>
      <c r="G54" s="258">
        <f t="shared" si="15"/>
        <v>-40715144980328.055</v>
      </c>
    </row>
  </sheetData>
  <mergeCells count="1">
    <mergeCell ref="A18:F18"/>
  </mergeCells>
  <conditionalFormatting sqref="F45:F54">
    <cfRule type="cellIs" dxfId="393" priority="65" operator="equal">
      <formula>MAX($F$45:$F$54)</formula>
    </cfRule>
  </conditionalFormatting>
  <conditionalFormatting sqref="F21:F30">
    <cfRule type="cellIs" dxfId="392" priority="63" operator="equal">
      <formula>MAX($F$21:$F$30)</formula>
    </cfRule>
  </conditionalFormatting>
  <conditionalFormatting sqref="F33:F42">
    <cfRule type="cellIs" dxfId="391" priority="44" operator="lessThanOrEqual">
      <formula>0</formula>
    </cfRule>
    <cfRule type="cellIs" dxfId="390" priority="61" operator="equal">
      <formula>MAX($F$33:$F$42)</formula>
    </cfRule>
  </conditionalFormatting>
  <conditionalFormatting sqref="E33:E42">
    <cfRule type="cellIs" dxfId="389" priority="59" stopIfTrue="1" operator="lessThan">
      <formula>0</formula>
    </cfRule>
    <cfRule type="cellIs" dxfId="388" priority="60" operator="equal">
      <formula>MIN($E$33:$E$42)</formula>
    </cfRule>
  </conditionalFormatting>
  <conditionalFormatting sqref="E21:E30">
    <cfRule type="cellIs" dxfId="387" priority="55" stopIfTrue="1" operator="lessThan">
      <formula>0</formula>
    </cfRule>
    <cfRule type="cellIs" dxfId="386" priority="56" operator="equal">
      <formula>MIN($E$21:$E$30)</formula>
    </cfRule>
  </conditionalFormatting>
  <conditionalFormatting sqref="E45:E54">
    <cfRule type="cellIs" dxfId="385" priority="51" stopIfTrue="1" operator="lessThan">
      <formula>0</formula>
    </cfRule>
    <cfRule type="cellIs" dxfId="384" priority="52" operator="equal">
      <formula>MIN($E$45:$E$54)</formula>
    </cfRule>
  </conditionalFormatting>
  <conditionalFormatting sqref="R7:R16">
    <cfRule type="cellIs" dxfId="383" priority="29" operator="lessThanOrEqual">
      <formula>0</formula>
    </cfRule>
    <cfRule type="cellIs" dxfId="382" priority="30" operator="greaterThan">
      <formula>0</formula>
    </cfRule>
  </conditionalFormatting>
  <conditionalFormatting sqref="U7:U16">
    <cfRule type="cellIs" dxfId="381" priority="9" operator="lessThanOrEqual">
      <formula>0</formula>
    </cfRule>
    <cfRule type="cellIs" dxfId="380" priority="10" operator="greaterThan">
      <formula>0</formula>
    </cfRule>
  </conditionalFormatting>
  <conditionalFormatting sqref="S7:T16">
    <cfRule type="cellIs" dxfId="379" priority="1" operator="lessThanOrEqual">
      <formula>0</formula>
    </cfRule>
    <cfRule type="cellIs" dxfId="37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0.99999999999999867</v>
      </c>
    </row>
    <row r="2" spans="1:23">
      <c r="A2" t="s">
        <v>39</v>
      </c>
      <c r="B2" s="133" t="s">
        <v>124</v>
      </c>
      <c r="C2" s="139">
        <f>Analysis!B30</f>
        <v>0.48837523763258989</v>
      </c>
      <c r="D2" s="133" t="s">
        <v>125</v>
      </c>
      <c r="E2" s="139">
        <f>Analysis!K30</f>
        <v>0.51162476236740884</v>
      </c>
      <c r="F2" s="133" t="s">
        <v>46</v>
      </c>
      <c r="G2" s="139">
        <f>Analysis!S30</f>
        <v>383.81257798413787</v>
      </c>
      <c r="H2" t="s">
        <v>153</v>
      </c>
      <c r="I2" s="153">
        <f>Analysis!T30</f>
        <v>-384.3196509720724</v>
      </c>
      <c r="J2" t="s">
        <v>47</v>
      </c>
      <c r="K2" s="153">
        <f>G2*C2+I2*E2</f>
        <v>-9.1828911223317675</v>
      </c>
      <c r="L2" t="s">
        <v>46</v>
      </c>
      <c r="M2" s="160">
        <v>2</v>
      </c>
      <c r="N2" t="s">
        <v>153</v>
      </c>
      <c r="O2" s="160">
        <v>7</v>
      </c>
    </row>
    <row r="4" spans="1:23">
      <c r="A4" t="s">
        <v>122</v>
      </c>
      <c r="B4">
        <f>$C$2</f>
        <v>0.48837523763258989</v>
      </c>
      <c r="C4" t="s">
        <v>123</v>
      </c>
      <c r="D4">
        <f>$E$2</f>
        <v>0.51162476236740884</v>
      </c>
      <c r="E4" t="s">
        <v>46</v>
      </c>
      <c r="F4">
        <f>G2</f>
        <v>383.81257798413787</v>
      </c>
      <c r="G4" t="s">
        <v>153</v>
      </c>
      <c r="H4">
        <f>I2</f>
        <v>-384.3196509720724</v>
      </c>
      <c r="I4" t="s">
        <v>47</v>
      </c>
      <c r="J4">
        <f>B4*F4+D4*H4</f>
        <v>-9.1828911223317675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0.48837523763258989</v>
      </c>
      <c r="C7" s="95">
        <v>1</v>
      </c>
      <c r="D7" s="22">
        <f>C7*D4</f>
        <v>0.51162476236740884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0.99999999999999867</v>
      </c>
      <c r="R7" s="265">
        <f>B7-D7</f>
        <v>-2.3249524734818949E-2</v>
      </c>
      <c r="S7" s="266">
        <f>IF(Rules!B20=Rules!D20,SUM(C7)*B4*F4,SUM(C7)*B4*F4*POWER(O2,A7-1))</f>
        <v>187.44455897938028</v>
      </c>
      <c r="T7" s="252">
        <f>IF(Rules!B20=Rules!D20,SUM(C7)*D4*H4,SUM(C7)*D4*H4*POWER(O2,A7-1))</f>
        <v>-196.62745010171204</v>
      </c>
      <c r="U7" s="263">
        <f>S7+T7</f>
        <v>-9.1828911223317675</v>
      </c>
      <c r="V7" s="282">
        <f>S7/B4</f>
        <v>383.81257798413787</v>
      </c>
      <c r="W7" s="57">
        <f>T7/D4</f>
        <v>-384.3196509720724</v>
      </c>
    </row>
    <row r="8" spans="1:23">
      <c r="A8" s="98">
        <v>2</v>
      </c>
      <c r="B8" s="97">
        <f>C8*B4</f>
        <v>0.65104967729237251</v>
      </c>
      <c r="C8" s="97">
        <f>1/(1-B4*D4)</f>
        <v>1.3330931364340883</v>
      </c>
      <c r="D8" s="128">
        <f>C8*D4</f>
        <v>0.68204345914171416</v>
      </c>
      <c r="E8" s="1">
        <f>D8*D4</f>
        <v>0.34895032270762505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0.99999999999999756</v>
      </c>
      <c r="R8" s="267">
        <f>B8-E8</f>
        <v>0.30209935458474746</v>
      </c>
      <c r="S8" s="268">
        <f>IF(Rules!B20=Rules!D20,SUM(C8:D8)*B4*F4,SUM(C8:D8)*B4*F4*POWER(O2,A8-1))</f>
        <v>377.72639044091608</v>
      </c>
      <c r="T8" s="253">
        <f>IF(Rules!B20=Rules!D20,SUM(C8:D8)*D4*H4,SUM(C8:D8)*D4*H4*POWER(O2,A8-1))</f>
        <v>-396.23117039471492</v>
      </c>
      <c r="U8" s="264">
        <f>S8+T8+U7</f>
        <v>-27.687671076130613</v>
      </c>
      <c r="V8" s="93">
        <f>S8/B4</f>
        <v>773.43477173812778</v>
      </c>
      <c r="W8" s="9">
        <f>T8/D4</f>
        <v>-774.45659307274252</v>
      </c>
    </row>
    <row r="9" spans="1:23">
      <c r="A9" s="98">
        <v>3</v>
      </c>
      <c r="B9" s="97">
        <f>C9*B4</f>
        <v>0.7322990125206934</v>
      </c>
      <c r="C9" s="97">
        <f>1/(1-D4*B4/(1-D4*B4))</f>
        <v>1.4994597516256754</v>
      </c>
      <c r="D9" s="128">
        <f>C9*D4*C8</f>
        <v>1.0226967158425513</v>
      </c>
      <c r="E9" s="1">
        <f>D9*(D4)</f>
        <v>0.52323696421687471</v>
      </c>
      <c r="F9" s="1">
        <f>E9*D4</f>
        <v>0.26770098747930293</v>
      </c>
      <c r="G9" s="1"/>
      <c r="H9" s="1"/>
      <c r="I9" s="1"/>
      <c r="J9" s="1"/>
      <c r="K9" s="1"/>
      <c r="L9" s="1"/>
      <c r="M9" s="235"/>
      <c r="N9" s="97">
        <f>B9+F9</f>
        <v>0.99999999999999634</v>
      </c>
      <c r="R9" s="267">
        <f>B9-F9</f>
        <v>0.46459802504139047</v>
      </c>
      <c r="S9" s="268">
        <f>IF(Rules!B20=Rules!D20,SUM(C9:E9)*B4*F4,SUM(C9:E9)*B4*F4*POWER(O2,A9-1))</f>
        <v>570.84242872091522</v>
      </c>
      <c r="T9" s="253">
        <f>IF(Rules!B20=Rules!D20,SUM(C9:E9)*D4*H4,SUM(C9:E9)*D4*H4*POWER(O2,A9-1))</f>
        <v>-598.8079450287438</v>
      </c>
      <c r="U9" s="264">
        <f t="shared" ref="U9:U16" si="0">S9+T9+U8</f>
        <v>-55.653187383959192</v>
      </c>
      <c r="V9" s="93">
        <f>S9/B4</f>
        <v>1168.8603039910192</v>
      </c>
      <c r="W9" s="9">
        <f>T9/D4</f>
        <v>-1170.4045407378599</v>
      </c>
    </row>
    <row r="10" spans="1:23">
      <c r="A10" s="98">
        <v>4</v>
      </c>
      <c r="B10" s="97">
        <f>C10*B4</f>
        <v>0.78097841228131426</v>
      </c>
      <c r="C10" s="97">
        <f>1/(1-D4*B4/(1-D4*B4/(1-D4*B4)))</f>
        <v>1.5991359759907668</v>
      </c>
      <c r="D10" s="128">
        <f>C10*D4*C9</f>
        <v>1.2267943372704402</v>
      </c>
      <c r="E10" s="1">
        <f>D10*D4*C8</f>
        <v>0.83672705344739784</v>
      </c>
      <c r="F10" s="1">
        <f>E10*D4</f>
        <v>0.42809027988640713</v>
      </c>
      <c r="G10" s="1">
        <f>F10*D4</f>
        <v>0.21902158771868058</v>
      </c>
      <c r="H10" s="1"/>
      <c r="I10" s="1"/>
      <c r="J10" s="1"/>
      <c r="K10" s="1"/>
      <c r="L10" s="1"/>
      <c r="M10" s="235"/>
      <c r="N10" s="97">
        <f>B10+G10</f>
        <v>0.99999999999999489</v>
      </c>
      <c r="R10" s="267">
        <f>B10-G10</f>
        <v>0.56195682456263363</v>
      </c>
      <c r="S10" s="268">
        <f>IF(Rules!B20=Rules!D20,SUM(C10:F10)*B4*F4,SUM(C10:F10)*B4*F4*POWER(O2,A10-1))</f>
        <v>766.78838851193973</v>
      </c>
      <c r="T10" s="253">
        <f>IF(Rules!B20=Rules!D20,SUM(C10:F10)*D4*H4,SUM(C10:F10)*D4*H4*POWER(O2,A10-1))</f>
        <v>-804.35327875955659</v>
      </c>
      <c r="U10" s="264">
        <f t="shared" si="0"/>
        <v>-93.218077631576051</v>
      </c>
      <c r="V10" s="93">
        <f>S10/B4</f>
        <v>1570.0804001221763</v>
      </c>
      <c r="W10" s="9">
        <f>T10/D4</f>
        <v>-1572.1547077542214</v>
      </c>
    </row>
    <row r="11" spans="1:23">
      <c r="A11" s="98">
        <v>5</v>
      </c>
      <c r="B11" s="97">
        <f>C11*B4</f>
        <v>0.81337295797200959</v>
      </c>
      <c r="C11" s="97">
        <f>1/(1-D4*B4/(1-D4*B4/(1-D4*B4/(1-D4*B4))))</f>
        <v>1.6654672376815285</v>
      </c>
      <c r="D11" s="128">
        <f>C11*D4*C10</f>
        <v>1.3626146176194276</v>
      </c>
      <c r="E11" s="1">
        <f>D11*D4*C9</f>
        <v>1.0453444371681699</v>
      </c>
      <c r="F11" s="1">
        <f>E11*D4*C8</f>
        <v>0.71297033592072689</v>
      </c>
      <c r="G11" s="1">
        <f>F11*D4</f>
        <v>0.36477327869045356</v>
      </c>
      <c r="H11" s="1">
        <f>G11*D4</f>
        <v>0.18662704202798391</v>
      </c>
      <c r="I11" s="1"/>
      <c r="J11" s="1"/>
      <c r="K11" s="1"/>
      <c r="L11" s="1"/>
      <c r="M11" s="235"/>
      <c r="N11" s="97">
        <f>B11+H11</f>
        <v>0.99999999999999356</v>
      </c>
      <c r="R11" s="267">
        <f>B11-H11</f>
        <v>0.62674591594402562</v>
      </c>
      <c r="S11" s="268">
        <f>IF(Rules!B20=Rules!D20,SUM(C11:G11)*B4*F4,SUM(C11:G11)*B4*F4*POWER(O2,A11-1))</f>
        <v>965.55877146052319</v>
      </c>
      <c r="T11" s="253">
        <f>IF(Rules!B20=Rules!D20,SUM(C11:G11)*D4*H4,SUM(C11:G11)*D4*H4*POWER(O2,A11-1))</f>
        <v>-1012.8614038698736</v>
      </c>
      <c r="U11" s="264">
        <f t="shared" si="0"/>
        <v>-140.52071004092645</v>
      </c>
      <c r="V11" s="93">
        <f>S11/B4</f>
        <v>1977.0838016708042</v>
      </c>
      <c r="W11" s="9">
        <f>T11/D4</f>
        <v>-1979.6958207869459</v>
      </c>
    </row>
    <row r="12" spans="1:23">
      <c r="A12" s="98">
        <v>6</v>
      </c>
      <c r="B12" s="97">
        <f>C12*B4</f>
        <v>0.8364619915362832</v>
      </c>
      <c r="C12" s="97">
        <f>1/(1-D4*B4/(1-D4*B4/(1-D4*B4/(1-D4*B4/(1-D4*B4)))))</f>
        <v>1.7127444781824972</v>
      </c>
      <c r="D12" s="128">
        <f>C12*D4*C11</f>
        <v>1.4594197724633673</v>
      </c>
      <c r="E12" s="1">
        <f>D12*D4*C10</f>
        <v>1.1940353254680292</v>
      </c>
      <c r="F12" s="1">
        <f>E12*D4*C9</f>
        <v>0.91601702280350861</v>
      </c>
      <c r="G12" s="1">
        <f>F12*D4*C8</f>
        <v>0.6247634188655995</v>
      </c>
      <c r="H12" s="1">
        <f>G12*D4</f>
        <v>0.31964443571296225</v>
      </c>
      <c r="I12" s="1">
        <f>H12*D4</f>
        <v>0.16353800846370881</v>
      </c>
      <c r="J12" s="1"/>
      <c r="K12" s="1"/>
      <c r="L12" s="1"/>
      <c r="M12" s="235"/>
      <c r="N12" s="97">
        <f>B12+I12</f>
        <v>0.99999999999999201</v>
      </c>
      <c r="R12" s="267">
        <f>B12-I12</f>
        <v>0.67292398307257439</v>
      </c>
      <c r="S12" s="268">
        <f>IF(Rules!B20=Rules!D20,SUM(C12:H12)*B4*F4,SUM(C12:H12)*B4*F4*POWER(O2,A12-1))</f>
        <v>1167.1468746157757</v>
      </c>
      <c r="T12" s="253">
        <f>IF(Rules!B20=Rules!D20,SUM(C12:H12)*D4*H4,SUM(C12:H12)*D4*H4*POWER(O2,A12-1))</f>
        <v>-1224.3252890318777</v>
      </c>
      <c r="U12" s="264">
        <f t="shared" si="0"/>
        <v>-197.69912445702843</v>
      </c>
      <c r="V12" s="93">
        <f>S12/B4</f>
        <v>2389.8567836353595</v>
      </c>
      <c r="W12" s="9">
        <f>T12/D4</f>
        <v>-2393.01413670174</v>
      </c>
    </row>
    <row r="13" spans="1:23">
      <c r="A13" s="98">
        <v>7</v>
      </c>
      <c r="B13" s="97">
        <f>C13*B4</f>
        <v>0.85373520246299572</v>
      </c>
      <c r="C13" s="97">
        <f>1/(1-D4*B4/(1-D4*B4/(1-D4*B4/(1-D4*B4/(1-D4*B4/(1-D4*B4))))))</f>
        <v>1.7481132061516809</v>
      </c>
      <c r="D13" s="128">
        <f>C13*D4*C12</f>
        <v>1.5318409872256769</v>
      </c>
      <c r="E13" s="1">
        <f>D13*D4*C11</f>
        <v>1.3052729426395784</v>
      </c>
      <c r="F13" s="1">
        <f>E13*D4*C10</f>
        <v>1.0679189307258627</v>
      </c>
      <c r="G13" s="1">
        <f>F13*D4*C9</f>
        <v>0.8192654761998529</v>
      </c>
      <c r="H13" s="1">
        <f>G13*D4*C8</f>
        <v>0.55877465934273141</v>
      </c>
      <c r="I13" s="1">
        <f>H13*D4</f>
        <v>0.2858829523031548</v>
      </c>
      <c r="J13" s="1">
        <f>I13*D4</f>
        <v>0.14626479753699484</v>
      </c>
      <c r="K13" s="1"/>
      <c r="L13" s="1"/>
      <c r="M13" s="235"/>
      <c r="N13" s="97">
        <f>B13+J13</f>
        <v>0.99999999999999056</v>
      </c>
      <c r="R13" s="267">
        <f>B13-J13</f>
        <v>0.70747040492600088</v>
      </c>
      <c r="S13" s="268">
        <f>IF(Rules!B20=Rules!D20,SUM(C13:I13)*B4*F4,SUM(C13:I13)*B4*F4*POWER(O2,A13-1))</f>
        <v>1371.5448007034754</v>
      </c>
      <c r="T13" s="253">
        <f>IF(Rules!B20=Rules!D20,SUM(C13:I13)*D4*H4,SUM(C13:I13)*D4*H4*POWER(O2,A13-1))</f>
        <v>-1438.736650084634</v>
      </c>
      <c r="U13" s="264">
        <f t="shared" si="0"/>
        <v>-264.89097383818705</v>
      </c>
      <c r="V13" s="93">
        <f>S13/B4</f>
        <v>2808.3831755108431</v>
      </c>
      <c r="W13" s="9">
        <f>T13/D4</f>
        <v>-2812.0934636299835</v>
      </c>
    </row>
    <row r="14" spans="1:23">
      <c r="A14" s="98">
        <v>8</v>
      </c>
      <c r="B14" s="97">
        <f>C14*B4</f>
        <v>0.86713132342817256</v>
      </c>
      <c r="C14" s="97">
        <f>1/(1-D4*B4/(1-D4*B4/(1-D4*B4/(1-D4*B4/(1-D4*B4/(1-D4*B4/(1-D4*B4)))))))</f>
        <v>1.7755431819836145</v>
      </c>
      <c r="D14" s="128">
        <f>C14*D4*C13</f>
        <v>1.5880067665655568</v>
      </c>
      <c r="E14" s="1">
        <f>D14*D4*C12</f>
        <v>1.3915425182170766</v>
      </c>
      <c r="F14" s="1">
        <f>E14*D4*C11</f>
        <v>1.1857254197453471</v>
      </c>
      <c r="G14" s="1">
        <f>F14*D4*C10</f>
        <v>0.97011022064721875</v>
      </c>
      <c r="H14" s="1">
        <f>G14*D4*C9</f>
        <v>0.74423047388501562</v>
      </c>
      <c r="I14" s="1">
        <f>H14*D4*C8</f>
        <v>0.50759752680721326</v>
      </c>
      <c r="J14" s="1">
        <f>I14*D4</f>
        <v>0.2596994640310249</v>
      </c>
      <c r="K14" s="1">
        <f>J14*D4</f>
        <v>0.13286867657181656</v>
      </c>
      <c r="L14" s="1"/>
      <c r="M14" s="235"/>
      <c r="N14" s="97">
        <f>B14+K14</f>
        <v>0.99999999999998912</v>
      </c>
      <c r="R14" s="267">
        <f>B14-K14</f>
        <v>0.734262646856356</v>
      </c>
      <c r="S14" s="268">
        <f>IF(Rules!B20=Rules!D20,SUM(C14:J14)*B4*F4,SUM(C14:J14)*B4*F4*POWER(O2,A14-1))</f>
        <v>1578.7434701948584</v>
      </c>
      <c r="T14" s="253">
        <f>IF(Rules!B20=Rules!D20,SUM(C14:J14)*D4*H4,SUM(C14:J14)*D4*H4*POWER(O2,A14-1))</f>
        <v>-1656.0859626941278</v>
      </c>
      <c r="U14" s="264">
        <f t="shared" si="0"/>
        <v>-342.23346633745643</v>
      </c>
      <c r="V14" s="93">
        <f>S14/B4</f>
        <v>3232.6443860009231</v>
      </c>
      <c r="W14" s="9">
        <f>T14/D4</f>
        <v>-3236.9151857135025</v>
      </c>
    </row>
    <row r="15" spans="1:23">
      <c r="A15" s="98">
        <v>9</v>
      </c>
      <c r="B15" s="97">
        <f>C15*B4</f>
        <v>0.87781360852991375</v>
      </c>
      <c r="C15" s="97">
        <f>1/(1-D4*B4/(1-D4*B4/(1-D4*B4/(1-D4*B4/(1-D4*B4/(1-D4*B4/(1-D4*B4/(1-D4*B4))))))))</f>
        <v>1.7974162915899161</v>
      </c>
      <c r="D15" s="128">
        <f>C15*D4*C14</f>
        <v>1.6327942740410217</v>
      </c>
      <c r="E15" s="1">
        <f>D15*D4*C13</f>
        <v>1.4603352832511214</v>
      </c>
      <c r="F15" s="1">
        <f>E15*D4*C12</f>
        <v>1.2796662333444928</v>
      </c>
      <c r="G15" s="1">
        <f>F15*D4*C11</f>
        <v>1.090396277370266</v>
      </c>
      <c r="H15" s="1">
        <f>G15*D4*C10</f>
        <v>0.89211596177111108</v>
      </c>
      <c r="I15" s="1">
        <f>H15*D4*C9</f>
        <v>0.68439634059967569</v>
      </c>
      <c r="J15" s="1">
        <f>I15*D4*C8</f>
        <v>0.46678804756653364</v>
      </c>
      <c r="K15" s="1">
        <f>J15*D4</f>
        <v>0.2388203239121745</v>
      </c>
      <c r="L15" s="1">
        <f>K15*D4</f>
        <v>0.12218639147007389</v>
      </c>
      <c r="M15" s="235"/>
      <c r="N15" s="97">
        <f>B15+L15</f>
        <v>0.99999999999998768</v>
      </c>
      <c r="R15" s="267">
        <f>B15-L15</f>
        <v>0.75562721705983982</v>
      </c>
      <c r="S15" s="268">
        <f>IF(Rules!B20=Rules!D20,SUM(C15:K15)*B4*F4,SUM(C15:K15)*B4*F4*POWER(O2,A15-1))</f>
        <v>1788.7326351340716</v>
      </c>
      <c r="T15" s="253">
        <f>IF(Rules!B20=Rules!D20,SUM(C15:K15)*D4*H4,SUM(C15:K15)*D4*H4*POWER(O2,A15-1))</f>
        <v>-1876.3624768581235</v>
      </c>
      <c r="U15" s="264">
        <f t="shared" si="0"/>
        <v>-429.86330806150829</v>
      </c>
      <c r="V15" s="93">
        <f>S15/B4</f>
        <v>3662.6194313311089</v>
      </c>
      <c r="W15" s="9">
        <f>T15/D4</f>
        <v>-3667.4582914551484</v>
      </c>
    </row>
    <row r="16" spans="1:23" ht="17" thickBot="1">
      <c r="A16" s="99">
        <v>10</v>
      </c>
      <c r="B16" s="129">
        <f>C16*B4</f>
        <v>0.88652232337580472</v>
      </c>
      <c r="C16" s="129">
        <f>1/(1-D4*B4/(1-D4*B4/(1-D4*B4/(1-D4*B4/(1-D4*B4/(1-D4*B4/(1-D4*B4/(1-D4*B4/(1-D4*B4)))))))))</f>
        <v>1.8152483071689751</v>
      </c>
      <c r="D16" s="137">
        <f>C16*D4*C15</f>
        <v>1.6693072136927127</v>
      </c>
      <c r="E16" s="109">
        <f>D16*D4*C14</f>
        <v>1.5164184684905997</v>
      </c>
      <c r="F16" s="109">
        <f>E16*D4*C13</f>
        <v>1.3562513226052726</v>
      </c>
      <c r="G16" s="109">
        <f>F16*D4*C12</f>
        <v>1.1884592814897619</v>
      </c>
      <c r="H16" s="109">
        <f>G16*D4*C11</f>
        <v>1.0126793554251086</v>
      </c>
      <c r="I16" s="109">
        <f>H16*D4*C10</f>
        <v>0.8285312742534634</v>
      </c>
      <c r="J16" s="109">
        <f>I16*D4*C9</f>
        <v>0.63561666472787792</v>
      </c>
      <c r="K16" s="109">
        <f>J16*D4*C8</f>
        <v>0.43351818869912101</v>
      </c>
      <c r="L16" s="109">
        <f>K16*D4</f>
        <v>0.22179864027513729</v>
      </c>
      <c r="M16" s="237">
        <f>L16*D4</f>
        <v>0.11347767662418151</v>
      </c>
      <c r="N16" s="129">
        <f>B16+M16</f>
        <v>0.99999999999998623</v>
      </c>
      <c r="R16" s="269">
        <f>B16-M16</f>
        <v>0.77304464675162321</v>
      </c>
      <c r="S16" s="270">
        <f>IF(Rules!B20=Rules!D20,SUM(C16:L16)*B4*F4,SUM(C16:L16)*B4*F4*POWER(O2,A16-1))</f>
        <v>2001.5008946831924</v>
      </c>
      <c r="T16" s="254">
        <f>IF(Rules!B20=Rules!D20,SUM(C16:L16)*D4*H4,SUM(C16:L16)*D4*H4*POWER(O2,A16-1))</f>
        <v>-2099.5542332127316</v>
      </c>
      <c r="U16" s="264">
        <f t="shared" si="0"/>
        <v>-527.91664659104742</v>
      </c>
      <c r="V16" s="94">
        <f>S16/B4</f>
        <v>4098.2849670788255</v>
      </c>
      <c r="W16" s="10">
        <f>T16/D4</f>
        <v>-4103.6994055909208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7</v>
      </c>
      <c r="D21" s="57">
        <f>SUM($C$21:C21)</f>
        <v>7</v>
      </c>
      <c r="E21" s="57">
        <f t="shared" ref="E21:E30" si="2">D21/R7</f>
        <v>-301.08142337708352</v>
      </c>
      <c r="F21" s="8">
        <f t="shared" ref="F21:F30" si="3">U7/E21</f>
        <v>3.0499693469400256E-2</v>
      </c>
      <c r="G21" s="256">
        <f>E21*U7</f>
        <v>2764.7979298284326</v>
      </c>
    </row>
    <row r="22" spans="1:7">
      <c r="A22" s="97">
        <v>2</v>
      </c>
      <c r="B22" s="93">
        <f>C21</f>
        <v>7</v>
      </c>
      <c r="C22" s="1">
        <f t="shared" si="1"/>
        <v>49</v>
      </c>
      <c r="D22" s="9">
        <f>SUM($C$21:C22)</f>
        <v>56</v>
      </c>
      <c r="E22" s="9">
        <f t="shared" si="2"/>
        <v>185.36947911383376</v>
      </c>
      <c r="F22" s="9">
        <f t="shared" si="3"/>
        <v>-0.14936477789381852</v>
      </c>
      <c r="G22" s="257">
        <f t="shared" ref="G22:G30" si="4">E22*U8</f>
        <v>-5132.4491652574925</v>
      </c>
    </row>
    <row r="23" spans="1:7">
      <c r="A23" s="97">
        <v>3</v>
      </c>
      <c r="B23" s="93">
        <f t="shared" ref="B23:B30" si="5">C22</f>
        <v>49</v>
      </c>
      <c r="C23" s="1">
        <f t="shared" si="1"/>
        <v>343</v>
      </c>
      <c r="D23" s="9">
        <f>SUM($C$21:C23)</f>
        <v>399</v>
      </c>
      <c r="E23" s="9">
        <f t="shared" si="2"/>
        <v>858.80692231624005</v>
      </c>
      <c r="F23" s="9">
        <f t="shared" si="3"/>
        <v>-6.4802909638711451E-2</v>
      </c>
      <c r="G23" s="257">
        <f t="shared" si="4"/>
        <v>-47795.342574306989</v>
      </c>
    </row>
    <row r="24" spans="1:7">
      <c r="A24" s="97">
        <v>4</v>
      </c>
      <c r="B24" s="93">
        <f t="shared" si="5"/>
        <v>343</v>
      </c>
      <c r="C24" s="1">
        <f t="shared" si="1"/>
        <v>2401</v>
      </c>
      <c r="D24" s="9">
        <f>SUM($C$21:C24)</f>
        <v>2800</v>
      </c>
      <c r="E24" s="9">
        <f t="shared" si="2"/>
        <v>4982.5891912233947</v>
      </c>
      <c r="F24" s="9">
        <f t="shared" si="3"/>
        <v>-1.8708762463454837E-2</v>
      </c>
      <c r="G24" s="257">
        <f t="shared" si="4"/>
        <v>-464467.38603371411</v>
      </c>
    </row>
    <row r="25" spans="1:7">
      <c r="A25" s="97">
        <v>5</v>
      </c>
      <c r="B25" s="93">
        <f t="shared" si="5"/>
        <v>2401</v>
      </c>
      <c r="C25" s="1">
        <f t="shared" si="1"/>
        <v>16807</v>
      </c>
      <c r="D25" s="9">
        <f>SUM($C$21:C25)</f>
        <v>19607</v>
      </c>
      <c r="E25" s="9">
        <f t="shared" si="2"/>
        <v>31283.809756410272</v>
      </c>
      <c r="F25" s="9">
        <f t="shared" si="3"/>
        <v>-4.4918029848373172E-3</v>
      </c>
      <c r="G25" s="257">
        <f t="shared" si="4"/>
        <v>-4396023.1597560337</v>
      </c>
    </row>
    <row r="26" spans="1:7">
      <c r="A26" s="97">
        <v>6</v>
      </c>
      <c r="B26" s="93">
        <f t="shared" si="5"/>
        <v>16807</v>
      </c>
      <c r="C26" s="1">
        <f t="shared" si="1"/>
        <v>117649</v>
      </c>
      <c r="D26" s="9">
        <f>SUM($C$21:C26)</f>
        <v>137256</v>
      </c>
      <c r="E26" s="9">
        <f t="shared" si="2"/>
        <v>203969.54701077586</v>
      </c>
      <c r="F26" s="9">
        <f t="shared" si="3"/>
        <v>-9.6925804540117866E-4</v>
      </c>
      <c r="G26" s="257">
        <f t="shared" si="4"/>
        <v>-40324600.859927088</v>
      </c>
    </row>
    <row r="27" spans="1:7">
      <c r="A27" s="97">
        <v>7</v>
      </c>
      <c r="B27" s="93">
        <f t="shared" si="5"/>
        <v>117649</v>
      </c>
      <c r="C27" s="1">
        <f t="shared" si="1"/>
        <v>823543</v>
      </c>
      <c r="D27" s="9">
        <f>SUM($C$21:C27)</f>
        <v>960799</v>
      </c>
      <c r="E27" s="9">
        <f t="shared" si="2"/>
        <v>1358076.5969998371</v>
      </c>
      <c r="F27" s="9">
        <f t="shared" si="3"/>
        <v>-1.9504862569855389E-4</v>
      </c>
      <c r="G27" s="257">
        <f t="shared" si="4"/>
        <v>-359742232.32613796</v>
      </c>
    </row>
    <row r="28" spans="1:7">
      <c r="A28" s="97">
        <v>8</v>
      </c>
      <c r="B28" s="93">
        <f t="shared" si="5"/>
        <v>823543</v>
      </c>
      <c r="C28" s="1">
        <f t="shared" si="1"/>
        <v>5764801</v>
      </c>
      <c r="D28" s="9">
        <f>SUM($C$21:C28)</f>
        <v>6725600</v>
      </c>
      <c r="E28" s="9">
        <f t="shared" si="2"/>
        <v>9159665.1808378473</v>
      </c>
      <c r="F28" s="9">
        <f t="shared" si="3"/>
        <v>-3.736309784045533E-5</v>
      </c>
      <c r="G28" s="257">
        <f t="shared" si="4"/>
        <v>-3134743965.3286414</v>
      </c>
    </row>
    <row r="29" spans="1:7">
      <c r="A29" s="97">
        <v>9</v>
      </c>
      <c r="B29" s="93">
        <f t="shared" si="5"/>
        <v>5764801</v>
      </c>
      <c r="C29" s="1">
        <f t="shared" si="1"/>
        <v>40353607</v>
      </c>
      <c r="D29" s="9">
        <f>SUM($C$21:C29)</f>
        <v>47079207</v>
      </c>
      <c r="E29" s="9">
        <f t="shared" si="2"/>
        <v>62304805.778682917</v>
      </c>
      <c r="F29" s="9">
        <f t="shared" si="3"/>
        <v>-6.8993603733948644E-6</v>
      </c>
      <c r="G29" s="257">
        <f t="shared" si="4"/>
        <v>-26782549920.154415</v>
      </c>
    </row>
    <row r="30" spans="1:7" ht="17" thickBot="1">
      <c r="A30" s="129">
        <v>10</v>
      </c>
      <c r="B30" s="94">
        <f t="shared" si="5"/>
        <v>40353607</v>
      </c>
      <c r="C30" s="109">
        <f t="shared" si="1"/>
        <v>282475249</v>
      </c>
      <c r="D30" s="10">
        <f>SUM($C$21:C30)</f>
        <v>329554456</v>
      </c>
      <c r="E30" s="10">
        <f t="shared" si="2"/>
        <v>426307144.59353185</v>
      </c>
      <c r="F30" s="10">
        <f t="shared" si="3"/>
        <v>-1.2383481095405908E-6</v>
      </c>
      <c r="G30" s="258">
        <f t="shared" si="4"/>
        <v>-225054638191.6221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7</v>
      </c>
      <c r="D33" s="57">
        <f>SUM($C$33:C33)</f>
        <v>7</v>
      </c>
      <c r="E33" s="9">
        <f t="shared" ref="E33:E42" si="7">D33/R7</f>
        <v>-301.08142337708352</v>
      </c>
      <c r="F33" s="8">
        <f t="shared" ref="F33:F42" si="8">U7/E33</f>
        <v>3.0499693469400256E-2</v>
      </c>
      <c r="G33" s="259">
        <f>E33*U7</f>
        <v>2764.7979298284326</v>
      </c>
    </row>
    <row r="34" spans="1:7">
      <c r="A34" s="97">
        <v>2</v>
      </c>
      <c r="B34" s="93">
        <f t="shared" ref="B34:B42" si="9">B33*($O$2+1)</f>
        <v>8</v>
      </c>
      <c r="C34" s="1">
        <f t="shared" si="6"/>
        <v>56</v>
      </c>
      <c r="D34" s="9">
        <f>SUM($C$33:C34)</f>
        <v>63</v>
      </c>
      <c r="E34" s="9">
        <f t="shared" si="7"/>
        <v>208.54066400306297</v>
      </c>
      <c r="F34" s="9">
        <f t="shared" si="8"/>
        <v>-0.13276869146117204</v>
      </c>
      <c r="G34" s="257">
        <f t="shared" ref="G34:G42" si="10">E34*U8</f>
        <v>-5774.0053109146793</v>
      </c>
    </row>
    <row r="35" spans="1:7">
      <c r="A35" s="97">
        <v>3</v>
      </c>
      <c r="B35" s="93">
        <f t="shared" si="9"/>
        <v>64</v>
      </c>
      <c r="C35" s="1">
        <f t="shared" si="6"/>
        <v>448</v>
      </c>
      <c r="D35" s="9">
        <f>SUM($C$33:C35)</f>
        <v>511</v>
      </c>
      <c r="E35" s="9">
        <f t="shared" si="7"/>
        <v>1099.8755320892199</v>
      </c>
      <c r="F35" s="9">
        <f t="shared" si="8"/>
        <v>-5.0599532183651402E-2</v>
      </c>
      <c r="G35" s="257">
        <f t="shared" si="10"/>
        <v>-61211.579086393176</v>
      </c>
    </row>
    <row r="36" spans="1:7">
      <c r="A36" s="97">
        <v>4</v>
      </c>
      <c r="B36" s="93">
        <f t="shared" si="9"/>
        <v>512</v>
      </c>
      <c r="C36" s="1">
        <f t="shared" si="6"/>
        <v>3584</v>
      </c>
      <c r="D36" s="9">
        <f>SUM($C$33:C36)</f>
        <v>4095</v>
      </c>
      <c r="E36" s="9">
        <f t="shared" si="7"/>
        <v>7287.0366921642153</v>
      </c>
      <c r="F36" s="9">
        <f t="shared" si="8"/>
        <v>-1.2792316214328093E-2</v>
      </c>
      <c r="G36" s="257">
        <f t="shared" si="10"/>
        <v>-679283.55207430699</v>
      </c>
    </row>
    <row r="37" spans="1:7">
      <c r="A37" s="97">
        <v>5</v>
      </c>
      <c r="B37" s="93">
        <f t="shared" si="9"/>
        <v>4096</v>
      </c>
      <c r="C37" s="1">
        <f t="shared" si="6"/>
        <v>28672</v>
      </c>
      <c r="D37" s="9">
        <f>SUM($C$33:C37)</f>
        <v>32767</v>
      </c>
      <c r="E37" s="9">
        <f t="shared" si="7"/>
        <v>52281.154398342187</v>
      </c>
      <c r="F37" s="9">
        <f t="shared" si="8"/>
        <v>-2.6877889682822747E-3</v>
      </c>
      <c r="G37" s="257">
        <f t="shared" si="10"/>
        <v>-7346584.9378143484</v>
      </c>
    </row>
    <row r="38" spans="1:7">
      <c r="A38" s="97">
        <v>6</v>
      </c>
      <c r="B38" s="93">
        <f t="shared" si="9"/>
        <v>32768</v>
      </c>
      <c r="C38" s="1">
        <f t="shared" si="6"/>
        <v>229376</v>
      </c>
      <c r="D38" s="9">
        <f>SUM($C$33:C38)</f>
        <v>262143</v>
      </c>
      <c r="E38" s="9">
        <f t="shared" si="7"/>
        <v>389558.11740139459</v>
      </c>
      <c r="F38" s="9">
        <f t="shared" si="8"/>
        <v>-5.0749584112329597E-4</v>
      </c>
      <c r="G38" s="257">
        <f t="shared" si="10"/>
        <v>-77015298.735384002</v>
      </c>
    </row>
    <row r="39" spans="1:7">
      <c r="A39" s="97">
        <v>7</v>
      </c>
      <c r="B39" s="93">
        <f t="shared" si="9"/>
        <v>262144</v>
      </c>
      <c r="C39" s="1">
        <f t="shared" si="6"/>
        <v>1835008</v>
      </c>
      <c r="D39" s="9">
        <f>SUM($C$33:C39)</f>
        <v>2097151</v>
      </c>
      <c r="E39" s="9">
        <f t="shared" si="7"/>
        <v>2964295.0226580221</v>
      </c>
      <c r="F39" s="9">
        <f t="shared" si="8"/>
        <v>-8.9360529843842871E-5</v>
      </c>
      <c r="G39" s="257">
        <f t="shared" si="10"/>
        <v>-785214995.29557419</v>
      </c>
    </row>
    <row r="40" spans="1:7">
      <c r="A40" s="97">
        <v>8</v>
      </c>
      <c r="B40" s="93">
        <f t="shared" si="9"/>
        <v>2097152</v>
      </c>
      <c r="C40" s="1">
        <f t="shared" si="6"/>
        <v>14680064</v>
      </c>
      <c r="D40" s="9">
        <f>SUM($C$33:C40)</f>
        <v>16777215</v>
      </c>
      <c r="E40" s="9">
        <f t="shared" si="7"/>
        <v>22849065.074778523</v>
      </c>
      <c r="F40" s="9">
        <f t="shared" si="8"/>
        <v>-1.4978007424698698E-5</v>
      </c>
      <c r="G40" s="257">
        <f t="shared" si="10"/>
        <v>-7819714743.1115675</v>
      </c>
    </row>
    <row r="41" spans="1:7">
      <c r="A41" s="97">
        <v>9</v>
      </c>
      <c r="B41" s="93">
        <f t="shared" si="9"/>
        <v>16777216</v>
      </c>
      <c r="C41" s="1">
        <f t="shared" si="6"/>
        <v>117440512</v>
      </c>
      <c r="D41" s="9">
        <f>SUM($C$33:C41)</f>
        <v>134217727</v>
      </c>
      <c r="E41" s="9">
        <f t="shared" si="7"/>
        <v>177624262.29463226</v>
      </c>
      <c r="F41" s="9">
        <f t="shared" si="8"/>
        <v>-2.4200708985829726E-6</v>
      </c>
      <c r="G41" s="257">
        <f t="shared" si="10"/>
        <v>-76354152981.955658</v>
      </c>
    </row>
    <row r="42" spans="1:7" ht="17" thickBot="1">
      <c r="A42" s="129">
        <v>10</v>
      </c>
      <c r="B42" s="94">
        <f t="shared" si="9"/>
        <v>134217728</v>
      </c>
      <c r="C42" s="109">
        <f t="shared" si="6"/>
        <v>939524096</v>
      </c>
      <c r="D42" s="10">
        <f>SUM($C$33:C42)</f>
        <v>1073741823</v>
      </c>
      <c r="E42" s="9">
        <f t="shared" si="7"/>
        <v>1388977761.5198853</v>
      </c>
      <c r="F42" s="10">
        <f t="shared" si="8"/>
        <v>-3.8007566515202949E-7</v>
      </c>
      <c r="G42" s="258">
        <f t="shared" si="10"/>
        <v>-733264482051.11743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7</v>
      </c>
      <c r="D45" s="57">
        <f>SUM(C45:C45)</f>
        <v>7</v>
      </c>
      <c r="E45" s="57">
        <f t="shared" ref="E45:E54" si="12">D45/R7</f>
        <v>-301.08142337708352</v>
      </c>
      <c r="F45" s="8">
        <f t="shared" ref="F45:F54" si="13">U7/E45</f>
        <v>3.0499693469400256E-2</v>
      </c>
      <c r="G45" s="256">
        <f>E45*U7</f>
        <v>2764.7979298284326</v>
      </c>
    </row>
    <row r="46" spans="1:7">
      <c r="A46" s="97">
        <v>2</v>
      </c>
      <c r="B46" s="93">
        <f t="shared" ref="B46:B54" si="14">B45*$O$2*2</f>
        <v>14</v>
      </c>
      <c r="C46" s="1">
        <f t="shared" si="11"/>
        <v>98</v>
      </c>
      <c r="D46" s="9">
        <f>SUM($C$45:C46)</f>
        <v>105</v>
      </c>
      <c r="E46" s="9">
        <f t="shared" si="12"/>
        <v>347.56777333843826</v>
      </c>
      <c r="F46" s="9">
        <f t="shared" si="13"/>
        <v>-7.9661214876703232E-2</v>
      </c>
      <c r="G46" s="257">
        <f t="shared" ref="G46:G54" si="15">E46*U8</f>
        <v>-9623.3421848577982</v>
      </c>
    </row>
    <row r="47" spans="1:7">
      <c r="A47" s="97">
        <v>3</v>
      </c>
      <c r="B47" s="93">
        <f t="shared" si="14"/>
        <v>196</v>
      </c>
      <c r="C47" s="1">
        <f t="shared" si="11"/>
        <v>1372</v>
      </c>
      <c r="D47" s="9">
        <f>SUM($C$45:C47)</f>
        <v>1477</v>
      </c>
      <c r="E47" s="9">
        <f t="shared" si="12"/>
        <v>3179.0922913811696</v>
      </c>
      <c r="F47" s="9">
        <f t="shared" si="13"/>
        <v>-1.7505999286286978E-2</v>
      </c>
      <c r="G47" s="257">
        <f t="shared" si="15"/>
        <v>-176926.61900313644</v>
      </c>
    </row>
    <row r="48" spans="1:7">
      <c r="A48" s="97">
        <v>4</v>
      </c>
      <c r="B48" s="93">
        <f t="shared" si="14"/>
        <v>2744</v>
      </c>
      <c r="C48" s="1">
        <f t="shared" si="11"/>
        <v>19208</v>
      </c>
      <c r="D48" s="9">
        <f>SUM($C$45:C48)</f>
        <v>20685</v>
      </c>
      <c r="E48" s="9">
        <f t="shared" si="12"/>
        <v>36808.877650162831</v>
      </c>
      <c r="F48" s="9">
        <f t="shared" si="13"/>
        <v>-2.5324889967451559E-3</v>
      </c>
      <c r="G48" s="257">
        <f t="shared" si="15"/>
        <v>-3431252.8143240632</v>
      </c>
    </row>
    <row r="49" spans="1:7">
      <c r="A49" s="97">
        <v>5</v>
      </c>
      <c r="B49" s="93">
        <f t="shared" si="14"/>
        <v>38416</v>
      </c>
      <c r="C49" s="1">
        <f t="shared" si="11"/>
        <v>268912</v>
      </c>
      <c r="D49" s="9">
        <f>SUM($C$45:C49)</f>
        <v>289597</v>
      </c>
      <c r="E49" s="9">
        <f t="shared" si="12"/>
        <v>462064.43892625824</v>
      </c>
      <c r="F49" s="9">
        <f t="shared" si="13"/>
        <v>-3.0411496363465533E-4</v>
      </c>
      <c r="G49" s="257">
        <f t="shared" si="15"/>
        <v>-64929623.042580098</v>
      </c>
    </row>
    <row r="50" spans="1:7">
      <c r="A50" s="97">
        <v>6</v>
      </c>
      <c r="B50" s="93">
        <f t="shared" si="14"/>
        <v>537824</v>
      </c>
      <c r="C50" s="1">
        <f t="shared" si="11"/>
        <v>3764768</v>
      </c>
      <c r="D50" s="9">
        <f>SUM($C$45:C50)</f>
        <v>4054365</v>
      </c>
      <c r="E50" s="9">
        <f t="shared" si="12"/>
        <v>6024997.0308499755</v>
      </c>
      <c r="F50" s="9">
        <f t="shared" si="13"/>
        <v>-3.2813148860446504E-5</v>
      </c>
      <c r="G50" s="257">
        <f t="shared" si="15"/>
        <v>-1191136637.8552361</v>
      </c>
    </row>
    <row r="51" spans="1:7">
      <c r="A51" s="97">
        <v>7</v>
      </c>
      <c r="B51" s="93">
        <f t="shared" si="14"/>
        <v>7529536</v>
      </c>
      <c r="C51" s="1">
        <f t="shared" si="11"/>
        <v>52706752</v>
      </c>
      <c r="D51" s="9">
        <f>SUM($C$45:C51)</f>
        <v>56761117</v>
      </c>
      <c r="E51" s="9">
        <f t="shared" si="12"/>
        <v>80231083.314272389</v>
      </c>
      <c r="F51" s="9">
        <f t="shared" si="13"/>
        <v>-3.3016003635471956E-6</v>
      </c>
      <c r="G51" s="257">
        <f t="shared" si="15"/>
        <v>-21252489791.210335</v>
      </c>
    </row>
    <row r="52" spans="1:7">
      <c r="A52" s="97">
        <v>8</v>
      </c>
      <c r="B52" s="93">
        <f t="shared" si="14"/>
        <v>105413504</v>
      </c>
      <c r="C52" s="1">
        <f t="shared" si="11"/>
        <v>737894528</v>
      </c>
      <c r="D52" s="9">
        <f>SUM($C$45:C52)</f>
        <v>794655645</v>
      </c>
      <c r="E52" s="9">
        <f t="shared" si="12"/>
        <v>1082249857.5982425</v>
      </c>
      <c r="F52" s="9">
        <f t="shared" si="13"/>
        <v>-3.1622408072840962E-7</v>
      </c>
      <c r="G52" s="257">
        <f t="shared" si="15"/>
        <v>-370382120209.06512</v>
      </c>
    </row>
    <row r="53" spans="1:7">
      <c r="A53" s="97">
        <v>9</v>
      </c>
      <c r="B53" s="93">
        <f t="shared" si="14"/>
        <v>1475789056</v>
      </c>
      <c r="C53" s="1">
        <f t="shared" si="11"/>
        <v>10330523392</v>
      </c>
      <c r="D53" s="9">
        <f>SUM($C$45:C53)</f>
        <v>11125179037</v>
      </c>
      <c r="E53" s="9">
        <f t="shared" si="12"/>
        <v>14723105237.379204</v>
      </c>
      <c r="F53" s="9">
        <f t="shared" si="13"/>
        <v>-2.9196511274684496E-8</v>
      </c>
      <c r="G53" s="257">
        <f t="shared" si="15"/>
        <v>-6328922722277.543</v>
      </c>
    </row>
    <row r="54" spans="1:7" ht="17" thickBot="1">
      <c r="A54" s="129">
        <v>10</v>
      </c>
      <c r="B54" s="94">
        <f t="shared" si="14"/>
        <v>20661046784</v>
      </c>
      <c r="C54" s="109">
        <f t="shared" si="11"/>
        <v>144627327488</v>
      </c>
      <c r="D54" s="10">
        <f>SUM($C$45:C54)</f>
        <v>155752506525</v>
      </c>
      <c r="E54" s="10">
        <f t="shared" si="12"/>
        <v>201479315818.92551</v>
      </c>
      <c r="F54" s="10">
        <f t="shared" si="13"/>
        <v>-2.6202026964668636E-9</v>
      </c>
      <c r="G54" s="258">
        <f t="shared" si="15"/>
        <v>-106364284764585.73</v>
      </c>
    </row>
  </sheetData>
  <mergeCells count="1">
    <mergeCell ref="A18:F18"/>
  </mergeCells>
  <conditionalFormatting sqref="F45:F54">
    <cfRule type="cellIs" dxfId="377" priority="65" operator="equal">
      <formula>MAX($F$45:$F$54)</formula>
    </cfRule>
  </conditionalFormatting>
  <conditionalFormatting sqref="F21:F30">
    <cfRule type="cellIs" dxfId="376" priority="63" operator="equal">
      <formula>MAX($F$21:$F$30)</formula>
    </cfRule>
  </conditionalFormatting>
  <conditionalFormatting sqref="F33:F42">
    <cfRule type="cellIs" dxfId="375" priority="44" operator="lessThanOrEqual">
      <formula>0</formula>
    </cfRule>
    <cfRule type="cellIs" dxfId="374" priority="61" operator="equal">
      <formula>MAX($F$33:$F$42)</formula>
    </cfRule>
  </conditionalFormatting>
  <conditionalFormatting sqref="E33:E42">
    <cfRule type="cellIs" dxfId="373" priority="59" stopIfTrue="1" operator="lessThan">
      <formula>0</formula>
    </cfRule>
    <cfRule type="cellIs" dxfId="372" priority="60" operator="equal">
      <formula>MIN($E$33:$E$42)</formula>
    </cfRule>
  </conditionalFormatting>
  <conditionalFormatting sqref="E21:E30">
    <cfRule type="cellIs" dxfId="371" priority="55" stopIfTrue="1" operator="lessThan">
      <formula>0</formula>
    </cfRule>
    <cfRule type="cellIs" dxfId="370" priority="56" operator="equal">
      <formula>MIN($E$21:$E$30)</formula>
    </cfRule>
  </conditionalFormatting>
  <conditionalFormatting sqref="E45:E54">
    <cfRule type="cellIs" dxfId="369" priority="51" stopIfTrue="1" operator="lessThan">
      <formula>0</formula>
    </cfRule>
    <cfRule type="cellIs" dxfId="368" priority="52" operator="equal">
      <formula>MIN($E$45:$E$54)</formula>
    </cfRule>
  </conditionalFormatting>
  <conditionalFormatting sqref="R7:R16">
    <cfRule type="cellIs" dxfId="367" priority="29" operator="lessThanOrEqual">
      <formula>0</formula>
    </cfRule>
    <cfRule type="cellIs" dxfId="366" priority="30" operator="greaterThan">
      <formula>0</formula>
    </cfRule>
  </conditionalFormatting>
  <conditionalFormatting sqref="U7:U16">
    <cfRule type="cellIs" dxfId="365" priority="9" operator="lessThanOrEqual">
      <formula>0</formula>
    </cfRule>
    <cfRule type="cellIs" dxfId="364" priority="10" operator="greaterThan">
      <formula>0</formula>
    </cfRule>
  </conditionalFormatting>
  <conditionalFormatting sqref="S7:T16">
    <cfRule type="cellIs" dxfId="363" priority="1" operator="lessThanOrEqual">
      <formula>0</formula>
    </cfRule>
    <cfRule type="cellIs" dxfId="36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0.99999999999999867</v>
      </c>
    </row>
    <row r="2" spans="1:23">
      <c r="A2" t="s">
        <v>39</v>
      </c>
      <c r="B2" s="133" t="s">
        <v>124</v>
      </c>
      <c r="C2" s="139">
        <f>Analysis!B31</f>
        <v>0.49589064626181828</v>
      </c>
      <c r="D2" s="133" t="s">
        <v>125</v>
      </c>
      <c r="E2" s="139">
        <f>Analysis!L31</f>
        <v>0.50410935373818033</v>
      </c>
      <c r="F2" s="133" t="s">
        <v>46</v>
      </c>
      <c r="G2" s="139">
        <f>Analysis!S31</f>
        <v>448.13011811155195</v>
      </c>
      <c r="H2" t="s">
        <v>153</v>
      </c>
      <c r="I2" s="153">
        <f>Analysis!T31</f>
        <v>-448.72216405013938</v>
      </c>
      <c r="J2" t="s">
        <v>47</v>
      </c>
      <c r="K2" s="153">
        <f>G2*C2+I2*E2</f>
        <v>-3.9815062475910565</v>
      </c>
      <c r="L2" t="s">
        <v>46</v>
      </c>
      <c r="M2" s="160">
        <v>2</v>
      </c>
      <c r="N2" t="s">
        <v>153</v>
      </c>
      <c r="O2" s="160">
        <v>8</v>
      </c>
    </row>
    <row r="4" spans="1:23">
      <c r="A4" t="s">
        <v>122</v>
      </c>
      <c r="B4">
        <f>$C$2</f>
        <v>0.49589064626181828</v>
      </c>
      <c r="C4" t="s">
        <v>123</v>
      </c>
      <c r="D4">
        <f>$E$2</f>
        <v>0.50410935373818033</v>
      </c>
      <c r="E4" t="s">
        <v>46</v>
      </c>
      <c r="F4">
        <f>G2</f>
        <v>448.13011811155195</v>
      </c>
      <c r="G4" t="s">
        <v>153</v>
      </c>
      <c r="H4">
        <f>I2</f>
        <v>-448.72216405013938</v>
      </c>
      <c r="I4" t="s">
        <v>47</v>
      </c>
      <c r="J4">
        <f>B4*F4+D4*H4</f>
        <v>-3.9815062475910565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0.49589064626181828</v>
      </c>
      <c r="C7" s="95">
        <v>1</v>
      </c>
      <c r="D7" s="22">
        <f>C7*D4</f>
        <v>0.50410935373818033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0.99999999999999867</v>
      </c>
      <c r="R7" s="265">
        <f>B7-D7</f>
        <v>-8.2187074763620527E-3</v>
      </c>
      <c r="S7" s="266">
        <f>IF(Rules!B20=Rules!D20,SUM(C7)*B4*F4,SUM(C7)*B4*F4*POWER(O2,A7-1))</f>
        <v>222.22353387972245</v>
      </c>
      <c r="T7" s="252">
        <f>IF(Rules!B20=Rules!D20,SUM(C7)*D4*H4,SUM(C7)*D4*H4*POWER(O2,A7-1))</f>
        <v>-226.20504012731351</v>
      </c>
      <c r="U7" s="263">
        <f>S7+T7</f>
        <v>-3.9815062475910565</v>
      </c>
      <c r="V7" s="282">
        <f>S7/B4</f>
        <v>448.13011811155195</v>
      </c>
      <c r="W7" s="57">
        <f>T7/D4</f>
        <v>-448.72216405013938</v>
      </c>
    </row>
    <row r="8" spans="1:23">
      <c r="A8" s="98">
        <v>2</v>
      </c>
      <c r="B8" s="97">
        <f>C8*B4</f>
        <v>0.66117264157265598</v>
      </c>
      <c r="C8" s="97">
        <f>1/(1-B4*D4)</f>
        <v>1.3333033130525571</v>
      </c>
      <c r="D8" s="128">
        <f>C8*D4</f>
        <v>0.67213067147989936</v>
      </c>
      <c r="E8" s="1">
        <f>D8*D4</f>
        <v>0.33882735842734124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0.99999999999999722</v>
      </c>
      <c r="R8" s="267">
        <f>B8-E8</f>
        <v>0.32234528314531474</v>
      </c>
      <c r="S8" s="268">
        <f>IF(Rules!B20=Rules!D20,SUM(C8:D8)*B4*F4,SUM(C8:D8)*B4*F4*POWER(O2,A8-1))</f>
        <v>445.65462700529514</v>
      </c>
      <c r="T8" s="253">
        <f>IF(Rules!B20=Rules!D20,SUM(C8:D8)*D4*H4,SUM(C8:D8)*D4*H4*POWER(O2,A8-1))</f>
        <v>-453.63927494384251</v>
      </c>
      <c r="U8" s="264">
        <f>S8+T8+U7</f>
        <v>-11.966154186138425</v>
      </c>
      <c r="V8" s="93">
        <f>S8/B4</f>
        <v>898.69536835345002</v>
      </c>
      <c r="W8" s="9">
        <f>T8/D4</f>
        <v>-899.88267739909759</v>
      </c>
    </row>
    <row r="9" spans="1:23">
      <c r="A9" s="98">
        <v>3</v>
      </c>
      <c r="B9" s="97">
        <f>C9*B4</f>
        <v>0.74380247565398561</v>
      </c>
      <c r="C9" s="97">
        <f>1/(1-D4*B4/(1-D4*B4))</f>
        <v>1.4999324574097248</v>
      </c>
      <c r="D9" s="128">
        <f>C9*D4*C8</f>
        <v>1.0081506097732937</v>
      </c>
      <c r="E9" s="1">
        <f>D9*(D4)</f>
        <v>0.50821815236356749</v>
      </c>
      <c r="F9" s="1">
        <f>E9*D4</f>
        <v>0.25619752434601006</v>
      </c>
      <c r="G9" s="1"/>
      <c r="H9" s="1"/>
      <c r="I9" s="1"/>
      <c r="J9" s="1"/>
      <c r="K9" s="1"/>
      <c r="L9" s="1"/>
      <c r="M9" s="235"/>
      <c r="N9" s="97">
        <f>B9+F9</f>
        <v>0.99999999999999567</v>
      </c>
      <c r="R9" s="267">
        <f>B9-F9</f>
        <v>0.48760495130797554</v>
      </c>
      <c r="S9" s="268">
        <f>IF(Rules!B20=Rules!D20,SUM(C9:E9)*B4*F4,SUM(C9:E9)*B4*F4*POWER(O2,A9-1))</f>
        <v>670.29311625335879</v>
      </c>
      <c r="T9" s="253">
        <f>IF(Rules!B20=Rules!D20,SUM(C9:E9)*D4*H4,SUM(C9:E9)*D4*H4*POWER(O2,A9-1))</f>
        <v>-682.30253840360012</v>
      </c>
      <c r="U9" s="264">
        <f t="shared" ref="U9:U16" si="0">S9+T9+U8</f>
        <v>-23.97557633637976</v>
      </c>
      <c r="V9" s="93">
        <f>S9/B4</f>
        <v>1351.6954217754296</v>
      </c>
      <c r="W9" s="9">
        <f>T9/D4</f>
        <v>-1353.4812106620186</v>
      </c>
    </row>
    <row r="10" spans="1:23">
      <c r="A10" s="98">
        <v>4</v>
      </c>
      <c r="B10" s="97">
        <f>C10*B4</f>
        <v>0.79337144693241179</v>
      </c>
      <c r="C10" s="97">
        <f>1/(1-D4*B4/(1-D4*B4/(1-D4*B4)))</f>
        <v>1.5998919376945271</v>
      </c>
      <c r="D10" s="128">
        <f>C10*D4*C9</f>
        <v>1.2097262616601134</v>
      </c>
      <c r="E10" s="1">
        <f>D10*D4*C8</f>
        <v>0.81309412455648034</v>
      </c>
      <c r="F10" s="1">
        <f>E10*D4</f>
        <v>0.40988835365847881</v>
      </c>
      <c r="G10" s="1">
        <f>F10*D4</f>
        <v>0.20662855306758246</v>
      </c>
      <c r="H10" s="1"/>
      <c r="I10" s="1"/>
      <c r="J10" s="1"/>
      <c r="K10" s="1"/>
      <c r="L10" s="1"/>
      <c r="M10" s="235"/>
      <c r="N10" s="97">
        <f>B10+G10</f>
        <v>0.99999999999999423</v>
      </c>
      <c r="R10" s="267">
        <f>B10-G10</f>
        <v>0.58674289386482936</v>
      </c>
      <c r="S10" s="268">
        <f>IF(Rules!B20=Rules!D20,SUM(C10:F10)*B4*F4,SUM(C10:F10)*B4*F4*POWER(O2,A10-1))</f>
        <v>896.13877329527963</v>
      </c>
      <c r="T10" s="253">
        <f>IF(Rules!B20=Rules!D20,SUM(C10:F10)*D4*H4,SUM(C10:F10)*D4*H4*POWER(O2,A10-1))</f>
        <v>-912.1945980870629</v>
      </c>
      <c r="U10" s="264">
        <f t="shared" si="0"/>
        <v>-40.031401128163026</v>
      </c>
      <c r="V10" s="93">
        <f>S10/B4</f>
        <v>1807.1298179359892</v>
      </c>
      <c r="W10" s="9">
        <f>T10/D4</f>
        <v>-1809.5173027890892</v>
      </c>
    </row>
    <row r="11" spans="1:23">
      <c r="A11" s="98">
        <v>5</v>
      </c>
      <c r="B11" s="97">
        <f>C11*B4</f>
        <v>0.82640998861845594</v>
      </c>
      <c r="C11" s="97">
        <f>1/(1-D4*B4/(1-D4*B4/(1-D4*B4/(1-D4*B4))))</f>
        <v>1.6665165895912692</v>
      </c>
      <c r="D11" s="128">
        <f>C11*D4*C10</f>
        <v>1.3440797777003537</v>
      </c>
      <c r="E11" s="1">
        <f>D11*D4*C9</f>
        <v>1.0162990177908235</v>
      </c>
      <c r="F11" s="1">
        <f>E11*D4*C8</f>
        <v>0.68308574125210841</v>
      </c>
      <c r="G11" s="1">
        <f>F11*D4</f>
        <v>0.34434991157036626</v>
      </c>
      <c r="H11" s="1">
        <f>G11*D4</f>
        <v>0.17359001138153687</v>
      </c>
      <c r="I11" s="1"/>
      <c r="J11" s="1"/>
      <c r="K11" s="1"/>
      <c r="L11" s="1"/>
      <c r="M11" s="235"/>
      <c r="N11" s="97">
        <f>B11+H11</f>
        <v>0.99999999999999278</v>
      </c>
      <c r="R11" s="267">
        <f>B11-H11</f>
        <v>0.65281997723691909</v>
      </c>
      <c r="S11" s="268">
        <f>IF(Rules!B20=Rules!D20,SUM(C11:G11)*B4*F4,SUM(C11:G11)*B4*F4*POWER(O2,A11-1))</f>
        <v>1123.1913046411971</v>
      </c>
      <c r="T11" s="253">
        <f>IF(Rules!B20=Rules!D20,SUM(C11:G11)*D4*H4,SUM(C11:G11)*D4*H4*POWER(O2,A11-1))</f>
        <v>-1143.3151552460088</v>
      </c>
      <c r="U11" s="264">
        <f t="shared" si="0"/>
        <v>-60.155251732974676</v>
      </c>
      <c r="V11" s="93">
        <f>S11/B4</f>
        <v>2264.9979649912157</v>
      </c>
      <c r="W11" s="9">
        <f>T11/D4</f>
        <v>-2267.9903611544833</v>
      </c>
    </row>
    <row r="12" spans="1:23">
      <c r="A12" s="98">
        <v>6</v>
      </c>
      <c r="B12" s="97">
        <f>C12*B4</f>
        <v>0.85000257243203126</v>
      </c>
      <c r="C12" s="97">
        <f>1/(1-D4*B4/(1-D4*B4/(1-D4*B4/(1-D4*B4/(1-D4*B4)))))</f>
        <v>1.7140927719440193</v>
      </c>
      <c r="D12" s="128">
        <f>C12*D4*C11</f>
        <v>1.4400206523899539</v>
      </c>
      <c r="E12" s="1">
        <f>D12*D4*C10</f>
        <v>1.1614061632731238</v>
      </c>
      <c r="F12" s="1">
        <f>E12*D4*C9</f>
        <v>0.87817402104670772</v>
      </c>
      <c r="G12" s="1">
        <f>F12*D4*C8</f>
        <v>0.59024769444232694</v>
      </c>
      <c r="H12" s="1">
        <f>G12*D4</f>
        <v>0.29754938379077239</v>
      </c>
      <c r="I12" s="1">
        <f>H12*D4</f>
        <v>0.14999742756796006</v>
      </c>
      <c r="J12" s="1"/>
      <c r="K12" s="1"/>
      <c r="L12" s="1"/>
      <c r="M12" s="235"/>
      <c r="N12" s="97">
        <f>B12+I12</f>
        <v>0.99999999999999134</v>
      </c>
      <c r="R12" s="267">
        <f>B12-I12</f>
        <v>0.70000514486407117</v>
      </c>
      <c r="S12" s="268">
        <f>IF(Rules!B20=Rules!D20,SUM(C12:H12)*B4*F4,SUM(C12:H12)*B4*F4*POWER(O2,A12-1))</f>
        <v>1351.4503516966286</v>
      </c>
      <c r="T12" s="253">
        <f>IF(Rules!B20=Rules!D20,SUM(C12:H12)*D4*H4,SUM(C12:H12)*D4*H4*POWER(O2,A12-1))</f>
        <v>-1375.6638448611357</v>
      </c>
      <c r="U12" s="264">
        <f t="shared" si="0"/>
        <v>-84.368744897481776</v>
      </c>
      <c r="V12" s="93">
        <f>S12/B4</f>
        <v>2725.2991398089316</v>
      </c>
      <c r="W12" s="9">
        <f>T12/D4</f>
        <v>-2728.8996616706604</v>
      </c>
    </row>
    <row r="13" spans="1:23">
      <c r="A13" s="98">
        <v>7</v>
      </c>
      <c r="B13" s="97">
        <f>C13*B4</f>
        <v>0.86769143453375308</v>
      </c>
      <c r="C13" s="97">
        <f>1/(1-D4*B4/(1-D4*B4/(1-D4*B4/(1-D4*B4/(1-D4*B4/(1-D4*B4))))))</f>
        <v>1.7497636647811117</v>
      </c>
      <c r="D13" s="128">
        <f>C13*D4*C12</f>
        <v>1.5119536341995341</v>
      </c>
      <c r="E13" s="1">
        <f>D13*D4*C11</f>
        <v>1.2702022284558594</v>
      </c>
      <c r="F13" s="1">
        <f>E13*D4*C10</f>
        <v>1.0244441246613494</v>
      </c>
      <c r="G13" s="1">
        <f>F13*D4*C9</f>
        <v>0.77461291728995807</v>
      </c>
      <c r="H13" s="1">
        <f>G13*D4*C8</f>
        <v>0.52064110023510324</v>
      </c>
      <c r="I13" s="1">
        <f>H13*D4</f>
        <v>0.26246004856905308</v>
      </c>
      <c r="J13" s="1">
        <f>I13*D4</f>
        <v>0.13230856546623676</v>
      </c>
      <c r="K13" s="1"/>
      <c r="L13" s="1"/>
      <c r="M13" s="235"/>
      <c r="N13" s="97">
        <f>B13+J13</f>
        <v>0.99999999999998979</v>
      </c>
      <c r="R13" s="267">
        <f>B13-J13</f>
        <v>0.73538286906751638</v>
      </c>
      <c r="S13" s="268">
        <f>IF(Rules!B20=Rules!D20,SUM(C13:I13)*B4*F4,SUM(C13:I13)*B4*F4*POWER(O2,A13-1))</f>
        <v>1580.9154908316118</v>
      </c>
      <c r="T13" s="253">
        <f>IF(Rules!B20=Rules!D20,SUM(C13:I13)*D4*H4,SUM(C13:I13)*D4*H4*POWER(O2,A13-1))</f>
        <v>-1609.2402357124411</v>
      </c>
      <c r="U13" s="264">
        <f t="shared" si="0"/>
        <v>-112.69348977831103</v>
      </c>
      <c r="V13" s="93">
        <f>S13/B4</f>
        <v>3188.0324881081274</v>
      </c>
      <c r="W13" s="9">
        <f>T13/D4</f>
        <v>-3192.2443489279776</v>
      </c>
    </row>
    <row r="14" spans="1:23">
      <c r="A14" s="98">
        <v>8</v>
      </c>
      <c r="B14" s="97">
        <f>C14*B4</f>
        <v>0.8814444841686575</v>
      </c>
      <c r="C14" s="97">
        <f>1/(1-D4*B4/(1-D4*B4/(1-D4*B4/(1-D4*B4/(1-D4*B4/(1-D4*B4/(1-D4*B4)))))))</f>
        <v>1.7774977019898781</v>
      </c>
      <c r="D14" s="128">
        <f>C14*D4*C13</f>
        <v>1.5678813622537624</v>
      </c>
      <c r="E14" s="1">
        <f>D14*D4*C12</f>
        <v>1.3547909191209775</v>
      </c>
      <c r="F14" s="1">
        <f>E14*D4*C11</f>
        <v>1.1381687940915548</v>
      </c>
      <c r="G14" s="1">
        <f>F14*D4*C10</f>
        <v>0.91795645438084328</v>
      </c>
      <c r="H14" s="1">
        <f>G14*D4*C9</f>
        <v>0.69409439710354814</v>
      </c>
      <c r="I14" s="1">
        <f>H14*D4*C8</f>
        <v>0.46652213319564373</v>
      </c>
      <c r="J14" s="1">
        <f>I14*D4</f>
        <v>0.23517817106981326</v>
      </c>
      <c r="K14" s="1">
        <f>J14*D4</f>
        <v>0.11855551583133078</v>
      </c>
      <c r="L14" s="1"/>
      <c r="M14" s="235"/>
      <c r="N14" s="97">
        <f>B14+K14</f>
        <v>0.99999999999998823</v>
      </c>
      <c r="R14" s="267">
        <f>B14-K14</f>
        <v>0.76288896833732678</v>
      </c>
      <c r="S14" s="268">
        <f>IF(Rules!B20=Rules!D20,SUM(C14:J14)*B4*F4,SUM(C14:J14)*B4*F4*POWER(O2,A14-1))</f>
        <v>1811.5862334623525</v>
      </c>
      <c r="T14" s="253">
        <f>IF(Rules!B20=Rules!D20,SUM(C14:J14)*D4*H4,SUM(C14:J14)*D4*H4*POWER(O2,A14-1))</f>
        <v>-1844.0438304623362</v>
      </c>
      <c r="U14" s="264">
        <f t="shared" si="0"/>
        <v>-145.15108677829474</v>
      </c>
      <c r="V14" s="93">
        <f>S14/B4</f>
        <v>3653.1970246236078</v>
      </c>
      <c r="W14" s="9">
        <f>T14/D4</f>
        <v>-3658.0234363595619</v>
      </c>
    </row>
    <row r="15" spans="1:23">
      <c r="A15" s="98">
        <v>9</v>
      </c>
      <c r="B15" s="97">
        <f>C15*B4</f>
        <v>0.89244246712364361</v>
      </c>
      <c r="C15" s="97">
        <f>1/(1-D4*B4/(1-D4*B4/(1-D4*B4/(1-D4*B4/(1-D4*B4/(1-D4*B4/(1-D4*B4/(1-D4*B4))))))))</f>
        <v>1.7996759443864476</v>
      </c>
      <c r="D15" s="128">
        <f>C15*D4*C14</f>
        <v>1.6126054210029159</v>
      </c>
      <c r="E15" s="1">
        <f>D15*D4*C13</f>
        <v>1.422434460213019</v>
      </c>
      <c r="F15" s="1">
        <f>E15*D4*C12</f>
        <v>1.2291116765181913</v>
      </c>
      <c r="G15" s="1">
        <f>F15*D4*C11</f>
        <v>1.0325848327756908</v>
      </c>
      <c r="H15" s="1">
        <f>G15*D4*C10</f>
        <v>0.8328008260837646</v>
      </c>
      <c r="I15" s="1">
        <f>H15*D4*C9</f>
        <v>0.62970567343287975</v>
      </c>
      <c r="J15" s="1">
        <f>I15*D4*C8</f>
        <v>0.42324449711914364</v>
      </c>
      <c r="K15" s="1">
        <f>J15*D4</f>
        <v>0.21336150991597264</v>
      </c>
      <c r="L15" s="1">
        <f>K15*D4</f>
        <v>0.10755753287634331</v>
      </c>
      <c r="M15" s="235"/>
      <c r="N15" s="97">
        <f>B15+L15</f>
        <v>0.9999999999999869</v>
      </c>
      <c r="R15" s="267">
        <f>B15-L15</f>
        <v>0.78488493424730033</v>
      </c>
      <c r="S15" s="268">
        <f>IF(Rules!B20=Rules!D20,SUM(C15:K15)*B4*F4,SUM(C15:K15)*B4*F4*POWER(O2,A15-1))</f>
        <v>2043.4620261453549</v>
      </c>
      <c r="T15" s="253">
        <f>IF(Rules!B20=Rules!D20,SUM(C15:K15)*D4*H4,SUM(C15:K15)*D4*H4*POWER(O2,A15-1))</f>
        <v>-2080.0740657514589</v>
      </c>
      <c r="U15" s="264">
        <f t="shared" si="0"/>
        <v>-181.7631263843987</v>
      </c>
      <c r="V15" s="93">
        <f>S15/B4</f>
        <v>4120.7916332958139</v>
      </c>
      <c r="W15" s="9">
        <f>T15/D4</f>
        <v>-4126.235806431373</v>
      </c>
    </row>
    <row r="16" spans="1:23" ht="17" thickBot="1">
      <c r="A16" s="99">
        <v>10</v>
      </c>
      <c r="B16" s="129">
        <f>C16*B4</f>
        <v>0.90143676729899447</v>
      </c>
      <c r="C16" s="129">
        <f>1/(1-D4*B4/(1-D4*B4/(1-D4*B4/(1-D4*B4/(1-D4*B4/(1-D4*B4/(1-D4*B4/(1-D4*B4/(1-D4*B4)))))))))</f>
        <v>1.8178136129292055</v>
      </c>
      <c r="D16" s="137">
        <f>C16*D4*C15</f>
        <v>1.6491813650734195</v>
      </c>
      <c r="E16" s="109">
        <f>D16*D4*C14</f>
        <v>1.4777542689448266</v>
      </c>
      <c r="F16" s="109">
        <f>E16*D4*C13</f>
        <v>1.3034860037657146</v>
      </c>
      <c r="G16" s="109">
        <f>F16*D4*C12</f>
        <v>1.1263294810549973</v>
      </c>
      <c r="H16" s="109">
        <f>G16*D4*C11</f>
        <v>0.94623683190458396</v>
      </c>
      <c r="I16" s="109">
        <f>H16*D4*C10</f>
        <v>0.76315939404487221</v>
      </c>
      <c r="J16" s="109">
        <f>I16*D4*C9</f>
        <v>0.57704769869586858</v>
      </c>
      <c r="K16" s="109">
        <f>J16*D4*C8</f>
        <v>0.38785145720038472</v>
      </c>
      <c r="L16" s="109">
        <f>K16*D4</f>
        <v>0.19551954743569744</v>
      </c>
      <c r="M16" s="237">
        <f>L16*D4</f>
        <v>9.8563232700990933E-2</v>
      </c>
      <c r="N16" s="129">
        <f>B16+M16</f>
        <v>0.99999999999998535</v>
      </c>
      <c r="R16" s="269">
        <f>B16-M16</f>
        <v>0.80287353459800359</v>
      </c>
      <c r="S16" s="270">
        <f>IF(Rules!B20=Rules!D20,SUM(C16:L16)*B4*F4,SUM(C16:L16)*B4*F4*POWER(O2,A16-1))</f>
        <v>2276.5422506839886</v>
      </c>
      <c r="T16" s="254">
        <f>IF(Rules!B20=Rules!D20,SUM(C16:L16)*D4*H4,SUM(C16:L16)*D4*H4*POWER(O2,A16-1))</f>
        <v>-2317.3303123071523</v>
      </c>
      <c r="U16" s="264">
        <f t="shared" si="0"/>
        <v>-222.55118800756239</v>
      </c>
      <c r="V16" s="94">
        <f>S16/B4</f>
        <v>4590.8150674857243</v>
      </c>
      <c r="W16" s="10">
        <f>T16/D4</f>
        <v>-4596.8802108573964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8</v>
      </c>
      <c r="D21" s="57">
        <f>SUM($C$21:C21)</f>
        <v>8</v>
      </c>
      <c r="E21" s="57">
        <f t="shared" ref="E21:E30" si="2">D21/R7</f>
        <v>-973.38906671260895</v>
      </c>
      <c r="F21" s="8">
        <f t="shared" ref="F21:F30" si="3">U7/E21</f>
        <v>4.0903543955323552E-3</v>
      </c>
      <c r="G21" s="256">
        <f>E21*U7</f>
        <v>3875.5546504530803</v>
      </c>
    </row>
    <row r="22" spans="1:7">
      <c r="A22" s="97">
        <v>2</v>
      </c>
      <c r="B22" s="93">
        <f>C21</f>
        <v>8</v>
      </c>
      <c r="C22" s="1">
        <f t="shared" si="1"/>
        <v>64</v>
      </c>
      <c r="D22" s="9">
        <f>SUM($C$21:C22)</f>
        <v>72</v>
      </c>
      <c r="E22" s="9">
        <f t="shared" si="2"/>
        <v>223.36297059306455</v>
      </c>
      <c r="F22" s="9">
        <f t="shared" si="3"/>
        <v>-5.3572685545712276E-2</v>
      </c>
      <c r="G22" s="257">
        <f t="shared" ref="G22:G30" si="4">E22*U8</f>
        <v>-2672.7957455905134</v>
      </c>
    </row>
    <row r="23" spans="1:7">
      <c r="A23" s="97">
        <v>3</v>
      </c>
      <c r="B23" s="93">
        <f t="shared" ref="B23:B30" si="5">C22</f>
        <v>64</v>
      </c>
      <c r="C23" s="1">
        <f t="shared" si="1"/>
        <v>512</v>
      </c>
      <c r="D23" s="9">
        <f>SUM($C$21:C23)</f>
        <v>584</v>
      </c>
      <c r="E23" s="9">
        <f t="shared" si="2"/>
        <v>1197.6908733872567</v>
      </c>
      <c r="F23" s="9">
        <f t="shared" si="3"/>
        <v>-2.0018167349453945E-2</v>
      </c>
      <c r="G23" s="257">
        <f t="shared" si="4"/>
        <v>-28715.328962281521</v>
      </c>
    </row>
    <row r="24" spans="1:7">
      <c r="A24" s="97">
        <v>4</v>
      </c>
      <c r="B24" s="93">
        <f t="shared" si="5"/>
        <v>512</v>
      </c>
      <c r="C24" s="1">
        <f t="shared" si="1"/>
        <v>4096</v>
      </c>
      <c r="D24" s="9">
        <f>SUM($C$21:C24)</f>
        <v>4680</v>
      </c>
      <c r="E24" s="9">
        <f t="shared" si="2"/>
        <v>7976.2363531549699</v>
      </c>
      <c r="F24" s="9">
        <f t="shared" si="3"/>
        <v>-5.018833363974822E-3</v>
      </c>
      <c r="G24" s="257">
        <f t="shared" si="4"/>
        <v>-319299.91694618278</v>
      </c>
    </row>
    <row r="25" spans="1:7">
      <c r="A25" s="97">
        <v>5</v>
      </c>
      <c r="B25" s="93">
        <f t="shared" si="5"/>
        <v>4096</v>
      </c>
      <c r="C25" s="1">
        <f t="shared" si="1"/>
        <v>32768</v>
      </c>
      <c r="D25" s="9">
        <f>SUM($C$21:C25)</f>
        <v>37448</v>
      </c>
      <c r="E25" s="9">
        <f t="shared" si="2"/>
        <v>57363.440620337366</v>
      </c>
      <c r="F25" s="9">
        <f t="shared" si="3"/>
        <v>-1.0486688225539861E-3</v>
      </c>
      <c r="G25" s="257">
        <f t="shared" si="4"/>
        <v>-3450712.2107859394</v>
      </c>
    </row>
    <row r="26" spans="1:7">
      <c r="A26" s="97">
        <v>6</v>
      </c>
      <c r="B26" s="93">
        <f t="shared" si="5"/>
        <v>32768</v>
      </c>
      <c r="C26" s="1">
        <f t="shared" si="1"/>
        <v>262144</v>
      </c>
      <c r="D26" s="9">
        <f>SUM($C$21:C26)</f>
        <v>299592</v>
      </c>
      <c r="E26" s="9">
        <f t="shared" si="2"/>
        <v>427985.42581879959</v>
      </c>
      <c r="F26" s="9">
        <f t="shared" si="3"/>
        <v>-1.9712994837633047E-4</v>
      </c>
      <c r="G26" s="257">
        <f t="shared" si="4"/>
        <v>-36108593.210746415</v>
      </c>
    </row>
    <row r="27" spans="1:7">
      <c r="A27" s="97">
        <v>7</v>
      </c>
      <c r="B27" s="93">
        <f t="shared" si="5"/>
        <v>262144</v>
      </c>
      <c r="C27" s="1">
        <f t="shared" si="1"/>
        <v>2097152</v>
      </c>
      <c r="D27" s="9">
        <f>SUM($C$21:C27)</f>
        <v>2396744</v>
      </c>
      <c r="E27" s="9">
        <f t="shared" si="2"/>
        <v>3259178.4508648273</v>
      </c>
      <c r="F27" s="9">
        <f t="shared" si="3"/>
        <v>-3.4577268927513821E-5</v>
      </c>
      <c r="G27" s="257">
        <f t="shared" si="4"/>
        <v>-367288193.438227</v>
      </c>
    </row>
    <row r="28" spans="1:7">
      <c r="A28" s="97">
        <v>8</v>
      </c>
      <c r="B28" s="93">
        <f t="shared" si="5"/>
        <v>2097152</v>
      </c>
      <c r="C28" s="1">
        <f t="shared" si="1"/>
        <v>16777216</v>
      </c>
      <c r="D28" s="9">
        <f>SUM($C$21:C28)</f>
        <v>19173960</v>
      </c>
      <c r="E28" s="9">
        <f t="shared" si="2"/>
        <v>25133355.961075906</v>
      </c>
      <c r="F28" s="9">
        <f t="shared" si="3"/>
        <v>-5.7752369800153475E-6</v>
      </c>
      <c r="G28" s="257">
        <f t="shared" si="4"/>
        <v>-3648133932.1359</v>
      </c>
    </row>
    <row r="29" spans="1:7">
      <c r="A29" s="97">
        <v>9</v>
      </c>
      <c r="B29" s="93">
        <f t="shared" si="5"/>
        <v>16777216</v>
      </c>
      <c r="C29" s="1">
        <f t="shared" si="1"/>
        <v>134217728</v>
      </c>
      <c r="D29" s="9">
        <f>SUM($C$21:C29)</f>
        <v>153391688</v>
      </c>
      <c r="E29" s="9">
        <f t="shared" si="2"/>
        <v>195432070.74945533</v>
      </c>
      <c r="F29" s="9">
        <f t="shared" si="3"/>
        <v>-9.3005782360777282E-7</v>
      </c>
      <c r="G29" s="257">
        <f t="shared" si="4"/>
        <v>-35522344175.197998</v>
      </c>
    </row>
    <row r="30" spans="1:7" ht="17" thickBot="1">
      <c r="A30" s="129">
        <v>10</v>
      </c>
      <c r="B30" s="94">
        <f t="shared" si="5"/>
        <v>134217728</v>
      </c>
      <c r="C30" s="109">
        <f t="shared" si="1"/>
        <v>1073741824</v>
      </c>
      <c r="D30" s="10">
        <f>SUM($C$21:C30)</f>
        <v>1227133512</v>
      </c>
      <c r="E30" s="10">
        <f t="shared" si="2"/>
        <v>1528426905.5081286</v>
      </c>
      <c r="F30" s="10">
        <f t="shared" si="3"/>
        <v>-1.4560800206116157E-7</v>
      </c>
      <c r="G30" s="258">
        <f t="shared" si="4"/>
        <v>-340153223603.55634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8</v>
      </c>
      <c r="D33" s="57">
        <f>SUM($C$33:C33)</f>
        <v>8</v>
      </c>
      <c r="E33" s="9">
        <f t="shared" ref="E33:E42" si="7">D33/R7</f>
        <v>-973.38906671260895</v>
      </c>
      <c r="F33" s="8">
        <f t="shared" ref="F33:F42" si="8">U7/E33</f>
        <v>4.0903543955323552E-3</v>
      </c>
      <c r="G33" s="259">
        <f>E33*U7</f>
        <v>3875.5546504530803</v>
      </c>
    </row>
    <row r="34" spans="1:7">
      <c r="A34" s="97">
        <v>2</v>
      </c>
      <c r="B34" s="93">
        <f t="shared" ref="B34:B42" si="9">B33*($O$2+1)</f>
        <v>9</v>
      </c>
      <c r="C34" s="1">
        <f t="shared" si="6"/>
        <v>72</v>
      </c>
      <c r="D34" s="9">
        <f>SUM($C$33:C34)</f>
        <v>80</v>
      </c>
      <c r="E34" s="9">
        <f t="shared" si="7"/>
        <v>248.18107843673837</v>
      </c>
      <c r="F34" s="9">
        <f t="shared" si="8"/>
        <v>-4.8215416991141048E-2</v>
      </c>
      <c r="G34" s="257">
        <f t="shared" ref="G34:G42" si="10">E34*U8</f>
        <v>-2969.7730506561256</v>
      </c>
    </row>
    <row r="35" spans="1:7">
      <c r="A35" s="97">
        <v>3</v>
      </c>
      <c r="B35" s="93">
        <f t="shared" si="9"/>
        <v>81</v>
      </c>
      <c r="C35" s="1">
        <f t="shared" si="6"/>
        <v>648</v>
      </c>
      <c r="D35" s="9">
        <f>SUM($C$33:C35)</f>
        <v>728</v>
      </c>
      <c r="E35" s="9">
        <f t="shared" si="7"/>
        <v>1493.0119106608267</v>
      </c>
      <c r="F35" s="9">
        <f t="shared" si="8"/>
        <v>-1.6058529851759758E-2</v>
      </c>
      <c r="G35" s="257">
        <f t="shared" si="10"/>
        <v>-35795.821035172848</v>
      </c>
    </row>
    <row r="36" spans="1:7">
      <c r="A36" s="97">
        <v>4</v>
      </c>
      <c r="B36" s="93">
        <f t="shared" si="9"/>
        <v>729</v>
      </c>
      <c r="C36" s="1">
        <f t="shared" si="6"/>
        <v>5832</v>
      </c>
      <c r="D36" s="9">
        <f>SUM($C$33:C36)</f>
        <v>6560</v>
      </c>
      <c r="E36" s="9">
        <f t="shared" si="7"/>
        <v>11180.365486473633</v>
      </c>
      <c r="F36" s="9">
        <f t="shared" si="8"/>
        <v>-3.5805091682015503E-3</v>
      </c>
      <c r="G36" s="257">
        <f t="shared" si="10"/>
        <v>-447565.69554849551</v>
      </c>
    </row>
    <row r="37" spans="1:7">
      <c r="A37" s="97">
        <v>5</v>
      </c>
      <c r="B37" s="93">
        <f t="shared" si="9"/>
        <v>6561</v>
      </c>
      <c r="C37" s="1">
        <f t="shared" si="6"/>
        <v>52488</v>
      </c>
      <c r="D37" s="9">
        <f>SUM($C$33:C37)</f>
        <v>59048</v>
      </c>
      <c r="E37" s="9">
        <f t="shared" si="7"/>
        <v>90450.663366526409</v>
      </c>
      <c r="F37" s="9">
        <f t="shared" si="8"/>
        <v>-6.650614765445344E-4</v>
      </c>
      <c r="G37" s="257">
        <f t="shared" si="10"/>
        <v>-5441082.4242279464</v>
      </c>
    </row>
    <row r="38" spans="1:7">
      <c r="A38" s="97">
        <v>6</v>
      </c>
      <c r="B38" s="93">
        <f t="shared" si="9"/>
        <v>59049</v>
      </c>
      <c r="C38" s="1">
        <f t="shared" si="6"/>
        <v>472392</v>
      </c>
      <c r="D38" s="9">
        <f>SUM($C$33:C38)</f>
        <v>531440</v>
      </c>
      <c r="E38" s="9">
        <f t="shared" si="7"/>
        <v>759194.42006843595</v>
      </c>
      <c r="F38" s="9">
        <f t="shared" si="8"/>
        <v>-1.1112930056819509E-4</v>
      </c>
      <c r="G38" s="257">
        <f t="shared" si="10"/>
        <v>-64052280.354345493</v>
      </c>
    </row>
    <row r="39" spans="1:7">
      <c r="A39" s="97">
        <v>7</v>
      </c>
      <c r="B39" s="93">
        <f t="shared" si="9"/>
        <v>531441</v>
      </c>
      <c r="C39" s="1">
        <f t="shared" si="6"/>
        <v>4251528</v>
      </c>
      <c r="D39" s="9">
        <f>SUM($C$33:C39)</f>
        <v>4782968</v>
      </c>
      <c r="E39" s="9">
        <f t="shared" si="7"/>
        <v>6504051.428427917</v>
      </c>
      <c r="F39" s="9">
        <f t="shared" si="8"/>
        <v>-1.7326660316022438E-5</v>
      </c>
      <c r="G39" s="257">
        <f t="shared" si="10"/>
        <v>-732964253.16715074</v>
      </c>
    </row>
    <row r="40" spans="1:7">
      <c r="A40" s="97">
        <v>8</v>
      </c>
      <c r="B40" s="93">
        <f t="shared" si="9"/>
        <v>4782969</v>
      </c>
      <c r="C40" s="1">
        <f t="shared" si="6"/>
        <v>38263752</v>
      </c>
      <c r="D40" s="9">
        <f>SUM($C$33:C40)</f>
        <v>43046720</v>
      </c>
      <c r="E40" s="9">
        <f t="shared" si="7"/>
        <v>56425930.622404836</v>
      </c>
      <c r="F40" s="9">
        <f t="shared" si="8"/>
        <v>-2.5724181272193345E-6</v>
      </c>
      <c r="G40" s="257">
        <f t="shared" si="10"/>
        <v>-8190285152.3187227</v>
      </c>
    </row>
    <row r="41" spans="1:7">
      <c r="A41" s="97">
        <v>9</v>
      </c>
      <c r="B41" s="93">
        <f t="shared" si="9"/>
        <v>43046721</v>
      </c>
      <c r="C41" s="1">
        <f t="shared" si="6"/>
        <v>344373768</v>
      </c>
      <c r="D41" s="9">
        <f>SUM($C$33:C41)</f>
        <v>387420488</v>
      </c>
      <c r="E41" s="9">
        <f t="shared" si="7"/>
        <v>493601636.48896354</v>
      </c>
      <c r="F41" s="9">
        <f t="shared" si="8"/>
        <v>-3.6823850033662268E-7</v>
      </c>
      <c r="G41" s="257">
        <f t="shared" si="10"/>
        <v>-89718576636.689514</v>
      </c>
    </row>
    <row r="42" spans="1:7" ht="17" thickBot="1">
      <c r="A42" s="129">
        <v>10</v>
      </c>
      <c r="B42" s="94">
        <f t="shared" si="9"/>
        <v>387420489</v>
      </c>
      <c r="C42" s="109">
        <f t="shared" si="6"/>
        <v>3099363912</v>
      </c>
      <c r="D42" s="10">
        <f>SUM($C$33:C42)</f>
        <v>3486784400</v>
      </c>
      <c r="E42" s="9">
        <f t="shared" si="7"/>
        <v>4342881225.6787395</v>
      </c>
      <c r="F42" s="10">
        <f t="shared" si="8"/>
        <v>-5.1245055170206812E-8</v>
      </c>
      <c r="G42" s="258">
        <f t="shared" si="10"/>
        <v>-966513376150.54211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8</v>
      </c>
      <c r="D45" s="57">
        <f>SUM(C45:C45)</f>
        <v>8</v>
      </c>
      <c r="E45" s="57">
        <f t="shared" ref="E45:E54" si="12">D45/R7</f>
        <v>-973.38906671260895</v>
      </c>
      <c r="F45" s="8">
        <f t="shared" ref="F45:F54" si="13">U7/E45</f>
        <v>4.0903543955323552E-3</v>
      </c>
      <c r="G45" s="256">
        <f>E45*U7</f>
        <v>3875.5546504530803</v>
      </c>
    </row>
    <row r="46" spans="1:7">
      <c r="A46" s="97">
        <v>2</v>
      </c>
      <c r="B46" s="93">
        <f t="shared" ref="B46:B54" si="14">B45*$O$2*2</f>
        <v>16</v>
      </c>
      <c r="C46" s="1">
        <f t="shared" si="11"/>
        <v>128</v>
      </c>
      <c r="D46" s="9">
        <f>SUM($C$45:C46)</f>
        <v>136</v>
      </c>
      <c r="E46" s="9">
        <f t="shared" si="12"/>
        <v>421.90783334245526</v>
      </c>
      <c r="F46" s="9">
        <f t="shared" si="13"/>
        <v>-2.8362009994788853E-2</v>
      </c>
      <c r="G46" s="257">
        <f t="shared" ref="G46:G54" si="15">E46*U8</f>
        <v>-5048.6141861154138</v>
      </c>
    </row>
    <row r="47" spans="1:7">
      <c r="A47" s="97">
        <v>3</v>
      </c>
      <c r="B47" s="93">
        <f t="shared" si="14"/>
        <v>256</v>
      </c>
      <c r="C47" s="1">
        <f t="shared" si="11"/>
        <v>2048</v>
      </c>
      <c r="D47" s="9">
        <f>SUM($C$45:C47)</f>
        <v>2184</v>
      </c>
      <c r="E47" s="9">
        <f t="shared" si="12"/>
        <v>4479.0357319824807</v>
      </c>
      <c r="F47" s="9">
        <f t="shared" si="13"/>
        <v>-5.3528432839199192E-3</v>
      </c>
      <c r="G47" s="257">
        <f t="shared" si="15"/>
        <v>-107387.46310551856</v>
      </c>
    </row>
    <row r="48" spans="1:7">
      <c r="A48" s="97">
        <v>4</v>
      </c>
      <c r="B48" s="93">
        <f t="shared" si="14"/>
        <v>4096</v>
      </c>
      <c r="C48" s="1">
        <f t="shared" si="11"/>
        <v>32768</v>
      </c>
      <c r="D48" s="9">
        <f>SUM($C$45:C48)</f>
        <v>34952</v>
      </c>
      <c r="E48" s="9">
        <f t="shared" si="12"/>
        <v>59569.53269561378</v>
      </c>
      <c r="F48" s="9">
        <f t="shared" si="13"/>
        <v>-6.7201133392658986E-4</v>
      </c>
      <c r="G48" s="257">
        <f t="shared" si="15"/>
        <v>-2384651.8583553378</v>
      </c>
    </row>
    <row r="49" spans="1:7">
      <c r="A49" s="97">
        <v>5</v>
      </c>
      <c r="B49" s="93">
        <f t="shared" si="14"/>
        <v>65536</v>
      </c>
      <c r="C49" s="1">
        <f t="shared" si="11"/>
        <v>524288</v>
      </c>
      <c r="D49" s="9">
        <f>SUM($C$45:C49)</f>
        <v>559240</v>
      </c>
      <c r="E49" s="9">
        <f t="shared" si="12"/>
        <v>856652.70595272025</v>
      </c>
      <c r="F49" s="9">
        <f t="shared" si="13"/>
        <v>-7.0221282574568458E-5</v>
      </c>
      <c r="G49" s="257">
        <f t="shared" si="15"/>
        <v>-51532159.174319819</v>
      </c>
    </row>
    <row r="50" spans="1:7">
      <c r="A50" s="97">
        <v>6</v>
      </c>
      <c r="B50" s="93">
        <f t="shared" si="14"/>
        <v>1048576</v>
      </c>
      <c r="C50" s="1">
        <f t="shared" si="11"/>
        <v>8388608</v>
      </c>
      <c r="D50" s="9">
        <f>SUM($C$45:C50)</f>
        <v>8947848</v>
      </c>
      <c r="E50" s="9">
        <f t="shared" si="12"/>
        <v>12782546.050768694</v>
      </c>
      <c r="F50" s="9">
        <f t="shared" si="13"/>
        <v>-6.6003083080939226E-6</v>
      </c>
      <c r="G50" s="257">
        <f t="shared" si="15"/>
        <v>-1078447366.8976171</v>
      </c>
    </row>
    <row r="51" spans="1:7">
      <c r="A51" s="97">
        <v>7</v>
      </c>
      <c r="B51" s="93">
        <f t="shared" si="14"/>
        <v>16777216</v>
      </c>
      <c r="C51" s="1">
        <f t="shared" si="11"/>
        <v>134217728</v>
      </c>
      <c r="D51" s="9">
        <f>SUM($C$45:C51)</f>
        <v>143165576</v>
      </c>
      <c r="E51" s="9">
        <f t="shared" si="12"/>
        <v>194681684.90454161</v>
      </c>
      <c r="F51" s="9">
        <f t="shared" si="13"/>
        <v>-5.7886025505464528E-7</v>
      </c>
      <c r="G51" s="257">
        <f t="shared" si="15"/>
        <v>-21939358467.814331</v>
      </c>
    </row>
    <row r="52" spans="1:7">
      <c r="A52" s="97">
        <v>8</v>
      </c>
      <c r="B52" s="93">
        <f t="shared" si="14"/>
        <v>268435456</v>
      </c>
      <c r="C52" s="1">
        <f t="shared" si="11"/>
        <v>2147483648</v>
      </c>
      <c r="D52" s="9">
        <f>SUM($C$45:C52)</f>
        <v>2290649224</v>
      </c>
      <c r="E52" s="9">
        <f t="shared" si="12"/>
        <v>3002598437.0862513</v>
      </c>
      <c r="F52" s="9">
        <f t="shared" si="13"/>
        <v>-4.8341824529540045E-8</v>
      </c>
      <c r="G52" s="257">
        <f t="shared" si="15"/>
        <v>-435830426301.8786</v>
      </c>
    </row>
    <row r="53" spans="1:7">
      <c r="A53" s="97">
        <v>9</v>
      </c>
      <c r="B53" s="93">
        <f t="shared" si="14"/>
        <v>4294967296</v>
      </c>
      <c r="C53" s="1">
        <f t="shared" si="11"/>
        <v>34359738368</v>
      </c>
      <c r="D53" s="9">
        <f>SUM($C$45:C53)</f>
        <v>36650387592</v>
      </c>
      <c r="E53" s="9">
        <f t="shared" si="12"/>
        <v>46695236451.63031</v>
      </c>
      <c r="F53" s="9">
        <f t="shared" si="13"/>
        <v>-3.8925410854848057E-9</v>
      </c>
      <c r="G53" s="257">
        <f t="shared" si="15"/>
        <v>-8487472164707.0615</v>
      </c>
    </row>
    <row r="54" spans="1:7" ht="17" thickBot="1">
      <c r="A54" s="129">
        <v>10</v>
      </c>
      <c r="B54" s="94">
        <f t="shared" si="14"/>
        <v>68719476736</v>
      </c>
      <c r="C54" s="109">
        <f t="shared" si="11"/>
        <v>549755813888</v>
      </c>
      <c r="D54" s="10">
        <f>SUM($C$45:C54)</f>
        <v>586406201480</v>
      </c>
      <c r="E54" s="10">
        <f t="shared" si="12"/>
        <v>730384271258.37671</v>
      </c>
      <c r="F54" s="10">
        <f t="shared" si="13"/>
        <v>-3.0470424510118444E-10</v>
      </c>
      <c r="G54" s="258">
        <f t="shared" si="15"/>
        <v>-162547887270589.44</v>
      </c>
    </row>
  </sheetData>
  <mergeCells count="1">
    <mergeCell ref="A18:F18"/>
  </mergeCells>
  <conditionalFormatting sqref="F45:F54">
    <cfRule type="cellIs" dxfId="361" priority="65" operator="equal">
      <formula>MAX($F$45:$F$54)</formula>
    </cfRule>
  </conditionalFormatting>
  <conditionalFormatting sqref="F21:F30">
    <cfRule type="cellIs" dxfId="360" priority="63" operator="equal">
      <formula>MAX($F$21:$F$30)</formula>
    </cfRule>
  </conditionalFormatting>
  <conditionalFormatting sqref="F33:F42">
    <cfRule type="cellIs" dxfId="359" priority="44" operator="lessThanOrEqual">
      <formula>0</formula>
    </cfRule>
    <cfRule type="cellIs" dxfId="358" priority="61" operator="equal">
      <formula>MAX($F$33:$F$42)</formula>
    </cfRule>
  </conditionalFormatting>
  <conditionalFormatting sqref="E33:E42">
    <cfRule type="cellIs" dxfId="357" priority="59" stopIfTrue="1" operator="lessThan">
      <formula>0</formula>
    </cfRule>
    <cfRule type="cellIs" dxfId="356" priority="60" operator="equal">
      <formula>MIN($E$33:$E$42)</formula>
    </cfRule>
  </conditionalFormatting>
  <conditionalFormatting sqref="E21:E30">
    <cfRule type="cellIs" dxfId="355" priority="55" stopIfTrue="1" operator="lessThan">
      <formula>0</formula>
    </cfRule>
    <cfRule type="cellIs" dxfId="354" priority="56" operator="equal">
      <formula>MIN($E$21:$E$30)</formula>
    </cfRule>
  </conditionalFormatting>
  <conditionalFormatting sqref="E45:E54">
    <cfRule type="cellIs" dxfId="353" priority="51" stopIfTrue="1" operator="lessThan">
      <formula>0</formula>
    </cfRule>
    <cfRule type="cellIs" dxfId="352" priority="52" operator="equal">
      <formula>MIN($E$45:$E$54)</formula>
    </cfRule>
  </conditionalFormatting>
  <conditionalFormatting sqref="R7:R16">
    <cfRule type="cellIs" dxfId="351" priority="29" operator="lessThanOrEqual">
      <formula>0</formula>
    </cfRule>
    <cfRule type="cellIs" dxfId="350" priority="30" operator="greaterThan">
      <formula>0</formula>
    </cfRule>
  </conditionalFormatting>
  <conditionalFormatting sqref="U7:U16">
    <cfRule type="cellIs" dxfId="349" priority="9" operator="lessThanOrEqual">
      <formula>0</formula>
    </cfRule>
    <cfRule type="cellIs" dxfId="348" priority="10" operator="greaterThan">
      <formula>0</formula>
    </cfRule>
  </conditionalFormatting>
  <conditionalFormatting sqref="S7:T16">
    <cfRule type="cellIs" dxfId="347" priority="1" operator="lessThanOrEqual">
      <formula>0</formula>
    </cfRule>
    <cfRule type="cellIs" dxfId="34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0.99999999999999822</v>
      </c>
    </row>
    <row r="2" spans="1:23">
      <c r="A2" t="s">
        <v>39</v>
      </c>
      <c r="B2" s="133" t="s">
        <v>124</v>
      </c>
      <c r="C2" s="139">
        <f>Analysis!B32</f>
        <v>0.50114410939028642</v>
      </c>
      <c r="D2" s="133" t="s">
        <v>125</v>
      </c>
      <c r="E2" s="139">
        <f>Analysis!M32</f>
        <v>0.49885589060971181</v>
      </c>
      <c r="F2" s="133" t="s">
        <v>46</v>
      </c>
      <c r="G2" s="139">
        <f>Analysis!S32</f>
        <v>513.89922261243453</v>
      </c>
      <c r="H2" t="s">
        <v>153</v>
      </c>
      <c r="I2" s="153">
        <f>Analysis!T32</f>
        <v>-514.57815923216685</v>
      </c>
      <c r="J2" t="s">
        <v>47</v>
      </c>
      <c r="K2" s="153">
        <f>G2*C2+I2*E2</f>
        <v>0.83722232040031486</v>
      </c>
      <c r="L2" t="s">
        <v>46</v>
      </c>
      <c r="M2" s="160">
        <v>2</v>
      </c>
      <c r="N2" t="s">
        <v>153</v>
      </c>
      <c r="O2" s="160">
        <v>9</v>
      </c>
    </row>
    <row r="4" spans="1:23">
      <c r="A4" t="s">
        <v>122</v>
      </c>
      <c r="B4">
        <f>$C$2</f>
        <v>0.50114410939028642</v>
      </c>
      <c r="C4" t="s">
        <v>123</v>
      </c>
      <c r="D4">
        <f>$E$2</f>
        <v>0.49885589060971181</v>
      </c>
      <c r="E4" t="s">
        <v>46</v>
      </c>
      <c r="F4">
        <f>G2</f>
        <v>513.89922261243453</v>
      </c>
      <c r="G4" t="s">
        <v>153</v>
      </c>
      <c r="H4">
        <f>I2</f>
        <v>-514.57815923216685</v>
      </c>
      <c r="I4" t="s">
        <v>47</v>
      </c>
      <c r="J4">
        <f>B4*F4+D4*H4</f>
        <v>0.83722232040031486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0.50114410939028642</v>
      </c>
      <c r="C7" s="95">
        <v>1</v>
      </c>
      <c r="D7" s="22">
        <f>C7*D4</f>
        <v>0.49885589060971181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0.99999999999999822</v>
      </c>
      <c r="R7" s="265">
        <f>B7-D7</f>
        <v>2.2882187805746135E-3</v>
      </c>
      <c r="S7" s="266">
        <f>IF(Rules!B20=Rules!D20,SUM(C7)*B4*F4,SUM(C7)*B4*F4*POWER(O2,A7-1))</f>
        <v>257.53756823246903</v>
      </c>
      <c r="T7" s="252">
        <f>IF(Rules!B20=Rules!D20,SUM(C7)*D4*H4,SUM(C7)*D4*H4*POWER(O2,A7-1))</f>
        <v>-256.70034591206871</v>
      </c>
      <c r="U7" s="263">
        <f>S7+T7</f>
        <v>0.83722232040031486</v>
      </c>
      <c r="V7" s="282">
        <f>S7/B4</f>
        <v>513.89922261243453</v>
      </c>
      <c r="W7" s="57">
        <f>T7/D4</f>
        <v>-514.57815923216685</v>
      </c>
    </row>
    <row r="8" spans="1:23">
      <c r="A8" s="98">
        <v>2</v>
      </c>
      <c r="B8" s="97">
        <f>C8*B4</f>
        <v>0.66819097964993301</v>
      </c>
      <c r="C8" s="97">
        <f>1/(1-B4*D4)</f>
        <v>1.3333310062506432</v>
      </c>
      <c r="D8" s="128">
        <f>C8*D4</f>
        <v>0.66514002660070781</v>
      </c>
      <c r="E8" s="1">
        <f>D8*D4</f>
        <v>0.33180902035006349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0.99999999999999645</v>
      </c>
      <c r="R8" s="267">
        <f>B8-E8</f>
        <v>0.33638195929986953</v>
      </c>
      <c r="S8" s="268">
        <f>IF(Rules!B20=Rules!D20,SUM(C8:D8)*B4*F4,SUM(C8:D8)*B4*F4*POWER(O2,A8-1))</f>
        <v>514.68136998356761</v>
      </c>
      <c r="T8" s="253">
        <f>IF(Rules!B20=Rules!D20,SUM(C8:D8)*D4*H4,SUM(C8:D8)*D4*H4*POWER(O2,A8-1))</f>
        <v>-513.00820542819099</v>
      </c>
      <c r="U8" s="264">
        <f>S8+T8+U7</f>
        <v>2.5103868757769305</v>
      </c>
      <c r="V8" s="93">
        <f>S8/B4</f>
        <v>1027.0127101957783</v>
      </c>
      <c r="W8" s="9">
        <f>T8/D4</f>
        <v>-1028.3695453634555</v>
      </c>
    </row>
    <row r="9" spans="1:23">
      <c r="A9" s="98">
        <v>3</v>
      </c>
      <c r="B9" s="97">
        <f>C9*B4</f>
        <v>0.75171354013607883</v>
      </c>
      <c r="C9" s="97">
        <f>1/(1-D4*B4/(1-D4*B4))</f>
        <v>1.4999947640822238</v>
      </c>
      <c r="D9" s="128">
        <f>C9*D4*C8</f>
        <v>0.99770655728257274</v>
      </c>
      <c r="E9" s="1">
        <f>D9*(D4)</f>
        <v>0.49771179320034725</v>
      </c>
      <c r="F9" s="1">
        <f>E9*D4</f>
        <v>0.24828645986391593</v>
      </c>
      <c r="G9" s="1"/>
      <c r="H9" s="1"/>
      <c r="I9" s="1"/>
      <c r="J9" s="1"/>
      <c r="K9" s="1"/>
      <c r="L9" s="1"/>
      <c r="M9" s="235"/>
      <c r="N9" s="97">
        <f>B9+F9</f>
        <v>0.99999999999999478</v>
      </c>
      <c r="R9" s="267">
        <f>B9-F9</f>
        <v>0.50342708027216287</v>
      </c>
      <c r="S9" s="268">
        <f>IF(Rules!B20=Rules!D20,SUM(C9:E9)*B4*F4,SUM(C9:E9)*B4*F4*POWER(O2,A9-1))</f>
        <v>771.43140937675321</v>
      </c>
      <c r="T9" s="253">
        <f>IF(Rules!B20=Rules!D20,SUM(C9:E9)*D4*H4,SUM(C9:E9)*D4*H4*POWER(O2,A9-1))</f>
        <v>-768.92358265841949</v>
      </c>
      <c r="U9" s="264">
        <f t="shared" ref="U9:U16" si="0">S9+T9+U8</f>
        <v>5.018213594110648</v>
      </c>
      <c r="V9" s="93">
        <f>S9/B4</f>
        <v>1539.3404709781184</v>
      </c>
      <c r="W9" s="9">
        <f>T9/D4</f>
        <v>-1541.3741666328235</v>
      </c>
    </row>
    <row r="10" spans="1:23">
      <c r="A10" s="98">
        <v>4</v>
      </c>
      <c r="B10" s="97">
        <f>C10*B4</f>
        <v>0.80182637672308243</v>
      </c>
      <c r="C10" s="97">
        <f>1/(1-D4*B4/(1-D4*B4/(1-D4*B4)))</f>
        <v>1.5999916225666486</v>
      </c>
      <c r="D10" s="128">
        <f>C10*D4*C9</f>
        <v>1.1972436896377461</v>
      </c>
      <c r="E10" s="1">
        <f>D10*D4*C8</f>
        <v>0.79633469957318004</v>
      </c>
      <c r="F10" s="1">
        <f>E10*D4</f>
        <v>0.39725625577899604</v>
      </c>
      <c r="G10" s="1">
        <f>F10*D4</f>
        <v>0.19817362327691054</v>
      </c>
      <c r="H10" s="1"/>
      <c r="I10" s="1"/>
      <c r="J10" s="1"/>
      <c r="K10" s="1"/>
      <c r="L10" s="1"/>
      <c r="M10" s="235"/>
      <c r="N10" s="97">
        <f>B10+G10</f>
        <v>0.99999999999999301</v>
      </c>
      <c r="R10" s="267">
        <f>B10-G10</f>
        <v>0.60365275344617186</v>
      </c>
      <c r="S10" s="268">
        <f>IF(Rules!B20=Rules!D20,SUM(C10:F10)*B4*F4,SUM(C10:F10)*B4*F4*POWER(O2,A10-1))</f>
        <v>1027.7876921847801</v>
      </c>
      <c r="T10" s="253">
        <f>IF(Rules!B20=Rules!D20,SUM(C10:F10)*D4*H4,SUM(C10:F10)*D4*H4*POWER(O2,A10-1))</f>
        <v>-1024.4464833567417</v>
      </c>
      <c r="U10" s="264">
        <f t="shared" si="0"/>
        <v>8.3594224221490094</v>
      </c>
      <c r="V10" s="93">
        <f>S10/B4</f>
        <v>2050.8825164786053</v>
      </c>
      <c r="W10" s="9">
        <f>T10/D4</f>
        <v>-2053.5920345746395</v>
      </c>
    </row>
    <row r="11" spans="1:23">
      <c r="A11" s="98">
        <v>5</v>
      </c>
      <c r="B11" s="97">
        <f>C11*B4</f>
        <v>0.83523435137150581</v>
      </c>
      <c r="C11" s="97">
        <f>1/(1-D4*B4/(1-D4*B4/(1-D4*B4/(1-D4*B4))))</f>
        <v>1.6666550313994273</v>
      </c>
      <c r="D11" s="128">
        <f>C11*D4*C10</f>
        <v>1.3302661228733357</v>
      </c>
      <c r="E11" s="1">
        <f>D11*D4*C9</f>
        <v>0.99541316259774892</v>
      </c>
      <c r="F11" s="1">
        <f>E11*D4*C8</f>
        <v>0.66208913744896136</v>
      </c>
      <c r="G11" s="1">
        <f>F11*D4</f>
        <v>0.33028706632511751</v>
      </c>
      <c r="H11" s="1">
        <f>G11*D4</f>
        <v>0.16476564862848544</v>
      </c>
      <c r="I11" s="1"/>
      <c r="J11" s="1"/>
      <c r="K11" s="1"/>
      <c r="L11" s="1"/>
      <c r="M11" s="235"/>
      <c r="N11" s="97">
        <f>B11+H11</f>
        <v>0.99999999999999123</v>
      </c>
      <c r="R11" s="267">
        <f>B11-H11</f>
        <v>0.67046870274302039</v>
      </c>
      <c r="S11" s="268">
        <f>IF(Rules!B20=Rules!D20,SUM(C11:G11)*B4*F4,SUM(C11:G11)*B4*F4*POWER(O2,A11-1))</f>
        <v>1283.7502258296124</v>
      </c>
      <c r="T11" s="253">
        <f>IF(Rules!B20=Rules!D20,SUM(C11:G11)*D4*H4,SUM(C11:G11)*D4*H4*POWER(O2,A11-1))</f>
        <v>-1279.5769149209943</v>
      </c>
      <c r="U11" s="264">
        <f t="shared" si="0"/>
        <v>12.532733330767087</v>
      </c>
      <c r="V11" s="93">
        <f>S11/B4</f>
        <v>2561.6388615072788</v>
      </c>
      <c r="W11" s="9">
        <f>T11/D4</f>
        <v>-2565.0231640185093</v>
      </c>
    </row>
    <row r="12" spans="1:23">
      <c r="A12" s="98">
        <v>6</v>
      </c>
      <c r="B12" s="97">
        <f>C12*B4</f>
        <v>0.85909669063796834</v>
      </c>
      <c r="C12" s="97">
        <f>1/(1-D4*B4/(1-D4*B4/(1-D4*B4/(1-D4*B4/(1-D4*B4)))))</f>
        <v>1.7142707547399541</v>
      </c>
      <c r="D12" s="128">
        <f>C12*D4*C11</f>
        <v>1.4252801566578657</v>
      </c>
      <c r="E12" s="1">
        <f>D12*D4*C10</f>
        <v>1.1376090866347779</v>
      </c>
      <c r="F12" s="1">
        <f>E12*D4*C9</f>
        <v>0.85125151971932467</v>
      </c>
      <c r="G12" s="1">
        <f>F12*D4*C8</f>
        <v>0.56620145847000458</v>
      </c>
      <c r="H12" s="1">
        <f>G12*D4</f>
        <v>0.2824529328295719</v>
      </c>
      <c r="I12" s="1">
        <f>H12*D4</f>
        <v>0.1409033093620212</v>
      </c>
      <c r="J12" s="1"/>
      <c r="K12" s="1"/>
      <c r="L12" s="1"/>
      <c r="M12" s="235"/>
      <c r="N12" s="97">
        <f>B12+I12</f>
        <v>0.99999999999998956</v>
      </c>
      <c r="R12" s="267">
        <f>B12-I12</f>
        <v>0.71819338127594712</v>
      </c>
      <c r="S12" s="268">
        <f>IF(Rules!B20=Rules!D20,SUM(C12:H12)*B4*F4,SUM(C12:H12)*B4*F4*POWER(O2,A12-1))</f>
        <v>1539.319019382315</v>
      </c>
      <c r="T12" s="253">
        <f>IF(Rules!B20=Rules!D20,SUM(C12:H12)*D4*H4,SUM(C12:H12)*D4*H4*POWER(O2,A12-1))</f>
        <v>-1534.3148863927534</v>
      </c>
      <c r="U12" s="264">
        <f t="shared" si="0"/>
        <v>17.536866320328727</v>
      </c>
      <c r="V12" s="93">
        <f>S12/B4</f>
        <v>3071.6095241648495</v>
      </c>
      <c r="W12" s="9">
        <f>T12/D4</f>
        <v>-3075.6675730890588</v>
      </c>
    </row>
    <row r="13" spans="1:23">
      <c r="A13" s="98">
        <v>7</v>
      </c>
      <c r="B13" s="97">
        <f>C13*B4</f>
        <v>0.87699300780261136</v>
      </c>
      <c r="C13" s="97">
        <f>1/(1-D4*B4/(1-D4*B4/(1-D4*B4/(1-D4*B4/(1-D4*B4/(1-D4*B4))))))</f>
        <v>1.7499816746715808</v>
      </c>
      <c r="D13" s="128">
        <f>C13*D4*C12</f>
        <v>1.4965389408328893</v>
      </c>
      <c r="E13" s="1">
        <f>D13*D4*C11</f>
        <v>1.2442534238755416</v>
      </c>
      <c r="F13" s="1">
        <f>E13*D4*C10</f>
        <v>0.99311983995931719</v>
      </c>
      <c r="G13" s="1">
        <f>F13*D4*C9</f>
        <v>0.7431329293699549</v>
      </c>
      <c r="H13" s="1">
        <f>G13*D4*C8</f>
        <v>0.49428745640899369</v>
      </c>
      <c r="I13" s="1">
        <f>H13*D4</f>
        <v>0.24657820928411764</v>
      </c>
      <c r="J13" s="1">
        <f>I13*D4</f>
        <v>0.12300699219737642</v>
      </c>
      <c r="K13" s="1"/>
      <c r="L13" s="1"/>
      <c r="M13" s="235"/>
      <c r="N13" s="97">
        <f>B13+J13</f>
        <v>0.99999999999998779</v>
      </c>
      <c r="R13" s="267">
        <f>B13-J13</f>
        <v>0.75398601560523493</v>
      </c>
      <c r="S13" s="268">
        <f>IF(Rules!B20=Rules!D20,SUM(C13:I13)*B4*F4,SUM(C13:I13)*B4*F4*POWER(O2,A13-1))</f>
        <v>1794.4940835629143</v>
      </c>
      <c r="T13" s="253">
        <f>IF(Rules!B20=Rules!D20,SUM(C13:I13)*D4*H4,SUM(C13:I13)*D4*H4*POWER(O2,A13-1))</f>
        <v>-1788.660408457195</v>
      </c>
      <c r="U13" s="264">
        <f t="shared" si="0"/>
        <v>23.370541426048021</v>
      </c>
      <c r="V13" s="93">
        <f>S13/B4</f>
        <v>3580.7945258424234</v>
      </c>
      <c r="W13" s="9">
        <f>T13/D4</f>
        <v>-3585.5252832056526</v>
      </c>
    </row>
    <row r="14" spans="1:23">
      <c r="A14" s="98">
        <v>8</v>
      </c>
      <c r="B14" s="97">
        <f>C14*B4</f>
        <v>0.89091197691158541</v>
      </c>
      <c r="C14" s="97">
        <f>1/(1-D4*B4/(1-D4*B4/(1-D4*B4/(1-D4*B4/(1-D4*B4/(1-D4*B4/(1-D4*B4)))))))</f>
        <v>1.7777560590216404</v>
      </c>
      <c r="D14" s="128">
        <f>C14*D4*C13</f>
        <v>1.5519608919835295</v>
      </c>
      <c r="E14" s="1">
        <f>D14*D4*C12</f>
        <v>1.327196703324893</v>
      </c>
      <c r="F14" s="1">
        <f>E14*D4*C11</f>
        <v>1.1034587856091942</v>
      </c>
      <c r="G14" s="1">
        <f>F14*D4*C10</f>
        <v>0.88074245289400244</v>
      </c>
      <c r="H14" s="1">
        <f>G14*D4*C9</f>
        <v>0.65904304063285168</v>
      </c>
      <c r="I14" s="1">
        <f>H14*D4*C8</f>
        <v>0.43835590557754633</v>
      </c>
      <c r="J14" s="1">
        <f>I14*D4</f>
        <v>0.21867642568091361</v>
      </c>
      <c r="K14" s="1">
        <f>J14*D4</f>
        <v>0.10908802308840061</v>
      </c>
      <c r="L14" s="1"/>
      <c r="M14" s="235"/>
      <c r="N14" s="97">
        <f>B14+K14</f>
        <v>0.99999999999998601</v>
      </c>
      <c r="R14" s="267">
        <f>B14-K14</f>
        <v>0.78182395382318481</v>
      </c>
      <c r="S14" s="268">
        <f>IF(Rules!B20=Rules!D20,SUM(C14:J14)*B4*F4,SUM(C14:J14)*B4*F4*POWER(O2,A14-1))</f>
        <v>2049.2754307402429</v>
      </c>
      <c r="T14" s="253">
        <f>IF(Rules!B20=Rules!D20,SUM(C14:J14)*D4*H4,SUM(C14:J14)*D4*H4*POWER(O2,A14-1))</f>
        <v>-2042.6134934429429</v>
      </c>
      <c r="U14" s="264">
        <f t="shared" si="0"/>
        <v>30.032478723348049</v>
      </c>
      <c r="V14" s="93">
        <f>S14/B4</f>
        <v>4089.1938912211899</v>
      </c>
      <c r="W14" s="9">
        <f>T14/D4</f>
        <v>-4094.5963190820885</v>
      </c>
    </row>
    <row r="15" spans="1:23">
      <c r="A15" s="98">
        <v>9</v>
      </c>
      <c r="B15" s="97">
        <f>C15*B4</f>
        <v>0.90204680239404589</v>
      </c>
      <c r="C15" s="97">
        <f>1/(1-D4*B4/(1-D4*B4/(1-D4*B4/(1-D4*B4/(1-D4*B4/(1-D4*B4/(1-D4*B4/(1-D4*B4))))))))</f>
        <v>1.799974868489455</v>
      </c>
      <c r="D15" s="128">
        <f>C15*D4*C14</f>
        <v>1.5962970600666919</v>
      </c>
      <c r="E15" s="1">
        <f>D15*D4*C13</f>
        <v>1.3935492423944718</v>
      </c>
      <c r="F15" s="1">
        <f>E15*D4*C12</f>
        <v>1.1917271691447193</v>
      </c>
      <c r="G15" s="1">
        <f>F15*D4*C11</f>
        <v>0.99082661337804878</v>
      </c>
      <c r="H15" s="1">
        <f>G15*D4*C10</f>
        <v>0.79084336745523565</v>
      </c>
      <c r="I15" s="1">
        <f>H15*D4*C9</f>
        <v>0.5917732429490925</v>
      </c>
      <c r="J15" s="1">
        <f>I15*D4*C8</f>
        <v>0.39361207055674652</v>
      </c>
      <c r="K15" s="1">
        <f>J15*D4</f>
        <v>0.1963557000123185</v>
      </c>
      <c r="L15" s="1">
        <f>K15*D4</f>
        <v>9.7953197605938541E-2</v>
      </c>
      <c r="M15" s="235"/>
      <c r="N15" s="97">
        <f>B15+L15</f>
        <v>0.99999999999998446</v>
      </c>
      <c r="R15" s="267">
        <f>B15-L15</f>
        <v>0.80409360478810732</v>
      </c>
      <c r="S15" s="268">
        <f>IF(Rules!B20=Rules!D20,SUM(C15:K15)*B4*F4,SUM(C15:K15)*B4*F4*POWER(O2,A15-1))</f>
        <v>2303.6630749317492</v>
      </c>
      <c r="T15" s="253">
        <f>IF(Rules!B20=Rules!D20,SUM(C15:K15)*D4*H4,SUM(C15:K15)*D4*H4*POWER(O2,A15-1))</f>
        <v>-2296.1741553218767</v>
      </c>
      <c r="U15" s="264">
        <f t="shared" si="0"/>
        <v>37.521398333220532</v>
      </c>
      <c r="V15" s="93">
        <f>S15/B4</f>
        <v>4596.8076482720417</v>
      </c>
      <c r="W15" s="9">
        <f>T15/D4</f>
        <v>-4602.8807087262139</v>
      </c>
    </row>
    <row r="16" spans="1:23" ht="17" thickBot="1">
      <c r="A16" s="99">
        <v>10</v>
      </c>
      <c r="B16" s="129">
        <f>C16*B4</f>
        <v>0.91115679616078615</v>
      </c>
      <c r="C16" s="129">
        <f>1/(1-D4*B4/(1-D4*B4/(1-D4*B4/(1-D4*B4/(1-D4*B4/(1-D4*B4/(1-D4*B4/(1-D4*B4/(1-D4*B4)))))))))</f>
        <v>1.8181532598863406</v>
      </c>
      <c r="D16" s="137">
        <f>C16*D4*C15</f>
        <v>1.6325708405147998</v>
      </c>
      <c r="E16" s="109">
        <f>D16*D4*C14</f>
        <v>1.4478357885359834</v>
      </c>
      <c r="F16" s="109">
        <f>E16*D4*C13</f>
        <v>1.2639442348792067</v>
      </c>
      <c r="G16" s="109">
        <f>F16*D4*C12</f>
        <v>1.0808923281399221</v>
      </c>
      <c r="H16" s="109">
        <f>G16*D4*C11</f>
        <v>0.89867623449905398</v>
      </c>
      <c r="I16" s="109">
        <f>H16*D4*C10</f>
        <v>0.71729213764270516</v>
      </c>
      <c r="J16" s="109">
        <f>I16*D4*C9</f>
        <v>0.53673623868222819</v>
      </c>
      <c r="K16" s="109">
        <f>J16*D4*C8</f>
        <v>0.35700475607466114</v>
      </c>
      <c r="L16" s="109">
        <f>K16*D4</f>
        <v>0.17809392554352801</v>
      </c>
      <c r="M16" s="237">
        <f>L16*D4</f>
        <v>8.8843203839196375E-2</v>
      </c>
      <c r="N16" s="129">
        <f>B16+M16</f>
        <v>0.99999999999998257</v>
      </c>
      <c r="R16" s="269">
        <f>B16-M16</f>
        <v>0.82231359232158974</v>
      </c>
      <c r="S16" s="270">
        <f>IF(Rules!B20=Rules!D20,SUM(C16:L16)*B4*F4,SUM(C16:L16)*B4*F4*POWER(O2,A16-1))</f>
        <v>2557.6570318032896</v>
      </c>
      <c r="T16" s="254">
        <f>IF(Rules!B20=Rules!D20,SUM(C16:L16)*D4*H4,SUM(C16:L16)*D4*H4*POWER(O2,A16-1))</f>
        <v>-2549.3424097089246</v>
      </c>
      <c r="U16" s="264">
        <f t="shared" si="0"/>
        <v>45.836020427585481</v>
      </c>
      <c r="V16" s="94">
        <f>S16/B4</f>
        <v>5103.635828255161</v>
      </c>
      <c r="W16" s="10">
        <f>T16/D4</f>
        <v>-5110.3784834395092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9</v>
      </c>
      <c r="D21" s="57">
        <f>SUM($C$21:C21)</f>
        <v>9</v>
      </c>
      <c r="E21" s="57">
        <f t="shared" ref="E21:E30" si="2">D21/R7</f>
        <v>3933.190338443047</v>
      </c>
      <c r="F21" s="8">
        <f t="shared" ref="F21:F30" si="3">U7/E21</f>
        <v>2.1286087078402853E-4</v>
      </c>
      <c r="G21" s="256">
        <f>E21*U7</f>
        <v>3292.9547417273875</v>
      </c>
    </row>
    <row r="22" spans="1:7">
      <c r="A22" s="97">
        <v>2</v>
      </c>
      <c r="B22" s="93">
        <f>C21</f>
        <v>9</v>
      </c>
      <c r="C22" s="1">
        <f t="shared" si="1"/>
        <v>81</v>
      </c>
      <c r="D22" s="9">
        <f>SUM($C$21:C22)</f>
        <v>90</v>
      </c>
      <c r="E22" s="9">
        <f t="shared" si="2"/>
        <v>267.55299299439838</v>
      </c>
      <c r="F22" s="9">
        <f t="shared" si="3"/>
        <v>9.3827650652724675E-3</v>
      </c>
      <c r="G22" s="257">
        <f t="shared" ref="G22:G30" si="4">E22*U8</f>
        <v>671.6615221879747</v>
      </c>
    </row>
    <row r="23" spans="1:7">
      <c r="A23" s="97">
        <v>3</v>
      </c>
      <c r="B23" s="93">
        <f t="shared" ref="B23:B30" si="5">C22</f>
        <v>81</v>
      </c>
      <c r="C23" s="1">
        <f t="shared" si="1"/>
        <v>729</v>
      </c>
      <c r="D23" s="9">
        <f>SUM($C$21:C23)</f>
        <v>819</v>
      </c>
      <c r="E23" s="9">
        <f t="shared" si="2"/>
        <v>1626.8493136230018</v>
      </c>
      <c r="F23" s="9">
        <f t="shared" si="3"/>
        <v>3.0846210230344325E-3</v>
      </c>
      <c r="G23" s="257">
        <f t="shared" si="4"/>
        <v>8163.8773411925249</v>
      </c>
    </row>
    <row r="24" spans="1:7">
      <c r="A24" s="97">
        <v>4</v>
      </c>
      <c r="B24" s="93">
        <f t="shared" si="5"/>
        <v>729</v>
      </c>
      <c r="C24" s="1">
        <f t="shared" si="1"/>
        <v>6561</v>
      </c>
      <c r="D24" s="9">
        <f>SUM($C$21:C24)</f>
        <v>7380</v>
      </c>
      <c r="E24" s="9">
        <f t="shared" si="2"/>
        <v>12225.571668262224</v>
      </c>
      <c r="F24" s="9">
        <f t="shared" si="3"/>
        <v>6.8376536075202116E-4</v>
      </c>
      <c r="G24" s="257">
        <f t="shared" si="4"/>
        <v>102198.71792726091</v>
      </c>
    </row>
    <row r="25" spans="1:7">
      <c r="A25" s="97">
        <v>5</v>
      </c>
      <c r="B25" s="93">
        <f t="shared" si="5"/>
        <v>6561</v>
      </c>
      <c r="C25" s="1">
        <f t="shared" si="1"/>
        <v>59049</v>
      </c>
      <c r="D25" s="9">
        <f>SUM($C$21:C25)</f>
        <v>66429</v>
      </c>
      <c r="E25" s="9">
        <f t="shared" si="2"/>
        <v>99078.450236716177</v>
      </c>
      <c r="F25" s="9">
        <f t="shared" si="3"/>
        <v>1.2649302952179954E-4</v>
      </c>
      <c r="G25" s="257">
        <f t="shared" si="4"/>
        <v>1241723.7956424409</v>
      </c>
    </row>
    <row r="26" spans="1:7">
      <c r="A26" s="97">
        <v>6</v>
      </c>
      <c r="B26" s="93">
        <f t="shared" si="5"/>
        <v>59049</v>
      </c>
      <c r="C26" s="1">
        <f t="shared" si="1"/>
        <v>531441</v>
      </c>
      <c r="D26" s="9">
        <f>SUM($C$21:C26)</f>
        <v>597870</v>
      </c>
      <c r="E26" s="9">
        <f t="shared" si="2"/>
        <v>832463.81209726573</v>
      </c>
      <c r="F26" s="9">
        <f t="shared" si="3"/>
        <v>2.1066220615821443E-5</v>
      </c>
      <c r="G26" s="257">
        <f t="shared" si="4"/>
        <v>14598806.589261001</v>
      </c>
    </row>
    <row r="27" spans="1:7">
      <c r="A27" s="97">
        <v>7</v>
      </c>
      <c r="B27" s="93">
        <f t="shared" si="5"/>
        <v>531441</v>
      </c>
      <c r="C27" s="1">
        <f t="shared" si="1"/>
        <v>4782969</v>
      </c>
      <c r="D27" s="9">
        <f>SUM($C$21:C27)</f>
        <v>5380839</v>
      </c>
      <c r="E27" s="9">
        <f t="shared" si="2"/>
        <v>7136523.6073784828</v>
      </c>
      <c r="F27" s="9">
        <f t="shared" si="3"/>
        <v>3.2747795301742038E-6</v>
      </c>
      <c r="G27" s="257">
        <f t="shared" si="4"/>
        <v>166784420.6042085</v>
      </c>
    </row>
    <row r="28" spans="1:7">
      <c r="A28" s="97">
        <v>8</v>
      </c>
      <c r="B28" s="93">
        <f t="shared" si="5"/>
        <v>4782969</v>
      </c>
      <c r="C28" s="1">
        <f t="shared" si="1"/>
        <v>43046721</v>
      </c>
      <c r="D28" s="9">
        <f>SUM($C$21:C28)</f>
        <v>48427560</v>
      </c>
      <c r="E28" s="9">
        <f t="shared" si="2"/>
        <v>61941770.603452556</v>
      </c>
      <c r="F28" s="9">
        <f t="shared" si="3"/>
        <v>4.8485018156187605E-7</v>
      </c>
      <c r="G28" s="257">
        <f t="shared" si="4"/>
        <v>1860264907.7346945</v>
      </c>
    </row>
    <row r="29" spans="1:7">
      <c r="A29" s="97">
        <v>9</v>
      </c>
      <c r="B29" s="93">
        <f t="shared" si="5"/>
        <v>43046721</v>
      </c>
      <c r="C29" s="1">
        <f t="shared" si="1"/>
        <v>387420489</v>
      </c>
      <c r="D29" s="9">
        <f>SUM($C$21:C29)</f>
        <v>435848049</v>
      </c>
      <c r="E29" s="9">
        <f t="shared" si="2"/>
        <v>542036457.45305181</v>
      </c>
      <c r="F29" s="9">
        <f t="shared" si="3"/>
        <v>6.9223015937946249E-8</v>
      </c>
      <c r="G29" s="257">
        <f t="shared" si="4"/>
        <v>20337965831.223701</v>
      </c>
    </row>
    <row r="30" spans="1:7" ht="17" thickBot="1">
      <c r="A30" s="129">
        <v>10</v>
      </c>
      <c r="B30" s="94">
        <f t="shared" si="5"/>
        <v>387420489</v>
      </c>
      <c r="C30" s="109">
        <f t="shared" si="1"/>
        <v>3486784401</v>
      </c>
      <c r="D30" s="10">
        <f>SUM($C$21:C30)</f>
        <v>3922632450</v>
      </c>
      <c r="E30" s="10">
        <f t="shared" si="2"/>
        <v>4770239099.3264036</v>
      </c>
      <c r="F30" s="10">
        <f t="shared" si="3"/>
        <v>9.608746956532619E-9</v>
      </c>
      <c r="G30" s="258">
        <f t="shared" si="4"/>
        <v>218648776801.19202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9</v>
      </c>
      <c r="D33" s="57">
        <f>SUM($C$33:C33)</f>
        <v>9</v>
      </c>
      <c r="E33" s="9">
        <f t="shared" ref="E33:E42" si="7">D33/R7</f>
        <v>3933.190338443047</v>
      </c>
      <c r="F33" s="8">
        <f t="shared" ref="F33:F42" si="8">U7/E33</f>
        <v>2.1286087078402853E-4</v>
      </c>
      <c r="G33" s="259">
        <f>E33*U7</f>
        <v>3292.9547417273875</v>
      </c>
    </row>
    <row r="34" spans="1:7">
      <c r="A34" s="97">
        <v>2</v>
      </c>
      <c r="B34" s="93">
        <f t="shared" ref="B34:B42" si="9">B33*($O$2+1)</f>
        <v>10</v>
      </c>
      <c r="C34" s="1">
        <f t="shared" si="6"/>
        <v>90</v>
      </c>
      <c r="D34" s="9">
        <f>SUM($C$33:C34)</f>
        <v>99</v>
      </c>
      <c r="E34" s="9">
        <f t="shared" si="7"/>
        <v>294.30829229383824</v>
      </c>
      <c r="F34" s="9">
        <f t="shared" si="8"/>
        <v>8.5297864229749703E-3</v>
      </c>
      <c r="G34" s="257">
        <f t="shared" ref="G34:G42" si="10">E34*U8</f>
        <v>738.8276744067723</v>
      </c>
    </row>
    <row r="35" spans="1:7">
      <c r="A35" s="97">
        <v>3</v>
      </c>
      <c r="B35" s="93">
        <f t="shared" si="9"/>
        <v>100</v>
      </c>
      <c r="C35" s="1">
        <f t="shared" si="6"/>
        <v>900</v>
      </c>
      <c r="D35" s="9">
        <f>SUM($C$33:C35)</f>
        <v>999</v>
      </c>
      <c r="E35" s="9">
        <f t="shared" si="7"/>
        <v>1984.3986133203648</v>
      </c>
      <c r="F35" s="9">
        <f t="shared" si="8"/>
        <v>2.5288334513165166E-3</v>
      </c>
      <c r="G35" s="257">
        <f t="shared" si="10"/>
        <v>9958.1360974985746</v>
      </c>
    </row>
    <row r="36" spans="1:7">
      <c r="A36" s="97">
        <v>4</v>
      </c>
      <c r="B36" s="93">
        <f t="shared" si="9"/>
        <v>1000</v>
      </c>
      <c r="C36" s="1">
        <f t="shared" si="6"/>
        <v>9000</v>
      </c>
      <c r="D36" s="9">
        <f>SUM($C$33:C36)</f>
        <v>9999</v>
      </c>
      <c r="E36" s="9">
        <f t="shared" si="7"/>
        <v>16564.158687121133</v>
      </c>
      <c r="F36" s="9">
        <f t="shared" si="8"/>
        <v>5.046693031653083E-4</v>
      </c>
      <c r="G36" s="257">
        <f t="shared" si="10"/>
        <v>138466.7995331547</v>
      </c>
    </row>
    <row r="37" spans="1:7">
      <c r="A37" s="97">
        <v>5</v>
      </c>
      <c r="B37" s="93">
        <f t="shared" si="9"/>
        <v>10000</v>
      </c>
      <c r="C37" s="1">
        <f t="shared" si="6"/>
        <v>90000</v>
      </c>
      <c r="D37" s="9">
        <f>SUM($C$33:C37)</f>
        <v>99999</v>
      </c>
      <c r="E37" s="9">
        <f t="shared" si="7"/>
        <v>149147.9014469792</v>
      </c>
      <c r="F37" s="9">
        <f t="shared" si="8"/>
        <v>8.4028894869984919E-5</v>
      </c>
      <c r="G37" s="257">
        <f t="shared" si="10"/>
        <v>1869230.8756785209</v>
      </c>
    </row>
    <row r="38" spans="1:7">
      <c r="A38" s="97">
        <v>6</v>
      </c>
      <c r="B38" s="93">
        <f t="shared" si="9"/>
        <v>100000</v>
      </c>
      <c r="C38" s="1">
        <f t="shared" si="6"/>
        <v>900000</v>
      </c>
      <c r="D38" s="9">
        <f>SUM($C$33:C38)</f>
        <v>999999</v>
      </c>
      <c r="E38" s="9">
        <f t="shared" si="7"/>
        <v>1392381.2528366596</v>
      </c>
      <c r="F38" s="9">
        <f t="shared" si="8"/>
        <v>1.2594873914455081E-5</v>
      </c>
      <c r="G38" s="257">
        <f t="shared" si="10"/>
        <v>24418003.897928331</v>
      </c>
    </row>
    <row r="39" spans="1:7">
      <c r="A39" s="97">
        <v>7</v>
      </c>
      <c r="B39" s="93">
        <f t="shared" si="9"/>
        <v>1000000</v>
      </c>
      <c r="C39" s="1">
        <f t="shared" si="6"/>
        <v>9000000</v>
      </c>
      <c r="D39" s="9">
        <f>SUM($C$33:C39)</f>
        <v>9999999</v>
      </c>
      <c r="E39" s="9">
        <f t="shared" si="7"/>
        <v>13262844.128445623</v>
      </c>
      <c r="F39" s="9">
        <f t="shared" si="8"/>
        <v>1.762106317446935E-6</v>
      </c>
      <c r="G39" s="257">
        <f t="shared" si="10"/>
        <v>309959848.13105619</v>
      </c>
    </row>
    <row r="40" spans="1:7">
      <c r="A40" s="97">
        <v>8</v>
      </c>
      <c r="B40" s="93">
        <f t="shared" si="9"/>
        <v>10000000</v>
      </c>
      <c r="C40" s="1">
        <f t="shared" si="6"/>
        <v>90000000</v>
      </c>
      <c r="D40" s="9">
        <f>SUM($C$33:C40)</f>
        <v>99999999</v>
      </c>
      <c r="E40" s="9">
        <f t="shared" si="7"/>
        <v>127906031.16084075</v>
      </c>
      <c r="F40" s="9">
        <f t="shared" si="8"/>
        <v>2.3480111493399761E-7</v>
      </c>
      <c r="G40" s="257">
        <f t="shared" si="10"/>
        <v>3841335159.4258423</v>
      </c>
    </row>
    <row r="41" spans="1:7">
      <c r="A41" s="97">
        <v>9</v>
      </c>
      <c r="B41" s="93">
        <f t="shared" si="9"/>
        <v>100000000</v>
      </c>
      <c r="C41" s="1">
        <f t="shared" si="6"/>
        <v>900000000</v>
      </c>
      <c r="D41" s="9">
        <f>SUM($C$33:C41)</f>
        <v>999999999</v>
      </c>
      <c r="E41" s="9">
        <f t="shared" si="7"/>
        <v>1243636304.3373756</v>
      </c>
      <c r="F41" s="9">
        <f t="shared" si="8"/>
        <v>3.017071647262049E-8</v>
      </c>
      <c r="G41" s="257">
        <f t="shared" si="10"/>
        <v>46662973156.696945</v>
      </c>
    </row>
    <row r="42" spans="1:7" ht="17" thickBot="1">
      <c r="A42" s="129">
        <v>10</v>
      </c>
      <c r="B42" s="94">
        <f t="shared" si="9"/>
        <v>1000000000</v>
      </c>
      <c r="C42" s="109">
        <f t="shared" si="6"/>
        <v>9000000000</v>
      </c>
      <c r="D42" s="10">
        <f>SUM($C$33:C42)</f>
        <v>9999999999</v>
      </c>
      <c r="E42" s="9">
        <f t="shared" si="7"/>
        <v>12160810781.161463</v>
      </c>
      <c r="F42" s="10">
        <f t="shared" si="8"/>
        <v>3.7691582619302743E-9</v>
      </c>
      <c r="G42" s="258">
        <f t="shared" si="10"/>
        <v>557403171381.3186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9</v>
      </c>
      <c r="D45" s="57">
        <f>SUM(C45:C45)</f>
        <v>9</v>
      </c>
      <c r="E45" s="57">
        <f t="shared" ref="E45:E54" si="12">D45/R7</f>
        <v>3933.190338443047</v>
      </c>
      <c r="F45" s="8">
        <f t="shared" ref="F45:F54" si="13">U7/E45</f>
        <v>2.1286087078402853E-4</v>
      </c>
      <c r="G45" s="256">
        <f>E45*U7</f>
        <v>3292.9547417273875</v>
      </c>
    </row>
    <row r="46" spans="1:7">
      <c r="A46" s="97">
        <v>2</v>
      </c>
      <c r="B46" s="93">
        <f t="shared" ref="B46:B54" si="14">B45*$O$2*2</f>
        <v>18</v>
      </c>
      <c r="C46" s="1">
        <f t="shared" si="11"/>
        <v>162</v>
      </c>
      <c r="D46" s="9">
        <f>SUM($C$45:C46)</f>
        <v>171</v>
      </c>
      <c r="E46" s="9">
        <f t="shared" si="12"/>
        <v>508.35068668935696</v>
      </c>
      <c r="F46" s="9">
        <f t="shared" si="13"/>
        <v>4.938297402774983E-3</v>
      </c>
      <c r="G46" s="257">
        <f t="shared" ref="G46:G54" si="15">E46*U8</f>
        <v>1276.156892157152</v>
      </c>
    </row>
    <row r="47" spans="1:7">
      <c r="A47" s="97">
        <v>3</v>
      </c>
      <c r="B47" s="93">
        <f t="shared" si="14"/>
        <v>324</v>
      </c>
      <c r="C47" s="1">
        <f t="shared" si="11"/>
        <v>2916</v>
      </c>
      <c r="D47" s="9">
        <f>SUM($C$45:C47)</f>
        <v>3087</v>
      </c>
      <c r="E47" s="9">
        <f t="shared" si="12"/>
        <v>6131.9704898097762</v>
      </c>
      <c r="F47" s="9">
        <f t="shared" si="13"/>
        <v>8.1836884284586979E-4</v>
      </c>
      <c r="G47" s="257">
        <f t="shared" si="15"/>
        <v>30771.537670648748</v>
      </c>
    </row>
    <row r="48" spans="1:7">
      <c r="A48" s="97">
        <v>4</v>
      </c>
      <c r="B48" s="93">
        <f t="shared" si="14"/>
        <v>5832</v>
      </c>
      <c r="C48" s="1">
        <f t="shared" si="11"/>
        <v>52488</v>
      </c>
      <c r="D48" s="9">
        <f>SUM($C$45:C48)</f>
        <v>55575</v>
      </c>
      <c r="E48" s="9">
        <f t="shared" si="12"/>
        <v>92064.51835551126</v>
      </c>
      <c r="F48" s="9">
        <f t="shared" si="13"/>
        <v>9.0799610658568006E-5</v>
      </c>
      <c r="G48" s="257">
        <f t="shared" si="15"/>
        <v>769606.19902540988</v>
      </c>
    </row>
    <row r="49" spans="1:7">
      <c r="A49" s="97">
        <v>5</v>
      </c>
      <c r="B49" s="93">
        <f t="shared" si="14"/>
        <v>104976</v>
      </c>
      <c r="C49" s="1">
        <f t="shared" si="11"/>
        <v>944784</v>
      </c>
      <c r="D49" s="9">
        <f>SUM($C$45:C49)</f>
        <v>1000359</v>
      </c>
      <c r="E49" s="9">
        <f t="shared" si="12"/>
        <v>1492029.3757297439</v>
      </c>
      <c r="F49" s="9">
        <f t="shared" si="13"/>
        <v>8.3997899335174899E-6</v>
      </c>
      <c r="G49" s="257">
        <f t="shared" si="15"/>
        <v>18699206.287691772</v>
      </c>
    </row>
    <row r="50" spans="1:7">
      <c r="A50" s="97">
        <v>6</v>
      </c>
      <c r="B50" s="93">
        <f t="shared" si="14"/>
        <v>1889568</v>
      </c>
      <c r="C50" s="1">
        <f t="shared" si="11"/>
        <v>17006112</v>
      </c>
      <c r="D50" s="9">
        <f>SUM($C$45:C50)</f>
        <v>18006471</v>
      </c>
      <c r="E50" s="9">
        <f t="shared" si="12"/>
        <v>25071897.722044703</v>
      </c>
      <c r="F50" s="9">
        <f t="shared" si="13"/>
        <v>6.9946306078415724E-7</v>
      </c>
      <c r="G50" s="257">
        <f t="shared" si="15"/>
        <v>439682518.74845225</v>
      </c>
    </row>
    <row r="51" spans="1:7">
      <c r="A51" s="97">
        <v>7</v>
      </c>
      <c r="B51" s="93">
        <f t="shared" si="14"/>
        <v>34012224</v>
      </c>
      <c r="C51" s="1">
        <f t="shared" si="11"/>
        <v>306110016</v>
      </c>
      <c r="D51" s="9">
        <f>SUM($C$45:C51)</f>
        <v>324116487</v>
      </c>
      <c r="E51" s="9">
        <f t="shared" si="12"/>
        <v>429870687.64110595</v>
      </c>
      <c r="F51" s="9">
        <f t="shared" si="13"/>
        <v>5.4366445766034215E-8</v>
      </c>
      <c r="G51" s="257">
        <f t="shared" si="15"/>
        <v>10046310713.360216</v>
      </c>
    </row>
    <row r="52" spans="1:7">
      <c r="A52" s="97">
        <v>8</v>
      </c>
      <c r="B52" s="93">
        <f t="shared" si="14"/>
        <v>612220032</v>
      </c>
      <c r="C52" s="1">
        <f t="shared" si="11"/>
        <v>5509980288</v>
      </c>
      <c r="D52" s="9">
        <f>SUM($C$45:C52)</f>
        <v>5834096775</v>
      </c>
      <c r="E52" s="9">
        <f t="shared" si="12"/>
        <v>7462161713.6067228</v>
      </c>
      <c r="F52" s="9">
        <f t="shared" si="13"/>
        <v>4.0246352030385446E-9</v>
      </c>
      <c r="G52" s="257">
        <f t="shared" si="15"/>
        <v>224107212894.07632</v>
      </c>
    </row>
    <row r="53" spans="1:7">
      <c r="A53" s="97">
        <v>9</v>
      </c>
      <c r="B53" s="93">
        <f t="shared" si="14"/>
        <v>11019960576</v>
      </c>
      <c r="C53" s="1">
        <f t="shared" si="11"/>
        <v>99179645184</v>
      </c>
      <c r="D53" s="9">
        <f>SUM($C$45:C53)</f>
        <v>105013741959</v>
      </c>
      <c r="E53" s="9">
        <f t="shared" si="12"/>
        <v>130598902085.12845</v>
      </c>
      <c r="F53" s="9">
        <f t="shared" si="13"/>
        <v>2.8730255564294799E-10</v>
      </c>
      <c r="G53" s="257">
        <f t="shared" si="15"/>
        <v>4900253427017.3701</v>
      </c>
    </row>
    <row r="54" spans="1:7" ht="17" thickBot="1">
      <c r="A54" s="129">
        <v>10</v>
      </c>
      <c r="B54" s="94">
        <f t="shared" si="14"/>
        <v>198359290368</v>
      </c>
      <c r="C54" s="109">
        <f t="shared" si="11"/>
        <v>1785233613312</v>
      </c>
      <c r="D54" s="10">
        <f>SUM($C$45:C54)</f>
        <v>1890247355271</v>
      </c>
      <c r="E54" s="10">
        <f t="shared" si="12"/>
        <v>2298694041934.021</v>
      </c>
      <c r="F54" s="10">
        <f t="shared" si="13"/>
        <v>1.9940026637481974E-11</v>
      </c>
      <c r="G54" s="258">
        <f t="shared" si="15"/>
        <v>105362987062856.83</v>
      </c>
    </row>
  </sheetData>
  <mergeCells count="1">
    <mergeCell ref="A18:F18"/>
  </mergeCells>
  <conditionalFormatting sqref="F45:F54">
    <cfRule type="cellIs" dxfId="345" priority="67" operator="equal">
      <formula>MAX($F$45:$F$54)</formula>
    </cfRule>
  </conditionalFormatting>
  <conditionalFormatting sqref="F21:F30">
    <cfRule type="cellIs" dxfId="344" priority="65" operator="equal">
      <formula>MAX($F$21:$F$30)</formula>
    </cfRule>
  </conditionalFormatting>
  <conditionalFormatting sqref="F33:F42">
    <cfRule type="cellIs" dxfId="343" priority="46" operator="lessThanOrEqual">
      <formula>0</formula>
    </cfRule>
    <cfRule type="cellIs" dxfId="342" priority="63" operator="equal">
      <formula>MAX($F$33:$F$42)</formula>
    </cfRule>
  </conditionalFormatting>
  <conditionalFormatting sqref="E33:E42">
    <cfRule type="cellIs" dxfId="341" priority="61" stopIfTrue="1" operator="lessThan">
      <formula>0</formula>
    </cfRule>
    <cfRule type="cellIs" dxfId="340" priority="62" operator="equal">
      <formula>MIN($E$33:$E$42)</formula>
    </cfRule>
  </conditionalFormatting>
  <conditionalFormatting sqref="E21:E30">
    <cfRule type="cellIs" dxfId="339" priority="57" stopIfTrue="1" operator="lessThan">
      <formula>0</formula>
    </cfRule>
    <cfRule type="cellIs" dxfId="338" priority="58" operator="equal">
      <formula>MIN($E$21:$E$30)</formula>
    </cfRule>
  </conditionalFormatting>
  <conditionalFormatting sqref="E45:E54">
    <cfRule type="cellIs" dxfId="337" priority="53" stopIfTrue="1" operator="lessThan">
      <formula>0</formula>
    </cfRule>
    <cfRule type="cellIs" dxfId="336" priority="54" operator="equal">
      <formula>MIN($E$45:$E$54)</formula>
    </cfRule>
  </conditionalFormatting>
  <conditionalFormatting sqref="R7:R16">
    <cfRule type="cellIs" dxfId="335" priority="31" operator="lessThanOrEqual">
      <formula>0</formula>
    </cfRule>
    <cfRule type="cellIs" dxfId="334" priority="32" operator="greaterThan">
      <formula>0</formula>
    </cfRule>
  </conditionalFormatting>
  <conditionalFormatting sqref="U7:U16">
    <cfRule type="cellIs" dxfId="333" priority="9" operator="lessThanOrEqual">
      <formula>0</formula>
    </cfRule>
    <cfRule type="cellIs" dxfId="332" priority="10" operator="greaterThan">
      <formula>0</formula>
    </cfRule>
  </conditionalFormatting>
  <conditionalFormatting sqref="S7:T16">
    <cfRule type="cellIs" dxfId="331" priority="1" operator="lessThanOrEqual">
      <formula>0</formula>
    </cfRule>
    <cfRule type="cellIs" dxfId="33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0.999999999999998</v>
      </c>
    </row>
    <row r="2" spans="1:23">
      <c r="A2" t="s">
        <v>39</v>
      </c>
      <c r="B2" s="133" t="s">
        <v>124</v>
      </c>
      <c r="C2" s="139">
        <f>Analysis!B33</f>
        <v>0.5048435234017381</v>
      </c>
      <c r="D2" s="133" t="s">
        <v>125</v>
      </c>
      <c r="E2" s="139">
        <f>Analysis!N33</f>
        <v>0.49515647659825995</v>
      </c>
      <c r="F2" s="133" t="s">
        <v>46</v>
      </c>
      <c r="G2" s="139">
        <f>Analysis!S33</f>
        <v>580.86806806931088</v>
      </c>
      <c r="H2" t="s">
        <v>153</v>
      </c>
      <c r="I2" s="153">
        <f>Analysis!T33</f>
        <v>-581.63548040482806</v>
      </c>
      <c r="J2" t="s">
        <v>47</v>
      </c>
      <c r="K2" s="153">
        <f>G2*C2+I2*E2</f>
        <v>5.2469069738806411</v>
      </c>
      <c r="L2" t="s">
        <v>46</v>
      </c>
      <c r="M2" s="160">
        <v>2</v>
      </c>
      <c r="N2" t="s">
        <v>153</v>
      </c>
      <c r="O2" s="160">
        <v>10</v>
      </c>
    </row>
    <row r="4" spans="1:23">
      <c r="A4" t="s">
        <v>122</v>
      </c>
      <c r="B4">
        <f>$C$2</f>
        <v>0.5048435234017381</v>
      </c>
      <c r="C4" t="s">
        <v>123</v>
      </c>
      <c r="D4">
        <f>$E$2</f>
        <v>0.49515647659825995</v>
      </c>
      <c r="E4" t="s">
        <v>46</v>
      </c>
      <c r="F4">
        <f>G2</f>
        <v>580.86806806931088</v>
      </c>
      <c r="G4" t="s">
        <v>153</v>
      </c>
      <c r="H4">
        <f>I2</f>
        <v>-581.63548040482806</v>
      </c>
      <c r="I4" t="s">
        <v>47</v>
      </c>
      <c r="J4">
        <f>B4*F4+D4*H4</f>
        <v>5.2469069738806411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0.5048435234017381</v>
      </c>
      <c r="C7" s="95">
        <v>1</v>
      </c>
      <c r="D7" s="22">
        <f>C7*D4</f>
        <v>0.49515647659825995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0.999999999999998</v>
      </c>
      <c r="R7" s="265">
        <f>B7-D7</f>
        <v>9.6870468034781498E-3</v>
      </c>
      <c r="S7" s="266">
        <f>IF(Rules!B20=Rules!D20,SUM(C7)*B4*F4,SUM(C7)*B4*F4*POWER(O2,A7-1))</f>
        <v>293.24748211567157</v>
      </c>
      <c r="T7" s="252">
        <f>IF(Rules!B20=Rules!D20,SUM(C7)*D4*H4,SUM(C7)*D4*H4*POWER(O2,A7-1))</f>
        <v>-288.00057514179093</v>
      </c>
      <c r="U7" s="263">
        <f>S7+T7</f>
        <v>5.2469069738806411</v>
      </c>
      <c r="V7" s="282">
        <f>S7/B4</f>
        <v>580.86806806931088</v>
      </c>
      <c r="W7" s="57">
        <f>T7/D4</f>
        <v>-581.63548040482806</v>
      </c>
    </row>
    <row r="8" spans="1:23">
      <c r="A8" s="98">
        <v>2</v>
      </c>
      <c r="B8" s="97">
        <f>C8*B4</f>
        <v>0.67310364343925699</v>
      </c>
      <c r="C8" s="97">
        <f>1/(1-B4*D4)</f>
        <v>1.333291628470834</v>
      </c>
      <c r="D8" s="128">
        <f>C8*D4</f>
        <v>0.66018798503157439</v>
      </c>
      <c r="E8" s="1">
        <f>D8*D4</f>
        <v>0.32689635656073918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0.99999999999999623</v>
      </c>
      <c r="R8" s="267">
        <f>B8-E8</f>
        <v>0.34620728687851782</v>
      </c>
      <c r="S8" s="268">
        <f>IF(Rules!B20=Rules!D20,SUM(C8:D8)*B4*F4,SUM(C8:D8)*B4*F4*POWER(O2,A8-1))</f>
        <v>584.58287730850338</v>
      </c>
      <c r="T8" s="253">
        <f>IF(Rules!B20=Rules!D20,SUM(C8:D8)*D4*H4,SUM(C8:D8)*D4*H4*POWER(O2,A8-1))</f>
        <v>-574.12327522212877</v>
      </c>
      <c r="U8" s="264">
        <f>S8+T8+U7</f>
        <v>15.706509060255257</v>
      </c>
      <c r="V8" s="93">
        <f>S8/B4</f>
        <v>1157.9486518307006</v>
      </c>
      <c r="W8" s="9">
        <f>T8/D4</f>
        <v>-1159.4784726767043</v>
      </c>
    </row>
    <row r="9" spans="1:23">
      <c r="A9" s="98">
        <v>3</v>
      </c>
      <c r="B9" s="97">
        <f>C9*B4</f>
        <v>0.75721791559902907</v>
      </c>
      <c r="C9" s="97">
        <f>1/(1-D4*B4/(1-D4*B4))</f>
        <v>1.4999061699291318</v>
      </c>
      <c r="D9" s="128">
        <f>C9*D4*C8</f>
        <v>0.99022003206193987</v>
      </c>
      <c r="E9" s="1">
        <f>D9*(D4)</f>
        <v>0.49031386213280614</v>
      </c>
      <c r="F9" s="1">
        <f>E9*D4</f>
        <v>0.24278208440096527</v>
      </c>
      <c r="G9" s="1"/>
      <c r="H9" s="1"/>
      <c r="I9" s="1"/>
      <c r="J9" s="1"/>
      <c r="K9" s="1"/>
      <c r="L9" s="1"/>
      <c r="M9" s="235"/>
      <c r="N9" s="97">
        <f>B9+F9</f>
        <v>0.99999999999999434</v>
      </c>
      <c r="R9" s="267">
        <f>B9-F9</f>
        <v>0.5144358311980638</v>
      </c>
      <c r="S9" s="268">
        <f>IF(Rules!B20=Rules!D20,SUM(C9:E9)*B4*F4,SUM(C9:E9)*B4*F4*POWER(O2,A9-1))</f>
        <v>874.00654440099788</v>
      </c>
      <c r="T9" s="253">
        <f>IF(Rules!B20=Rules!D20,SUM(C9:E9)*D4*H4,SUM(C9:E9)*D4*H4*POWER(O2,A9-1))</f>
        <v>-858.36845264331305</v>
      </c>
      <c r="U9" s="264">
        <f t="shared" ref="U9:U16" si="0">S9+T9+U8</f>
        <v>31.344600817940091</v>
      </c>
      <c r="V9" s="93">
        <f>S9/B4</f>
        <v>1731.2424620440102</v>
      </c>
      <c r="W9" s="9">
        <f>T9/D4</f>
        <v>-1733.5296885144883</v>
      </c>
    </row>
    <row r="10" spans="1:23">
      <c r="A10" s="98">
        <v>4</v>
      </c>
      <c r="B10" s="97">
        <f>C10*B4</f>
        <v>0.80767385192571761</v>
      </c>
      <c r="C10" s="97">
        <f>1/(1-D4*B4/(1-D4*B4/(1-D4*B4)))</f>
        <v>1.5998498831547789</v>
      </c>
      <c r="D10" s="128">
        <f>C10*D4*C9</f>
        <v>1.188189716910437</v>
      </c>
      <c r="E10" s="1">
        <f>D10*D4*C8</f>
        <v>0.78442857504233821</v>
      </c>
      <c r="F10" s="1">
        <f>E10*D4</f>
        <v>0.38841488936095792</v>
      </c>
      <c r="G10" s="1">
        <f>F10*D4</f>
        <v>0.19232614807427489</v>
      </c>
      <c r="H10" s="1"/>
      <c r="I10" s="1"/>
      <c r="J10" s="1"/>
      <c r="K10" s="1"/>
      <c r="L10" s="1"/>
      <c r="M10" s="235"/>
      <c r="N10" s="97">
        <f>B10+G10</f>
        <v>0.99999999999999245</v>
      </c>
      <c r="R10" s="267">
        <f>B10-G10</f>
        <v>0.61534770385144277</v>
      </c>
      <c r="S10" s="268">
        <f>IF(Rules!B20=Rules!D20,SUM(C10:F10)*B4*F4,SUM(C10:F10)*B4*F4*POWER(O2,A10-1))</f>
        <v>1161.5189856099962</v>
      </c>
      <c r="T10" s="253">
        <f>IF(Rules!B20=Rules!D20,SUM(C10:F10)*D4*H4,SUM(C10:F10)*D4*H4*POWER(O2,A10-1))</f>
        <v>-1140.7366006363109</v>
      </c>
      <c r="U10" s="264">
        <f t="shared" si="0"/>
        <v>52.12698579162543</v>
      </c>
      <c r="V10" s="93">
        <f>S10/B4</f>
        <v>2300.7504935062761</v>
      </c>
      <c r="W10" s="9">
        <f>T10/D4</f>
        <v>-2303.7901240294905</v>
      </c>
    </row>
    <row r="11" spans="1:23">
      <c r="A11" s="98">
        <v>5</v>
      </c>
      <c r="B11" s="97">
        <f>C11*B4</f>
        <v>0.84130062388961002</v>
      </c>
      <c r="C11" s="97">
        <f>1/(1-D4*B4/(1-D4*B4/(1-D4*B4/(1-D4*B4))))</f>
        <v>1.6664581893034018</v>
      </c>
      <c r="D11" s="128">
        <f>C11*D4*C10</f>
        <v>1.3201282346115315</v>
      </c>
      <c r="E11" s="1">
        <f>D11*D4*C9</f>
        <v>0.98044373405551488</v>
      </c>
      <c r="F11" s="1">
        <f>E11*D4*C8</f>
        <v>0.6472771732229432</v>
      </c>
      <c r="G11" s="1">
        <f>F11*D4</f>
        <v>0.32050348447555416</v>
      </c>
      <c r="H11" s="1">
        <f>G11*D4</f>
        <v>0.15869937611038051</v>
      </c>
      <c r="I11" s="1"/>
      <c r="J11" s="1"/>
      <c r="K11" s="1"/>
      <c r="L11" s="1"/>
      <c r="M11" s="235"/>
      <c r="N11" s="97">
        <f>B11+H11</f>
        <v>0.99999999999999056</v>
      </c>
      <c r="R11" s="267">
        <f>B11-H11</f>
        <v>0.68260124777922948</v>
      </c>
      <c r="S11" s="268">
        <f>IF(Rules!B20=Rules!D20,SUM(C11:G11)*B4*F4,SUM(C11:G11)*B4*F4*POWER(O2,A11-1))</f>
        <v>1447.1208464121016</v>
      </c>
      <c r="T11" s="253">
        <f>IF(Rules!B20=Rules!D20,SUM(C11:G11)*D4*H4,SUM(C11:G11)*D4*H4*POWER(O2,A11-1))</f>
        <v>-1421.2283531285866</v>
      </c>
      <c r="U11" s="264">
        <f t="shared" si="0"/>
        <v>78.019479075140453</v>
      </c>
      <c r="V11" s="93">
        <f>S11/B4</f>
        <v>2866.4740247851605</v>
      </c>
      <c r="W11" s="9">
        <f>T11/D4</f>
        <v>-2870.2610594785483</v>
      </c>
    </row>
    <row r="12" spans="1:23">
      <c r="A12" s="98">
        <v>6</v>
      </c>
      <c r="B12" s="97">
        <f>C12*B4</f>
        <v>0.86531073422464233</v>
      </c>
      <c r="C12" s="97">
        <f>1/(1-D4*B4/(1-D4*B4/(1-D4*B4/(1-D4*B4/(1-D4*B4)))))</f>
        <v>1.7140176987792237</v>
      </c>
      <c r="D12" s="128">
        <f>C12*D4*C11</f>
        <v>1.4143346714008085</v>
      </c>
      <c r="E12" s="1">
        <f>D12*D4*C10</f>
        <v>1.1204020268199466</v>
      </c>
      <c r="F12" s="1">
        <f>E12*D4*C9</f>
        <v>0.83210942544681199</v>
      </c>
      <c r="G12" s="1">
        <f>F12*D4*C8</f>
        <v>0.54934864491151192</v>
      </c>
      <c r="H12" s="1">
        <f>G12*D4</f>
        <v>0.27201353943841289</v>
      </c>
      <c r="I12" s="1">
        <f>H12*D4</f>
        <v>0.13468926577534635</v>
      </c>
      <c r="J12" s="1"/>
      <c r="K12" s="1"/>
      <c r="L12" s="1"/>
      <c r="M12" s="235"/>
      <c r="N12" s="97">
        <f>B12+I12</f>
        <v>0.99999999999998868</v>
      </c>
      <c r="R12" s="267">
        <f>B12-I12</f>
        <v>0.73062146844929599</v>
      </c>
      <c r="S12" s="268">
        <f>IF(Rules!B20=Rules!D20,SUM(C12:H12)*B4*F4,SUM(C12:H12)*B4*F4*POWER(O2,A12-1))</f>
        <v>1730.8129153707712</v>
      </c>
      <c r="T12" s="253">
        <f>IF(Rules!B20=Rules!D20,SUM(C12:H12)*D4*H4,SUM(C12:H12)*D4*H4*POWER(O2,A12-1))</f>
        <v>-1699.8444845742899</v>
      </c>
      <c r="U12" s="264">
        <f t="shared" si="0"/>
        <v>108.9879098716217</v>
      </c>
      <c r="V12" s="93">
        <f>S12/B4</f>
        <v>3428.4146178764513</v>
      </c>
      <c r="W12" s="9">
        <f>T12/D4</f>
        <v>-3432.9440589210772</v>
      </c>
    </row>
    <row r="13" spans="1:23">
      <c r="A13" s="98">
        <v>7</v>
      </c>
      <c r="B13" s="97">
        <f>C13*B4</f>
        <v>0.88331043488774619</v>
      </c>
      <c r="C13" s="97">
        <f>1/(1-D4*B4/(1-D4*B4/(1-D4*B4/(1-D4*B4/(1-D4*B4/(1-D4*B4))))))</f>
        <v>1.7496717179529635</v>
      </c>
      <c r="D13" s="128">
        <f>C13*D4*C12</f>
        <v>1.4849585727108536</v>
      </c>
      <c r="E13" s="1">
        <f>D13*D4*C11</f>
        <v>1.2253248005984221</v>
      </c>
      <c r="F13" s="1">
        <f>E13*D4*C10</f>
        <v>0.97067293750459516</v>
      </c>
      <c r="G13" s="1">
        <f>F13*D4*C9</f>
        <v>0.72090738948075794</v>
      </c>
      <c r="H13" s="1">
        <f>G13*D4*C8</f>
        <v>0.47593439685567407</v>
      </c>
      <c r="I13" s="1">
        <f>H13*D4</f>
        <v>0.23566199903897353</v>
      </c>
      <c r="J13" s="1">
        <f>I13*D4</f>
        <v>0.11668956511224066</v>
      </c>
      <c r="K13" s="1"/>
      <c r="L13" s="1"/>
      <c r="M13" s="235"/>
      <c r="N13" s="97">
        <f>B13+J13</f>
        <v>0.9999999999999869</v>
      </c>
      <c r="R13" s="267">
        <f>B13-J13</f>
        <v>0.76662086977550548</v>
      </c>
      <c r="S13" s="268">
        <f>IF(Rules!B20=Rules!D20,SUM(C13:I13)*B4*F4,SUM(C13:I13)*B4*F4*POWER(O2,A13-1))</f>
        <v>2012.5961239251733</v>
      </c>
      <c r="T13" s="253">
        <f>IF(Rules!B20=Rules!D20,SUM(C13:I13)*D4*H4,SUM(C13:I13)*D4*H4*POWER(O2,A13-1))</f>
        <v>-1976.5859097468883</v>
      </c>
      <c r="U13" s="264">
        <f t="shared" si="0"/>
        <v>144.99812404990666</v>
      </c>
      <c r="V13" s="93">
        <f>S13/B4</f>
        <v>3986.5741177858285</v>
      </c>
      <c r="W13" s="9">
        <f>T13/D4</f>
        <v>-3991.8409698002815</v>
      </c>
    </row>
    <row r="14" spans="1:23">
      <c r="A14" s="98">
        <v>8</v>
      </c>
      <c r="B14" s="97">
        <f>C14*B4</f>
        <v>0.89730319971182593</v>
      </c>
      <c r="C14" s="97">
        <f>1/(1-D4*B4/(1-D4*B4/(1-D4*B4/(1-D4*B4/(1-D4*B4/(1-D4*B4/(1-D4*B4)))))))</f>
        <v>1.7773887514008595</v>
      </c>
      <c r="D14" s="128">
        <f>C14*D4*C13</f>
        <v>1.5398607991693269</v>
      </c>
      <c r="E14" s="1">
        <f>D14*D4*C12</f>
        <v>1.3068905846995862</v>
      </c>
      <c r="F14" s="1">
        <f>E14*D4*C11</f>
        <v>1.0783906531329133</v>
      </c>
      <c r="G14" s="1">
        <f>F14*D4*C10</f>
        <v>0.85427522771334319</v>
      </c>
      <c r="H14" s="1">
        <f>G14*D4*C9</f>
        <v>0.63446017758787143</v>
      </c>
      <c r="I14" s="1">
        <f>H14*D4*C8</f>
        <v>0.41886298622451174</v>
      </c>
      <c r="J14" s="1">
        <f>I14*D4</f>
        <v>0.20740272043635471</v>
      </c>
      <c r="K14" s="1">
        <f>J14*D4</f>
        <v>0.10269680028815932</v>
      </c>
      <c r="L14" s="1"/>
      <c r="M14" s="235"/>
      <c r="N14" s="97">
        <f>B14+K14</f>
        <v>0.99999999999998523</v>
      </c>
      <c r="R14" s="267">
        <f>B14-K14</f>
        <v>0.79460639942366662</v>
      </c>
      <c r="S14" s="268">
        <f>IF(Rules!B20=Rules!D20,SUM(C14:J14)*B4*F4,SUM(C14:J14)*B4*F4*POWER(O2,A14-1))</f>
        <v>2292.4715461409087</v>
      </c>
      <c r="T14" s="253">
        <f>IF(Rules!B20=Rules!D20,SUM(C14:J14)*D4*H4,SUM(C14:J14)*D4*H4*POWER(O2,A14-1))</f>
        <v>-2251.4536834943506</v>
      </c>
      <c r="U14" s="264">
        <f t="shared" si="0"/>
        <v>186.01598669646478</v>
      </c>
      <c r="V14" s="93">
        <f>S14/B4</f>
        <v>4540.9546520350905</v>
      </c>
      <c r="W14" s="9">
        <f>T14/D4</f>
        <v>-4546.9539224487298</v>
      </c>
    </row>
    <row r="15" spans="1:23">
      <c r="A15" s="98">
        <v>9</v>
      </c>
      <c r="B15" s="97">
        <f>C15*B4</f>
        <v>0.90849111346682221</v>
      </c>
      <c r="C15" s="97">
        <f>1/(1-D4*B4/(1-D4*B4/(1-D4*B4/(1-D4*B4/(1-D4*B4/(1-D4*B4/(1-D4*B4/(1-D4*B4))))))))</f>
        <v>1.7995499028000295</v>
      </c>
      <c r="D15" s="128">
        <f>C15*D4*C14</f>
        <v>1.5837578689977045</v>
      </c>
      <c r="E15" s="1">
        <f>D15*D4*C13</f>
        <v>1.3721064994494803</v>
      </c>
      <c r="F15" s="1">
        <f>E15*D4*C12</f>
        <v>1.1645163421933762</v>
      </c>
      <c r="G15" s="1">
        <f>F15*D4*C11</f>
        <v>0.96090946980885661</v>
      </c>
      <c r="H15" s="1">
        <f>G15*D4*C10</f>
        <v>0.76120945016359853</v>
      </c>
      <c r="I15" s="1">
        <f>H15*D4*C9</f>
        <v>0.56534131772157814</v>
      </c>
      <c r="J15" s="1">
        <f>I15*D4*C8</f>
        <v>0.37323154540170383</v>
      </c>
      <c r="K15" s="1">
        <f>J15*D4</f>
        <v>0.18480801697643115</v>
      </c>
      <c r="L15" s="1">
        <f>K15*D4</f>
        <v>9.1508886533161055E-2</v>
      </c>
      <c r="M15" s="235"/>
      <c r="N15" s="97">
        <f>B15+L15</f>
        <v>0.99999999999998324</v>
      </c>
      <c r="R15" s="267">
        <f>B15-L15</f>
        <v>0.81698222693366118</v>
      </c>
      <c r="S15" s="268">
        <f>IF(Rules!B20=Rules!D20,SUM(C15:K15)*B4*F4,SUM(C15:K15)*B4*F4*POWER(O2,A15-1))</f>
        <v>2570.4403984227461</v>
      </c>
      <c r="T15" s="253">
        <f>IF(Rules!B20=Rules!D20,SUM(C15:K15)*D4*H4,SUM(C15:K15)*D4*H4*POWER(O2,A15-1))</f>
        <v>-2524.4490004570207</v>
      </c>
      <c r="U15" s="264">
        <f t="shared" si="0"/>
        <v>232.00738466219013</v>
      </c>
      <c r="V15" s="93">
        <f>S15/B4</f>
        <v>5091.5586300931363</v>
      </c>
      <c r="W15" s="9">
        <f>T15/D4</f>
        <v>-5098.2853295185841</v>
      </c>
    </row>
    <row r="16" spans="1:23" ht="17" thickBot="1">
      <c r="A16" s="99">
        <v>10</v>
      </c>
      <c r="B16" s="129">
        <f>C16*B4</f>
        <v>0.91763913961462973</v>
      </c>
      <c r="C16" s="129">
        <f>1/(1-D4*B4/(1-D4*B4/(1-D4*B4/(1-D4*B4/(1-D4*B4/(1-D4*B4/(1-D4*B4/(1-D4*B4/(1-D4*B4)))))))))</f>
        <v>1.8176704207897747</v>
      </c>
      <c r="D16" s="137">
        <f>C16*D4*C15</f>
        <v>1.6196512045557117</v>
      </c>
      <c r="E16" s="109">
        <f>D16*D4*C14</f>
        <v>1.4254316239052156</v>
      </c>
      <c r="F16" s="109">
        <f>E16*D4*C13</f>
        <v>1.234938770608254</v>
      </c>
      <c r="G16" s="109">
        <f>F16*D4*C12</f>
        <v>1.0481011354136938</v>
      </c>
      <c r="H16" s="109">
        <f>G16*D4*C11</f>
        <v>0.8648485812053911</v>
      </c>
      <c r="I16" s="109">
        <f>H16*D4*C10</f>
        <v>0.68511231667336858</v>
      </c>
      <c r="J16" s="109">
        <f>I16*D4*C9</f>
        <v>0.50882487049019465</v>
      </c>
      <c r="K16" s="109">
        <f>J16*D4*C8</f>
        <v>0.33592006598287344</v>
      </c>
      <c r="L16" s="109">
        <f>K16*D4</f>
        <v>0.16633299629073461</v>
      </c>
      <c r="M16" s="237">
        <f>L16*D4</f>
        <v>8.2360860385351592E-2</v>
      </c>
      <c r="N16" s="129">
        <f>B16+M16</f>
        <v>0.99999999999998135</v>
      </c>
      <c r="R16" s="269">
        <f>B16-M16</f>
        <v>0.83527827922927811</v>
      </c>
      <c r="S16" s="270">
        <f>IF(Rules!B20=Rules!D20,SUM(C16:L16)*B4*F4,SUM(C16:L16)*B4*F4*POWER(O2,A16-1))</f>
        <v>2846.5040391895</v>
      </c>
      <c r="T16" s="254">
        <f>IF(Rules!B20=Rules!D20,SUM(C16:L16)*D4*H4,SUM(C16:L16)*D4*H4*POWER(O2,A16-1))</f>
        <v>-2795.5731947483137</v>
      </c>
      <c r="U16" s="264">
        <f t="shared" si="0"/>
        <v>282.93822910337644</v>
      </c>
      <c r="V16" s="94">
        <f>S16/B4</f>
        <v>5638.3887427319623</v>
      </c>
      <c r="W16" s="10">
        <f>T16/D4</f>
        <v>-5645.8378853367458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10</v>
      </c>
      <c r="D21" s="57">
        <f>SUM($C$21:C21)</f>
        <v>10</v>
      </c>
      <c r="E21" s="57">
        <f t="shared" ref="E21:E30" si="2">D21/R7</f>
        <v>1032.3063574349083</v>
      </c>
      <c r="F21" s="8">
        <f t="shared" ref="F21:F30" si="3">U7/E21</f>
        <v>5.0827033429477675E-3</v>
      </c>
      <c r="G21" s="256">
        <f>E21*U7</f>
        <v>5416.4154260065416</v>
      </c>
    </row>
    <row r="22" spans="1:7">
      <c r="A22" s="97">
        <v>2</v>
      </c>
      <c r="B22" s="93">
        <f>C21</f>
        <v>10</v>
      </c>
      <c r="C22" s="1">
        <f t="shared" si="1"/>
        <v>100</v>
      </c>
      <c r="D22" s="9">
        <f>SUM($C$21:C22)</f>
        <v>110</v>
      </c>
      <c r="E22" s="9">
        <f t="shared" si="2"/>
        <v>317.72872544591581</v>
      </c>
      <c r="F22" s="9">
        <f t="shared" si="3"/>
        <v>4.9433708073489374E-2</v>
      </c>
      <c r="G22" s="257">
        <f t="shared" ref="G22:G30" si="4">E22*U8</f>
        <v>4990.4091049196322</v>
      </c>
    </row>
    <row r="23" spans="1:7">
      <c r="A23" s="97">
        <v>3</v>
      </c>
      <c r="B23" s="93">
        <f t="shared" ref="B23:B30" si="5">C22</f>
        <v>100</v>
      </c>
      <c r="C23" s="1">
        <f t="shared" si="1"/>
        <v>1000</v>
      </c>
      <c r="D23" s="9">
        <f>SUM($C$21:C23)</f>
        <v>1110</v>
      </c>
      <c r="E23" s="9">
        <f t="shared" si="2"/>
        <v>2157.7035126323403</v>
      </c>
      <c r="F23" s="9">
        <f t="shared" si="3"/>
        <v>1.4526834031845515E-2</v>
      </c>
      <c r="G23" s="257">
        <f t="shared" si="4"/>
        <v>67632.355286927865</v>
      </c>
    </row>
    <row r="24" spans="1:7">
      <c r="A24" s="97">
        <v>4</v>
      </c>
      <c r="B24" s="93">
        <f t="shared" si="5"/>
        <v>1000</v>
      </c>
      <c r="C24" s="1">
        <f t="shared" si="1"/>
        <v>10000</v>
      </c>
      <c r="D24" s="9">
        <f>SUM($C$21:C24)</f>
        <v>11110</v>
      </c>
      <c r="E24" s="9">
        <f t="shared" si="2"/>
        <v>18054.832951293789</v>
      </c>
      <c r="F24" s="9">
        <f t="shared" si="3"/>
        <v>2.88714860626224E-3</v>
      </c>
      <c r="G24" s="257">
        <f t="shared" si="4"/>
        <v>941144.02072226198</v>
      </c>
    </row>
    <row r="25" spans="1:7">
      <c r="A25" s="97">
        <v>5</v>
      </c>
      <c r="B25" s="93">
        <f t="shared" si="5"/>
        <v>10000</v>
      </c>
      <c r="C25" s="1">
        <f t="shared" si="1"/>
        <v>100000</v>
      </c>
      <c r="D25" s="9">
        <f>SUM($C$21:C25)</f>
        <v>111110</v>
      </c>
      <c r="E25" s="9">
        <f t="shared" si="2"/>
        <v>162774.38747949048</v>
      </c>
      <c r="F25" s="9">
        <f t="shared" si="3"/>
        <v>4.7931053701535741E-4</v>
      </c>
      <c r="G25" s="257">
        <f t="shared" si="4"/>
        <v>12699572.917924913</v>
      </c>
    </row>
    <row r="26" spans="1:7">
      <c r="A26" s="97">
        <v>6</v>
      </c>
      <c r="B26" s="93">
        <f t="shared" si="5"/>
        <v>100000</v>
      </c>
      <c r="C26" s="1">
        <f t="shared" si="1"/>
        <v>1000000</v>
      </c>
      <c r="D26" s="9">
        <f>SUM($C$21:C26)</f>
        <v>1111110</v>
      </c>
      <c r="E26" s="9">
        <f t="shared" si="2"/>
        <v>1520773.8178817413</v>
      </c>
      <c r="F26" s="9">
        <f t="shared" si="3"/>
        <v>7.1666087744349128E-5</v>
      </c>
      <c r="G26" s="257">
        <f t="shared" si="4"/>
        <v>165745959.79841724</v>
      </c>
    </row>
    <row r="27" spans="1:7">
      <c r="A27" s="97">
        <v>7</v>
      </c>
      <c r="B27" s="93">
        <f t="shared" si="5"/>
        <v>1000000</v>
      </c>
      <c r="C27" s="1">
        <f t="shared" si="1"/>
        <v>10000000</v>
      </c>
      <c r="D27" s="9">
        <f>SUM($C$21:C27)</f>
        <v>11111110</v>
      </c>
      <c r="E27" s="9">
        <f t="shared" si="2"/>
        <v>14493617.951274583</v>
      </c>
      <c r="F27" s="9">
        <f t="shared" si="3"/>
        <v>1.0004273918173438E-5</v>
      </c>
      <c r="G27" s="257">
        <f t="shared" si="4"/>
        <v>2101547413.6308661</v>
      </c>
    </row>
    <row r="28" spans="1:7">
      <c r="A28" s="97">
        <v>8</v>
      </c>
      <c r="B28" s="93">
        <f t="shared" si="5"/>
        <v>10000000</v>
      </c>
      <c r="C28" s="1">
        <f t="shared" si="1"/>
        <v>100000000</v>
      </c>
      <c r="D28" s="9">
        <f>SUM($C$21:C28)</f>
        <v>111111110</v>
      </c>
      <c r="E28" s="9">
        <f t="shared" si="2"/>
        <v>139831632.46682841</v>
      </c>
      <c r="F28" s="9">
        <f t="shared" si="3"/>
        <v>1.3302854541199214E-6</v>
      </c>
      <c r="G28" s="257">
        <f t="shared" si="4"/>
        <v>26010919084.694504</v>
      </c>
    </row>
    <row r="29" spans="1:7">
      <c r="A29" s="97">
        <v>9</v>
      </c>
      <c r="B29" s="93">
        <f t="shared" si="5"/>
        <v>100000000</v>
      </c>
      <c r="C29" s="1">
        <f t="shared" si="1"/>
        <v>1000000000</v>
      </c>
      <c r="D29" s="9">
        <f>SUM($C$21:C29)</f>
        <v>1111111110</v>
      </c>
      <c r="E29" s="9">
        <f t="shared" si="2"/>
        <v>1360018704.6544185</v>
      </c>
      <c r="F29" s="9">
        <f t="shared" si="3"/>
        <v>1.7059131897832489E-7</v>
      </c>
      <c r="G29" s="257">
        <f t="shared" si="4"/>
        <v>315534382758.53125</v>
      </c>
    </row>
    <row r="30" spans="1:7" ht="17" thickBot="1">
      <c r="A30" s="129">
        <v>10</v>
      </c>
      <c r="B30" s="94">
        <f t="shared" si="5"/>
        <v>1000000000</v>
      </c>
      <c r="C30" s="109">
        <f t="shared" si="1"/>
        <v>10000000000</v>
      </c>
      <c r="D30" s="10">
        <f>SUM($C$21:C30)</f>
        <v>11111111110</v>
      </c>
      <c r="E30" s="10">
        <f t="shared" si="2"/>
        <v>13302286658.588037</v>
      </c>
      <c r="F30" s="10">
        <f t="shared" si="3"/>
        <v>2.1269894144155267E-8</v>
      </c>
      <c r="G30" s="258">
        <f t="shared" si="4"/>
        <v>3763725430206.3701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10</v>
      </c>
      <c r="D33" s="57">
        <f>SUM($C$33:C33)</f>
        <v>10</v>
      </c>
      <c r="E33" s="9">
        <f t="shared" ref="E33:E42" si="7">D33/R7</f>
        <v>1032.3063574349083</v>
      </c>
      <c r="F33" s="8">
        <f t="shared" ref="F33:F42" si="8">U7/E33</f>
        <v>5.0827033429477675E-3</v>
      </c>
      <c r="G33" s="259">
        <f>E33*U7</f>
        <v>5416.4154260065416</v>
      </c>
    </row>
    <row r="34" spans="1:7">
      <c r="A34" s="97">
        <v>2</v>
      </c>
      <c r="B34" s="93">
        <f t="shared" ref="B34:B42" si="9">B33*($O$2+1)</f>
        <v>11</v>
      </c>
      <c r="C34" s="1">
        <f t="shared" si="6"/>
        <v>110</v>
      </c>
      <c r="D34" s="9">
        <f>SUM($C$33:C34)</f>
        <v>120</v>
      </c>
      <c r="E34" s="9">
        <f t="shared" si="7"/>
        <v>346.61315503190815</v>
      </c>
      <c r="F34" s="9">
        <f t="shared" si="8"/>
        <v>4.5314232400698595E-2</v>
      </c>
      <c r="G34" s="257">
        <f t="shared" ref="G34:G42" si="10">E34*U8</f>
        <v>5444.0826599123257</v>
      </c>
    </row>
    <row r="35" spans="1:7">
      <c r="A35" s="97">
        <v>3</v>
      </c>
      <c r="B35" s="93">
        <f t="shared" si="9"/>
        <v>121</v>
      </c>
      <c r="C35" s="1">
        <f t="shared" si="6"/>
        <v>1210</v>
      </c>
      <c r="D35" s="9">
        <f>SUM($C$33:C35)</f>
        <v>1330</v>
      </c>
      <c r="E35" s="9">
        <f t="shared" si="7"/>
        <v>2585.3564610819935</v>
      </c>
      <c r="F35" s="9">
        <f t="shared" si="8"/>
        <v>1.2123899079209414E-2</v>
      </c>
      <c r="G35" s="257">
        <f t="shared" si="10"/>
        <v>81036.966244697353</v>
      </c>
    </row>
    <row r="36" spans="1:7">
      <c r="A36" s="97">
        <v>4</v>
      </c>
      <c r="B36" s="93">
        <f t="shared" si="9"/>
        <v>1331</v>
      </c>
      <c r="C36" s="1">
        <f t="shared" si="6"/>
        <v>13310</v>
      </c>
      <c r="D36" s="9">
        <f>SUM($C$33:C36)</f>
        <v>14640</v>
      </c>
      <c r="E36" s="9">
        <f t="shared" si="7"/>
        <v>23791.427039328628</v>
      </c>
      <c r="F36" s="9">
        <f t="shared" si="8"/>
        <v>2.1909987032495554E-3</v>
      </c>
      <c r="G36" s="257">
        <f t="shared" si="10"/>
        <v>1240175.3792415764</v>
      </c>
    </row>
    <row r="37" spans="1:7">
      <c r="A37" s="97">
        <v>5</v>
      </c>
      <c r="B37" s="93">
        <f t="shared" si="9"/>
        <v>14641</v>
      </c>
      <c r="C37" s="1">
        <f t="shared" si="6"/>
        <v>146410</v>
      </c>
      <c r="D37" s="9">
        <f>SUM($C$33:C37)</f>
        <v>161050</v>
      </c>
      <c r="E37" s="9">
        <f t="shared" si="7"/>
        <v>235935.69528910037</v>
      </c>
      <c r="F37" s="9">
        <f t="shared" si="8"/>
        <v>3.3068111622338626E-4</v>
      </c>
      <c r="G37" s="257">
        <f t="shared" si="10"/>
        <v>18407580.04168668</v>
      </c>
    </row>
    <row r="38" spans="1:7">
      <c r="A38" s="97">
        <v>6</v>
      </c>
      <c r="B38" s="93">
        <f t="shared" si="9"/>
        <v>161051</v>
      </c>
      <c r="C38" s="1">
        <f t="shared" si="6"/>
        <v>1610510</v>
      </c>
      <c r="D38" s="9">
        <f>SUM($C$33:C38)</f>
        <v>1771560</v>
      </c>
      <c r="E38" s="9">
        <f t="shared" si="7"/>
        <v>2424730.2830562028</v>
      </c>
      <c r="F38" s="9">
        <f t="shared" si="8"/>
        <v>4.4948467313341782E-5</v>
      </c>
      <c r="G38" s="257">
        <f t="shared" si="10"/>
        <v>264266285.5527212</v>
      </c>
    </row>
    <row r="39" spans="1:7">
      <c r="A39" s="97">
        <v>7</v>
      </c>
      <c r="B39" s="93">
        <f t="shared" si="9"/>
        <v>1771561</v>
      </c>
      <c r="C39" s="1">
        <f t="shared" si="6"/>
        <v>17715610</v>
      </c>
      <c r="D39" s="9">
        <f>SUM($C$33:C39)</f>
        <v>19487170</v>
      </c>
      <c r="E39" s="9">
        <f t="shared" si="7"/>
        <v>25419566.265795182</v>
      </c>
      <c r="F39" s="9">
        <f t="shared" si="8"/>
        <v>5.704193475756412E-6</v>
      </c>
      <c r="G39" s="257">
        <f t="shared" si="10"/>
        <v>3685789422.7025924</v>
      </c>
    </row>
    <row r="40" spans="1:7">
      <c r="A40" s="97">
        <v>8</v>
      </c>
      <c r="B40" s="93">
        <f t="shared" si="9"/>
        <v>19487171</v>
      </c>
      <c r="C40" s="1">
        <f t="shared" si="6"/>
        <v>194871710</v>
      </c>
      <c r="D40" s="9">
        <f>SUM($C$33:C40)</f>
        <v>214358880</v>
      </c>
      <c r="E40" s="9">
        <f t="shared" si="7"/>
        <v>269767371.81512249</v>
      </c>
      <c r="F40" s="9">
        <f t="shared" si="8"/>
        <v>6.8954219869089883E-7</v>
      </c>
      <c r="G40" s="257">
        <f t="shared" si="10"/>
        <v>50181043846.702095</v>
      </c>
    </row>
    <row r="41" spans="1:7">
      <c r="A41" s="97">
        <v>9</v>
      </c>
      <c r="B41" s="93">
        <f t="shared" si="9"/>
        <v>214358881</v>
      </c>
      <c r="C41" s="1">
        <f t="shared" si="6"/>
        <v>2143588810</v>
      </c>
      <c r="D41" s="9">
        <f>SUM($C$33:C41)</f>
        <v>2357947690</v>
      </c>
      <c r="E41" s="9">
        <f t="shared" si="7"/>
        <v>2886167669.583178</v>
      </c>
      <c r="F41" s="9">
        <f t="shared" si="8"/>
        <v>8.0385968946737175E-8</v>
      </c>
      <c r="G41" s="257">
        <f t="shared" si="10"/>
        <v>669612212716.56128</v>
      </c>
    </row>
    <row r="42" spans="1:7" ht="17" thickBot="1">
      <c r="A42" s="129">
        <v>10</v>
      </c>
      <c r="B42" s="94">
        <f t="shared" si="9"/>
        <v>2357947691</v>
      </c>
      <c r="C42" s="109">
        <f t="shared" si="6"/>
        <v>23579476910</v>
      </c>
      <c r="D42" s="10">
        <f>SUM($C$33:C42)</f>
        <v>25937424600</v>
      </c>
      <c r="E42" s="9">
        <f t="shared" si="7"/>
        <v>31052435152.429428</v>
      </c>
      <c r="F42" s="10">
        <f t="shared" si="8"/>
        <v>9.1116277262796368E-9</v>
      </c>
      <c r="G42" s="258">
        <f t="shared" si="10"/>
        <v>8785921011375.8174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10</v>
      </c>
      <c r="D45" s="57">
        <f>SUM(C45:C45)</f>
        <v>10</v>
      </c>
      <c r="E45" s="57">
        <f t="shared" ref="E45:E54" si="12">D45/R7</f>
        <v>1032.3063574349083</v>
      </c>
      <c r="F45" s="8">
        <f t="shared" ref="F45:F54" si="13">U7/E45</f>
        <v>5.0827033429477675E-3</v>
      </c>
      <c r="G45" s="256">
        <f>E45*U7</f>
        <v>5416.4154260065416</v>
      </c>
    </row>
    <row r="46" spans="1:7">
      <c r="A46" s="97">
        <v>2</v>
      </c>
      <c r="B46" s="93">
        <f t="shared" ref="B46:B54" si="14">B45*$O$2*2</f>
        <v>20</v>
      </c>
      <c r="C46" s="1">
        <f t="shared" si="11"/>
        <v>200</v>
      </c>
      <c r="D46" s="9">
        <f>SUM($C$45:C46)</f>
        <v>210</v>
      </c>
      <c r="E46" s="9">
        <f t="shared" si="12"/>
        <v>606.57302130583923</v>
      </c>
      <c r="F46" s="9">
        <f t="shared" si="13"/>
        <v>2.5893847086113482E-2</v>
      </c>
      <c r="G46" s="257">
        <f t="shared" ref="G46:G54" si="15">E46*U8</f>
        <v>9527.1446548465683</v>
      </c>
    </row>
    <row r="47" spans="1:7">
      <c r="A47" s="97">
        <v>3</v>
      </c>
      <c r="B47" s="93">
        <f t="shared" si="14"/>
        <v>400</v>
      </c>
      <c r="C47" s="1">
        <f t="shared" si="11"/>
        <v>4000</v>
      </c>
      <c r="D47" s="9">
        <f>SUM($C$45:C47)</f>
        <v>4210</v>
      </c>
      <c r="E47" s="9">
        <f t="shared" si="12"/>
        <v>8183.7223316956333</v>
      </c>
      <c r="F47" s="9">
        <f t="shared" si="13"/>
        <v>3.8301153860685324E-3</v>
      </c>
      <c r="G47" s="257">
        <f t="shared" si="15"/>
        <v>256515.50969186155</v>
      </c>
    </row>
    <row r="48" spans="1:7">
      <c r="A48" s="97">
        <v>4</v>
      </c>
      <c r="B48" s="93">
        <f t="shared" si="14"/>
        <v>8000</v>
      </c>
      <c r="C48" s="1">
        <f t="shared" si="11"/>
        <v>80000</v>
      </c>
      <c r="D48" s="9">
        <f>SUM($C$45:C48)</f>
        <v>84210</v>
      </c>
      <c r="E48" s="9">
        <f t="shared" si="12"/>
        <v>136849.45840040053</v>
      </c>
      <c r="F48" s="9">
        <f t="shared" si="13"/>
        <v>3.809075052318429E-4</v>
      </c>
      <c r="G48" s="257">
        <f t="shared" si="15"/>
        <v>7133549.7736293133</v>
      </c>
    </row>
    <row r="49" spans="1:7">
      <c r="A49" s="97">
        <v>5</v>
      </c>
      <c r="B49" s="93">
        <f t="shared" si="14"/>
        <v>160000</v>
      </c>
      <c r="C49" s="1">
        <f t="shared" si="11"/>
        <v>1600000</v>
      </c>
      <c r="D49" s="9">
        <f>SUM($C$45:C49)</f>
        <v>1684210</v>
      </c>
      <c r="E49" s="9">
        <f t="shared" si="12"/>
        <v>2467340.9336408307</v>
      </c>
      <c r="F49" s="9">
        <f t="shared" si="13"/>
        <v>3.1620874931140625E-5</v>
      </c>
      <c r="G49" s="257">
        <f t="shared" si="15"/>
        <v>192500654.34342828</v>
      </c>
    </row>
    <row r="50" spans="1:7">
      <c r="A50" s="97">
        <v>6</v>
      </c>
      <c r="B50" s="93">
        <f t="shared" si="14"/>
        <v>3200000</v>
      </c>
      <c r="C50" s="1">
        <f t="shared" si="11"/>
        <v>32000000</v>
      </c>
      <c r="D50" s="9">
        <f>SUM($C$45:C50)</f>
        <v>33684210</v>
      </c>
      <c r="E50" s="9">
        <f t="shared" si="12"/>
        <v>46103504.283131577</v>
      </c>
      <c r="F50" s="9">
        <f t="shared" si="13"/>
        <v>2.363983206185443E-6</v>
      </c>
      <c r="G50" s="257">
        <f t="shared" si="15"/>
        <v>5024724569.5758696</v>
      </c>
    </row>
    <row r="51" spans="1:7">
      <c r="A51" s="97">
        <v>7</v>
      </c>
      <c r="B51" s="93">
        <f t="shared" si="14"/>
        <v>64000000</v>
      </c>
      <c r="C51" s="1">
        <f t="shared" si="11"/>
        <v>640000000</v>
      </c>
      <c r="D51" s="9">
        <f>SUM($C$45:C51)</f>
        <v>673684210</v>
      </c>
      <c r="E51" s="9">
        <f t="shared" si="12"/>
        <v>878771028.23626399</v>
      </c>
      <c r="F51" s="9">
        <f t="shared" si="13"/>
        <v>1.6500102915423251E-7</v>
      </c>
      <c r="G51" s="257">
        <f t="shared" si="15"/>
        <v>127420150563.66583</v>
      </c>
    </row>
    <row r="52" spans="1:7">
      <c r="A52" s="97">
        <v>8</v>
      </c>
      <c r="B52" s="93">
        <f t="shared" si="14"/>
        <v>1280000000</v>
      </c>
      <c r="C52" s="1">
        <f t="shared" si="11"/>
        <v>12800000000</v>
      </c>
      <c r="D52" s="9">
        <f>SUM($C$45:C52)</f>
        <v>13473684210</v>
      </c>
      <c r="E52" s="9">
        <f t="shared" si="12"/>
        <v>16956425495.405718</v>
      </c>
      <c r="F52" s="9">
        <f t="shared" si="13"/>
        <v>1.0970235840499824E-8</v>
      </c>
      <c r="G52" s="257">
        <f t="shared" si="15"/>
        <v>3154166219372.9863</v>
      </c>
    </row>
    <row r="53" spans="1:7">
      <c r="A53" s="97">
        <v>9</v>
      </c>
      <c r="B53" s="93">
        <f t="shared" si="14"/>
        <v>25600000000</v>
      </c>
      <c r="C53" s="1">
        <f t="shared" si="11"/>
        <v>256000000000</v>
      </c>
      <c r="D53" s="9">
        <f>SUM($C$45:C53)</f>
        <v>269473684210</v>
      </c>
      <c r="E53" s="9">
        <f t="shared" si="12"/>
        <v>329840326173.8045</v>
      </c>
      <c r="F53" s="9">
        <f t="shared" si="13"/>
        <v>7.033930245992337E-10</v>
      </c>
      <c r="G53" s="257">
        <f t="shared" si="15"/>
        <v>76525391431708.125</v>
      </c>
    </row>
    <row r="54" spans="1:7" ht="17" thickBot="1">
      <c r="A54" s="129">
        <v>10</v>
      </c>
      <c r="B54" s="94">
        <f t="shared" si="14"/>
        <v>512000000000</v>
      </c>
      <c r="C54" s="109">
        <f t="shared" si="11"/>
        <v>5120000000000</v>
      </c>
      <c r="D54" s="10">
        <f>SUM($C$45:C54)</f>
        <v>5389473684210</v>
      </c>
      <c r="E54" s="10">
        <f t="shared" si="12"/>
        <v>6452309150410.251</v>
      </c>
      <c r="F54" s="10">
        <f t="shared" si="13"/>
        <v>4.3850693218161541E-11</v>
      </c>
      <c r="G54" s="258">
        <f t="shared" si="15"/>
        <v>1825604924644587.8</v>
      </c>
    </row>
  </sheetData>
  <mergeCells count="1">
    <mergeCell ref="A18:F18"/>
  </mergeCells>
  <conditionalFormatting sqref="F45:F54">
    <cfRule type="cellIs" dxfId="329" priority="65" operator="equal">
      <formula>MAX($F$45:$F$54)</formula>
    </cfRule>
  </conditionalFormatting>
  <conditionalFormatting sqref="F21:F30">
    <cfRule type="cellIs" dxfId="328" priority="63" operator="equal">
      <formula>MAX($F$21:$F$30)</formula>
    </cfRule>
  </conditionalFormatting>
  <conditionalFormatting sqref="F33:F42">
    <cfRule type="cellIs" dxfId="327" priority="44" operator="lessThanOrEqual">
      <formula>0</formula>
    </cfRule>
    <cfRule type="cellIs" dxfId="326" priority="61" operator="equal">
      <formula>MAX($F$33:$F$42)</formula>
    </cfRule>
  </conditionalFormatting>
  <conditionalFormatting sqref="E33:E42">
    <cfRule type="cellIs" dxfId="325" priority="59" stopIfTrue="1" operator="lessThan">
      <formula>0</formula>
    </cfRule>
    <cfRule type="cellIs" dxfId="324" priority="60" operator="equal">
      <formula>MIN($E$33:$E$42)</formula>
    </cfRule>
  </conditionalFormatting>
  <conditionalFormatting sqref="E21:E30">
    <cfRule type="cellIs" dxfId="323" priority="55" stopIfTrue="1" operator="lessThan">
      <formula>0</formula>
    </cfRule>
    <cfRule type="cellIs" dxfId="322" priority="56" operator="equal">
      <formula>MIN($E$21:$E$30)</formula>
    </cfRule>
  </conditionalFormatting>
  <conditionalFormatting sqref="E45:E54">
    <cfRule type="cellIs" dxfId="321" priority="51" stopIfTrue="1" operator="lessThan">
      <formula>0</formula>
    </cfRule>
    <cfRule type="cellIs" dxfId="320" priority="52" operator="equal">
      <formula>MIN($E$45:$E$54)</formula>
    </cfRule>
  </conditionalFormatting>
  <conditionalFormatting sqref="R7:R16">
    <cfRule type="cellIs" dxfId="319" priority="29" operator="lessThanOrEqual">
      <formula>0</formula>
    </cfRule>
    <cfRule type="cellIs" dxfId="318" priority="30" operator="greaterThan">
      <formula>0</formula>
    </cfRule>
  </conditionalFormatting>
  <conditionalFormatting sqref="U7:U16">
    <cfRule type="cellIs" dxfId="317" priority="9" operator="lessThanOrEqual">
      <formula>0</formula>
    </cfRule>
    <cfRule type="cellIs" dxfId="316" priority="10" operator="greaterThan">
      <formula>0</formula>
    </cfRule>
  </conditionalFormatting>
  <conditionalFormatting sqref="S7:T16">
    <cfRule type="cellIs" dxfId="315" priority="1" operator="lessThanOrEqual">
      <formula>0</formula>
    </cfRule>
    <cfRule type="cellIs" dxfId="31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0.999999999999999</v>
      </c>
    </row>
    <row r="2" spans="1:23">
      <c r="A2" t="s">
        <v>39</v>
      </c>
      <c r="B2" s="133" t="s">
        <v>124</v>
      </c>
      <c r="C2" s="139">
        <f>Analysis!B42</f>
        <v>0.30037469118227877</v>
      </c>
      <c r="D2" s="133" t="s">
        <v>125</v>
      </c>
      <c r="E2" s="139">
        <f>Analysis!I42</f>
        <v>0.69962530881772023</v>
      </c>
      <c r="F2" s="133" t="s">
        <v>46</v>
      </c>
      <c r="G2" s="139">
        <f>Analysis!S42</f>
        <v>279.5941134772159</v>
      </c>
      <c r="H2" t="s">
        <v>153</v>
      </c>
      <c r="I2" s="153">
        <f>Analysis!T42</f>
        <v>-279.96349851215774</v>
      </c>
      <c r="J2" t="s">
        <v>47</v>
      </c>
      <c r="K2" s="153">
        <f>G2*C2+I2*E2</f>
        <v>-111.88655361215598</v>
      </c>
      <c r="L2" t="s">
        <v>46</v>
      </c>
      <c r="M2" s="160">
        <v>3</v>
      </c>
      <c r="N2" t="s">
        <v>153</v>
      </c>
      <c r="O2" s="160">
        <v>4</v>
      </c>
    </row>
    <row r="4" spans="1:23">
      <c r="A4" t="s">
        <v>122</v>
      </c>
      <c r="B4">
        <f>$C$2</f>
        <v>0.30037469118227877</v>
      </c>
      <c r="C4" t="s">
        <v>123</v>
      </c>
      <c r="D4">
        <f>$E$2</f>
        <v>0.69962530881772023</v>
      </c>
      <c r="E4" t="s">
        <v>46</v>
      </c>
      <c r="F4">
        <f>G2</f>
        <v>279.5941134772159</v>
      </c>
      <c r="G4" t="s">
        <v>153</v>
      </c>
      <c r="H4">
        <f>I2</f>
        <v>-279.96349851215774</v>
      </c>
      <c r="I4" t="s">
        <v>47</v>
      </c>
      <c r="J4">
        <f>B4*F4+D4*H4</f>
        <v>-111.88655361215598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0.30037469118227877</v>
      </c>
      <c r="C7" s="95">
        <v>1</v>
      </c>
      <c r="D7" s="22">
        <f>C7*D4</f>
        <v>0.69962530881772023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0.999999999999999</v>
      </c>
      <c r="R7" s="265">
        <f>B7-D7</f>
        <v>-0.39925061763544145</v>
      </c>
      <c r="S7" s="266">
        <f>IF(Rules!B20=Rules!D20,SUM(C7)*B4*F4,SUM(C7)*B4*F4*POWER(O2,A7-1))</f>
        <v>83.982995492101736</v>
      </c>
      <c r="T7" s="252">
        <f>IF(Rules!B20=Rules!D20,SUM(C7)*D4*H4,SUM(C7)*D4*H4*POWER(O2,A7-1))</f>
        <v>-195.86954910425771</v>
      </c>
      <c r="U7" s="263">
        <f>S7+T7</f>
        <v>-111.88655361215598</v>
      </c>
      <c r="V7" s="282">
        <f>S7/B4</f>
        <v>279.5941134772159</v>
      </c>
      <c r="W7" s="57">
        <f>T7/D4</f>
        <v>-279.96349851215774</v>
      </c>
    </row>
    <row r="8" spans="1:23">
      <c r="A8" s="98">
        <v>2</v>
      </c>
      <c r="B8" s="97">
        <f>C8*B4</f>
        <v>0.38029320860299815</v>
      </c>
      <c r="C8" s="97">
        <f>1/(1-B4*D4)</f>
        <v>1.2660627535101543</v>
      </c>
      <c r="D8" s="128">
        <f>C8*D4</f>
        <v>0.88576954490715487</v>
      </c>
      <c r="E8" s="1">
        <f>D8*D4</f>
        <v>0.61970679139699969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0.99999999999999778</v>
      </c>
      <c r="R8" s="267">
        <f>B8-E8</f>
        <v>-0.23941358279400154</v>
      </c>
      <c r="S8" s="268">
        <f>IF(Rules!B20=Rules!D20,SUM(C8:D8)*B4*F4,SUM(C8:D8)*B4*F4*POWER(O2,A8-1))</f>
        <v>180.71732221773979</v>
      </c>
      <c r="T8" s="253">
        <f>IF(Rules!B20=Rules!D20,SUM(C8:D8)*D4*H4,SUM(C8:D8)*D4*H4*POWER(O2,A8-1))</f>
        <v>-421.47842203897693</v>
      </c>
      <c r="U8" s="264">
        <f>S8+T8+U7</f>
        <v>-352.64765343339309</v>
      </c>
      <c r="V8" s="93">
        <f>S8/B4</f>
        <v>601.63964382762742</v>
      </c>
      <c r="W8" s="9">
        <f>T8/D4</f>
        <v>-602.43449847636737</v>
      </c>
    </row>
    <row r="9" spans="1:23">
      <c r="A9" s="98">
        <v>3</v>
      </c>
      <c r="B9" s="97">
        <f>C9*B4</f>
        <v>0.40926481469480047</v>
      </c>
      <c r="C9" s="97">
        <f>1/(1-D4*B4/(1-D4*B4))</f>
        <v>1.3625143086587246</v>
      </c>
      <c r="D9" s="128">
        <f>C9*D4*C8</f>
        <v>1.2068736791101253</v>
      </c>
      <c r="E9" s="1">
        <f>D9*(D4)</f>
        <v>0.84435937045139964</v>
      </c>
      <c r="F9" s="1">
        <f>E9*D4</f>
        <v>0.59073518530519631</v>
      </c>
      <c r="G9" s="1"/>
      <c r="H9" s="1"/>
      <c r="I9" s="1"/>
      <c r="J9" s="1"/>
      <c r="K9" s="1"/>
      <c r="L9" s="1"/>
      <c r="M9" s="235"/>
      <c r="N9" s="97">
        <f>B9+F9</f>
        <v>0.99999999999999678</v>
      </c>
      <c r="R9" s="267">
        <f>B9-F9</f>
        <v>-0.18147037061039584</v>
      </c>
      <c r="S9" s="268">
        <f>IF(Rules!B20=Rules!D20,SUM(C9:E9)*B4*F4,SUM(C9:E9)*B4*F4*POWER(O2,A9-1))</f>
        <v>286.69672899658542</v>
      </c>
      <c r="T9" s="253">
        <f>IF(Rules!B20=Rules!D20,SUM(C9:E9)*D4*H4,SUM(C9:E9)*D4*H4*POWER(O2,A9-1))</f>
        <v>-668.64915581045113</v>
      </c>
      <c r="U9" s="264">
        <f t="shared" ref="U9:U16" si="0">S9+T9+U8</f>
        <v>-734.6000802472588</v>
      </c>
      <c r="V9" s="93">
        <f>S9/B4</f>
        <v>954.46366625677842</v>
      </c>
      <c r="W9" s="9">
        <f>T9/D4</f>
        <v>-955.7246534439771</v>
      </c>
    </row>
    <row r="10" spans="1:23">
      <c r="A10" s="98">
        <v>4</v>
      </c>
      <c r="B10" s="97">
        <f>C10*B4</f>
        <v>0.42088856526727753</v>
      </c>
      <c r="C10" s="97">
        <f>1/(1-D4*B4/(1-D4*B4/(1-D4*B4)))</f>
        <v>1.4012118118562338</v>
      </c>
      <c r="D10" s="128">
        <f>C10*D4*C9</f>
        <v>1.3357044505882263</v>
      </c>
      <c r="E10" s="1">
        <f>D10*D4*C8</f>
        <v>1.1831263233279945</v>
      </c>
      <c r="F10" s="1">
        <f>E10*D4</f>
        <v>0.82774511932872208</v>
      </c>
      <c r="G10" s="1">
        <f>F10*D4</f>
        <v>0.57911143473271787</v>
      </c>
      <c r="H10" s="1"/>
      <c r="I10" s="1"/>
      <c r="J10" s="1"/>
      <c r="K10" s="1"/>
      <c r="L10" s="1"/>
      <c r="M10" s="235"/>
      <c r="N10" s="97">
        <f>B10+G10</f>
        <v>0.99999999999999534</v>
      </c>
      <c r="R10" s="267">
        <f>B10-G10</f>
        <v>-0.15822286946544034</v>
      </c>
      <c r="S10" s="268">
        <f>IF(Rules!B20=Rules!D20,SUM(C10:F10)*B4*F4,SUM(C10:F10)*B4*F4*POWER(O2,A10-1))</f>
        <v>398.73343343496811</v>
      </c>
      <c r="T10" s="253">
        <f>IF(Rules!B20=Rules!D20,SUM(C10:F10)*D4*H4,SUM(C10:F10)*D4*H4*POWER(O2,A10-1))</f>
        <v>-929.94703704090591</v>
      </c>
      <c r="U10" s="264">
        <f t="shared" si="0"/>
        <v>-1265.8136838531966</v>
      </c>
      <c r="V10" s="93">
        <f>S10/B4</f>
        <v>1327.4534943857886</v>
      </c>
      <c r="W10" s="9">
        <f>T10/D4</f>
        <v>-1329.207256113134</v>
      </c>
    </row>
    <row r="11" spans="1:23">
      <c r="A11" s="98">
        <v>5</v>
      </c>
      <c r="B11" s="97">
        <f>C11*B4</f>
        <v>0.42573988526619627</v>
      </c>
      <c r="C11" s="97">
        <f>1/(1-D4*B4/(1-D4*B4/(1-D4*B4/(1-D4*B4))))</f>
        <v>1.4173627065265666</v>
      </c>
      <c r="D11" s="128">
        <f>C11*D4*C10</f>
        <v>1.3894736100562317</v>
      </c>
      <c r="E11" s="1">
        <f>D11*D4*C9</f>
        <v>1.3245150156623278</v>
      </c>
      <c r="F11" s="1">
        <f>E11*D4*C8</f>
        <v>1.1732150626459132</v>
      </c>
      <c r="G11" s="1">
        <f>F11*D4</f>
        <v>0.82081095051324804</v>
      </c>
      <c r="H11" s="1">
        <f>G11*D4</f>
        <v>0.57426011473379768</v>
      </c>
      <c r="I11" s="1"/>
      <c r="J11" s="1"/>
      <c r="K11" s="1"/>
      <c r="L11" s="1"/>
      <c r="M11" s="235"/>
      <c r="N11" s="97">
        <f>B11+H11</f>
        <v>0.999999999999994</v>
      </c>
      <c r="R11" s="267">
        <f>B11-H11</f>
        <v>-0.14852022946760141</v>
      </c>
      <c r="S11" s="268">
        <f>IF(Rules!B20=Rules!D20,SUM(C11:G11)*B4*F4,SUM(C11:G11)*B4*F4*POWER(O2,A11-1))</f>
        <v>514.4275379865104</v>
      </c>
      <c r="T11" s="253">
        <f>IF(Rules!B20=Rules!D20,SUM(C11:G11)*D4*H4,SUM(C11:G11)*D4*H4*POWER(O2,A11-1))</f>
        <v>-1199.7748987377731</v>
      </c>
      <c r="U11" s="264">
        <f t="shared" si="0"/>
        <v>-1951.1610446044592</v>
      </c>
      <c r="V11" s="93">
        <f>S11/B4</f>
        <v>1712.6194486017339</v>
      </c>
      <c r="W11" s="9">
        <f>T11/D4</f>
        <v>-1714.8820713264984</v>
      </c>
    </row>
    <row r="12" spans="1:23">
      <c r="A12" s="98">
        <v>6</v>
      </c>
      <c r="B12" s="97">
        <f>C12*B4</f>
        <v>0.42779788382919415</v>
      </c>
      <c r="C12" s="97">
        <f>1/(1-D4*B4/(1-D4*B4/(1-D4*B4/(1-D4*B4/(1-D4*B4)))))</f>
        <v>1.424214144491921</v>
      </c>
      <c r="D12" s="128">
        <f>C12*D4*C11</f>
        <v>1.4122832480400014</v>
      </c>
      <c r="E12" s="1">
        <f>D12*D4*C10</f>
        <v>1.3844940988217684</v>
      </c>
      <c r="F12" s="1">
        <f>E12*D4*C9</f>
        <v>1.3197682990978881</v>
      </c>
      <c r="G12" s="1">
        <f>F12*D4*C8</f>
        <v>1.1690105656748262</v>
      </c>
      <c r="H12" s="1">
        <f>G12*D4</f>
        <v>0.81786937802142812</v>
      </c>
      <c r="I12" s="1">
        <f>H12*D4</f>
        <v>0.57220211617079841</v>
      </c>
      <c r="J12" s="1"/>
      <c r="K12" s="1"/>
      <c r="L12" s="1"/>
      <c r="M12" s="235"/>
      <c r="N12" s="97">
        <f>B12+I12</f>
        <v>0.99999999999999256</v>
      </c>
      <c r="R12" s="267">
        <f>B12-I12</f>
        <v>-0.14440423234160427</v>
      </c>
      <c r="S12" s="268">
        <f>IF(Rules!B20=Rules!D20,SUM(C12:H12)*B4*F4,SUM(C12:H12)*B4*F4*POWER(O2,A12-1))</f>
        <v>632.19373385910342</v>
      </c>
      <c r="T12" s="253">
        <f>IF(Rules!B20=Rules!D20,SUM(C12:H12)*D4*H4,SUM(C12:H12)*D4*H4*POWER(O2,A12-1))</f>
        <v>-1474.4354005468308</v>
      </c>
      <c r="U12" s="264">
        <f t="shared" si="0"/>
        <v>-2793.4027112921867</v>
      </c>
      <c r="V12" s="93">
        <f>S12/B4</f>
        <v>2104.6837580449287</v>
      </c>
      <c r="W12" s="9">
        <f>T12/D4</f>
        <v>-2107.464355511157</v>
      </c>
    </row>
    <row r="13" spans="1:23">
      <c r="A13" s="98">
        <v>7</v>
      </c>
      <c r="B13" s="97">
        <f>C13*B4</f>
        <v>0.42867693871900758</v>
      </c>
      <c r="C13" s="97">
        <f>1/(1-D4*B4/(1-D4*B4/(1-D4*B4/(1-D4*B4/(1-D4*B4/(1-D4*B4))))))</f>
        <v>1.4271406723107378</v>
      </c>
      <c r="D13" s="128">
        <f>C13*D4*C12</f>
        <v>1.4220261721435534</v>
      </c>
      <c r="E13" s="1">
        <f>D13*D4*C11</f>
        <v>1.4101136047270735</v>
      </c>
      <c r="F13" s="1">
        <f>E13*D4*C10</f>
        <v>1.3823671470452987</v>
      </c>
      <c r="G13" s="1">
        <f>F13*D4*C9</f>
        <v>1.3177407833932826</v>
      </c>
      <c r="H13" s="1">
        <f>G13*D4*C8</f>
        <v>1.1672146540118657</v>
      </c>
      <c r="I13" s="1">
        <f>H13*D4</f>
        <v>0.81661291276962</v>
      </c>
      <c r="J13" s="1">
        <f>I13*D4</f>
        <v>0.57132306128098342</v>
      </c>
      <c r="K13" s="1"/>
      <c r="L13" s="1"/>
      <c r="M13" s="235"/>
      <c r="N13" s="97">
        <f>B13+J13</f>
        <v>0.99999999999999101</v>
      </c>
      <c r="R13" s="267">
        <f>B13-J13</f>
        <v>-0.14264612256197584</v>
      </c>
      <c r="S13" s="268">
        <f>IF(Rules!B20=Rules!D20,SUM(C13:I13)*B4*F4,SUM(C13:I13)*B4*F4*POWER(O2,A13-1))</f>
        <v>751.07806451152362</v>
      </c>
      <c r="T13" s="253">
        <f>IF(Rules!B20=Rules!D20,SUM(C13:I13)*D4*H4,SUM(C13:I13)*D4*H4*POWER(O2,A13-1))</f>
        <v>-1751.7036749636554</v>
      </c>
      <c r="U13" s="264">
        <f t="shared" si="0"/>
        <v>-3794.0283217443184</v>
      </c>
      <c r="V13" s="93">
        <f>S13/B4</f>
        <v>2500.470534169408</v>
      </c>
      <c r="W13" s="9">
        <f>T13/D4</f>
        <v>-2503.7740243042622</v>
      </c>
    </row>
    <row r="14" spans="1:23">
      <c r="A14" s="98">
        <v>8</v>
      </c>
      <c r="B14" s="97">
        <f>C14*B4</f>
        <v>0.42905352089385129</v>
      </c>
      <c r="C14" s="97">
        <f>1/(1-D4*B4/(1-D4*B4/(1-D4*B4/(1-D4*B4/(1-D4*B4/(1-D4*B4/(1-D4*B4)))))))</f>
        <v>1.4283943803823516</v>
      </c>
      <c r="D14" s="128">
        <f>C14*D4*C13</f>
        <v>1.4261999860780068</v>
      </c>
      <c r="E14" s="1">
        <f>D14*D4*C12</f>
        <v>1.4210888570850786</v>
      </c>
      <c r="F14" s="1">
        <f>E14*D4*C11</f>
        <v>1.4091841417243789</v>
      </c>
      <c r="G14" s="1">
        <f>F14*D4*C10</f>
        <v>1.3814559728569131</v>
      </c>
      <c r="H14" s="1">
        <f>G14*D4*C9</f>
        <v>1.3168722070592911</v>
      </c>
      <c r="I14" s="1">
        <f>H14*D4*C8</f>
        <v>1.1664452955477891</v>
      </c>
      <c r="J14" s="1">
        <f>I14*D4</f>
        <v>0.81607465011659885</v>
      </c>
      <c r="K14" s="1">
        <f>J14*D4</f>
        <v>0.57094647910613849</v>
      </c>
      <c r="L14" s="1"/>
      <c r="M14" s="235"/>
      <c r="N14" s="97">
        <f>B14+K14</f>
        <v>0.99999999999998979</v>
      </c>
      <c r="R14" s="267">
        <f>B14-K14</f>
        <v>-0.1418929582122872</v>
      </c>
      <c r="S14" s="268">
        <f>IF(Rules!B20=Rules!D20,SUM(C14:J14)*B4*F4,SUM(C14:J14)*B4*F4*POWER(O2,A14-1))</f>
        <v>870.54383734049884</v>
      </c>
      <c r="T14" s="253">
        <f>IF(Rules!B20=Rules!D20,SUM(C14:J14)*D4*H4,SUM(C14:J14)*D4*H4*POWER(O2,A14-1))</f>
        <v>-2030.3280193358887</v>
      </c>
      <c r="U14" s="264">
        <f t="shared" si="0"/>
        <v>-4953.8125037397085</v>
      </c>
      <c r="V14" s="93">
        <f>S14/B4</f>
        <v>2898.1930332213633</v>
      </c>
      <c r="W14" s="9">
        <f>T14/D4</f>
        <v>-2902.0219734001485</v>
      </c>
    </row>
    <row r="15" spans="1:23">
      <c r="A15" s="98">
        <v>9</v>
      </c>
      <c r="B15" s="97">
        <f>C15*B4</f>
        <v>0.42921504909051039</v>
      </c>
      <c r="C15" s="97">
        <f>1/(1-D4*B4/(1-D4*B4/(1-D4*B4/(1-D4*B4/(1-D4*B4/(1-D4*B4/(1-D4*B4/(1-D4*B4))))))))</f>
        <v>1.4289321360635088</v>
      </c>
      <c r="D15" s="128">
        <f>C15*D4*C14</f>
        <v>1.4279902690044435</v>
      </c>
      <c r="E15" s="1">
        <f>D15*D4*C13</f>
        <v>1.4257964955228337</v>
      </c>
      <c r="F15" s="1">
        <f>E15*D4*C12</f>
        <v>1.4206868125348804</v>
      </c>
      <c r="G15" s="1">
        <f>F15*D4*C11</f>
        <v>1.408785465173239</v>
      </c>
      <c r="H15" s="1">
        <f>G15*D4*C10</f>
        <v>1.3810651409659607</v>
      </c>
      <c r="I15" s="1">
        <f>H15*D4*C9</f>
        <v>1.3164996467570156</v>
      </c>
      <c r="J15" s="1">
        <f>I15*D4*C8</f>
        <v>1.166115292978392</v>
      </c>
      <c r="K15" s="1">
        <f>J15*D4</f>
        <v>0.81584377196707381</v>
      </c>
      <c r="L15" s="1">
        <f>K15*D4</f>
        <v>0.57078495090947778</v>
      </c>
      <c r="M15" s="235"/>
      <c r="N15" s="97">
        <f>B15+L15</f>
        <v>0.99999999999998823</v>
      </c>
      <c r="R15" s="267">
        <f>B15-L15</f>
        <v>-0.14156990181896739</v>
      </c>
      <c r="S15" s="268">
        <f>IF(Rules!B20=Rules!D20,SUM(C15:K15)*B4*F4,SUM(C15:K15)*B4*F4*POWER(O2,A15-1))</f>
        <v>990.30355028987901</v>
      </c>
      <c r="T15" s="253">
        <f>IF(Rules!B20=Rules!D20,SUM(C15:K15)*D4*H4,SUM(C15:K15)*D4*H4*POWER(O2,A15-1))</f>
        <v>-2309.6379062814726</v>
      </c>
      <c r="U15" s="264">
        <f t="shared" si="0"/>
        <v>-6273.1468597313024</v>
      </c>
      <c r="V15" s="93">
        <f>S15/B4</f>
        <v>3296.8941104592768</v>
      </c>
      <c r="W15" s="9">
        <f>T15/D4</f>
        <v>-3301.2497935280148</v>
      </c>
    </row>
    <row r="16" spans="1:23" ht="17" thickBot="1">
      <c r="A16" s="99">
        <v>10</v>
      </c>
      <c r="B16" s="129">
        <f>C16*B4</f>
        <v>0.42928437100319033</v>
      </c>
      <c r="C16" s="129">
        <f>1/(1-D4*B4/(1-D4*B4/(1-D4*B4/(1-D4*B4/(1-D4*B4/(1-D4*B4/(1-D4*B4/(1-D4*B4/(1-D4*B4)))))))))</f>
        <v>1.4291629208623449</v>
      </c>
      <c r="D16" s="137">
        <f>C16*D4*C15</f>
        <v>1.4287585920543231</v>
      </c>
      <c r="E16" s="109">
        <f>D16*D4*C14</f>
        <v>1.4278168393851447</v>
      </c>
      <c r="F16" s="109">
        <f>E16*D4*C13</f>
        <v>1.4256233323376333</v>
      </c>
      <c r="G16" s="109">
        <f>F16*D4*C12</f>
        <v>1.4205142699213984</v>
      </c>
      <c r="H16" s="109">
        <f>G16*D4*C11</f>
        <v>1.4086143679800702</v>
      </c>
      <c r="I16" s="109">
        <f>H16*D4*C10</f>
        <v>1.3808974104100711</v>
      </c>
      <c r="J16" s="109">
        <f>I16*D4*C9</f>
        <v>1.3163397576894917</v>
      </c>
      <c r="K16" s="109">
        <f>J16*D4*C8</f>
        <v>1.1659736681118156</v>
      </c>
      <c r="L16" s="109">
        <f>K16*D4</f>
        <v>0.81574468762605901</v>
      </c>
      <c r="M16" s="237">
        <f>L16*D4</f>
        <v>0.57071562899679629</v>
      </c>
      <c r="N16" s="129">
        <f>B16+M16</f>
        <v>0.99999999999998668</v>
      </c>
      <c r="R16" s="269">
        <f>B16-M16</f>
        <v>-0.14143125799360595</v>
      </c>
      <c r="S16" s="270">
        <f>IF(Rules!B20=Rules!D20,SUM(C16:L16)*B4*F4,SUM(C16:L16)*B4*F4*POWER(O2,A16-1))</f>
        <v>1110.2086609244761</v>
      </c>
      <c r="T16" s="254">
        <f>IF(Rules!B20=Rules!D20,SUM(C16:L16)*D4*H4,SUM(C16:L16)*D4*H4*POWER(O2,A16-1))</f>
        <v>-2589.2868973382806</v>
      </c>
      <c r="U16" s="264">
        <f t="shared" si="0"/>
        <v>-7752.2250961451064</v>
      </c>
      <c r="V16" s="94">
        <f>S16/B4</f>
        <v>3696.0792420782195</v>
      </c>
      <c r="W16" s="10">
        <f>T16/D4</f>
        <v>-3700.9623075440959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4</v>
      </c>
      <c r="D21" s="57">
        <f>SUM($C$21:C21)</f>
        <v>4</v>
      </c>
      <c r="E21" s="57">
        <f t="shared" ref="E21:E30" si="2">D21/R7</f>
        <v>-10.018769723363153</v>
      </c>
      <c r="F21" s="8">
        <f t="shared" ref="F21:F30" si="3">U7/E21</f>
        <v>11.167693908688552</v>
      </c>
      <c r="G21" s="256">
        <f>E21*U7</f>
        <v>1120.9656157809166</v>
      </c>
    </row>
    <row r="22" spans="1:7">
      <c r="A22" s="97">
        <v>2</v>
      </c>
      <c r="B22" s="93">
        <f>C21</f>
        <v>4</v>
      </c>
      <c r="C22" s="1">
        <f t="shared" si="1"/>
        <v>16</v>
      </c>
      <c r="D22" s="9">
        <f>SUM($C$21:C22)</f>
        <v>20</v>
      </c>
      <c r="E22" s="9">
        <f t="shared" si="2"/>
        <v>-83.537449156377164</v>
      </c>
      <c r="F22" s="9">
        <f t="shared" si="3"/>
        <v>4.2214319086193015</v>
      </c>
      <c r="G22" s="257">
        <f t="shared" ref="G22:G30" si="4">E22*U8</f>
        <v>29459.285418807791</v>
      </c>
    </row>
    <row r="23" spans="1:7">
      <c r="A23" s="97">
        <v>3</v>
      </c>
      <c r="B23" s="93">
        <f t="shared" ref="B23:B30" si="5">C22</f>
        <v>16</v>
      </c>
      <c r="C23" s="1">
        <f t="shared" si="1"/>
        <v>64</v>
      </c>
      <c r="D23" s="9">
        <f>SUM($C$21:C23)</f>
        <v>84</v>
      </c>
      <c r="E23" s="9">
        <f t="shared" si="2"/>
        <v>-462.88548217241544</v>
      </c>
      <c r="F23" s="9">
        <f t="shared" si="3"/>
        <v>1.5870017715821021</v>
      </c>
      <c r="G23" s="257">
        <f t="shared" si="4"/>
        <v>340035.71234914748</v>
      </c>
    </row>
    <row r="24" spans="1:7">
      <c r="A24" s="97">
        <v>4</v>
      </c>
      <c r="B24" s="93">
        <f t="shared" si="5"/>
        <v>64</v>
      </c>
      <c r="C24" s="1">
        <f t="shared" si="1"/>
        <v>256</v>
      </c>
      <c r="D24" s="9">
        <f>SUM($C$21:C24)</f>
        <v>340</v>
      </c>
      <c r="E24" s="9">
        <f t="shared" si="2"/>
        <v>-2148.8676140730977</v>
      </c>
      <c r="F24" s="9">
        <f t="shared" si="3"/>
        <v>0.5890608037290368</v>
      </c>
      <c r="G24" s="257">
        <f t="shared" si="4"/>
        <v>2720066.030682697</v>
      </c>
    </row>
    <row r="25" spans="1:7">
      <c r="A25" s="97">
        <v>5</v>
      </c>
      <c r="B25" s="93">
        <f t="shared" si="5"/>
        <v>256</v>
      </c>
      <c r="C25" s="1">
        <f t="shared" si="1"/>
        <v>1024</v>
      </c>
      <c r="D25" s="9">
        <f>SUM($C$21:C25)</f>
        <v>1364</v>
      </c>
      <c r="E25" s="9">
        <f t="shared" si="2"/>
        <v>-9183.934100354636</v>
      </c>
      <c r="F25" s="9">
        <f t="shared" si="3"/>
        <v>0.21245372879244806</v>
      </c>
      <c r="G25" s="257">
        <f t="shared" si="4"/>
        <v>17919334.452826466</v>
      </c>
    </row>
    <row r="26" spans="1:7">
      <c r="A26" s="97">
        <v>6</v>
      </c>
      <c r="B26" s="93">
        <f t="shared" si="5"/>
        <v>1024</v>
      </c>
      <c r="C26" s="1">
        <f t="shared" si="1"/>
        <v>4096</v>
      </c>
      <c r="D26" s="9">
        <f>SUM($C$21:C26)</f>
        <v>5460</v>
      </c>
      <c r="E26" s="9">
        <f t="shared" si="2"/>
        <v>-37810.526128373873</v>
      </c>
      <c r="F26" s="9">
        <f t="shared" si="3"/>
        <v>7.3878969623645471E-2</v>
      </c>
      <c r="G26" s="257">
        <f t="shared" si="4"/>
        <v>105620026.20238364</v>
      </c>
    </row>
    <row r="27" spans="1:7">
      <c r="A27" s="97">
        <v>7</v>
      </c>
      <c r="B27" s="93">
        <f t="shared" si="5"/>
        <v>4096</v>
      </c>
      <c r="C27" s="1">
        <f t="shared" si="1"/>
        <v>16384</v>
      </c>
      <c r="D27" s="9">
        <f>SUM($C$21:C27)</f>
        <v>21844</v>
      </c>
      <c r="E27" s="9">
        <f t="shared" si="2"/>
        <v>-153134.20097002201</v>
      </c>
      <c r="F27" s="9">
        <f t="shared" si="3"/>
        <v>2.4775839085659567E-2</v>
      </c>
      <c r="G27" s="257">
        <f t="shared" si="4"/>
        <v>580995495.50794983</v>
      </c>
    </row>
    <row r="28" spans="1:7">
      <c r="A28" s="97">
        <v>8</v>
      </c>
      <c r="B28" s="93">
        <f t="shared" si="5"/>
        <v>16384</v>
      </c>
      <c r="C28" s="1">
        <f t="shared" si="1"/>
        <v>65536</v>
      </c>
      <c r="D28" s="9">
        <f>SUM($C$21:C28)</f>
        <v>87380</v>
      </c>
      <c r="E28" s="9">
        <f t="shared" si="2"/>
        <v>-615816.32450900122</v>
      </c>
      <c r="F28" s="9">
        <f t="shared" si="3"/>
        <v>8.0443020208817145E-3</v>
      </c>
      <c r="G28" s="257">
        <f t="shared" si="4"/>
        <v>3050638608.3597202</v>
      </c>
    </row>
    <row r="29" spans="1:7">
      <c r="A29" s="97">
        <v>9</v>
      </c>
      <c r="B29" s="93">
        <f t="shared" si="5"/>
        <v>65536</v>
      </c>
      <c r="C29" s="1">
        <f t="shared" si="1"/>
        <v>262144</v>
      </c>
      <c r="D29" s="9">
        <f>SUM($C$21:C29)</f>
        <v>349524</v>
      </c>
      <c r="E29" s="9">
        <f t="shared" si="2"/>
        <v>-2468914.6175078517</v>
      </c>
      <c r="F29" s="9">
        <f t="shared" si="3"/>
        <v>2.5408520874907704E-3</v>
      </c>
      <c r="G29" s="257">
        <f t="shared" si="4"/>
        <v>15487863979.76409</v>
      </c>
    </row>
    <row r="30" spans="1:7" ht="17" thickBot="1">
      <c r="A30" s="129">
        <v>10</v>
      </c>
      <c r="B30" s="94">
        <f t="shared" si="5"/>
        <v>262144</v>
      </c>
      <c r="C30" s="109">
        <f t="shared" si="1"/>
        <v>1048576</v>
      </c>
      <c r="D30" s="10">
        <f>SUM($C$21:C30)</f>
        <v>1398100</v>
      </c>
      <c r="E30" s="10">
        <f t="shared" si="2"/>
        <v>-9885367.7739556525</v>
      </c>
      <c r="F30" s="10">
        <f t="shared" si="3"/>
        <v>7.8421210757270959E-4</v>
      </c>
      <c r="G30" s="258">
        <f t="shared" si="4"/>
        <v>76633596141.883087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4</v>
      </c>
      <c r="D33" s="57">
        <f>SUM($C$33:C33)</f>
        <v>4</v>
      </c>
      <c r="E33" s="9">
        <f t="shared" ref="E33:E42" si="7">D33/R7</f>
        <v>-10.018769723363153</v>
      </c>
      <c r="F33" s="8">
        <f t="shared" ref="F33:F42" si="8">U7/E33</f>
        <v>11.167693908688552</v>
      </c>
      <c r="G33" s="259">
        <f>E33*U7</f>
        <v>1120.9656157809166</v>
      </c>
    </row>
    <row r="34" spans="1:7">
      <c r="A34" s="97">
        <v>2</v>
      </c>
      <c r="B34" s="93">
        <f t="shared" ref="B34:B42" si="9">B33*($O$2+1)</f>
        <v>5</v>
      </c>
      <c r="C34" s="1">
        <f t="shared" si="6"/>
        <v>20</v>
      </c>
      <c r="D34" s="9">
        <f>SUM($C$33:C34)</f>
        <v>24</v>
      </c>
      <c r="E34" s="9">
        <f t="shared" si="7"/>
        <v>-100.2449389876526</v>
      </c>
      <c r="F34" s="9">
        <f t="shared" si="8"/>
        <v>3.5178599238494175</v>
      </c>
      <c r="G34" s="257">
        <f t="shared" ref="G34:G42" si="10">E34*U8</f>
        <v>35351.142502569353</v>
      </c>
    </row>
    <row r="35" spans="1:7">
      <c r="A35" s="97">
        <v>3</v>
      </c>
      <c r="B35" s="93">
        <f t="shared" si="9"/>
        <v>25</v>
      </c>
      <c r="C35" s="1">
        <f t="shared" si="6"/>
        <v>100</v>
      </c>
      <c r="D35" s="9">
        <f>SUM($C$33:C35)</f>
        <v>124</v>
      </c>
      <c r="E35" s="9">
        <f t="shared" si="7"/>
        <v>-683.30714034975608</v>
      </c>
      <c r="F35" s="9">
        <f t="shared" si="8"/>
        <v>1.0750657162330368</v>
      </c>
      <c r="G35" s="257">
        <f t="shared" si="10"/>
        <v>501957.48013445578</v>
      </c>
    </row>
    <row r="36" spans="1:7">
      <c r="A36" s="97">
        <v>4</v>
      </c>
      <c r="B36" s="93">
        <f t="shared" si="9"/>
        <v>125</v>
      </c>
      <c r="C36" s="1">
        <f t="shared" si="6"/>
        <v>500</v>
      </c>
      <c r="D36" s="9">
        <f>SUM($C$33:C36)</f>
        <v>624</v>
      </c>
      <c r="E36" s="9">
        <f t="shared" si="7"/>
        <v>-3943.8040917106268</v>
      </c>
      <c r="F36" s="9">
        <f t="shared" si="8"/>
        <v>0.32096261741646231</v>
      </c>
      <c r="G36" s="257">
        <f t="shared" si="10"/>
        <v>4992121.1857235385</v>
      </c>
    </row>
    <row r="37" spans="1:7">
      <c r="A37" s="97">
        <v>5</v>
      </c>
      <c r="B37" s="93">
        <f t="shared" si="9"/>
        <v>625</v>
      </c>
      <c r="C37" s="1">
        <f t="shared" si="6"/>
        <v>2500</v>
      </c>
      <c r="D37" s="9">
        <f>SUM($C$33:C37)</f>
        <v>3124</v>
      </c>
      <c r="E37" s="9">
        <f t="shared" si="7"/>
        <v>-21034.171649199328</v>
      </c>
      <c r="F37" s="9">
        <f t="shared" si="8"/>
        <v>9.2761487219237881E-2</v>
      </c>
      <c r="G37" s="257">
        <f t="shared" si="10"/>
        <v>41041056.32744126</v>
      </c>
    </row>
    <row r="38" spans="1:7">
      <c r="A38" s="97">
        <v>6</v>
      </c>
      <c r="B38" s="93">
        <f t="shared" si="9"/>
        <v>3125</v>
      </c>
      <c r="C38" s="1">
        <f t="shared" si="6"/>
        <v>12500</v>
      </c>
      <c r="D38" s="9">
        <f>SUM($C$33:C38)</f>
        <v>15624</v>
      </c>
      <c r="E38" s="9">
        <f t="shared" si="7"/>
        <v>-108196.27476734678</v>
      </c>
      <c r="F38" s="9">
        <f t="shared" si="8"/>
        <v>2.5817919492134168E-2</v>
      </c>
      <c r="G38" s="257">
        <f t="shared" si="10"/>
        <v>302235767.28682089</v>
      </c>
    </row>
    <row r="39" spans="1:7">
      <c r="A39" s="97">
        <v>7</v>
      </c>
      <c r="B39" s="93">
        <f t="shared" si="9"/>
        <v>15625</v>
      </c>
      <c r="C39" s="1">
        <f t="shared" si="6"/>
        <v>62500</v>
      </c>
      <c r="D39" s="9">
        <f>SUM($C$33:C39)</f>
        <v>78124</v>
      </c>
      <c r="E39" s="9">
        <f t="shared" si="7"/>
        <v>-547676.99673054391</v>
      </c>
      <c r="F39" s="9">
        <f t="shared" si="8"/>
        <v>6.9274925629402937E-3</v>
      </c>
      <c r="G39" s="257">
        <f t="shared" si="10"/>
        <v>2077902036.7635541</v>
      </c>
    </row>
    <row r="40" spans="1:7">
      <c r="A40" s="97">
        <v>8</v>
      </c>
      <c r="B40" s="93">
        <f t="shared" si="9"/>
        <v>78125</v>
      </c>
      <c r="C40" s="1">
        <f t="shared" si="6"/>
        <v>312500</v>
      </c>
      <c r="D40" s="9">
        <f>SUM($C$33:C40)</f>
        <v>390624</v>
      </c>
      <c r="E40" s="9">
        <f t="shared" si="7"/>
        <v>-2752948.4543946451</v>
      </c>
      <c r="F40" s="9">
        <f t="shared" si="8"/>
        <v>1.7994570497067365E-3</v>
      </c>
      <c r="G40" s="257">
        <f t="shared" si="10"/>
        <v>13637590475.531097</v>
      </c>
    </row>
    <row r="41" spans="1:7">
      <c r="A41" s="97">
        <v>9</v>
      </c>
      <c r="B41" s="93">
        <f t="shared" si="9"/>
        <v>390625</v>
      </c>
      <c r="C41" s="1">
        <f t="shared" si="6"/>
        <v>1562500</v>
      </c>
      <c r="D41" s="9">
        <f>SUM($C$33:C41)</f>
        <v>1953124</v>
      </c>
      <c r="E41" s="9">
        <f t="shared" si="7"/>
        <v>-13796181.073132046</v>
      </c>
      <c r="F41" s="9">
        <f t="shared" si="8"/>
        <v>4.5470169074166521E-4</v>
      </c>
      <c r="G41" s="257">
        <f t="shared" si="10"/>
        <v>86545469975.202728</v>
      </c>
    </row>
    <row r="42" spans="1:7" ht="17" thickBot="1">
      <c r="A42" s="129">
        <v>10</v>
      </c>
      <c r="B42" s="94">
        <f t="shared" si="9"/>
        <v>1953125</v>
      </c>
      <c r="C42" s="109">
        <f t="shared" si="6"/>
        <v>7812500</v>
      </c>
      <c r="D42" s="10">
        <f>SUM($C$33:C42)</f>
        <v>9765624</v>
      </c>
      <c r="E42" s="9">
        <f t="shared" si="7"/>
        <v>-69048555.026226938</v>
      </c>
      <c r="F42" s="10">
        <f t="shared" si="8"/>
        <v>1.122720829306356E-4</v>
      </c>
      <c r="G42" s="258">
        <f t="shared" si="10"/>
        <v>535279941126.8728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4</v>
      </c>
      <c r="D45" s="57">
        <f>SUM(C45:C45)</f>
        <v>4</v>
      </c>
      <c r="E45" s="57">
        <f t="shared" ref="E45:E54" si="12">D45/R7</f>
        <v>-10.018769723363153</v>
      </c>
      <c r="F45" s="8">
        <f t="shared" ref="F45:F54" si="13">U7/E45</f>
        <v>11.167693908688552</v>
      </c>
      <c r="G45" s="256">
        <f>E45*U7</f>
        <v>1120.9656157809166</v>
      </c>
    </row>
    <row r="46" spans="1:7">
      <c r="A46" s="97">
        <v>2</v>
      </c>
      <c r="B46" s="93">
        <f t="shared" ref="B46:B54" si="14">B45*$O$2*2</f>
        <v>8</v>
      </c>
      <c r="C46" s="1">
        <f t="shared" si="11"/>
        <v>32</v>
      </c>
      <c r="D46" s="9">
        <f>SUM($C$45:C46)</f>
        <v>36</v>
      </c>
      <c r="E46" s="9">
        <f t="shared" si="12"/>
        <v>-150.36740848147892</v>
      </c>
      <c r="F46" s="9">
        <f t="shared" si="13"/>
        <v>2.345239949232945</v>
      </c>
      <c r="G46" s="257">
        <f t="shared" ref="G46:G54" si="15">E46*U8</f>
        <v>53026.713753854026</v>
      </c>
    </row>
    <row r="47" spans="1:7">
      <c r="A47" s="97">
        <v>3</v>
      </c>
      <c r="B47" s="93">
        <f t="shared" si="14"/>
        <v>64</v>
      </c>
      <c r="C47" s="1">
        <f t="shared" si="11"/>
        <v>256</v>
      </c>
      <c r="D47" s="9">
        <f>SUM($C$45:C47)</f>
        <v>292</v>
      </c>
      <c r="E47" s="9">
        <f t="shared" si="12"/>
        <v>-1609.078104694587</v>
      </c>
      <c r="F47" s="9">
        <f t="shared" si="13"/>
        <v>0.45653475620854989</v>
      </c>
      <c r="G47" s="257">
        <f t="shared" si="15"/>
        <v>1182028.9048327508</v>
      </c>
    </row>
    <row r="48" spans="1:7">
      <c r="A48" s="97">
        <v>4</v>
      </c>
      <c r="B48" s="93">
        <f t="shared" si="14"/>
        <v>512</v>
      </c>
      <c r="C48" s="1">
        <f t="shared" si="11"/>
        <v>2048</v>
      </c>
      <c r="D48" s="9">
        <f>SUM($C$45:C48)</f>
        <v>2340</v>
      </c>
      <c r="E48" s="9">
        <f t="shared" si="12"/>
        <v>-14789.265343914851</v>
      </c>
      <c r="F48" s="9">
        <f t="shared" si="13"/>
        <v>8.5590031311056622E-2</v>
      </c>
      <c r="G48" s="257">
        <f t="shared" si="15"/>
        <v>18720454.446463268</v>
      </c>
    </row>
    <row r="49" spans="1:7">
      <c r="A49" s="97">
        <v>5</v>
      </c>
      <c r="B49" s="93">
        <f t="shared" si="14"/>
        <v>4096</v>
      </c>
      <c r="C49" s="1">
        <f t="shared" si="11"/>
        <v>16384</v>
      </c>
      <c r="D49" s="9">
        <f>SUM($C$45:C49)</f>
        <v>18724</v>
      </c>
      <c r="E49" s="9">
        <f t="shared" si="12"/>
        <v>-126070.36810486819</v>
      </c>
      <c r="F49" s="9">
        <f t="shared" si="13"/>
        <v>1.5476761700112109E-2</v>
      </c>
      <c r="G49" s="257">
        <f t="shared" si="15"/>
        <v>245983591.12516332</v>
      </c>
    </row>
    <row r="50" spans="1:7">
      <c r="A50" s="97">
        <v>6</v>
      </c>
      <c r="B50" s="93">
        <f t="shared" si="14"/>
        <v>32768</v>
      </c>
      <c r="C50" s="1">
        <f t="shared" si="11"/>
        <v>131072</v>
      </c>
      <c r="D50" s="9">
        <f>SUM($C$45:C50)</f>
        <v>149796</v>
      </c>
      <c r="E50" s="9">
        <f t="shared" si="12"/>
        <v>-1037338.0168362441</v>
      </c>
      <c r="F50" s="9">
        <f t="shared" si="13"/>
        <v>2.6928567795208433E-3</v>
      </c>
      <c r="G50" s="257">
        <f t="shared" si="15"/>
        <v>2897702828.7568245</v>
      </c>
    </row>
    <row r="51" spans="1:7">
      <c r="A51" s="97">
        <v>7</v>
      </c>
      <c r="B51" s="93">
        <f t="shared" si="14"/>
        <v>262144</v>
      </c>
      <c r="C51" s="1">
        <f t="shared" si="11"/>
        <v>1048576</v>
      </c>
      <c r="D51" s="9">
        <f>SUM($C$45:C51)</f>
        <v>1198372</v>
      </c>
      <c r="E51" s="9">
        <f t="shared" si="12"/>
        <v>-8401013.490425162</v>
      </c>
      <c r="F51" s="9">
        <f t="shared" si="13"/>
        <v>4.5161554925110694E-4</v>
      </c>
      <c r="G51" s="257">
        <f t="shared" si="15"/>
        <v>31873683114.029156</v>
      </c>
    </row>
    <row r="52" spans="1:7">
      <c r="A52" s="97">
        <v>8</v>
      </c>
      <c r="B52" s="93">
        <f t="shared" si="14"/>
        <v>2097152</v>
      </c>
      <c r="C52" s="1">
        <f t="shared" si="11"/>
        <v>8388608</v>
      </c>
      <c r="D52" s="9">
        <f>SUM($C$45:C52)</f>
        <v>9586980</v>
      </c>
      <c r="E52" s="9">
        <f t="shared" si="12"/>
        <v>-67564875.105759948</v>
      </c>
      <c r="F52" s="9">
        <f t="shared" si="13"/>
        <v>7.3319346716551432E-5</v>
      </c>
      <c r="G52" s="257">
        <f t="shared" si="15"/>
        <v>334703723112.52539</v>
      </c>
    </row>
    <row r="53" spans="1:7">
      <c r="A53" s="97">
        <v>9</v>
      </c>
      <c r="B53" s="93">
        <f t="shared" si="14"/>
        <v>16777216</v>
      </c>
      <c r="C53" s="1">
        <f t="shared" si="11"/>
        <v>67108864</v>
      </c>
      <c r="D53" s="9">
        <f>SUM($C$45:C53)</f>
        <v>76695844</v>
      </c>
      <c r="E53" s="9">
        <f t="shared" si="12"/>
        <v>-541752470.0841769</v>
      </c>
      <c r="F53" s="9">
        <f t="shared" si="13"/>
        <v>1.1579359958906302E-5</v>
      </c>
      <c r="G53" s="257">
        <f t="shared" si="15"/>
        <v>3398492806460.2305</v>
      </c>
    </row>
    <row r="54" spans="1:7" ht="17" thickBot="1">
      <c r="A54" s="129">
        <v>10</v>
      </c>
      <c r="B54" s="94">
        <f t="shared" si="14"/>
        <v>134217728</v>
      </c>
      <c r="C54" s="109">
        <f t="shared" si="11"/>
        <v>536870912</v>
      </c>
      <c r="D54" s="10">
        <f>SUM($C$45:C54)</f>
        <v>613566756</v>
      </c>
      <c r="E54" s="10">
        <f t="shared" si="12"/>
        <v>-4338268390.6250706</v>
      </c>
      <c r="F54" s="10">
        <f t="shared" si="13"/>
        <v>1.7869399488739659E-6</v>
      </c>
      <c r="G54" s="258">
        <f t="shared" si="15"/>
        <v>33631233091616.715</v>
      </c>
    </row>
  </sheetData>
  <mergeCells count="1">
    <mergeCell ref="A18:F18"/>
  </mergeCells>
  <conditionalFormatting sqref="F45:F54">
    <cfRule type="cellIs" dxfId="313" priority="61" operator="equal">
      <formula>MAX($F$45:$F$54)</formula>
    </cfRule>
  </conditionalFormatting>
  <conditionalFormatting sqref="F21:F30">
    <cfRule type="cellIs" dxfId="312" priority="59" operator="equal">
      <formula>MAX($F$21:$F$30)</formula>
    </cfRule>
  </conditionalFormatting>
  <conditionalFormatting sqref="E33:E42">
    <cfRule type="cellIs" dxfId="311" priority="55" stopIfTrue="1" operator="lessThan">
      <formula>0</formula>
    </cfRule>
    <cfRule type="cellIs" dxfId="310" priority="56" operator="equal">
      <formula>MIN($E$33:$E$42)</formula>
    </cfRule>
  </conditionalFormatting>
  <conditionalFormatting sqref="E21:E30">
    <cfRule type="cellIs" dxfId="309" priority="51" stopIfTrue="1" operator="lessThan">
      <formula>0</formula>
    </cfRule>
    <cfRule type="cellIs" dxfId="308" priority="52" operator="equal">
      <formula>MIN($E$21:$E$30)</formula>
    </cfRule>
  </conditionalFormatting>
  <conditionalFormatting sqref="E45:E54">
    <cfRule type="cellIs" dxfId="307" priority="47" stopIfTrue="1" operator="lessThan">
      <formula>0</formula>
    </cfRule>
    <cfRule type="cellIs" dxfId="306" priority="48" operator="equal">
      <formula>MIN($E$45:$E$54)</formula>
    </cfRule>
  </conditionalFormatting>
  <conditionalFormatting sqref="F33:F42">
    <cfRule type="cellIs" dxfId="305" priority="37" operator="lessThanOrEqual">
      <formula>0</formula>
    </cfRule>
    <cfRule type="cellIs" dxfId="304" priority="38" operator="equal">
      <formula>MAX($F$33:$F$42)</formula>
    </cfRule>
  </conditionalFormatting>
  <conditionalFormatting sqref="R7:R16">
    <cfRule type="cellIs" dxfId="303" priority="31" operator="lessThanOrEqual">
      <formula>0</formula>
    </cfRule>
    <cfRule type="cellIs" dxfId="302" priority="32" operator="greaterThan">
      <formula>0</formula>
    </cfRule>
  </conditionalFormatting>
  <conditionalFormatting sqref="U7:U16">
    <cfRule type="cellIs" dxfId="301" priority="9" operator="lessThanOrEqual">
      <formula>0</formula>
    </cfRule>
    <cfRule type="cellIs" dxfId="300" priority="10" operator="greaterThan">
      <formula>0</formula>
    </cfRule>
  </conditionalFormatting>
  <conditionalFormatting sqref="S7:T16">
    <cfRule type="cellIs" dxfId="299" priority="1" operator="lessThanOrEqual">
      <formula>0</formula>
    </cfRule>
    <cfRule type="cellIs" dxfId="29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0.99999999999999867</v>
      </c>
    </row>
    <row r="2" spans="1:23">
      <c r="A2" t="s">
        <v>39</v>
      </c>
      <c r="B2" s="133" t="s">
        <v>124</v>
      </c>
      <c r="C2" s="139">
        <f>Analysis!B43</f>
        <v>0.32109902782570626</v>
      </c>
      <c r="D2" s="133" t="s">
        <v>125</v>
      </c>
      <c r="E2" s="139">
        <f>Analysis!J43</f>
        <v>0.67890097217429235</v>
      </c>
      <c r="F2" s="133" t="s">
        <v>46</v>
      </c>
      <c r="G2" s="139">
        <f>Analysis!S43</f>
        <v>358.25844060536218</v>
      </c>
      <c r="H2" t="s">
        <v>153</v>
      </c>
      <c r="I2" s="153">
        <f>Analysis!T43</f>
        <v>-358.7317528112431</v>
      </c>
      <c r="J2" t="s">
        <v>47</v>
      </c>
      <c r="K2" s="153">
        <f>G2*C2+I2*E2</f>
        <v>-128.50689874460556</v>
      </c>
      <c r="L2" t="s">
        <v>46</v>
      </c>
      <c r="M2" s="160">
        <v>3</v>
      </c>
      <c r="N2" t="s">
        <v>153</v>
      </c>
      <c r="O2" s="160">
        <v>5</v>
      </c>
    </row>
    <row r="4" spans="1:23">
      <c r="A4" t="s">
        <v>122</v>
      </c>
      <c r="B4">
        <f>$C$2</f>
        <v>0.32109902782570626</v>
      </c>
      <c r="C4" t="s">
        <v>123</v>
      </c>
      <c r="D4">
        <f>$E$2</f>
        <v>0.67890097217429235</v>
      </c>
      <c r="E4" t="s">
        <v>46</v>
      </c>
      <c r="F4">
        <f>G2</f>
        <v>358.25844060536218</v>
      </c>
      <c r="G4" t="s">
        <v>153</v>
      </c>
      <c r="H4">
        <f>I2</f>
        <v>-358.7317528112431</v>
      </c>
      <c r="I4" t="s">
        <v>47</v>
      </c>
      <c r="J4">
        <f>B4*F4+D4*H4</f>
        <v>-128.50689874460556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0.32109902782570626</v>
      </c>
      <c r="C7" s="95">
        <v>1</v>
      </c>
      <c r="D7" s="22">
        <f>C7*D4</f>
        <v>0.67890097217429235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0.99999999999999867</v>
      </c>
      <c r="R7" s="265">
        <f>B7-D7</f>
        <v>-0.35780194434858609</v>
      </c>
      <c r="S7" s="266">
        <f>IF(Rules!B20=Rules!D20,SUM(C7)*B4*F4,SUM(C7)*B4*F4*POWER(O2,A7-1))</f>
        <v>115.03643698873533</v>
      </c>
      <c r="T7" s="252">
        <f>IF(Rules!B20=Rules!D20,SUM(C7)*D4*H4,SUM(C7)*D4*H4*POWER(O2,A7-1))</f>
        <v>-243.54333573334088</v>
      </c>
      <c r="U7" s="263">
        <f>S7+T7</f>
        <v>-128.50689874460556</v>
      </c>
      <c r="V7" s="282">
        <f>S7/B4</f>
        <v>358.25844060536218</v>
      </c>
      <c r="W7" s="57">
        <f>T7/D4</f>
        <v>-358.7317528112431</v>
      </c>
    </row>
    <row r="8" spans="1:23">
      <c r="A8" s="98">
        <v>2</v>
      </c>
      <c r="B8" s="97">
        <f>C8*B4</f>
        <v>0.41060964925953708</v>
      </c>
      <c r="C8" s="97">
        <f>1/(1-B4*D4)</f>
        <v>1.278763290066445</v>
      </c>
      <c r="D8" s="128">
        <f>C8*D4</f>
        <v>0.86815364080690605</v>
      </c>
      <c r="E8" s="1">
        <f>D8*D4</f>
        <v>0.58939035074045987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0.99999999999999689</v>
      </c>
      <c r="R8" s="267">
        <f>B8-E8</f>
        <v>-0.17878070148092279</v>
      </c>
      <c r="S8" s="268">
        <f>IF(Rules!B20=Rules!D20,SUM(C8:D8)*B4*F4,SUM(C8:D8)*B4*F4*POWER(O2,A8-1))</f>
        <v>246.97367423846126</v>
      </c>
      <c r="T8" s="253">
        <f>IF(Rules!B20=Rules!D20,SUM(C8:D8)*D4*H4,SUM(C8:D8)*D4*H4*POWER(O2,A8-1))</f>
        <v>-522.86731088728231</v>
      </c>
      <c r="U8" s="264">
        <f>S8+T8+U7</f>
        <v>-404.40053539342659</v>
      </c>
      <c r="V8" s="93">
        <f>S8/B4</f>
        <v>769.1511117639368</v>
      </c>
      <c r="W8" s="9">
        <f>T8/D4</f>
        <v>-770.16727375233165</v>
      </c>
    </row>
    <row r="9" spans="1:23">
      <c r="A9" s="98">
        <v>3</v>
      </c>
      <c r="B9" s="97">
        <f>C9*B4</f>
        <v>0.44520616241966932</v>
      </c>
      <c r="C9" s="97">
        <f>1/(1-D4*B4/(1-D4*B4))</f>
        <v>1.3865073508143066</v>
      </c>
      <c r="D9" s="128">
        <f>C9*D4*C8</f>
        <v>1.2037014046149785</v>
      </c>
      <c r="E9" s="1">
        <f>D9*(D4)</f>
        <v>0.81719405380067012</v>
      </c>
      <c r="F9" s="1">
        <f>E9*D4</f>
        <v>0.55479383758032585</v>
      </c>
      <c r="G9" s="1"/>
      <c r="H9" s="1"/>
      <c r="I9" s="1"/>
      <c r="J9" s="1"/>
      <c r="K9" s="1"/>
      <c r="L9" s="1"/>
      <c r="M9" s="235"/>
      <c r="N9" s="97">
        <f>B9+F9</f>
        <v>0.99999999999999512</v>
      </c>
      <c r="R9" s="267">
        <f>B9-F9</f>
        <v>-0.10958767516065654</v>
      </c>
      <c r="S9" s="268">
        <f>IF(Rules!B20=Rules!D20,SUM(C9:E9)*B4*F4,SUM(C9:E9)*B4*F4*POWER(O2,A9-1))</f>
        <v>391.97547855922147</v>
      </c>
      <c r="T9" s="253">
        <f>IF(Rules!B20=Rules!D20,SUM(C9:E9)*D4*H4,SUM(C9:E9)*D4*H4*POWER(O2,A9-1))</f>
        <v>-829.85024634701983</v>
      </c>
      <c r="U9" s="264">
        <f t="shared" ref="U9:U16" si="0">S9+T9+U8</f>
        <v>-842.2753031812249</v>
      </c>
      <c r="V9" s="93">
        <f>S9/B4</f>
        <v>1220.7308169490541</v>
      </c>
      <c r="W9" s="9">
        <f>T9/D4</f>
        <v>-1222.3435822890156</v>
      </c>
    </row>
    <row r="10" spans="1:23">
      <c r="A10" s="98">
        <v>4</v>
      </c>
      <c r="B10" s="97">
        <f>C10*B4</f>
        <v>0.46019267700666433</v>
      </c>
      <c r="C10" s="97">
        <f>1/(1-D4*B4/(1-D4*B4/(1-D4*B4)))</f>
        <v>1.4331799137568819</v>
      </c>
      <c r="D10" s="128">
        <f>C10*D4*C9</f>
        <v>1.349053956002674</v>
      </c>
      <c r="E10" s="1">
        <f>D10*D4*C8</f>
        <v>1.171186103548681</v>
      </c>
      <c r="F10" s="1">
        <f>E10*D4</f>
        <v>0.79511938429622098</v>
      </c>
      <c r="G10" s="1">
        <f>F10*D4</f>
        <v>0.53980732299332923</v>
      </c>
      <c r="H10" s="1"/>
      <c r="I10" s="1"/>
      <c r="J10" s="1"/>
      <c r="K10" s="1"/>
      <c r="L10" s="1"/>
      <c r="M10" s="235"/>
      <c r="N10" s="97">
        <f>B10+G10</f>
        <v>0.99999999999999356</v>
      </c>
      <c r="R10" s="267">
        <f>B10-G10</f>
        <v>-7.96146459866649E-2</v>
      </c>
      <c r="S10" s="268">
        <f>IF(Rules!B20=Rules!D20,SUM(C10:F10)*B4*F4,SUM(C10:F10)*B4*F4*POWER(O2,A10-1))</f>
        <v>546.25504859959494</v>
      </c>
      <c r="T10" s="253">
        <f>IF(Rules!B20=Rules!D20,SUM(C10:F10)*D4*H4,SUM(C10:F10)*D4*H4*POWER(O2,A10-1))</f>
        <v>-1156.4751150120453</v>
      </c>
      <c r="U10" s="264">
        <f t="shared" si="0"/>
        <v>-1452.4953695936752</v>
      </c>
      <c r="V10" s="93">
        <f>S10/B4</f>
        <v>1701.2043054085614</v>
      </c>
      <c r="W10" s="9">
        <f>T10/D4</f>
        <v>-1703.4518470466214</v>
      </c>
    </row>
    <row r="11" spans="1:23">
      <c r="A11" s="98">
        <v>5</v>
      </c>
      <c r="B11" s="97">
        <f>C11*B4</f>
        <v>0.46700235943471724</v>
      </c>
      <c r="C11" s="97">
        <f>1/(1-D4*B4/(1-D4*B4/(1-D4*B4/(1-D4*B4))))</f>
        <v>1.4543873352622165</v>
      </c>
      <c r="D11" s="128">
        <f>C11*D4*C10</f>
        <v>1.4151003145012935</v>
      </c>
      <c r="E11" s="1">
        <f>D11*D4*C9</f>
        <v>1.3320356077376898</v>
      </c>
      <c r="F11" s="1">
        <f>E11*D4*C8</f>
        <v>1.1564115625419151</v>
      </c>
      <c r="G11" s="1">
        <f>F11*D4</f>
        <v>0.78508893404329871</v>
      </c>
      <c r="H11" s="1">
        <f>G11*D4</f>
        <v>0.53299764056527443</v>
      </c>
      <c r="I11" s="1"/>
      <c r="J11" s="1"/>
      <c r="K11" s="1"/>
      <c r="L11" s="1"/>
      <c r="M11" s="235"/>
      <c r="N11" s="97">
        <f>B11+H11</f>
        <v>0.99999999999999167</v>
      </c>
      <c r="R11" s="267">
        <f>B11-H11</f>
        <v>-6.5995281130557193E-2</v>
      </c>
      <c r="S11" s="268">
        <f>IF(Rules!B20=Rules!D20,SUM(C11:G11)*B4*F4,SUM(C11:G11)*B4*F4*POWER(O2,A11-1))</f>
        <v>706.67156500726594</v>
      </c>
      <c r="T11" s="253">
        <f>IF(Rules!B20=Rules!D20,SUM(C11:G11)*D4*H4,SUM(C11:G11)*D4*H4*POWER(O2,A11-1))</f>
        <v>-1496.0924965593554</v>
      </c>
      <c r="U11" s="264">
        <f t="shared" si="0"/>
        <v>-2241.9163011457645</v>
      </c>
      <c r="V11" s="93">
        <f>S11/B4</f>
        <v>2200.790110740696</v>
      </c>
      <c r="W11" s="9">
        <f>T11/D4</f>
        <v>-2203.697678864522</v>
      </c>
    </row>
    <row r="12" spans="1:23">
      <c r="A12" s="98">
        <v>6</v>
      </c>
      <c r="B12" s="97">
        <f>C12*B4</f>
        <v>0.47016363539905248</v>
      </c>
      <c r="C12" s="97">
        <f>1/(1-D4*B4/(1-D4*B4/(1-D4*B4/(1-D4*B4/(1-D4*B4)))))</f>
        <v>1.4642325097734616</v>
      </c>
      <c r="D12" s="128">
        <f>C12*D4*C11</f>
        <v>1.4457611812685052</v>
      </c>
      <c r="E12" s="1">
        <f>D12*D4*C10</f>
        <v>1.4067071767631703</v>
      </c>
      <c r="F12" s="1">
        <f>E12*D4*C9</f>
        <v>1.3241351372104346</v>
      </c>
      <c r="G12" s="1">
        <f>F12*D4*C8</f>
        <v>1.1495527402895909</v>
      </c>
      <c r="H12" s="1">
        <f>G12*D4</f>
        <v>0.78043247294822504</v>
      </c>
      <c r="I12" s="1">
        <f>H12*D4</f>
        <v>0.52983636460093708</v>
      </c>
      <c r="J12" s="1"/>
      <c r="K12" s="1"/>
      <c r="L12" s="1"/>
      <c r="M12" s="235"/>
      <c r="N12" s="97">
        <f>B12+I12</f>
        <v>0.99999999999998956</v>
      </c>
      <c r="R12" s="267">
        <f>B12-I12</f>
        <v>-5.96727292018846E-2</v>
      </c>
      <c r="S12" s="268">
        <f>IF(Rules!B20=Rules!D20,SUM(C12:H12)*B4*F4,SUM(C12:H12)*B4*F4*POWER(O2,A12-1))</f>
        <v>870.92029802658635</v>
      </c>
      <c r="T12" s="253">
        <f>IF(Rules!B20=Rules!D20,SUM(C12:H12)*D4*H4,SUM(C12:H12)*D4*H4*POWER(O2,A12-1))</f>
        <v>-1843.8230537341856</v>
      </c>
      <c r="U12" s="264">
        <f t="shared" si="0"/>
        <v>-3214.8190568533637</v>
      </c>
      <c r="V12" s="93">
        <f>S12/B4</f>
        <v>2712.3106037534476</v>
      </c>
      <c r="W12" s="9">
        <f>T12/D4</f>
        <v>-2715.8939658445888</v>
      </c>
    </row>
    <row r="13" spans="1:23">
      <c r="A13" s="98">
        <v>7</v>
      </c>
      <c r="B13" s="97">
        <f>C13*B4</f>
        <v>0.47164579458995021</v>
      </c>
      <c r="C13" s="97">
        <f>1/(1-D4*B4/(1-D4*B4/(1-D4*B4/(1-D4*B4/(1-D4*B4/(1-D4*B4))))))</f>
        <v>1.4688484041314547</v>
      </c>
      <c r="D13" s="128">
        <f>C13*D4*C12</f>
        <v>1.4601364797215994</v>
      </c>
      <c r="E13" s="1">
        <f>D13*D4*C11</f>
        <v>1.4417168227347583</v>
      </c>
      <c r="F13" s="1">
        <f>E13*D4*C10</f>
        <v>1.402772067528993</v>
      </c>
      <c r="G13" s="1">
        <f>F13*D4*C9</f>
        <v>1.3204310142118407</v>
      </c>
      <c r="H13" s="1">
        <f>G13*D4*C8</f>
        <v>1.146336992422365</v>
      </c>
      <c r="I13" s="1">
        <f>H13*D4</f>
        <v>0.778249298594898</v>
      </c>
      <c r="J13" s="1">
        <f>I13*D4</f>
        <v>0.52835420541003741</v>
      </c>
      <c r="K13" s="1"/>
      <c r="L13" s="1"/>
      <c r="M13" s="235"/>
      <c r="N13" s="97">
        <f>B13+J13</f>
        <v>0.99999999999998757</v>
      </c>
      <c r="R13" s="267">
        <f>B13-J13</f>
        <v>-5.6708410820087207E-2</v>
      </c>
      <c r="S13" s="268">
        <f>IF(Rules!B20=Rules!D20,SUM(C13:I13)*B4*F4,SUM(C13:I13)*B4*F4*POWER(O2,A13-1))</f>
        <v>1037.4550807826474</v>
      </c>
      <c r="T13" s="253">
        <f>IF(Rules!B20=Rules!D20,SUM(C13:I13)*D4*H4,SUM(C13:I13)*D4*H4*POWER(O2,A13-1))</f>
        <v>-2196.3934007452808</v>
      </c>
      <c r="U13" s="264">
        <f t="shared" si="0"/>
        <v>-4373.7573768159973</v>
      </c>
      <c r="V13" s="93">
        <f>S13/B4</f>
        <v>3230.9505506998353</v>
      </c>
      <c r="W13" s="9">
        <f>T13/D4</f>
        <v>-3235.219112606318</v>
      </c>
    </row>
    <row r="14" spans="1:23">
      <c r="A14" s="98">
        <v>8</v>
      </c>
      <c r="B14" s="97">
        <f>C14*B4</f>
        <v>0.47234392505775896</v>
      </c>
      <c r="C14" s="97">
        <f>1/(1-D4*B4/(1-D4*B4/(1-D4*B4/(1-D4*B4/(1-D4*B4/(1-D4*B4/(1-D4*B4)))))))</f>
        <v>1.4710225946686732</v>
      </c>
      <c r="D14" s="128">
        <f>C14*D4*C13</f>
        <v>1.4669075700981127</v>
      </c>
      <c r="E14" s="1">
        <f>D14*D4*C12</f>
        <v>1.4582071570187276</v>
      </c>
      <c r="F14" s="1">
        <f>E14*D4*C11</f>
        <v>1.4398118384844198</v>
      </c>
      <c r="G14" s="1">
        <f>F14*D4*C10</f>
        <v>1.4009185421672032</v>
      </c>
      <c r="H14" s="1">
        <f>G14*D4*C9</f>
        <v>1.3186862885860686</v>
      </c>
      <c r="I14" s="1">
        <f>H14*D4*C8</f>
        <v>1.1448223025181419</v>
      </c>
      <c r="J14" s="1">
        <f>I14*D4</f>
        <v>0.77722097414637836</v>
      </c>
      <c r="K14" s="1">
        <f>J14*D4</f>
        <v>0.52765607494222677</v>
      </c>
      <c r="L14" s="1"/>
      <c r="M14" s="235"/>
      <c r="N14" s="97">
        <f>B14+K14</f>
        <v>0.99999999999998579</v>
      </c>
      <c r="R14" s="267">
        <f>B14-K14</f>
        <v>-5.5312149884467809E-2</v>
      </c>
      <c r="S14" s="268">
        <f>IF(Rules!B20=Rules!D20,SUM(C14:J14)*B4*F4,SUM(C14:J14)*B4*F4*POWER(O2,A14-1))</f>
        <v>1205.3054578777044</v>
      </c>
      <c r="T14" s="253">
        <f>IF(Rules!B20=Rules!D20,SUM(C14:J14)*D4*H4,SUM(C14:J14)*D4*H4*POWER(O2,A14-1))</f>
        <v>-2551.7489890432071</v>
      </c>
      <c r="U14" s="264">
        <f t="shared" si="0"/>
        <v>-5720.2009079814998</v>
      </c>
      <c r="V14" s="93">
        <f>S14/B4</f>
        <v>3753.6876584128081</v>
      </c>
      <c r="W14" s="9">
        <f>T14/D4</f>
        <v>-3758.6468330879097</v>
      </c>
    </row>
    <row r="15" spans="1:23">
      <c r="A15" s="98">
        <v>9</v>
      </c>
      <c r="B15" s="97">
        <f>C15*B4</f>
        <v>0.47267347679038202</v>
      </c>
      <c r="C15" s="97">
        <f>1/(1-D4*B4/(1-D4*B4/(1-D4*B4/(1-D4*B4/(1-D4*B4/(1-D4*B4/(1-D4*B4/(1-D4*B4))))))))</f>
        <v>1.4720489189613832</v>
      </c>
      <c r="D15" s="128">
        <f>C15*D4*C14</f>
        <v>1.4701038559905357</v>
      </c>
      <c r="E15" s="1">
        <f>D15*D4*C13</f>
        <v>1.4659914014907873</v>
      </c>
      <c r="F15" s="1">
        <f>E15*D4*C12</f>
        <v>1.4572964223225067</v>
      </c>
      <c r="G15" s="1">
        <f>F15*D4*C11</f>
        <v>1.4389125927284065</v>
      </c>
      <c r="H15" s="1">
        <f>G15*D4*C10</f>
        <v>1.4000435875239006</v>
      </c>
      <c r="I15" s="1">
        <f>H15*D4*C9</f>
        <v>1.3178626927405364</v>
      </c>
      <c r="J15" s="1">
        <f>I15*D4*C8</f>
        <v>1.1441072947862896</v>
      </c>
      <c r="K15" s="1">
        <f>J15*D4</f>
        <v>0.77673555470211164</v>
      </c>
      <c r="L15" s="1">
        <f>K15*D4</f>
        <v>0.52732652320960183</v>
      </c>
      <c r="M15" s="235"/>
      <c r="N15" s="97">
        <f>B15+L15</f>
        <v>0.99999999999998379</v>
      </c>
      <c r="R15" s="267">
        <f>B15-L15</f>
        <v>-5.4653046419219808E-2</v>
      </c>
      <c r="S15" s="268">
        <f>IF(Rules!B20=Rules!D20,SUM(C15:K15)*B4*F4,SUM(C15:K15)*B4*F4*POWER(O2,A15-1))</f>
        <v>1373.8919376280867</v>
      </c>
      <c r="T15" s="253">
        <f>IF(Rules!B20=Rules!D20,SUM(C15:K15)*D4*H4,SUM(C15:K15)*D4*H4*POWER(O2,A15-1))</f>
        <v>-2908.6629783209687</v>
      </c>
      <c r="U15" s="264">
        <f t="shared" si="0"/>
        <v>-7254.9719486743816</v>
      </c>
      <c r="V15" s="93">
        <f>S15/B4</f>
        <v>4278.7172136000372</v>
      </c>
      <c r="W15" s="9">
        <f>T15/D4</f>
        <v>-4284.3700297047681</v>
      </c>
    </row>
    <row r="16" spans="1:23" ht="17" thickBot="1">
      <c r="A16" s="99">
        <v>10</v>
      </c>
      <c r="B16" s="129">
        <f>C16*B4</f>
        <v>0.47282920115320509</v>
      </c>
      <c r="C16" s="129">
        <f>1/(1-D4*B4/(1-D4*B4/(1-D4*B4/(1-D4*B4/(1-D4*B4/(1-D4*B4/(1-D4*B4/(1-D4*B4/(1-D4*B4)))))))))</f>
        <v>1.4725338919738447</v>
      </c>
      <c r="D16" s="137">
        <f>C16*D4*C15</f>
        <v>1.4716142094031432</v>
      </c>
      <c r="E16" s="109">
        <f>D16*D4*C14</f>
        <v>1.4696697208272456</v>
      </c>
      <c r="F16" s="109">
        <f>E16*D4*C13</f>
        <v>1.4655584807730606</v>
      </c>
      <c r="G16" s="109">
        <f>F16*D4*C12</f>
        <v>1.4568660693119424</v>
      </c>
      <c r="H16" s="109">
        <f>G16*D4*C11</f>
        <v>1.4384876686314734</v>
      </c>
      <c r="I16" s="109">
        <f>H16*D4*C10</f>
        <v>1.3996301418009971</v>
      </c>
      <c r="J16" s="109">
        <f>I16*D4*C9</f>
        <v>1.3174735157902306</v>
      </c>
      <c r="K16" s="109">
        <f>J16*D4*C8</f>
        <v>1.1437694293999636</v>
      </c>
      <c r="L16" s="109">
        <f>K16*D4</f>
        <v>0.77650617756287099</v>
      </c>
      <c r="M16" s="237">
        <f>L16*D4</f>
        <v>0.52717079884677676</v>
      </c>
      <c r="N16" s="129">
        <f>B16+M16</f>
        <v>0.99999999999998179</v>
      </c>
      <c r="R16" s="269">
        <f>B16-M16</f>
        <v>-5.4341597693571664E-2</v>
      </c>
      <c r="S16" s="270">
        <f>IF(Rules!B20=Rules!D20,SUM(C16:L16)*B4*F4,SUM(C16:L16)*B4*F4*POWER(O2,A16-1))</f>
        <v>1542.8812670052796</v>
      </c>
      <c r="T16" s="254">
        <f>IF(Rules!B20=Rules!D20,SUM(C16:L16)*D4*H4,SUM(C16:L16)*D4*H4*POWER(O2,A16-1))</f>
        <v>-3266.4298394755078</v>
      </c>
      <c r="U16" s="264">
        <f t="shared" si="0"/>
        <v>-8978.52052114461</v>
      </c>
      <c r="V16" s="94">
        <f>S16/B4</f>
        <v>4805.00136500806</v>
      </c>
      <c r="W16" s="10">
        <f>T16/D4</f>
        <v>-4811.3494800489498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5</v>
      </c>
      <c r="D21" s="57">
        <f>SUM($C$21:C21)</f>
        <v>5</v>
      </c>
      <c r="E21" s="57">
        <f t="shared" ref="E21:E30" si="2">D21/R7</f>
        <v>-13.974211373006918</v>
      </c>
      <c r="F21" s="8">
        <f t="shared" ref="F21:F30" si="3">U7/E21</f>
        <v>9.1960036466053499</v>
      </c>
      <c r="G21" s="256">
        <f>E21*U7</f>
        <v>1795.7825659467155</v>
      </c>
    </row>
    <row r="22" spans="1:7">
      <c r="A22" s="97">
        <v>2</v>
      </c>
      <c r="B22" s="93">
        <f>C21</f>
        <v>5</v>
      </c>
      <c r="C22" s="1">
        <f t="shared" si="1"/>
        <v>25</v>
      </c>
      <c r="D22" s="9">
        <f>SUM($C$21:C22)</f>
        <v>30</v>
      </c>
      <c r="E22" s="9">
        <f t="shared" si="2"/>
        <v>-167.8033465105361</v>
      </c>
      <c r="F22" s="9">
        <f t="shared" si="3"/>
        <v>2.4099670465632514</v>
      </c>
      <c r="G22" s="257">
        <f t="shared" ref="G22:G30" si="4">E22*U8</f>
        <v>67859.763169669488</v>
      </c>
    </row>
    <row r="23" spans="1:7">
      <c r="A23" s="97">
        <v>3</v>
      </c>
      <c r="B23" s="93">
        <f t="shared" ref="B23:B30" si="5">C22</f>
        <v>25</v>
      </c>
      <c r="C23" s="1">
        <f t="shared" si="1"/>
        <v>125</v>
      </c>
      <c r="D23" s="9">
        <f>SUM($C$21:C23)</f>
        <v>155</v>
      </c>
      <c r="E23" s="9">
        <f t="shared" si="2"/>
        <v>-1414.3926292146318</v>
      </c>
      <c r="F23" s="9">
        <f t="shared" si="3"/>
        <v>0.59550317626366178</v>
      </c>
      <c r="G23" s="257">
        <f t="shared" si="4"/>
        <v>1191307.9805890438</v>
      </c>
    </row>
    <row r="24" spans="1:7">
      <c r="A24" s="97">
        <v>4</v>
      </c>
      <c r="B24" s="93">
        <f t="shared" si="5"/>
        <v>125</v>
      </c>
      <c r="C24" s="1">
        <f t="shared" si="1"/>
        <v>625</v>
      </c>
      <c r="D24" s="9">
        <f>SUM($C$21:C24)</f>
        <v>780</v>
      </c>
      <c r="E24" s="9">
        <f t="shared" si="2"/>
        <v>-9797.1923423567878</v>
      </c>
      <c r="F24" s="9">
        <f t="shared" si="3"/>
        <v>0.14825628800957749</v>
      </c>
      <c r="G24" s="257">
        <f t="shared" si="4"/>
        <v>14230376.512291847</v>
      </c>
    </row>
    <row r="25" spans="1:7">
      <c r="A25" s="97">
        <v>5</v>
      </c>
      <c r="B25" s="93">
        <f t="shared" si="5"/>
        <v>625</v>
      </c>
      <c r="C25" s="1">
        <f t="shared" si="1"/>
        <v>3125</v>
      </c>
      <c r="D25" s="9">
        <f>SUM($C$21:C25)</f>
        <v>3905</v>
      </c>
      <c r="E25" s="9">
        <f t="shared" si="2"/>
        <v>-59170.897268773107</v>
      </c>
      <c r="F25" s="9">
        <f t="shared" si="3"/>
        <v>3.7888833947578401E-2</v>
      </c>
      <c r="G25" s="257">
        <f t="shared" si="4"/>
        <v>132656199.14028382</v>
      </c>
    </row>
    <row r="26" spans="1:7">
      <c r="A26" s="97">
        <v>6</v>
      </c>
      <c r="B26" s="93">
        <f t="shared" si="5"/>
        <v>3125</v>
      </c>
      <c r="C26" s="1">
        <f t="shared" si="1"/>
        <v>15625</v>
      </c>
      <c r="D26" s="9">
        <f>SUM($C$21:C26)</f>
        <v>19530</v>
      </c>
      <c r="E26" s="9">
        <f t="shared" si="2"/>
        <v>-327285.18137533416</v>
      </c>
      <c r="F26" s="9">
        <f t="shared" si="3"/>
        <v>9.8226844348524734E-3</v>
      </c>
      <c r="G26" s="257">
        <f t="shared" si="4"/>
        <v>1052162638.1111338</v>
      </c>
    </row>
    <row r="27" spans="1:7">
      <c r="A27" s="97">
        <v>7</v>
      </c>
      <c r="B27" s="93">
        <f t="shared" si="5"/>
        <v>15625</v>
      </c>
      <c r="C27" s="1">
        <f t="shared" si="1"/>
        <v>78125</v>
      </c>
      <c r="D27" s="9">
        <f>SUM($C$21:C27)</f>
        <v>97655</v>
      </c>
      <c r="E27" s="9">
        <f t="shared" si="2"/>
        <v>-1722054.9577701925</v>
      </c>
      <c r="F27" s="9">
        <f t="shared" si="3"/>
        <v>2.539847730806088E-3</v>
      </c>
      <c r="G27" s="257">
        <f t="shared" si="4"/>
        <v>7531850574.8299398</v>
      </c>
    </row>
    <row r="28" spans="1:7">
      <c r="A28" s="97">
        <v>8</v>
      </c>
      <c r="B28" s="93">
        <f t="shared" si="5"/>
        <v>78125</v>
      </c>
      <c r="C28" s="1">
        <f t="shared" si="1"/>
        <v>390625</v>
      </c>
      <c r="D28" s="9">
        <f>SUM($C$21:C28)</f>
        <v>488280</v>
      </c>
      <c r="E28" s="9">
        <f t="shared" si="2"/>
        <v>-8827716.8943873178</v>
      </c>
      <c r="F28" s="9">
        <f t="shared" si="3"/>
        <v>6.4798191609638229E-4</v>
      </c>
      <c r="G28" s="257">
        <f t="shared" si="4"/>
        <v>50496314194.677963</v>
      </c>
    </row>
    <row r="29" spans="1:7">
      <c r="A29" s="97">
        <v>9</v>
      </c>
      <c r="B29" s="93">
        <f t="shared" si="5"/>
        <v>390625</v>
      </c>
      <c r="C29" s="1">
        <f t="shared" si="1"/>
        <v>1953125</v>
      </c>
      <c r="D29" s="9">
        <f>SUM($C$21:C29)</f>
        <v>2441405</v>
      </c>
      <c r="E29" s="9">
        <f t="shared" si="2"/>
        <v>-44670977.373759575</v>
      </c>
      <c r="F29" s="9">
        <f t="shared" si="3"/>
        <v>1.624090712851979E-4</v>
      </c>
      <c r="G29" s="257">
        <f t="shared" si="4"/>
        <v>324086687766.49371</v>
      </c>
    </row>
    <row r="30" spans="1:7" ht="17" thickBot="1">
      <c r="A30" s="129">
        <v>10</v>
      </c>
      <c r="B30" s="94">
        <f t="shared" si="5"/>
        <v>1953125</v>
      </c>
      <c r="C30" s="109">
        <f t="shared" si="1"/>
        <v>9765625</v>
      </c>
      <c r="D30" s="10">
        <f>SUM($C$21:C30)</f>
        <v>12207030</v>
      </c>
      <c r="E30" s="10">
        <f t="shared" si="2"/>
        <v>-224635095.72969419</v>
      </c>
      <c r="F30" s="10">
        <f t="shared" si="3"/>
        <v>3.9969357824427223E-5</v>
      </c>
      <c r="G30" s="258">
        <f t="shared" si="4"/>
        <v>2016890816778.3433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5</v>
      </c>
      <c r="D33" s="57">
        <f>SUM($C$33:C33)</f>
        <v>5</v>
      </c>
      <c r="E33" s="9">
        <f t="shared" ref="E33:E42" si="7">D33/R7</f>
        <v>-13.974211373006918</v>
      </c>
      <c r="F33" s="8">
        <f t="shared" ref="F33:F42" si="8">U7/E33</f>
        <v>9.1960036466053499</v>
      </c>
      <c r="G33" s="259">
        <f>E33*U7</f>
        <v>1795.7825659467155</v>
      </c>
    </row>
    <row r="34" spans="1:7">
      <c r="A34" s="97">
        <v>2</v>
      </c>
      <c r="B34" s="93">
        <f t="shared" ref="B34:B42" si="9">B33*($O$2+1)</f>
        <v>6</v>
      </c>
      <c r="C34" s="1">
        <f t="shared" si="6"/>
        <v>30</v>
      </c>
      <c r="D34" s="9">
        <f>SUM($C$33:C34)</f>
        <v>35</v>
      </c>
      <c r="E34" s="9">
        <f t="shared" si="7"/>
        <v>-195.77057092895879</v>
      </c>
      <c r="F34" s="9">
        <f t="shared" si="8"/>
        <v>2.0656860399113586</v>
      </c>
      <c r="G34" s="257">
        <f t="shared" ref="G34:G42" si="10">E34*U8</f>
        <v>79169.723697947731</v>
      </c>
    </row>
    <row r="35" spans="1:7">
      <c r="A35" s="97">
        <v>3</v>
      </c>
      <c r="B35" s="93">
        <f t="shared" si="9"/>
        <v>36</v>
      </c>
      <c r="C35" s="1">
        <f t="shared" si="6"/>
        <v>180</v>
      </c>
      <c r="D35" s="9">
        <f>SUM($C$33:C35)</f>
        <v>215</v>
      </c>
      <c r="E35" s="9">
        <f t="shared" si="7"/>
        <v>-1961.8994534267474</v>
      </c>
      <c r="F35" s="9">
        <f t="shared" si="8"/>
        <v>0.42931624335287244</v>
      </c>
      <c r="G35" s="257">
        <f t="shared" si="10"/>
        <v>1652459.4569460931</v>
      </c>
    </row>
    <row r="36" spans="1:7">
      <c r="A36" s="97">
        <v>4</v>
      </c>
      <c r="B36" s="93">
        <f t="shared" si="9"/>
        <v>216</v>
      </c>
      <c r="C36" s="1">
        <f t="shared" si="6"/>
        <v>1080</v>
      </c>
      <c r="D36" s="9">
        <f>SUM($C$33:C36)</f>
        <v>1295</v>
      </c>
      <c r="E36" s="9">
        <f t="shared" si="7"/>
        <v>-16265.851388912874</v>
      </c>
      <c r="F36" s="9">
        <f t="shared" si="8"/>
        <v>8.9297223666000333E-2</v>
      </c>
      <c r="G36" s="257">
        <f t="shared" si="10"/>
        <v>23626073.824894797</v>
      </c>
    </row>
    <row r="37" spans="1:7">
      <c r="A37" s="97">
        <v>5</v>
      </c>
      <c r="B37" s="93">
        <f t="shared" si="9"/>
        <v>1296</v>
      </c>
      <c r="C37" s="1">
        <f t="shared" si="6"/>
        <v>6480</v>
      </c>
      <c r="D37" s="9">
        <f>SUM($C$33:C37)</f>
        <v>7775</v>
      </c>
      <c r="E37" s="9">
        <f t="shared" si="7"/>
        <v>-117811.45358891445</v>
      </c>
      <c r="F37" s="9">
        <f t="shared" si="8"/>
        <v>1.9029697307433268E-2</v>
      </c>
      <c r="G37" s="257">
        <f t="shared" si="10"/>
        <v>264123418.26266497</v>
      </c>
    </row>
    <row r="38" spans="1:7">
      <c r="A38" s="97">
        <v>6</v>
      </c>
      <c r="B38" s="93">
        <f t="shared" si="9"/>
        <v>7776</v>
      </c>
      <c r="C38" s="1">
        <f t="shared" si="6"/>
        <v>38880</v>
      </c>
      <c r="D38" s="9">
        <f>SUM($C$33:C38)</f>
        <v>46655</v>
      </c>
      <c r="E38" s="9">
        <f t="shared" si="7"/>
        <v>-781847.93328552053</v>
      </c>
      <c r="F38" s="9">
        <f t="shared" si="8"/>
        <v>4.1118213913335939E-3</v>
      </c>
      <c r="G38" s="257">
        <f t="shared" si="10"/>
        <v>2513499635.4877086</v>
      </c>
    </row>
    <row r="39" spans="1:7">
      <c r="A39" s="97">
        <v>7</v>
      </c>
      <c r="B39" s="93">
        <f t="shared" si="9"/>
        <v>46656</v>
      </c>
      <c r="C39" s="1">
        <f t="shared" si="6"/>
        <v>233280</v>
      </c>
      <c r="D39" s="9">
        <f>SUM($C$33:C39)</f>
        <v>279935</v>
      </c>
      <c r="E39" s="9">
        <f t="shared" si="7"/>
        <v>-4936392.960968704</v>
      </c>
      <c r="F39" s="9">
        <f t="shared" si="8"/>
        <v>8.860229344378822E-4</v>
      </c>
      <c r="G39" s="257">
        <f t="shared" si="10"/>
        <v>21590585127.899433</v>
      </c>
    </row>
    <row r="40" spans="1:7">
      <c r="A40" s="97">
        <v>8</v>
      </c>
      <c r="B40" s="93">
        <f t="shared" si="9"/>
        <v>279936</v>
      </c>
      <c r="C40" s="1">
        <f t="shared" si="6"/>
        <v>1399680</v>
      </c>
      <c r="D40" s="9">
        <f>SUM($C$33:C40)</f>
        <v>1679615</v>
      </c>
      <c r="E40" s="9">
        <f t="shared" si="7"/>
        <v>-30366113.114537466</v>
      </c>
      <c r="F40" s="9">
        <f t="shared" si="8"/>
        <v>1.8837448462388201E-4</v>
      </c>
      <c r="G40" s="257">
        <f t="shared" si="10"/>
        <v>173700267809.64615</v>
      </c>
    </row>
    <row r="41" spans="1:7">
      <c r="A41" s="97">
        <v>9</v>
      </c>
      <c r="B41" s="93">
        <f t="shared" si="9"/>
        <v>1679616</v>
      </c>
      <c r="C41" s="1">
        <f t="shared" si="6"/>
        <v>8398080</v>
      </c>
      <c r="D41" s="9">
        <f>SUM($C$33:C41)</f>
        <v>10077695</v>
      </c>
      <c r="E41" s="9">
        <f t="shared" si="7"/>
        <v>-184394021.19871551</v>
      </c>
      <c r="F41" s="9">
        <f t="shared" si="8"/>
        <v>3.9344941346313671E-5</v>
      </c>
      <c r="G41" s="257">
        <f t="shared" si="10"/>
        <v>1337773451299.9502</v>
      </c>
    </row>
    <row r="42" spans="1:7" ht="17" thickBot="1">
      <c r="A42" s="129">
        <v>10</v>
      </c>
      <c r="B42" s="94">
        <f t="shared" si="9"/>
        <v>10077696</v>
      </c>
      <c r="C42" s="109">
        <f t="shared" si="6"/>
        <v>50388480</v>
      </c>
      <c r="D42" s="10">
        <f>SUM($C$33:C42)</f>
        <v>60466175</v>
      </c>
      <c r="E42" s="9">
        <f t="shared" si="7"/>
        <v>-1112705138.7219858</v>
      </c>
      <c r="F42" s="10">
        <f t="shared" si="8"/>
        <v>8.0690923486315733E-6</v>
      </c>
      <c r="G42" s="258">
        <f t="shared" si="10"/>
        <v>9990445921998.4102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5</v>
      </c>
      <c r="D45" s="57">
        <f>SUM(C45:C45)</f>
        <v>5</v>
      </c>
      <c r="E45" s="57">
        <f t="shared" ref="E45:E54" si="12">D45/R7</f>
        <v>-13.974211373006918</v>
      </c>
      <c r="F45" s="8">
        <f t="shared" ref="F45:F54" si="13">U7/E45</f>
        <v>9.1960036466053499</v>
      </c>
      <c r="G45" s="256">
        <f>E45*U7</f>
        <v>1795.7825659467155</v>
      </c>
    </row>
    <row r="46" spans="1:7">
      <c r="A46" s="97">
        <v>2</v>
      </c>
      <c r="B46" s="93">
        <f t="shared" ref="B46:B54" si="14">B45*$O$2*2</f>
        <v>10</v>
      </c>
      <c r="C46" s="1">
        <f t="shared" si="11"/>
        <v>50</v>
      </c>
      <c r="D46" s="9">
        <f>SUM($C$45:C46)</f>
        <v>55</v>
      </c>
      <c r="E46" s="9">
        <f t="shared" si="12"/>
        <v>-307.63946860264952</v>
      </c>
      <c r="F46" s="9">
        <f t="shared" si="13"/>
        <v>1.3145274799435918</v>
      </c>
      <c r="G46" s="257">
        <f t="shared" ref="G46:G54" si="15">E46*U8</f>
        <v>124409.56581106072</v>
      </c>
    </row>
    <row r="47" spans="1:7">
      <c r="A47" s="97">
        <v>3</v>
      </c>
      <c r="B47" s="93">
        <f t="shared" si="14"/>
        <v>100</v>
      </c>
      <c r="C47" s="1">
        <f t="shared" si="11"/>
        <v>500</v>
      </c>
      <c r="D47" s="9">
        <f>SUM($C$45:C47)</f>
        <v>555</v>
      </c>
      <c r="E47" s="9">
        <f t="shared" si="12"/>
        <v>-5064.4381239620689</v>
      </c>
      <c r="F47" s="9">
        <f t="shared" si="13"/>
        <v>0.16631169787543706</v>
      </c>
      <c r="G47" s="257">
        <f t="shared" si="15"/>
        <v>4265651.1563027054</v>
      </c>
    </row>
    <row r="48" spans="1:7">
      <c r="A48" s="97">
        <v>4</v>
      </c>
      <c r="B48" s="93">
        <f t="shared" si="14"/>
        <v>1000</v>
      </c>
      <c r="C48" s="1">
        <f t="shared" si="11"/>
        <v>5000</v>
      </c>
      <c r="D48" s="9">
        <f>SUM($C$45:C48)</f>
        <v>5555</v>
      </c>
      <c r="E48" s="9">
        <f t="shared" si="12"/>
        <v>-69773.59418178456</v>
      </c>
      <c r="F48" s="9">
        <f t="shared" si="13"/>
        <v>2.0817264563000981E-2</v>
      </c>
      <c r="G48" s="257">
        <f t="shared" si="15"/>
        <v>101345822.46895027</v>
      </c>
    </row>
    <row r="49" spans="1:7">
      <c r="A49" s="97">
        <v>5</v>
      </c>
      <c r="B49" s="93">
        <f t="shared" si="14"/>
        <v>10000</v>
      </c>
      <c r="C49" s="1">
        <f t="shared" si="11"/>
        <v>50000</v>
      </c>
      <c r="D49" s="9">
        <f>SUM($C$45:C49)</f>
        <v>55555</v>
      </c>
      <c r="E49" s="9">
        <f t="shared" si="12"/>
        <v>-841802.61146394105</v>
      </c>
      <c r="F49" s="9">
        <f t="shared" si="13"/>
        <v>2.663232770502991E-3</v>
      </c>
      <c r="G49" s="257">
        <f t="shared" si="15"/>
        <v>1887250996.9880838</v>
      </c>
    </row>
    <row r="50" spans="1:7">
      <c r="A50" s="97">
        <v>6</v>
      </c>
      <c r="B50" s="93">
        <f t="shared" si="14"/>
        <v>100000</v>
      </c>
      <c r="C50" s="1">
        <f t="shared" si="11"/>
        <v>500000</v>
      </c>
      <c r="D50" s="9">
        <f>SUM($C$45:C50)</f>
        <v>555555</v>
      </c>
      <c r="E50" s="9">
        <f t="shared" si="12"/>
        <v>-9310031.6917037256</v>
      </c>
      <c r="F50" s="9">
        <f t="shared" si="13"/>
        <v>3.4530699392979782E-4</v>
      </c>
      <c r="G50" s="257">
        <f t="shared" si="15"/>
        <v>29930067302.397896</v>
      </c>
    </row>
    <row r="51" spans="1:7">
      <c r="A51" s="97">
        <v>7</v>
      </c>
      <c r="B51" s="93">
        <f t="shared" si="14"/>
        <v>1000000</v>
      </c>
      <c r="C51" s="1">
        <f t="shared" si="11"/>
        <v>5000000</v>
      </c>
      <c r="D51" s="9">
        <f>SUM($C$45:C51)</f>
        <v>5555555</v>
      </c>
      <c r="E51" s="9">
        <f t="shared" si="12"/>
        <v>-97967037.334647298</v>
      </c>
      <c r="F51" s="9">
        <f t="shared" si="13"/>
        <v>4.4645193891855727E-5</v>
      </c>
      <c r="G51" s="257">
        <f t="shared" si="15"/>
        <v>428484052227.22186</v>
      </c>
    </row>
    <row r="52" spans="1:7">
      <c r="A52" s="97">
        <v>8</v>
      </c>
      <c r="B52" s="93">
        <f t="shared" si="14"/>
        <v>10000000</v>
      </c>
      <c r="C52" s="1">
        <f t="shared" si="11"/>
        <v>50000000</v>
      </c>
      <c r="D52" s="9">
        <f>SUM($C$45:C52)</f>
        <v>55555555</v>
      </c>
      <c r="E52" s="9">
        <f t="shared" si="12"/>
        <v>-1004400572.3162198</v>
      </c>
      <c r="F52" s="9">
        <f t="shared" si="13"/>
        <v>5.6951390367991388E-6</v>
      </c>
      <c r="G52" s="257">
        <f t="shared" si="15"/>
        <v>5745373065740.3789</v>
      </c>
    </row>
    <row r="53" spans="1:7">
      <c r="A53" s="97">
        <v>9</v>
      </c>
      <c r="B53" s="93">
        <f t="shared" si="14"/>
        <v>100000000</v>
      </c>
      <c r="C53" s="1">
        <f t="shared" si="11"/>
        <v>500000000</v>
      </c>
      <c r="D53" s="9">
        <f>SUM($C$45:C53)</f>
        <v>555555555</v>
      </c>
      <c r="E53" s="9">
        <f t="shared" si="12"/>
        <v>-10165134267.879129</v>
      </c>
      <c r="F53" s="9">
        <f t="shared" si="13"/>
        <v>7.1371137433958081E-7</v>
      </c>
      <c r="G53" s="257">
        <f t="shared" si="15"/>
        <v>73747763967971.781</v>
      </c>
    </row>
    <row r="54" spans="1:7" ht="17" thickBot="1">
      <c r="A54" s="129">
        <v>10</v>
      </c>
      <c r="B54" s="94">
        <f t="shared" si="14"/>
        <v>1000000000</v>
      </c>
      <c r="C54" s="109">
        <f t="shared" si="11"/>
        <v>5000000000</v>
      </c>
      <c r="D54" s="10">
        <f>SUM($C$45:C54)</f>
        <v>5555555555</v>
      </c>
      <c r="E54" s="10">
        <f t="shared" si="12"/>
        <v>-102233938470.62384</v>
      </c>
      <c r="F54" s="10">
        <f t="shared" si="13"/>
        <v>8.7823287016615531E-8</v>
      </c>
      <c r="G54" s="258">
        <f t="shared" si="15"/>
        <v>917909514515931.5</v>
      </c>
    </row>
  </sheetData>
  <mergeCells count="1">
    <mergeCell ref="A18:F18"/>
  </mergeCells>
  <conditionalFormatting sqref="F45:F54">
    <cfRule type="cellIs" dxfId="297" priority="65" operator="equal">
      <formula>MAX($F$45:$F$54)</formula>
    </cfRule>
  </conditionalFormatting>
  <conditionalFormatting sqref="F21:F30">
    <cfRule type="cellIs" dxfId="296" priority="63" operator="equal">
      <formula>MAX($F$21:$F$30)</formula>
    </cfRule>
  </conditionalFormatting>
  <conditionalFormatting sqref="E33:E42">
    <cfRule type="cellIs" dxfId="295" priority="61" stopIfTrue="1" operator="lessThan">
      <formula>0</formula>
    </cfRule>
    <cfRule type="cellIs" dxfId="294" priority="62" operator="equal">
      <formula>MIN($E$33:$E$42)</formula>
    </cfRule>
  </conditionalFormatting>
  <conditionalFormatting sqref="E21:E30">
    <cfRule type="cellIs" dxfId="293" priority="57" stopIfTrue="1" operator="lessThan">
      <formula>0</formula>
    </cfRule>
    <cfRule type="cellIs" dxfId="292" priority="58" operator="equal">
      <formula>MIN($E$21:$E$30)</formula>
    </cfRule>
  </conditionalFormatting>
  <conditionalFormatting sqref="E45:E54">
    <cfRule type="cellIs" dxfId="291" priority="53" stopIfTrue="1" operator="lessThan">
      <formula>0</formula>
    </cfRule>
    <cfRule type="cellIs" dxfId="290" priority="54" operator="equal">
      <formula>MIN($E$45:$E$54)</formula>
    </cfRule>
  </conditionalFormatting>
  <conditionalFormatting sqref="F33:F42">
    <cfRule type="cellIs" dxfId="289" priority="43" operator="lessThanOrEqual">
      <formula>0</formula>
    </cfRule>
    <cfRule type="cellIs" dxfId="288" priority="44" operator="equal">
      <formula>MAX($F$33:$F$42)</formula>
    </cfRule>
  </conditionalFormatting>
  <conditionalFormatting sqref="R7:R16">
    <cfRule type="cellIs" dxfId="287" priority="29" operator="lessThanOrEqual">
      <formula>0</formula>
    </cfRule>
    <cfRule type="cellIs" dxfId="286" priority="30" operator="greaterThan">
      <formula>0</formula>
    </cfRule>
  </conditionalFormatting>
  <conditionalFormatting sqref="U7:U16">
    <cfRule type="cellIs" dxfId="285" priority="9" operator="lessThanOrEqual">
      <formula>0</formula>
    </cfRule>
    <cfRule type="cellIs" dxfId="284" priority="10" operator="greaterThan">
      <formula>0</formula>
    </cfRule>
  </conditionalFormatting>
  <conditionalFormatting sqref="S7:T16">
    <cfRule type="cellIs" dxfId="283" priority="1" operator="lessThanOrEqual">
      <formula>0</formula>
    </cfRule>
    <cfRule type="cellIs" dxfId="28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54"/>
  <sheetViews>
    <sheetView topLeftCell="A14" workbookViewId="0">
      <selection activeCell="K9" sqref="K9"/>
    </sheetView>
  </sheetViews>
  <sheetFormatPr baseColWidth="10" defaultColWidth="8.83203125" defaultRowHeight="16"/>
  <sheetData>
    <row r="1" spans="1:11">
      <c r="A1" t="s">
        <v>7</v>
      </c>
      <c r="B1">
        <v>1</v>
      </c>
      <c r="C1">
        <v>2</v>
      </c>
      <c r="D1">
        <v>3</v>
      </c>
      <c r="E1" t="s">
        <v>52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2</v>
      </c>
      <c r="B2">
        <f>(SUM(HS!B4:B11)+Rules!$B$5*HS!B12+HS!B36)/(9+Rules!$B$5)</f>
        <v>-0.34456837192534162</v>
      </c>
      <c r="C2">
        <f>(SUM(HS!C4:C11)+Rules!$B$5*HS!C12+HS!C36)/(9+Rules!$B$5)</f>
        <v>-7.6036139649632559E-2</v>
      </c>
      <c r="D2">
        <f>(SUM(HS!D4:D11)+Rules!$B$5*HS!D12+HS!D36)/(9+Rules!$B$5)</f>
        <v>-4.9887284329707869E-2</v>
      </c>
      <c r="E2">
        <f>(SUM(HS!E4:E11)+Rules!$B$5*HS!E12+HS!E36)/(9+Rules!$B$5)</f>
        <v>-2.016020969670709E-2</v>
      </c>
      <c r="F2">
        <f>(SUM(HS!F4:F11)+Rules!$B$5*HS!F12+HS!F36)/(9+Rules!$B$5)</f>
        <v>1.4664203829548531E-2</v>
      </c>
      <c r="G2">
        <f>(SUM(HS!G4:G11)+Rules!$B$5*HS!G12+HS!G36)/(9+Rules!$B$5)</f>
        <v>5.10276420282465E-2</v>
      </c>
      <c r="H2">
        <f>(SUM(HS!H4:H11)+Rules!$B$5*HS!H12+HS!H36)/(9+Rules!$B$5)</f>
        <v>-2.7257021375862247E-2</v>
      </c>
      <c r="I2">
        <f>(SUM(HS!I4:I11)+Rules!$B$5*HS!I12+HS!I36)/(9+Rules!$B$5)</f>
        <v>-0.10316172777512723</v>
      </c>
      <c r="J2">
        <f>(SUM(HS!J4:J11)+Rules!$B$5*HS!J12+HS!J36)/(9+Rules!$B$5)</f>
        <v>-0.19004714305350842</v>
      </c>
      <c r="K2">
        <f>(SUM(HS!K4:K11)+Rules!$B$5*HS!K12+HS!K36)/(9+Rules!$B$5)</f>
        <v>-0.29096372773977425</v>
      </c>
    </row>
    <row r="3" spans="1:11">
      <c r="A3">
        <v>3</v>
      </c>
      <c r="B3">
        <f>(SUM(HS!B5:B12)+Rules!$B$5*HS!B13+HS!B37)/(9+Rules!$B$5)</f>
        <v>-0.36474464099475529</v>
      </c>
      <c r="C3">
        <f>(SUM(HS!C5:C12)+Rules!$B$5*HS!C13+HS!C37)/(9+Rules!$B$5)</f>
        <v>-9.8794923007326521E-2</v>
      </c>
      <c r="D3">
        <f>(SUM(HS!D5:D12)+Rules!$B$5*HS!D13+HS!D37)/(9+Rules!$B$5)</f>
        <v>-6.7321319741442009E-2</v>
      </c>
      <c r="E3">
        <f>(SUM(HS!E5:E12)+Rules!$B$5*HS!E13+HS!E37)/(9+Rules!$B$5)</f>
        <v>-3.4079494605979782E-2</v>
      </c>
      <c r="F3">
        <f>(SUM(HS!F5:F12)+Rules!$B$5*HS!F13+HS!F37)/(9+Rules!$B$5)</f>
        <v>1.2204515413239724E-3</v>
      </c>
      <c r="G3">
        <f>(SUM(HS!G5:G12)+Rules!$B$5*HS!G13+HS!G37)/(9+Rules!$B$5)</f>
        <v>3.8127730665612251E-2</v>
      </c>
      <c r="H3">
        <f>(SUM(HS!H5:H12)+Rules!$B$5*HS!H13+HS!H37)/(9+Rules!$B$5)</f>
        <v>-5.7437588540356667E-2</v>
      </c>
      <c r="I3">
        <f>(SUM(HS!I5:I12)+Rules!$B$5*HS!I13+HS!I37)/(9+Rules!$B$5)</f>
        <v>-0.13094188065020099</v>
      </c>
      <c r="J3">
        <f>(SUM(HS!J5:J12)+Rules!$B$5*HS!J13+HS!J37)/(9+Rules!$B$5)</f>
        <v>-0.21507662281362433</v>
      </c>
      <c r="K3">
        <f>(SUM(HS!K5:K12)+Rules!$B$5*HS!K13+HS!K37)/(9+Rules!$B$5)</f>
        <v>-0.31277980128259808</v>
      </c>
    </row>
    <row r="4" spans="1:11">
      <c r="A4">
        <v>4</v>
      </c>
      <c r="B4">
        <f>(SUM(HS!B6:B13)+Rules!$B$5*HS!B14+HS!B38)/(9+Rules!$B$5)</f>
        <v>-0.38538530661686615</v>
      </c>
      <c r="C4">
        <f>(SUM(HS!C6:C13)+Rules!$B$5*HS!C14+HS!C38)/(9+Rules!$B$5)</f>
        <v>-0.11285543771123717</v>
      </c>
      <c r="D4">
        <f>(SUM(HS!D6:D13)+Rules!$B$5*HS!D14+HS!D38)/(9+Rules!$B$5)</f>
        <v>-8.0761552533335321E-2</v>
      </c>
      <c r="E4">
        <f>(SUM(HS!E6:E13)+Rules!$B$5*HS!E14+HS!E38)/(9+Rules!$B$5)</f>
        <v>-4.6961607783156195E-2</v>
      </c>
      <c r="F4">
        <f>(SUM(HS!F6:F13)+Rules!$B$5*HS!F14+HS!F38)/(9+Rules!$B$5)</f>
        <v>-1.122157243811568E-2</v>
      </c>
      <c r="G4">
        <f>(SUM(HS!G6:G13)+Rules!$B$5*HS!G14+HS!G38)/(9+Rules!$B$5)</f>
        <v>2.6189020344519497E-2</v>
      </c>
      <c r="H4">
        <f>(SUM(HS!H6:H13)+Rules!$B$5*HS!H14+HS!H38)/(9+Rules!$B$5)</f>
        <v>-8.8279201058463722E-2</v>
      </c>
      <c r="I4">
        <f>(SUM(HS!I6:I13)+Rules!$B$5*HS!I14+HS!I38)/(9+Rules!$B$5)</f>
        <v>-0.15933415266020512</v>
      </c>
      <c r="J4">
        <f>(SUM(HS!J6:J13)+Rules!$B$5*HS!J14+HS!J38)/(9+Rules!$B$5)</f>
        <v>-0.24066617915336547</v>
      </c>
      <c r="K4">
        <f>(SUM(HS!K6:K13)+Rules!$B$5*HS!K14+HS!K38)/(9+Rules!$B$5)</f>
        <v>-0.33509986436351097</v>
      </c>
    </row>
    <row r="5" spans="1:11">
      <c r="A5">
        <v>5</v>
      </c>
      <c r="B5">
        <f>(SUM(HS!B7:B14)+Rules!$B$5*HS!B15+HS!B39)/(9+Rules!$B$5)</f>
        <v>-0.40632230211141912</v>
      </c>
      <c r="C5">
        <f>(SUM(HS!C7:C14)+Rules!$B$5*HS!C15+HS!C39)/(9+Rules!$B$5)</f>
        <v>-0.12585466591223504</v>
      </c>
      <c r="D5">
        <f>(SUM(HS!D7:D14)+Rules!$B$5*HS!D15+HS!D39)/(9+Rules!$B$5)</f>
        <v>-9.3185805313397596E-2</v>
      </c>
      <c r="E5">
        <f>(SUM(HS!E7:E14)+Rules!$B$5*HS!E15+HS!E39)/(9+Rules!$B$5)</f>
        <v>-5.8868938477504656E-2</v>
      </c>
      <c r="F5">
        <f>(SUM(HS!F7:F14)+Rules!$B$5*HS!F15+HS!F39)/(9+Rules!$B$5)</f>
        <v>-2.2722050599694302E-2</v>
      </c>
      <c r="G5">
        <f>(SUM(HS!G7:G14)+Rules!$B$5*HS!G15+HS!G39)/(9+Rules!$B$5)</f>
        <v>1.5153619459709739E-2</v>
      </c>
      <c r="H5">
        <f>(SUM(HS!H7:H14)+Rules!$B$5*HS!H15+HS!H39)/(9+Rules!$B$5)</f>
        <v>-0.11944744188414852</v>
      </c>
      <c r="I5">
        <f>(SUM(HS!I7:I14)+Rules!$B$5*HS!I15+HS!I39)/(9+Rules!$B$5)</f>
        <v>-0.18809330390318518</v>
      </c>
      <c r="J5">
        <f>(SUM(HS!J7:J14)+Rules!$B$5*HS!J15+HS!J39)/(9+Rules!$B$5)</f>
        <v>-0.26661505335795899</v>
      </c>
      <c r="K5">
        <f>(SUM(HS!K7:K14)+Rules!$B$5*HS!K15+HS!K39)/(9+Rules!$B$5)</f>
        <v>-0.3577434525808979</v>
      </c>
    </row>
    <row r="6" spans="1:11">
      <c r="A6">
        <v>6</v>
      </c>
      <c r="B6">
        <f>(SUM(HS!B8:B15)+Rules!$B$5*HS!B16+HS!B40)/(9+Rules!$B$5)</f>
        <v>-0.41968690347101079</v>
      </c>
      <c r="C6">
        <f>(SUM(HS!C8:C15)+Rules!$B$5*HS!C16+HS!C40)/(9+Rules!$B$5)</f>
        <v>-0.1380730292913315</v>
      </c>
      <c r="D6">
        <f>(SUM(HS!D8:D15)+Rules!$B$5*HS!D16+HS!D40)/(9+Rules!$B$5)</f>
        <v>-0.10487404133749784</v>
      </c>
      <c r="E6">
        <f>(SUM(HS!E8:E15)+Rules!$B$5*HS!E16+HS!E40)/(9+Rules!$B$5)</f>
        <v>-7.0077773347286057E-2</v>
      </c>
      <c r="F6">
        <f>(SUM(HS!F8:F15)+Rules!$B$5*HS!F16+HS!F40)/(9+Rules!$B$5)</f>
        <v>-3.3548869940164566E-2</v>
      </c>
      <c r="G6">
        <f>(SUM(HS!G8:G15)+Rules!$B$5*HS!G16+HS!G40)/(9+Rules!$B$5)</f>
        <v>4.7665085393153788E-3</v>
      </c>
      <c r="H6">
        <f>(SUM(HS!H8:H15)+Rules!$B$5*HS!H16+HS!H40)/(9+Rules!$B$5)</f>
        <v>-0.15193270723669944</v>
      </c>
      <c r="I6">
        <f>(SUM(HS!I8:I15)+Rules!$B$5*HS!I16+HS!I40)/(9+Rules!$B$5)</f>
        <v>-0.21724188132078476</v>
      </c>
      <c r="J6">
        <f>(SUM(HS!J8:J15)+Rules!$B$5*HS!J16+HS!J40)/(9+Rules!$B$5)</f>
        <v>-0.29264070019772598</v>
      </c>
      <c r="K6">
        <f>(SUM(HS!K8:K15)+Rules!$B$5*HS!K16+HS!K40)/(9+Rules!$B$5)</f>
        <v>-0.38050766229289529</v>
      </c>
    </row>
    <row r="7" spans="1:11">
      <c r="A7">
        <v>7</v>
      </c>
      <c r="B7">
        <f>(SUM(HS!B9:B16)+Rules!$B$5*HS!B17+HS!B41)/(9+Rules!$B$5)</f>
        <v>-0.39971038372569095</v>
      </c>
      <c r="C7">
        <f>(SUM(HS!C9:C16)+Rules!$B$5*HS!C17+HS!C41)/(9+Rules!$B$5)</f>
        <v>-0.10957748444769842</v>
      </c>
      <c r="D7">
        <f>(SUM(HS!D9:D16)+Rules!$B$5*HS!D17+HS!D41)/(9+Rules!$B$5)</f>
        <v>-7.6937567884950209E-2</v>
      </c>
      <c r="E7">
        <f>(SUM(HS!E9:E16)+Rules!$B$5*HS!E17+HS!E41)/(9+Rules!$B$5)</f>
        <v>-4.2826367717071351E-2</v>
      </c>
      <c r="F7">
        <f>(SUM(HS!F9:F16)+Rules!$B$5*HS!F17+HS!F41)/(9+Rules!$B$5)</f>
        <v>-7.17726676462546E-3</v>
      </c>
      <c r="G7">
        <f>(SUM(HS!G9:G16)+Rules!$B$5*HS!G17+HS!G41)/(9+Rules!$B$5)</f>
        <v>3.0408566151961865E-2</v>
      </c>
      <c r="H7">
        <f>(SUM(HS!H9:H16)+Rules!$B$5*HS!H17+HS!H41)/(9+Rules!$B$5)</f>
        <v>-6.8807799580427764E-2</v>
      </c>
      <c r="I7">
        <f>(SUM(HS!I9:I16)+Rules!$B$5*HS!I17+HS!I41)/(9+Rules!$B$5)</f>
        <v>-0.21060476872434966</v>
      </c>
      <c r="J7">
        <f>(SUM(HS!J9:J16)+Rules!$B$5*HS!J17+HS!J41)/(9+Rules!$B$5)</f>
        <v>-0.28536544048687662</v>
      </c>
      <c r="K7">
        <f>(SUM(HS!K9:K16)+Rules!$B$5*HS!K17+HS!K41)/(9+Rules!$B$5)</f>
        <v>-0.36507789921394679</v>
      </c>
    </row>
    <row r="8" spans="1:11">
      <c r="A8">
        <v>8</v>
      </c>
      <c r="B8">
        <f>(SUM(HS!B10:B17)+Rules!$B$5*HS!B18+HS!B42)/(9+Rules!$B$5)</f>
        <v>-0.33034033459070061</v>
      </c>
      <c r="C8">
        <f>(SUM(HS!C10:C17)+Rules!$B$5*HS!C18+HS!C42)/(9+Rules!$B$5)</f>
        <v>-2.4506830289917444E-2</v>
      </c>
      <c r="D8">
        <f>(SUM(HS!D10:D17)+Rules!$B$5*HS!D18+HS!D42)/(9+Rules!$B$5)</f>
        <v>5.5679308753931881E-3</v>
      </c>
      <c r="E8">
        <f>(SUM(HS!E10:E17)+Rules!$B$5*HS!E18+HS!E42)/(9+Rules!$B$5)</f>
        <v>3.7010775094514566E-2</v>
      </c>
      <c r="F8">
        <f>(SUM(HS!F10:F17)+Rules!$B$5*HS!F18+HS!F42)/(9+Rules!$B$5)</f>
        <v>6.9950633154329159E-2</v>
      </c>
      <c r="G8">
        <f>(SUM(HS!G10:G17)+Rules!$B$5*HS!G18+HS!G42)/(9+Rules!$B$5)</f>
        <v>0.10385811332306308</v>
      </c>
      <c r="H8">
        <f>(SUM(HS!H10:H17)+Rules!$B$5*HS!H18+HS!H42)/(9+Rules!$B$5)</f>
        <v>8.2207439363742862E-2</v>
      </c>
      <c r="I8">
        <f>(SUM(HS!I10:I17)+Rules!$B$5*HS!I18+HS!I42)/(9+Rules!$B$5)</f>
        <v>-5.989827565865629E-2</v>
      </c>
      <c r="J8">
        <f>(SUM(HS!J10:J17)+Rules!$B$5*HS!J18+HS!J42)/(9+Rules!$B$5)</f>
        <v>-0.2101863319982176</v>
      </c>
      <c r="K8">
        <f>(SUM(HS!K10:K17)+Rules!$B$5*HS!K18+HS!K42)/(9+Rules!$B$5)</f>
        <v>-0.30177738614031369</v>
      </c>
    </row>
    <row r="9" spans="1:11">
      <c r="A9">
        <v>9</v>
      </c>
      <c r="B9">
        <f>(SUM(HS!B11:B18)+Rules!$B$5*HS!B19+HS!B43)/(9+Rules!$B$5)</f>
        <v>-0.25192476177072076</v>
      </c>
      <c r="C9">
        <f>(SUM(HS!C11:C18)+Rules!$B$5*HS!C19+HS!C43)/(9+Rules!$B$5)</f>
        <v>7.2232808963193215E-2</v>
      </c>
      <c r="D9">
        <f>(SUM(HS!D11:D18)+Rules!$B$5*HS!D19+HS!D43)/(9+Rules!$B$5)</f>
        <v>9.9273160738143268E-2</v>
      </c>
      <c r="E9">
        <f>(SUM(HS!E11:E18)+Rules!$B$5*HS!E19+HS!E43)/(9+Rules!$B$5)</f>
        <v>0.12758849558767743</v>
      </c>
      <c r="F9">
        <f>(SUM(HS!F11:F18)+Rules!$B$5*HS!F19+HS!F43)/(9+Rules!$B$5)</f>
        <v>0.15736144838115299</v>
      </c>
      <c r="G9">
        <f>(SUM(HS!G11:G18)+Rules!$B$5*HS!G19+HS!G43)/(9+Rules!$B$5)</f>
        <v>0.18730353674754288</v>
      </c>
      <c r="H9">
        <f>(SUM(HS!H11:H18)+Rules!$B$5*HS!H19+HS!H43)/(9+Rules!$B$5)</f>
        <v>0.17186785993695267</v>
      </c>
      <c r="I9">
        <f>(SUM(HS!I11:I18)+Rules!$B$5*HS!I19+HS!I43)/(9+Rules!$B$5)</f>
        <v>9.8376217435392585E-2</v>
      </c>
      <c r="J9">
        <f>(SUM(HS!J11:J18)+Rules!$B$5*HS!J19+HS!J43)/(9+Rules!$B$5)</f>
        <v>-5.217805346265169E-2</v>
      </c>
      <c r="K9">
        <f>(SUM(HS!K11:K18)+Rules!$B$5*HS!K19+HS!K43)/(9+Rules!$B$5)</f>
        <v>-0.21343169035706566</v>
      </c>
    </row>
    <row r="10" spans="1:11">
      <c r="A10">
        <v>10</v>
      </c>
      <c r="B10">
        <f>(SUM(HS!B12:B19)+Rules!$B$5*HS!B20+HS!B44)/(9+Rules!$B$5)</f>
        <v>-0.14666789263035868</v>
      </c>
      <c r="C10">
        <f>(SUM(HS!C12:C19)+Rules!$B$5*HS!C20+HS!C44)/(9+Rules!$B$5)</f>
        <v>0.18097612414551942</v>
      </c>
      <c r="D10">
        <f>(SUM(HS!D12:D19)+Rules!$B$5*HS!D20+HS!D44)/(9+Rules!$B$5)</f>
        <v>0.20471674407811152</v>
      </c>
      <c r="E10">
        <f>(SUM(HS!E12:E19)+Rules!$B$5*HS!E20+HS!E44)/(9+Rules!$B$5)</f>
        <v>0.22962110185909174</v>
      </c>
      <c r="F10">
        <f>(SUM(HS!F12:F19)+Rules!$B$5*HS!F20+HS!F44)/(9+Rules!$B$5)</f>
        <v>0.25584976707588913</v>
      </c>
      <c r="G10">
        <f>(SUM(HS!G12:G19)+Rules!$B$5*HS!G20+HS!G44)/(9+Rules!$B$5)</f>
        <v>0.28248084776420312</v>
      </c>
      <c r="H10">
        <f>(SUM(HS!H12:H19)+Rules!$B$5*HS!H20+HS!H44)/(9+Rules!$B$5)</f>
        <v>0.25690874433608657</v>
      </c>
      <c r="I10">
        <f>(SUM(HS!I12:I19)+Rules!$B$5*HS!I20+HS!I44)/(9+Rules!$B$5)</f>
        <v>0.19795370833197609</v>
      </c>
      <c r="J10">
        <f>(SUM(HS!J12:J19)+Rules!$B$5*HS!J20+HS!J44)/(9+Rules!$B$5)</f>
        <v>0.1165295910692839</v>
      </c>
      <c r="K10">
        <f>(SUM(HS!K12:K19)+Rules!$B$5*HS!K20+HS!K44)/(9+Rules!$B$5)</f>
        <v>-4.4990260383613007E-2</v>
      </c>
    </row>
    <row r="11" spans="1:11">
      <c r="A11">
        <v>11</v>
      </c>
      <c r="B11">
        <f>(SUM(HS!B12:B20)+Rules!$B$5*HS!B21)/(9+Rules!$B$5)</f>
        <v>-4.1986836980868178E-2</v>
      </c>
      <c r="C11">
        <f>(SUM(HS!C12:C20)+Rules!$B$5*HS!C21)/(9+Rules!$B$5)</f>
        <v>0.23758326541256777</v>
      </c>
      <c r="D11">
        <f>(SUM(HS!D12:D20)+Rules!$B$5*HS!D21)/(9+Rules!$B$5)</f>
        <v>0.25963465813171721</v>
      </c>
      <c r="E11">
        <f>(SUM(HS!E12:E20)+Rules!$B$5*HS!E21)/(9+Rules!$B$5)</f>
        <v>0.28280326185276489</v>
      </c>
      <c r="F11">
        <f>(SUM(HS!F12:F20)+Rules!$B$5*HS!F21)/(9+Rules!$B$5)</f>
        <v>0.30724502104225837</v>
      </c>
      <c r="G11">
        <f>(SUM(HS!G12:G20)+Rules!$B$5*HS!G21)/(9+Rules!$B$5)</f>
        <v>0.33233170459446271</v>
      </c>
      <c r="H11">
        <f>(SUM(HS!H12:H20)+Rules!$B$5*HS!H21)/(9+Rules!$B$5)</f>
        <v>0.29214699112701309</v>
      </c>
      <c r="I11">
        <f>(SUM(HS!I12:I20)+Rules!$B$5*HS!I21)/(9+Rules!$B$5)</f>
        <v>0.22998214532399175</v>
      </c>
      <c r="J11">
        <f>(SUM(HS!J12:J20)+Rules!$B$5*HS!J21)/(9+Rules!$B$5)</f>
        <v>0.15825711845512572</v>
      </c>
      <c r="K11">
        <f>(SUM(HS!K12:K20)+Rules!$B$5*HS!K21)/(9+Rules!$B$5)</f>
        <v>5.9690795265877464E-2</v>
      </c>
    </row>
    <row r="12" spans="1:11">
      <c r="A12">
        <v>12</v>
      </c>
      <c r="B12">
        <f>(SUM(HS!B13:B21)+Rules!$B$5*HS!B22)/(9+Rules!$B$5)</f>
        <v>-0.46566058377683939</v>
      </c>
      <c r="C12">
        <f>(SUM(HS!C13:C21)+Rules!$B$5*HS!C22)/(9+Rules!$B$5)</f>
        <v>-0.25375147059276615</v>
      </c>
      <c r="D12">
        <f>(SUM(HS!D13:D21)+Rules!$B$5*HS!D22)/(9+Rules!$B$5)</f>
        <v>-0.23401617638713501</v>
      </c>
      <c r="E12">
        <f>(SUM(HS!E13:E21)+Rules!$B$5*HS!E22)/(9+Rules!$B$5)</f>
        <v>-0.21383859579205047</v>
      </c>
      <c r="F12">
        <f>(SUM(HS!F13:F21)+Rules!$B$5*HS!F22)/(9+Rules!$B$5)</f>
        <v>-0.19341659731927066</v>
      </c>
      <c r="G12">
        <f>(SUM(HS!G13:G21)+Rules!$B$5*HS!G22)/(9+Rules!$B$5)</f>
        <v>-0.17241676251641375</v>
      </c>
      <c r="H12">
        <f>(SUM(HS!H13:H21)+Rules!$B$5*HS!H22)/(9+Rules!$B$5)</f>
        <v>-0.21284771451731424</v>
      </c>
      <c r="I12">
        <f>(SUM(HS!I13:I21)+Rules!$B$5*HS!I22)/(9+Rules!$B$5)</f>
        <v>-0.27157480502428616</v>
      </c>
      <c r="J12">
        <f>(SUM(HS!J13:J21)+Rules!$B$5*HS!J22)/(9+Rules!$B$5)</f>
        <v>-0.3400132806089356</v>
      </c>
      <c r="K12">
        <f>(SUM(HS!K13:K21)+Rules!$B$5*HS!K22)/(9+Rules!$B$5)</f>
        <v>-0.42069618899826788</v>
      </c>
    </row>
    <row r="13" spans="1:11">
      <c r="A13">
        <v>13</v>
      </c>
      <c r="B13">
        <f>(SUM(HS!B14:B22)+Rules!$B$5*HS!B23)/(9+Rules!$B$5)</f>
        <v>-0.50382768493563657</v>
      </c>
      <c r="C13">
        <f>(SUM(HS!C14:C22)+Rules!$B$5*HS!C23)/(9+Rules!$B$5)</f>
        <v>-0.30863267822043572</v>
      </c>
      <c r="D13">
        <f>(SUM(HS!D14:D22)+Rules!$B$5*HS!D23)/(9+Rules!$B$5)</f>
        <v>-0.29196727071081402</v>
      </c>
      <c r="E13">
        <f>(SUM(HS!E14:E22)+Rules!$B$5*HS!E23)/(9+Rules!$B$5)</f>
        <v>-0.27492708147796935</v>
      </c>
      <c r="F13">
        <f>(SUM(HS!F14:F22)+Rules!$B$5*HS!F23)/(9+Rules!$B$5)</f>
        <v>-0.25767179006940272</v>
      </c>
      <c r="G13">
        <f>(SUM(HS!G14:G22)+Rules!$B$5*HS!G23)/(9+Rules!$B$5)</f>
        <v>-0.24002700480898975</v>
      </c>
      <c r="H13">
        <f>(SUM(HS!H14:H22)+Rules!$B$5*HS!H23)/(9+Rules!$B$5)</f>
        <v>-0.26907287776607752</v>
      </c>
      <c r="I13">
        <f>(SUM(HS!I14:I22)+Rules!$B$5*HS!I23)/(9+Rules!$B$5)</f>
        <v>-0.32360517609397998</v>
      </c>
      <c r="J13">
        <f>(SUM(HS!J14:J22)+Rules!$B$5*HS!J23)/(9+Rules!$B$5)</f>
        <v>-0.38715518913686875</v>
      </c>
      <c r="K13">
        <f>(SUM(HS!K14:K22)+Rules!$B$5*HS!K23)/(9+Rules!$B$5)</f>
        <v>-0.46207503264124877</v>
      </c>
    </row>
    <row r="14" spans="1:11">
      <c r="A14">
        <v>14</v>
      </c>
      <c r="B14">
        <f>(SUM(HS!B15:B23)+Rules!$B$5*HS!B24)/(9+Rules!$B$5)</f>
        <v>-0.53926856458309114</v>
      </c>
      <c r="C14">
        <f>(SUM(HS!C15:C23)+Rules!$B$5*HS!C24)/(9+Rules!$B$5)</f>
        <v>-0.36351388584810534</v>
      </c>
      <c r="D14">
        <f>(SUM(HS!D15:D23)+Rules!$B$5*HS!D24)/(9+Rules!$B$5)</f>
        <v>-0.34991836503449308</v>
      </c>
      <c r="E14">
        <f>(SUM(HS!E15:E23)+Rules!$B$5*HS!E24)/(9+Rules!$B$5)</f>
        <v>-0.33601556716388825</v>
      </c>
      <c r="F14">
        <f>(SUM(HS!F15:F23)+Rules!$B$5*HS!F24)/(9+Rules!$B$5)</f>
        <v>-0.3219269828195348</v>
      </c>
      <c r="G14">
        <f>(SUM(HS!G15:G23)+Rules!$B$5*HS!G24)/(9+Rules!$B$5)</f>
        <v>-0.3076372471015657</v>
      </c>
      <c r="H14">
        <f>(SUM(HS!H15:H23)+Rules!$B$5*HS!H24)/(9+Rules!$B$5)</f>
        <v>-0.3212819579256434</v>
      </c>
      <c r="I14">
        <f>(SUM(HS!I15:I23)+Rules!$B$5*HS!I24)/(9+Rules!$B$5)</f>
        <v>-0.37191909208726714</v>
      </c>
      <c r="J14">
        <f>(SUM(HS!J15:J23)+Rules!$B$5*HS!J24)/(9+Rules!$B$5)</f>
        <v>-0.43092981848423528</v>
      </c>
      <c r="K14">
        <f>(SUM(HS!K15:K23)+Rules!$B$5*HS!K24)/(9+Rules!$B$5)</f>
        <v>-0.50049824459544523</v>
      </c>
    </row>
    <row r="15" spans="1:11">
      <c r="A15">
        <v>15</v>
      </c>
      <c r="B15">
        <f>(SUM(HS!B16:B24)+Rules!$B$5*HS!B25)/(9+Rules!$B$5)</f>
        <v>-0.572177952827156</v>
      </c>
      <c r="C15">
        <f>(SUM(HS!C16:C24)+Rules!$B$5*HS!C25)/(9+Rules!$B$5)</f>
        <v>-0.41839509347577497</v>
      </c>
      <c r="D15">
        <f>(SUM(HS!D16:D24)+Rules!$B$5*HS!D25)/(9+Rules!$B$5)</f>
        <v>-0.40786945935817209</v>
      </c>
      <c r="E15">
        <f>(SUM(HS!E16:E24)+Rules!$B$5*HS!E25)/(9+Rules!$B$5)</f>
        <v>-0.39710405284980715</v>
      </c>
      <c r="F15">
        <f>(SUM(HS!F16:F24)+Rules!$B$5*HS!F25)/(9+Rules!$B$5)</f>
        <v>-0.38618217556966677</v>
      </c>
      <c r="G15">
        <f>(SUM(HS!G16:G24)+Rules!$B$5*HS!G25)/(9+Rules!$B$5)</f>
        <v>-0.37524748939414165</v>
      </c>
      <c r="H15">
        <f>(SUM(HS!H16:H24)+Rules!$B$5*HS!H25)/(9+Rules!$B$5)</f>
        <v>-0.36976181807381175</v>
      </c>
      <c r="I15">
        <f>(SUM(HS!I16:I24)+Rules!$B$5*HS!I25)/(9+Rules!$B$5)</f>
        <v>-0.41678201408103371</v>
      </c>
      <c r="J15">
        <f>(SUM(HS!J16:J24)+Rules!$B$5*HS!J25)/(9+Rules!$B$5)</f>
        <v>-0.47157768859250415</v>
      </c>
      <c r="K15">
        <f>(SUM(HS!K16:K24)+Rules!$B$5*HS!K25)/(9+Rules!$B$5)</f>
        <v>-0.53617694141005634</v>
      </c>
    </row>
    <row r="16" spans="1:11">
      <c r="A16">
        <v>16</v>
      </c>
      <c r="B16">
        <f>(SUM(HS!B17:B25)+Rules!$B$5*HS!B26)/(9+Rules!$B$5)</f>
        <v>-0.60481011846064825</v>
      </c>
      <c r="C16">
        <f>(SUM(HS!C17:C25)+Rules!$B$5*HS!C26)/(9+Rules!$B$5)</f>
        <v>-0.4732763011034446</v>
      </c>
      <c r="D16">
        <f>(SUM(HS!D17:D25)+Rules!$B$5*HS!D26)/(9+Rules!$B$5)</f>
        <v>-0.46582055368185127</v>
      </c>
      <c r="E16">
        <f>(SUM(HS!E17:E25)+Rules!$B$5*HS!E26)/(9+Rules!$B$5)</f>
        <v>-0.458192538535726</v>
      </c>
      <c r="F16">
        <f>(SUM(HS!F17:F25)+Rules!$B$5*HS!F26)/(9+Rules!$B$5)</f>
        <v>-0.45043736831979875</v>
      </c>
      <c r="G16">
        <f>(SUM(HS!G17:G25)+Rules!$B$5*HS!G26)/(9+Rules!$B$5)</f>
        <v>-0.44285773168671771</v>
      </c>
      <c r="H16">
        <f>(SUM(HS!H17:H25)+Rules!$B$5*HS!H26)/(9+Rules!$B$5)</f>
        <v>-0.41477883106853947</v>
      </c>
      <c r="I16">
        <f>(SUM(HS!I17:I25)+Rules!$B$5*HS!I26)/(9+Rules!$B$5)</f>
        <v>-0.45844044164667419</v>
      </c>
      <c r="J16">
        <f>(SUM(HS!J17:J25)+Rules!$B$5*HS!J26)/(9+Rules!$B$5)</f>
        <v>-0.50932213940732529</v>
      </c>
      <c r="K16">
        <f>(SUM(HS!K17:K25)+Rules!$B$5*HS!K26)/(9+Rules!$B$5)</f>
        <v>-0.56930715988076652</v>
      </c>
    </row>
    <row r="17" spans="1:11">
      <c r="A17">
        <v>17</v>
      </c>
      <c r="B17">
        <f>(SUM(HS!B18:B26)+Rules!$B$5*HS!B27)/(9+Rules!$B$5)</f>
        <v>-0.6460133870574184</v>
      </c>
      <c r="C17">
        <f>(SUM(HS!C18:C26)+Rules!$B$5*HS!C27)/(9+Rules!$B$5)</f>
        <v>-0.53816782277597786</v>
      </c>
      <c r="D17">
        <f>(SUM(HS!D18:D26)+Rules!$B$5*HS!D27)/(9+Rules!$B$5)</f>
        <v>-0.53348918885619612</v>
      </c>
      <c r="E17">
        <f>(SUM(HS!E18:E26)+Rules!$B$5*HS!E27)/(9+Rules!$B$5)</f>
        <v>-0.52869684215632673</v>
      </c>
      <c r="F17">
        <f>(SUM(HS!F18:F26)+Rules!$B$5*HS!F27)/(9+Rules!$B$5)</f>
        <v>-0.52379709487967818</v>
      </c>
      <c r="G17">
        <f>(SUM(HS!G18:G26)+Rules!$B$5*HS!G27)/(9+Rules!$B$5)</f>
        <v>-0.51930164181263894</v>
      </c>
      <c r="H17">
        <f>(SUM(HS!H18:H26)+Rules!$B$5*HS!H27)/(9+Rules!$B$5)</f>
        <v>-0.48348583187756294</v>
      </c>
      <c r="I17">
        <f>(SUM(HS!I18:I26)+Rules!$B$5*HS!I27)/(9+Rules!$B$5)</f>
        <v>-0.50598267464294744</v>
      </c>
      <c r="J17">
        <f>(SUM(HS!J18:J26)+Rules!$B$5*HS!J27)/(9+Rules!$B$5)</f>
        <v>-0.55369489020384699</v>
      </c>
      <c r="K17">
        <f>(SUM(HS!K18:K26)+Rules!$B$5*HS!K27)/(9+Rules!$B$5)</f>
        <v>-0.61051042847753678</v>
      </c>
    </row>
    <row r="18" spans="1:11">
      <c r="A18">
        <v>18</v>
      </c>
      <c r="B18">
        <f>(SUM(HS!B19:B27)+Rules!$B$5*HS!B28)/(9+Rules!$B$5)</f>
        <v>-0.70435886158074468</v>
      </c>
      <c r="C18">
        <f>(SUM(HS!C19:C27)+Rules!$B$5*HS!C28)/(9+Rules!$B$5)</f>
        <v>-0.62357321128681309</v>
      </c>
      <c r="D18">
        <f>(SUM(HS!D19:D27)+Rules!$B$5*HS!D28)/(9+Rules!$B$5)</f>
        <v>-0.62102590401293178</v>
      </c>
      <c r="E18">
        <f>(SUM(HS!E19:E27)+Rules!$B$5*HS!E28)/(9+Rules!$B$5)</f>
        <v>-0.61840984235037111</v>
      </c>
      <c r="F18">
        <f>(SUM(HS!F19:F27)+Rules!$B$5*HS!F28)/(9+Rules!$B$5)</f>
        <v>-0.6157160168556981</v>
      </c>
      <c r="G18">
        <f>(SUM(HS!G19:G27)+Rules!$B$5*HS!G28)/(9+Rules!$B$5)</f>
        <v>-0.6134128876052507</v>
      </c>
      <c r="H18">
        <f>(SUM(HS!H19:H27)+Rules!$B$5*HS!H28)/(9+Rules!$B$5)</f>
        <v>-0.59114384474960535</v>
      </c>
      <c r="I18">
        <f>(SUM(HS!I19:I27)+Rules!$B$5*HS!I28)/(9+Rules!$B$5)</f>
        <v>-0.59105585530595706</v>
      </c>
      <c r="J18">
        <f>(SUM(HS!J19:J27)+Rules!$B$5*HS!J28)/(9+Rules!$B$5)</f>
        <v>-0.61652847815204459</v>
      </c>
      <c r="K18">
        <f>(SUM(HS!K19:K27)+Rules!$B$5*HS!K28)/(9+Rules!$B$5)</f>
        <v>-0.66885590300086295</v>
      </c>
    </row>
    <row r="19" spans="1:11">
      <c r="A19">
        <v>19</v>
      </c>
      <c r="B19">
        <f>(SUM(HS!B20:B28)+Rules!$B$5*HS!B29)/(9+Rules!$B$5)</f>
        <v>-0.77984654203062687</v>
      </c>
      <c r="C19">
        <f>(SUM(HS!C20:C28)+Rules!$B$5*HS!C29)/(9+Rules!$B$5)</f>
        <v>-0.72958171177301057</v>
      </c>
      <c r="D19">
        <f>(SUM(HS!D20:D28)+Rules!$B$5*HS!D29)/(9+Rules!$B$5)</f>
        <v>-0.72848663672903713</v>
      </c>
      <c r="E19">
        <f>(SUM(HS!E20:E28)+Rules!$B$5*HS!E29)/(9+Rules!$B$5)</f>
        <v>-0.72735847202529336</v>
      </c>
      <c r="F19">
        <f>(SUM(HS!F20:F28)+Rules!$B$5*HS!F29)/(9+Rules!$B$5)</f>
        <v>-0.72619413424785839</v>
      </c>
      <c r="G19">
        <f>(SUM(HS!G20:G28)+Rules!$B$5*HS!G29)/(9+Rules!$B$5)</f>
        <v>-0.7251914690645529</v>
      </c>
      <c r="H19">
        <f>(SUM(HS!H20:H28)+Rules!$B$5*HS!H29)/(9+Rules!$B$5)</f>
        <v>-0.71544972903833093</v>
      </c>
      <c r="I19">
        <f>(SUM(HS!I20:I28)+Rules!$B$5*HS!I29)/(9+Rules!$B$5)</f>
        <v>-0.71365998363570271</v>
      </c>
      <c r="J19">
        <f>(SUM(HS!J20:J28)+Rules!$B$5*HS!J29)/(9+Rules!$B$5)</f>
        <v>-0.71557438254185846</v>
      </c>
      <c r="K19">
        <f>(SUM(HS!K20:K28)+Rules!$B$5*HS!K29)/(9+Rules!$B$5)</f>
        <v>-0.74434358345074514</v>
      </c>
    </row>
    <row r="20" spans="1:11">
      <c r="A20">
        <v>20</v>
      </c>
      <c r="B20">
        <f>(SUM(HS!B21:B29)+Rules!$B$5*HS!B30)/(9+Rules!$B$5)</f>
        <v>-0.87247642840706496</v>
      </c>
      <c r="C20">
        <f>(SUM(HS!C21:C29)+Rules!$B$5*HS!C30)/(9+Rules!$B$5)</f>
        <v>-0.85535633234199726</v>
      </c>
      <c r="D20">
        <f>(SUM(HS!D21:D29)+Rules!$B$5*HS!D30)/(9+Rules!$B$5)</f>
        <v>-0.85509033268891754</v>
      </c>
      <c r="E20">
        <f>(SUM(HS!E21:E29)+Rules!$B$5*HS!E30)/(9+Rules!$B$5)</f>
        <v>-0.85481554268036786</v>
      </c>
      <c r="F20">
        <f>(SUM(HS!F21:F29)+Rules!$B$5*HS!F30)/(9+Rules!$B$5)</f>
        <v>-0.85453119146286771</v>
      </c>
      <c r="G20">
        <f>(SUM(HS!G21:G29)+Rules!$B$5*HS!G30)/(9+Rules!$B$5)</f>
        <v>-0.85428725839389985</v>
      </c>
      <c r="H20">
        <f>(SUM(HS!H21:H29)+Rules!$B$5*HS!H30)/(9+Rules!$B$5)</f>
        <v>-0.85185182338734444</v>
      </c>
      <c r="I20">
        <f>(SUM(HS!I21:I29)+Rules!$B$5*HS!I30)/(9+Rules!$B$5)</f>
        <v>-0.85149191898584875</v>
      </c>
      <c r="J20">
        <f>(SUM(HS!J21:J29)+Rules!$B$5*HS!J30)/(9+Rules!$B$5)</f>
        <v>-0.85083260337328892</v>
      </c>
      <c r="K20">
        <f>(SUM(HS!K21:K29)+Rules!$B$5*HS!K30)/(9+Rules!$B$5)</f>
        <v>-0.85472494911712416</v>
      </c>
    </row>
    <row r="21" spans="1:11">
      <c r="A21">
        <v>21</v>
      </c>
      <c r="B21">
        <f>(SUM(HS!B22:B30)+Rules!$B$5*HS!B31)/(9+Rules!$B$5)</f>
        <v>-1</v>
      </c>
      <c r="C21">
        <f>(SUM(HS!C22:C30)+Rules!$B$5*HS!C31)/(9+Rules!$B$5)</f>
        <v>-1</v>
      </c>
      <c r="D21">
        <f>(SUM(HS!D22:D30)+Rules!$B$5*HS!D31)/(9+Rules!$B$5)</f>
        <v>-1</v>
      </c>
      <c r="E21">
        <f>(SUM(HS!E22:E30)+Rules!$B$5*HS!E31)/(9+Rules!$B$5)</f>
        <v>-1</v>
      </c>
      <c r="F21">
        <f>(SUM(HS!F22:F30)+Rules!$B$5*HS!F31)/(9+Rules!$B$5)</f>
        <v>-1</v>
      </c>
      <c r="G21">
        <f>(SUM(HS!G22:G30)+Rules!$B$5*HS!G31)/(9+Rules!$B$5)</f>
        <v>-1</v>
      </c>
      <c r="H21">
        <f>(SUM(HS!H22:H30)+Rules!$B$5*HS!H31)/(9+Rules!$B$5)</f>
        <v>-1</v>
      </c>
      <c r="I21">
        <f>(SUM(HS!I22:I30)+Rules!$B$5*HS!I31)/(9+Rules!$B$5)</f>
        <v>-1</v>
      </c>
      <c r="J21">
        <f>(SUM(HS!J22:J30)+Rules!$B$5*HS!J31)/(9+Rules!$B$5)</f>
        <v>-1</v>
      </c>
      <c r="K21">
        <f>(SUM(HS!K22:K30)+Rules!$B$5*HS!K31)/(9+Rules!$B$5)</f>
        <v>-1</v>
      </c>
    </row>
    <row r="22" spans="1:11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>
      <c r="A34">
        <v>11</v>
      </c>
      <c r="B34">
        <f>(SUM(HS!B35:B43)+Rules!$B$5*HS!B44)/(9+Rules!$B$5)</f>
        <v>7.4082476325384949E-2</v>
      </c>
      <c r="C34">
        <f>(SUM(HS!C35:C43)+Rules!$B$5*HS!C44)/(9+Rules!$B$5)</f>
        <v>0.36718433729443645</v>
      </c>
      <c r="D34">
        <f>(SUM(HS!D35:D43)+Rules!$B$5*HS!D44)/(9+Rules!$B$5)</f>
        <v>0.38546672777840169</v>
      </c>
      <c r="E34">
        <f>(SUM(HS!E35:E43)+Rules!$B$5*HS!E44)/(9+Rules!$B$5)</f>
        <v>0.40466216034858221</v>
      </c>
      <c r="F34">
        <f>(SUM(HS!F35:F43)+Rules!$B$5*HS!F44)/(9+Rules!$B$5)</f>
        <v>0.42492736008576909</v>
      </c>
      <c r="G34">
        <f>(SUM(HS!G35:G43)+Rules!$B$5*HS!G44)/(9+Rules!$B$5)</f>
        <v>0.44516685699434155</v>
      </c>
      <c r="H34">
        <f>(SUM(HS!H35:H43)+Rules!$B$5*HS!H44)/(9+Rules!$B$5)</f>
        <v>0.45736852128859351</v>
      </c>
      <c r="I34">
        <f>(SUM(HS!I35:I43)+Rules!$B$5*HS!I44)/(9+Rules!$B$5)</f>
        <v>0.40074805174057659</v>
      </c>
      <c r="J34">
        <f>(SUM(HS!J35:J43)+Rules!$B$5*HS!J44)/(9+Rules!$B$5)</f>
        <v>0.32142328174266549</v>
      </c>
      <c r="K34">
        <f>(SUM(HS!K35:K43)+Rules!$B$5*HS!K44)/(9+Rules!$B$5)</f>
        <v>0.19656557835630536</v>
      </c>
    </row>
    <row r="35" spans="1:11">
      <c r="A35">
        <v>12</v>
      </c>
      <c r="B35">
        <f>(SUM(HS!B36:B44)+Rules!$B$5*HS!B45)/(9+Rules!$B$5)</f>
        <v>-0.20521353107155851</v>
      </c>
      <c r="C35">
        <f>(SUM(HS!C36:C44)+Rules!$B$5*HS!C45)/(9+Rules!$B$5)</f>
        <v>7.9806247413893E-2</v>
      </c>
      <c r="D35">
        <f>(SUM(HS!D36:D44)+Rules!$B$5*HS!D45)/(9+Rules!$B$5)</f>
        <v>0.10168040931703339</v>
      </c>
      <c r="E35">
        <f>(SUM(HS!E36:E44)+Rules!$B$5*HS!E45)/(9+Rules!$B$5)</f>
        <v>0.12678682176669251</v>
      </c>
      <c r="F35">
        <f>(SUM(HS!F36:F44)+Rules!$B$5*HS!F45)/(9+Rules!$B$5)</f>
        <v>0.15657444079812161</v>
      </c>
      <c r="G35">
        <f>(SUM(HS!G36:G44)+Rules!$B$5*HS!G45)/(9+Rules!$B$5)</f>
        <v>0.18715034410732034</v>
      </c>
      <c r="H35">
        <f>(SUM(HS!H36:H44)+Rules!$B$5*HS!H45)/(9+Rules!$B$5)</f>
        <v>0.16547293077063496</v>
      </c>
      <c r="I35">
        <f>(SUM(HS!I36:I44)+Rules!$B$5*HS!I45)/(9+Rules!$B$5)</f>
        <v>9.5115020927032307E-2</v>
      </c>
      <c r="J35">
        <f>(SUM(HS!J36:J44)+Rules!$B$5*HS!J45)/(9+Rules!$B$5)</f>
        <v>6.5790841226897296E-5</v>
      </c>
      <c r="K35">
        <f>(SUM(HS!K36:K44)+Rules!$B$5*HS!K45)/(9+Rules!$B$5)</f>
        <v>-0.12808280155666141</v>
      </c>
    </row>
    <row r="36" spans="1:11">
      <c r="A36">
        <v>13</v>
      </c>
      <c r="B36">
        <f>(SUM(HS!B37:B45)+Rules!$B$5*HS!B46)/(9+Rules!$B$5)</f>
        <v>-0.23472177802444921</v>
      </c>
      <c r="C36">
        <f>(SUM(HS!C37:C45)+Rules!$B$5*HS!C46)/(9+Rules!$B$5)</f>
        <v>4.6611316056980476E-2</v>
      </c>
      <c r="D36">
        <f>(SUM(HS!D37:D45)+Rules!$B$5*HS!D46)/(9+Rules!$B$5)</f>
        <v>7.4096482508153511E-2</v>
      </c>
      <c r="E36">
        <f>(SUM(HS!E37:E45)+Rules!$B$5*HS!E46)/(9+Rules!$B$5)</f>
        <v>0.10302707120599627</v>
      </c>
      <c r="F36">
        <f>(SUM(HS!F37:F45)+Rules!$B$5*HS!F46)/(9+Rules!$B$5)</f>
        <v>0.13362751686623553</v>
      </c>
      <c r="G36">
        <f>(SUM(HS!G37:G45)+Rules!$B$5*HS!G46)/(9+Rules!$B$5)</f>
        <v>0.16513483022847522</v>
      </c>
      <c r="H36">
        <f>(SUM(HS!H37:H45)+Rules!$B$5*HS!H46)/(9+Rules!$B$5)</f>
        <v>0.12238569517899196</v>
      </c>
      <c r="I36">
        <f>(SUM(HS!I37:I45)+Rules!$B$5*HS!I46)/(9+Rules!$B$5)</f>
        <v>5.4057070196311334E-2</v>
      </c>
      <c r="J36">
        <f>(SUM(HS!J37:J45)+Rules!$B$5*HS!J46)/(9+Rules!$B$5)</f>
        <v>-3.7694688127479885E-2</v>
      </c>
      <c r="K36">
        <f>(SUM(HS!K37:K45)+Rules!$B$5*HS!K46)/(9+Rules!$B$5)</f>
        <v>-0.16080628455762785</v>
      </c>
    </row>
    <row r="37" spans="1:11">
      <c r="A37">
        <v>14</v>
      </c>
      <c r="B37">
        <f>(SUM(HS!B38:B46)+Rules!$B$5*HS!B47)/(9+Rules!$B$5)</f>
        <v>-0.26406959413166387</v>
      </c>
      <c r="C37">
        <f>(SUM(HS!C38:C46)+Rules!$B$5*HS!C47)/(9+Rules!$B$5)</f>
        <v>2.2814486278603666E-2</v>
      </c>
      <c r="D37">
        <f>(SUM(HS!D38:D46)+Rules!$B$5*HS!D47)/(9+Rules!$B$5)</f>
        <v>5.1187035629558814E-2</v>
      </c>
      <c r="E37">
        <f>(SUM(HS!E38:E46)+Rules!$B$5*HS!E47)/(9+Rules!$B$5)</f>
        <v>8.0964445685349773E-2</v>
      </c>
      <c r="F37">
        <f>(SUM(HS!F38:F46)+Rules!$B$5*HS!F47)/(9+Rules!$B$5)</f>
        <v>0.11231965892948416</v>
      </c>
      <c r="G37">
        <f>(SUM(HS!G38:G46)+Rules!$B$5*HS!G47)/(9+Rules!$B$5)</f>
        <v>0.1446918530552618</v>
      </c>
      <c r="H37">
        <f>(SUM(HS!H38:H46)+Rules!$B$5*HS!H47)/(9+Rules!$B$5)</f>
        <v>7.9507488494468148E-2</v>
      </c>
      <c r="I37">
        <f>(SUM(HS!I38:I46)+Rules!$B$5*HS!I47)/(9+Rules!$B$5)</f>
        <v>1.3277219463208478E-2</v>
      </c>
      <c r="J37">
        <f>(SUM(HS!J38:J46)+Rules!$B$5*HS!J47)/(9+Rules!$B$5)</f>
        <v>-7.516318944168382E-2</v>
      </c>
      <c r="K37">
        <f>(SUM(HS!K38:K46)+Rules!$B$5*HS!K47)/(9+Rules!$B$5)</f>
        <v>-0.1933035414076569</v>
      </c>
    </row>
    <row r="38" spans="1:11">
      <c r="A38">
        <v>15</v>
      </c>
      <c r="B38">
        <f>(SUM(HS!B39:B47)+Rules!$B$5*HS!B48)/(9+Rules!$B$5)</f>
        <v>-0.29312934580507005</v>
      </c>
      <c r="C38">
        <f>(SUM(HS!C39:C47)+Rules!$B$5*HS!C48)/(9+Rules!$B$5)</f>
        <v>7.1743005582518391E-4</v>
      </c>
      <c r="D38">
        <f>(SUM(HS!D39:D47)+Rules!$B$5*HS!D48)/(9+Rules!$B$5)</f>
        <v>2.9913977813720842E-2</v>
      </c>
      <c r="E38">
        <f>(SUM(HS!E39:E47)+Rules!$B$5*HS!E48)/(9+Rules!$B$5)</f>
        <v>6.047772198760662E-2</v>
      </c>
      <c r="F38">
        <f>(SUM(HS!F39:F47)+Rules!$B$5*HS!F48)/(9+Rules!$B$5)</f>
        <v>9.2533790845357913E-2</v>
      </c>
      <c r="G38">
        <f>(SUM(HS!G39:G47)+Rules!$B$5*HS!G48)/(9+Rules!$B$5)</f>
        <v>0.12570908853727794</v>
      </c>
      <c r="H38">
        <f>(SUM(HS!H39:H47)+Rules!$B$5*HS!H48)/(9+Rules!$B$5)</f>
        <v>3.7028282279269235E-2</v>
      </c>
      <c r="I38">
        <f>(SUM(HS!I39:I47)+Rules!$B$5*HS!I48)/(9+Rules!$B$5)</f>
        <v>-2.7054780502901672E-2</v>
      </c>
      <c r="J38">
        <f>(SUM(HS!J39:J47)+Rules!$B$5*HS!J48)/(9+Rules!$B$5)</f>
        <v>-0.11218876868994289</v>
      </c>
      <c r="K38">
        <f>(SUM(HS!K39:K47)+Rules!$B$5*HS!K48)/(9+Rules!$B$5)</f>
        <v>-0.22543993358238781</v>
      </c>
    </row>
    <row r="39" spans="1:11">
      <c r="A39">
        <v>16</v>
      </c>
      <c r="B39">
        <f>(SUM(HS!B40:B48)+Rules!$B$5*HS!B49)/(9+Rules!$B$5)</f>
        <v>-0.31409107314591783</v>
      </c>
      <c r="C39">
        <f>(SUM(HS!C40:C48)+Rules!$B$5*HS!C49)/(9+Rules!$B$5)</f>
        <v>-1.9801265008183407E-2</v>
      </c>
      <c r="D39">
        <f>(SUM(HS!D40:D48)+Rules!$B$5*HS!D49)/(9+Rules!$B$5)</f>
        <v>1.0160424127585613E-2</v>
      </c>
      <c r="E39">
        <f>(SUM(HS!E40:E48)+Rules!$B$5*HS!E49)/(9+Rules!$B$5)</f>
        <v>4.1454335696845056E-2</v>
      </c>
      <c r="F39">
        <f>(SUM(HS!F40:F48)+Rules!$B$5*HS!F49)/(9+Rules!$B$5)</f>
        <v>7.4161199052954929E-2</v>
      </c>
      <c r="G39">
        <f>(SUM(HS!G40:G48)+Rules!$B$5*HS!G49)/(9+Rules!$B$5)</f>
        <v>0.10808223577057864</v>
      </c>
      <c r="H39">
        <f>(SUM(HS!H40:H48)+Rules!$B$5*HS!H49)/(9+Rules!$B$5)</f>
        <v>-4.8901571730158942E-3</v>
      </c>
      <c r="I39">
        <f>(SUM(HS!I40:I48)+Rules!$B$5*HS!I49)/(9+Rules!$B$5)</f>
        <v>-6.6794847920094103E-2</v>
      </c>
      <c r="J39">
        <f>(SUM(HS!J40:J48)+Rules!$B$5*HS!J49)/(9+Rules!$B$5)</f>
        <v>-0.14864353463007471</v>
      </c>
      <c r="K39">
        <f>(SUM(HS!K40:K48)+Rules!$B$5*HS!K49)/(9+Rules!$B$5)</f>
        <v>-0.25710121084742421</v>
      </c>
    </row>
    <row r="40" spans="1:11">
      <c r="A40">
        <v>17</v>
      </c>
      <c r="B40">
        <f>(SUM(HS!B41:B49)+Rules!$B$5*HS!B50)/(9+Rules!$B$5)</f>
        <v>-0.30094774596936263</v>
      </c>
      <c r="C40">
        <f>(SUM(HS!C41:C49)+Rules!$B$5*HS!C50)/(9+Rules!$B$5)</f>
        <v>-1.673172543840738E-3</v>
      </c>
      <c r="D40">
        <f>(SUM(HS!D41:D49)+Rules!$B$5*HS!D50)/(9+Rules!$B$5)</f>
        <v>2.7911561721504739E-2</v>
      </c>
      <c r="E40">
        <f>(SUM(HS!E41:E49)+Rules!$B$5*HS!E50)/(9+Rules!$B$5)</f>
        <v>5.876280075567035E-2</v>
      </c>
      <c r="F40">
        <f>(SUM(HS!F41:F49)+Rules!$B$5*HS!F50)/(9+Rules!$B$5)</f>
        <v>9.0917775110499491E-2</v>
      </c>
      <c r="G40">
        <f>(SUM(HS!G41:G49)+Rules!$B$5*HS!G50)/(9+Rules!$B$5)</f>
        <v>0.12452521015392595</v>
      </c>
      <c r="H40">
        <f>(SUM(HS!H41:H49)+Rules!$B$5*HS!H50)/(9+Rules!$B$5)</f>
        <v>5.3823463716116654E-2</v>
      </c>
      <c r="I40">
        <f>(SUM(HS!I41:I49)+Rules!$B$5*HS!I50)/(9+Rules!$B$5)</f>
        <v>-7.2915398729642075E-2</v>
      </c>
      <c r="J40">
        <f>(SUM(HS!J41:J49)+Rules!$B$5*HS!J50)/(9+Rules!$B$5)</f>
        <v>-0.14978689218213323</v>
      </c>
      <c r="K40">
        <f>(SUM(HS!K41:K49)+Rules!$B$5*HS!K50)/(9+Rules!$B$5)</f>
        <v>-0.24941602102444038</v>
      </c>
    </row>
    <row r="41" spans="1:11">
      <c r="A41">
        <v>18</v>
      </c>
      <c r="B41">
        <f>(SUM(HS!B42:B50)+Rules!$B$5*HS!B51)/(9+Rules!$B$5)</f>
        <v>-0.24952112818969466</v>
      </c>
      <c r="C41">
        <f>(SUM(HS!C42:C50)+Rules!$B$5*HS!C51)/(9+Rules!$B$5)</f>
        <v>5.9868427971065216E-2</v>
      </c>
      <c r="D41">
        <f>(SUM(HS!D42:D50)+Rules!$B$5*HS!D51)/(9+Rules!$B$5)</f>
        <v>8.7515801668676951E-2</v>
      </c>
      <c r="E41">
        <f>(SUM(HS!E42:E50)+Rules!$B$5*HS!E51)/(9+Rules!$B$5)</f>
        <v>0.11638889047600146</v>
      </c>
      <c r="F41">
        <f>(SUM(HS!F42:F50)+Rules!$B$5*HS!F51)/(9+Rules!$B$5)</f>
        <v>0.14659536135892093</v>
      </c>
      <c r="G41">
        <f>(SUM(HS!G42:G50)+Rules!$B$5*HS!G51)/(9+Rules!$B$5)</f>
        <v>0.17752721715399744</v>
      </c>
      <c r="H41">
        <f>(SUM(HS!H42:H50)+Rules!$B$5*HS!H51)/(9+Rules!$B$5)</f>
        <v>0.17067649990517353</v>
      </c>
      <c r="I41">
        <f>(SUM(HS!I42:I50)+Rules!$B$5*HS!I51)/(9+Rules!$B$5)</f>
        <v>3.9677444270566554E-2</v>
      </c>
      <c r="J41">
        <f>(SUM(HS!J42:J50)+Rules!$B$5*HS!J51)/(9+Rules!$B$5)</f>
        <v>-0.10074430758041522</v>
      </c>
      <c r="K41">
        <f>(SUM(HS!K42:K50)+Rules!$B$5*HS!K51)/(9+Rules!$B$5)</f>
        <v>-0.20109793381277147</v>
      </c>
    </row>
    <row r="42" spans="1:11">
      <c r="A42">
        <v>19</v>
      </c>
      <c r="B42">
        <f>(SUM(HS!B43:B51)+Rules!$B$5*HS!B52)/(9+Rules!$B$5)</f>
        <v>-0.19809451041002663</v>
      </c>
      <c r="C42">
        <f>(SUM(HS!C43:C51)+Rules!$B$5*HS!C52)/(9+Rules!$B$5)</f>
        <v>0.12167776389715229</v>
      </c>
      <c r="D42">
        <f>(SUM(HS!D43:D51)+Rules!$B$5*HS!D52)/(9+Rules!$B$5)</f>
        <v>0.14728785434678587</v>
      </c>
      <c r="E42">
        <f>(SUM(HS!E43:E51)+Rules!$B$5*HS!E52)/(9+Rules!$B$5)</f>
        <v>0.17409577891863537</v>
      </c>
      <c r="F42">
        <f>(SUM(HS!F43:F51)+Rules!$B$5*HS!F52)/(9+Rules!$B$5)</f>
        <v>0.20227294760734235</v>
      </c>
      <c r="G42">
        <f>(SUM(HS!G43:G51)+Rules!$B$5*HS!G52)/(9+Rules!$B$5)</f>
        <v>0.23052922415406901</v>
      </c>
      <c r="H42">
        <f>(SUM(HS!H43:H51)+Rules!$B$5*HS!H52)/(9+Rules!$B$5)</f>
        <v>0.2206201141552227</v>
      </c>
      <c r="I42">
        <f>(SUM(HS!I43:I51)+Rules!$B$5*HS!I52)/(9+Rules!$B$5)</f>
        <v>0.15227028727077524</v>
      </c>
      <c r="J42">
        <f>(SUM(HS!J43:J51)+Rules!$B$5*HS!J52)/(9+Rules!$B$5)</f>
        <v>7.8926417444343377E-3</v>
      </c>
      <c r="K42">
        <f>(SUM(HS!K43:K51)+Rules!$B$5*HS!K52)/(9+Rules!$B$5)</f>
        <v>-0.14967131603310346</v>
      </c>
    </row>
    <row r="43" spans="1:11">
      <c r="A43">
        <v>20</v>
      </c>
      <c r="B43">
        <f>(SUM(HS!B44:B52)+Rules!$B$5*HS!B53)/(9+Rules!$B$5)</f>
        <v>-0.14666789263035859</v>
      </c>
      <c r="C43">
        <f>(SUM(HS!C44:C52)+Rules!$B$5*HS!C53)/(9+Rules!$B$5)</f>
        <v>0.18097612414551939</v>
      </c>
      <c r="D43">
        <f>(SUM(HS!D44:D52)+Rules!$B$5*HS!D53)/(9+Rules!$B$5)</f>
        <v>0.20471674407811152</v>
      </c>
      <c r="E43">
        <f>(SUM(HS!E44:E52)+Rules!$B$5*HS!E53)/(9+Rules!$B$5)</f>
        <v>0.22962110185909174</v>
      </c>
      <c r="F43">
        <f>(SUM(HS!F44:F52)+Rules!$B$5*HS!F53)/(9+Rules!$B$5)</f>
        <v>0.25584976707588913</v>
      </c>
      <c r="G43">
        <f>(SUM(HS!G44:G52)+Rules!$B$5*HS!G53)/(9+Rules!$B$5)</f>
        <v>0.28248084776420318</v>
      </c>
      <c r="H43">
        <f>(SUM(HS!H44:H52)+Rules!$B$5*HS!H53)/(9+Rules!$B$5)</f>
        <v>0.25690874433608657</v>
      </c>
      <c r="I43">
        <f>(SUM(HS!I44:I52)+Rules!$B$5*HS!I53)/(9+Rules!$B$5)</f>
        <v>0.19795370833197612</v>
      </c>
      <c r="J43">
        <f>(SUM(HS!J44:J52)+Rules!$B$5*HS!J53)/(9+Rules!$B$5)</f>
        <v>0.11652959106928391</v>
      </c>
      <c r="K43">
        <f>(SUM(HS!K44:K52)+Rules!$B$5*HS!K53)/(9+Rules!$B$5)</f>
        <v>-4.4990260383612993E-2</v>
      </c>
    </row>
    <row r="44" spans="1:11">
      <c r="A44">
        <v>21</v>
      </c>
      <c r="B44">
        <f>(SUM(HS!B45:B53)+Rules!$B$5*HS!B54)/(9+Rules!$B$5)</f>
        <v>-4.1986836980868178E-2</v>
      </c>
      <c r="C44">
        <f>(SUM(HS!C45:C53)+Rules!$B$5*HS!C54)/(9+Rules!$B$5)</f>
        <v>0.23758326541256777</v>
      </c>
      <c r="D44">
        <f>(SUM(HS!D45:D53)+Rules!$B$5*HS!D54)/(9+Rules!$B$5)</f>
        <v>0.25963465813171721</v>
      </c>
      <c r="E44">
        <f>(SUM(HS!E45:E53)+Rules!$B$5*HS!E54)/(9+Rules!$B$5)</f>
        <v>0.28280326185276489</v>
      </c>
      <c r="F44">
        <f>(SUM(HS!F45:F53)+Rules!$B$5*HS!F54)/(9+Rules!$B$5)</f>
        <v>0.30724502104225837</v>
      </c>
      <c r="G44">
        <f>(SUM(HS!G45:G53)+Rules!$B$5*HS!G54)/(9+Rules!$B$5)</f>
        <v>0.33233170459446271</v>
      </c>
      <c r="H44">
        <f>(SUM(HS!H45:H53)+Rules!$B$5*HS!H54)/(9+Rules!$B$5)</f>
        <v>0.29214699112701309</v>
      </c>
      <c r="I44">
        <f>(SUM(HS!I45:I53)+Rules!$B$5*HS!I54)/(9+Rules!$B$5)</f>
        <v>0.22998214532399175</v>
      </c>
      <c r="J44">
        <f>(SUM(HS!J45:J53)+Rules!$B$5*HS!J54)/(9+Rules!$B$5)</f>
        <v>0.15825711845512572</v>
      </c>
      <c r="K44">
        <f>(SUM(HS!K45:K53)+Rules!$B$5*HS!K54)/(9+Rules!$B$5)</f>
        <v>5.9690795265877464E-2</v>
      </c>
    </row>
    <row r="45" spans="1:11">
      <c r="A45">
        <v>22</v>
      </c>
      <c r="B45">
        <f>B12</f>
        <v>-0.46566058377683939</v>
      </c>
      <c r="C45">
        <f t="shared" ref="C45:K45" si="0">C12</f>
        <v>-0.25375147059276615</v>
      </c>
      <c r="D45">
        <f t="shared" si="0"/>
        <v>-0.23401617638713501</v>
      </c>
      <c r="E45">
        <f t="shared" si="0"/>
        <v>-0.21383859579205047</v>
      </c>
      <c r="F45">
        <f t="shared" si="0"/>
        <v>-0.19341659731927066</v>
      </c>
      <c r="G45">
        <f t="shared" si="0"/>
        <v>-0.17241676251641375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-0.42069618899826788</v>
      </c>
    </row>
    <row r="46" spans="1:11">
      <c r="A46">
        <v>23</v>
      </c>
      <c r="B46">
        <f t="shared" ref="B46:K46" si="1">B13</f>
        <v>-0.50382768493563657</v>
      </c>
      <c r="C46">
        <f t="shared" si="1"/>
        <v>-0.30863267822043572</v>
      </c>
      <c r="D46">
        <f t="shared" si="1"/>
        <v>-0.29196727071081402</v>
      </c>
      <c r="E46">
        <f t="shared" si="1"/>
        <v>-0.27492708147796935</v>
      </c>
      <c r="F46">
        <f t="shared" si="1"/>
        <v>-0.25767179006940272</v>
      </c>
      <c r="G46">
        <f t="shared" si="1"/>
        <v>-0.24002700480898975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-0.46207503264124877</v>
      </c>
    </row>
    <row r="47" spans="1:11">
      <c r="A47">
        <v>24</v>
      </c>
      <c r="B47">
        <f t="shared" ref="B47:K47" si="2">B14</f>
        <v>-0.53926856458309114</v>
      </c>
      <c r="C47">
        <f t="shared" si="2"/>
        <v>-0.36351388584810534</v>
      </c>
      <c r="D47">
        <f t="shared" si="2"/>
        <v>-0.34991836503449308</v>
      </c>
      <c r="E47">
        <f t="shared" si="2"/>
        <v>-0.33601556716388825</v>
      </c>
      <c r="F47">
        <f t="shared" si="2"/>
        <v>-0.3219269828195348</v>
      </c>
      <c r="G47">
        <f t="shared" si="2"/>
        <v>-0.3076372471015657</v>
      </c>
      <c r="H47">
        <f t="shared" si="2"/>
        <v>-0.3212819579256434</v>
      </c>
      <c r="I47">
        <f t="shared" si="2"/>
        <v>-0.37191909208726714</v>
      </c>
      <c r="J47">
        <f t="shared" si="2"/>
        <v>-0.43092981848423528</v>
      </c>
      <c r="K47">
        <f t="shared" si="2"/>
        <v>-0.50049824459544523</v>
      </c>
    </row>
    <row r="48" spans="1:11">
      <c r="A48">
        <v>25</v>
      </c>
      <c r="B48">
        <f t="shared" ref="B48:K48" si="3">B15</f>
        <v>-0.572177952827156</v>
      </c>
      <c r="C48">
        <f t="shared" si="3"/>
        <v>-0.41839509347577497</v>
      </c>
      <c r="D48">
        <f t="shared" si="3"/>
        <v>-0.40786945935817209</v>
      </c>
      <c r="E48">
        <f t="shared" si="3"/>
        <v>-0.39710405284980715</v>
      </c>
      <c r="F48">
        <f t="shared" si="3"/>
        <v>-0.38618217556966677</v>
      </c>
      <c r="G48">
        <f t="shared" si="3"/>
        <v>-0.37524748939414165</v>
      </c>
      <c r="H48">
        <f t="shared" si="3"/>
        <v>-0.36976181807381175</v>
      </c>
      <c r="I48">
        <f t="shared" si="3"/>
        <v>-0.41678201408103371</v>
      </c>
      <c r="J48">
        <f t="shared" si="3"/>
        <v>-0.47157768859250415</v>
      </c>
      <c r="K48">
        <f t="shared" si="3"/>
        <v>-0.53617694141005634</v>
      </c>
    </row>
    <row r="49" spans="1:11">
      <c r="A49">
        <v>26</v>
      </c>
      <c r="B49">
        <f t="shared" ref="B49:K49" si="4">B16</f>
        <v>-0.60481011846064825</v>
      </c>
      <c r="C49">
        <f t="shared" si="4"/>
        <v>-0.4732763011034446</v>
      </c>
      <c r="D49">
        <f t="shared" si="4"/>
        <v>-0.46582055368185127</v>
      </c>
      <c r="E49">
        <f t="shared" si="4"/>
        <v>-0.458192538535726</v>
      </c>
      <c r="F49">
        <f t="shared" si="4"/>
        <v>-0.45043736831979875</v>
      </c>
      <c r="G49">
        <f t="shared" si="4"/>
        <v>-0.44285773168671771</v>
      </c>
      <c r="H49">
        <f t="shared" si="4"/>
        <v>-0.41477883106853947</v>
      </c>
      <c r="I49">
        <f t="shared" si="4"/>
        <v>-0.45844044164667419</v>
      </c>
      <c r="J49">
        <f t="shared" si="4"/>
        <v>-0.50932213940732529</v>
      </c>
      <c r="K49">
        <f t="shared" si="4"/>
        <v>-0.56930715988076652</v>
      </c>
    </row>
    <row r="50" spans="1:11">
      <c r="A50">
        <v>27</v>
      </c>
      <c r="B50">
        <f t="shared" ref="B50:K50" si="5">B17</f>
        <v>-0.6460133870574184</v>
      </c>
      <c r="C50">
        <f t="shared" si="5"/>
        <v>-0.53816782277597786</v>
      </c>
      <c r="D50">
        <f t="shared" si="5"/>
        <v>-0.53348918885619612</v>
      </c>
      <c r="E50">
        <f t="shared" si="5"/>
        <v>-0.52869684215632673</v>
      </c>
      <c r="F50">
        <f t="shared" si="5"/>
        <v>-0.52379709487967818</v>
      </c>
      <c r="G50">
        <f t="shared" si="5"/>
        <v>-0.51930164181263894</v>
      </c>
      <c r="H50">
        <f t="shared" si="5"/>
        <v>-0.48348583187756294</v>
      </c>
      <c r="I50">
        <f t="shared" si="5"/>
        <v>-0.50598267464294744</v>
      </c>
      <c r="J50">
        <f t="shared" si="5"/>
        <v>-0.55369489020384699</v>
      </c>
      <c r="K50">
        <f t="shared" si="5"/>
        <v>-0.61051042847753678</v>
      </c>
    </row>
    <row r="51" spans="1:11">
      <c r="A51">
        <v>28</v>
      </c>
      <c r="B51">
        <f t="shared" ref="B51:K51" si="6">B18</f>
        <v>-0.70435886158074468</v>
      </c>
      <c r="C51">
        <f t="shared" si="6"/>
        <v>-0.62357321128681309</v>
      </c>
      <c r="D51">
        <f t="shared" si="6"/>
        <v>-0.62102590401293178</v>
      </c>
      <c r="E51">
        <f t="shared" si="6"/>
        <v>-0.61840984235037111</v>
      </c>
      <c r="F51">
        <f t="shared" si="6"/>
        <v>-0.6157160168556981</v>
      </c>
      <c r="G51">
        <f t="shared" si="6"/>
        <v>-0.6134128876052507</v>
      </c>
      <c r="H51">
        <f t="shared" si="6"/>
        <v>-0.59114384474960535</v>
      </c>
      <c r="I51">
        <f t="shared" si="6"/>
        <v>-0.59105585530595706</v>
      </c>
      <c r="J51">
        <f t="shared" si="6"/>
        <v>-0.61652847815204459</v>
      </c>
      <c r="K51">
        <f t="shared" si="6"/>
        <v>-0.66885590300086295</v>
      </c>
    </row>
    <row r="52" spans="1:11">
      <c r="A52">
        <v>29</v>
      </c>
      <c r="B52">
        <f t="shared" ref="B52:K52" si="7">B19</f>
        <v>-0.77984654203062687</v>
      </c>
      <c r="C52">
        <f t="shared" si="7"/>
        <v>-0.72958171177301057</v>
      </c>
      <c r="D52">
        <f t="shared" si="7"/>
        <v>-0.72848663672903713</v>
      </c>
      <c r="E52">
        <f t="shared" si="7"/>
        <v>-0.72735847202529336</v>
      </c>
      <c r="F52">
        <f t="shared" si="7"/>
        <v>-0.72619413424785839</v>
      </c>
      <c r="G52">
        <f t="shared" si="7"/>
        <v>-0.7251914690645529</v>
      </c>
      <c r="H52">
        <f t="shared" si="7"/>
        <v>-0.71544972903833093</v>
      </c>
      <c r="I52">
        <f t="shared" si="7"/>
        <v>-0.71365998363570271</v>
      </c>
      <c r="J52">
        <f t="shared" si="7"/>
        <v>-0.71557438254185846</v>
      </c>
      <c r="K52">
        <f t="shared" si="7"/>
        <v>-0.74434358345074514</v>
      </c>
    </row>
    <row r="53" spans="1:11">
      <c r="A53">
        <v>30</v>
      </c>
      <c r="B53">
        <f t="shared" ref="B53:K53" si="8">B20</f>
        <v>-0.87247642840706496</v>
      </c>
      <c r="C53">
        <f t="shared" si="8"/>
        <v>-0.85535633234199726</v>
      </c>
      <c r="D53">
        <f t="shared" si="8"/>
        <v>-0.85509033268891754</v>
      </c>
      <c r="E53">
        <f t="shared" si="8"/>
        <v>-0.85481554268036786</v>
      </c>
      <c r="F53">
        <f t="shared" si="8"/>
        <v>-0.85453119146286771</v>
      </c>
      <c r="G53">
        <f t="shared" si="8"/>
        <v>-0.85428725839389985</v>
      </c>
      <c r="H53">
        <f t="shared" si="8"/>
        <v>-0.85185182338734444</v>
      </c>
      <c r="I53">
        <f t="shared" si="8"/>
        <v>-0.85149191898584875</v>
      </c>
      <c r="J53">
        <f t="shared" si="8"/>
        <v>-0.85083260337328892</v>
      </c>
      <c r="K53">
        <f t="shared" si="8"/>
        <v>-0.85472494911712416</v>
      </c>
    </row>
    <row r="54" spans="1:11">
      <c r="A54">
        <v>31</v>
      </c>
      <c r="B54">
        <f t="shared" ref="B54:K54" si="9">B21</f>
        <v>-1</v>
      </c>
      <c r="C54">
        <f t="shared" si="9"/>
        <v>-1</v>
      </c>
      <c r="D54">
        <f t="shared" si="9"/>
        <v>-1</v>
      </c>
      <c r="E54">
        <f t="shared" si="9"/>
        <v>-1</v>
      </c>
      <c r="F54">
        <f t="shared" si="9"/>
        <v>-1</v>
      </c>
      <c r="G54">
        <f t="shared" si="9"/>
        <v>-1</v>
      </c>
      <c r="H54">
        <f t="shared" si="9"/>
        <v>-1</v>
      </c>
      <c r="I54">
        <f t="shared" si="9"/>
        <v>-1</v>
      </c>
      <c r="J54">
        <f t="shared" si="9"/>
        <v>-1</v>
      </c>
      <c r="K54">
        <f t="shared" si="9"/>
        <v>-1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0.99999999999999822</v>
      </c>
    </row>
    <row r="2" spans="1:23">
      <c r="A2" t="s">
        <v>39</v>
      </c>
      <c r="B2" s="133" t="s">
        <v>124</v>
      </c>
      <c r="C2" s="139">
        <f>Analysis!B44</f>
        <v>0.33521675332498418</v>
      </c>
      <c r="D2" s="133" t="s">
        <v>125</v>
      </c>
      <c r="E2" s="139">
        <f>Analysis!K44</f>
        <v>0.66478324667501409</v>
      </c>
      <c r="F2" s="133" t="s">
        <v>46</v>
      </c>
      <c r="G2" s="139">
        <f>Analysis!S44</f>
        <v>439.57681106900094</v>
      </c>
      <c r="H2" t="s">
        <v>153</v>
      </c>
      <c r="I2" s="153">
        <f>Analysis!T44</f>
        <v>-440.15755682826239</v>
      </c>
      <c r="J2" t="s">
        <v>47</v>
      </c>
      <c r="K2" s="153">
        <f>G2*C2+I2*E2</f>
        <v>-145.25585823333381</v>
      </c>
      <c r="L2" t="s">
        <v>46</v>
      </c>
      <c r="M2" s="160">
        <v>3</v>
      </c>
      <c r="N2" t="s">
        <v>153</v>
      </c>
      <c r="O2" s="160">
        <v>6</v>
      </c>
    </row>
    <row r="4" spans="1:23">
      <c r="A4" t="s">
        <v>122</v>
      </c>
      <c r="B4">
        <f>$C$2</f>
        <v>0.33521675332498418</v>
      </c>
      <c r="C4" t="s">
        <v>123</v>
      </c>
      <c r="D4">
        <f>$E$2</f>
        <v>0.66478324667501409</v>
      </c>
      <c r="E4" t="s">
        <v>46</v>
      </c>
      <c r="F4">
        <f>G2</f>
        <v>439.57681106900094</v>
      </c>
      <c r="G4" t="s">
        <v>153</v>
      </c>
      <c r="H4">
        <f>I2</f>
        <v>-440.15755682826239</v>
      </c>
      <c r="I4" t="s">
        <v>47</v>
      </c>
      <c r="J4">
        <f>B4*F4+D4*H4</f>
        <v>-145.25585823333381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0.33521675332498418</v>
      </c>
      <c r="C7" s="95">
        <v>1</v>
      </c>
      <c r="D7" s="22">
        <f>C7*D4</f>
        <v>0.66478324667501409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0.99999999999999822</v>
      </c>
      <c r="R7" s="265">
        <f>B7-D7</f>
        <v>-0.32956649335002991</v>
      </c>
      <c r="S7" s="266">
        <f>IF(Rules!B20=Rules!D20,SUM(C7)*B4*F4,SUM(C7)*B4*F4*POWER(O2,A7-1))</f>
        <v>147.35351144350045</v>
      </c>
      <c r="T7" s="252">
        <f>IF(Rules!B20=Rules!D20,SUM(C7)*D4*H4,SUM(C7)*D4*H4*POWER(O2,A7-1))</f>
        <v>-292.60936967683426</v>
      </c>
      <c r="U7" s="263">
        <f>S7+T7</f>
        <v>-145.25585823333381</v>
      </c>
      <c r="V7" s="282">
        <f>S7/B4</f>
        <v>439.57681106900088</v>
      </c>
      <c r="W7" s="57">
        <f>T7/D4</f>
        <v>-440.15755682826233</v>
      </c>
    </row>
    <row r="8" spans="1:23">
      <c r="A8" s="98">
        <v>2</v>
      </c>
      <c r="B8" s="97">
        <f>C8*B4</f>
        <v>0.43133916966843389</v>
      </c>
      <c r="C8" s="97">
        <f>1/(1-B4*D4)</f>
        <v>1.2867470536302863</v>
      </c>
      <c r="D8" s="128">
        <f>C8*D4</f>
        <v>0.85540788396185019</v>
      </c>
      <c r="E8" s="1">
        <f>D8*D4</f>
        <v>0.56866083033156245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0.99999999999999634</v>
      </c>
      <c r="R8" s="267">
        <f>B8-E8</f>
        <v>-0.13732166066312856</v>
      </c>
      <c r="S8" s="268">
        <f>IF(Rules!B20=Rules!D20,SUM(C8:D8)*B4*F4,SUM(C8:D8)*B4*F4*POWER(O2,A8-1))</f>
        <v>315.65405211023392</v>
      </c>
      <c r="T8" s="253">
        <f>IF(Rules!B20=Rules!D20,SUM(C8:D8)*D4*H4,SUM(C8:D8)*D4*H4*POWER(O2,A8-1))</f>
        <v>-626.81460603895334</v>
      </c>
      <c r="U8" s="264">
        <f>S8+T8+U7</f>
        <v>-456.41641216205323</v>
      </c>
      <c r="V8" s="93">
        <f>S8/B4</f>
        <v>941.64163628246615</v>
      </c>
      <c r="W8" s="9">
        <f>T8/D4</f>
        <v>-942.88568367815367</v>
      </c>
    </row>
    <row r="9" spans="1:23">
      <c r="A9" s="98">
        <v>3</v>
      </c>
      <c r="B9" s="97">
        <f>C9*B4</f>
        <v>0.46998299135132499</v>
      </c>
      <c r="C9" s="97">
        <f>1/(1-D4*B4/(1-D4*B4))</f>
        <v>1.4020271561298976</v>
      </c>
      <c r="D9" s="128">
        <f>C9*D4*C8</f>
        <v>1.1993050828821263</v>
      </c>
      <c r="E9" s="1">
        <f>D9*(D4)</f>
        <v>0.79727792675222686</v>
      </c>
      <c r="F9" s="1">
        <f>E9*D4</f>
        <v>0.53001700864866941</v>
      </c>
      <c r="G9" s="1"/>
      <c r="H9" s="1"/>
      <c r="I9" s="1"/>
      <c r="J9" s="1"/>
      <c r="K9" s="1"/>
      <c r="L9" s="1"/>
      <c r="M9" s="235"/>
      <c r="N9" s="97">
        <f>B9+F9</f>
        <v>0.99999999999999445</v>
      </c>
      <c r="R9" s="267">
        <f>B9-F9</f>
        <v>-6.0034017297344422E-2</v>
      </c>
      <c r="S9" s="268">
        <f>IF(Rules!B20=Rules!D20,SUM(C9:E9)*B4*F4,SUM(C9:E9)*B4*F4*POWER(O2,A9-1))</f>
        <v>500.79714195293951</v>
      </c>
      <c r="T9" s="253">
        <f>IF(Rules!B20=Rules!D20,SUM(C9:E9)*D4*H4,SUM(C9:E9)*D4*H4*POWER(O2,A9-1))</f>
        <v>-994.46517838155864</v>
      </c>
      <c r="U9" s="264">
        <f t="shared" ref="U9:U16" si="0">S9+T9+U8</f>
        <v>-950.08444859067231</v>
      </c>
      <c r="V9" s="93">
        <f>S9/B4</f>
        <v>1493.950218733338</v>
      </c>
      <c r="W9" s="9">
        <f>T9/D4</f>
        <v>-1495.9239471744884</v>
      </c>
    </row>
    <row r="10" spans="1:23">
      <c r="A10" s="98">
        <v>4</v>
      </c>
      <c r="B10" s="97">
        <f>C10*B4</f>
        <v>0.48754319970320803</v>
      </c>
      <c r="C10" s="97">
        <f>1/(1-D4*B4/(1-D4*B4/(1-D4*B4)))</f>
        <v>1.4544117943608481</v>
      </c>
      <c r="D10" s="128">
        <f>C10*D4*C9</f>
        <v>1.3555760261191583</v>
      </c>
      <c r="E10" s="1">
        <f>D10*D4*C8</f>
        <v>1.1595704200520029</v>
      </c>
      <c r="F10" s="1">
        <f>E10*D4</f>
        <v>0.77086298859048041</v>
      </c>
      <c r="G10" s="1">
        <f>F10*D4</f>
        <v>0.51245680029678387</v>
      </c>
      <c r="H10" s="1"/>
      <c r="I10" s="1"/>
      <c r="J10" s="1"/>
      <c r="K10" s="1"/>
      <c r="L10" s="1"/>
      <c r="M10" s="235"/>
      <c r="N10" s="97">
        <f>B10+G10</f>
        <v>0.9999999999999919</v>
      </c>
      <c r="R10" s="267">
        <f>B10-G10</f>
        <v>-2.4913600593575835E-2</v>
      </c>
      <c r="S10" s="268">
        <f>IF(Rules!B20=Rules!D20,SUM(C10:F10)*B4*F4,SUM(C10:F10)*B4*F4*POWER(O2,A10-1))</f>
        <v>698.51771383251321</v>
      </c>
      <c r="T10" s="253">
        <f>IF(Rules!B20=Rules!D20,SUM(C10:F10)*D4*H4,SUM(C10:F10)*D4*H4*POWER(O2,A10-1))</f>
        <v>-1387.0916678562157</v>
      </c>
      <c r="U10" s="264">
        <f t="shared" si="0"/>
        <v>-1638.6584026143748</v>
      </c>
      <c r="V10" s="93">
        <f>S10/B4</f>
        <v>2083.7792470214576</v>
      </c>
      <c r="W10" s="9">
        <f>T10/D4</f>
        <v>-2086.5322265473837</v>
      </c>
    </row>
    <row r="11" spans="1:23">
      <c r="A11" s="98">
        <v>5</v>
      </c>
      <c r="B11" s="97">
        <f>C11*B4</f>
        <v>0.49596387976862294</v>
      </c>
      <c r="C11" s="97">
        <f>1/(1-D4*B4/(1-D4*B4/(1-D4*B4/(1-D4*B4))))</f>
        <v>1.4795318994328379</v>
      </c>
      <c r="D11" s="128">
        <f>C11*D4*C10</f>
        <v>1.4305129283557732</v>
      </c>
      <c r="E11" s="1">
        <f>D11*D4*C9</f>
        <v>1.3333012275143032</v>
      </c>
      <c r="F11" s="1">
        <f>E11*D4*C8</f>
        <v>1.1405163817117476</v>
      </c>
      <c r="G11" s="1">
        <f>F11*D4</f>
        <v>0.75819618312037529</v>
      </c>
      <c r="H11" s="1">
        <f>G11*D4</f>
        <v>0.50403612023136657</v>
      </c>
      <c r="I11" s="1"/>
      <c r="J11" s="1"/>
      <c r="K11" s="1"/>
      <c r="L11" s="1"/>
      <c r="M11" s="235"/>
      <c r="N11" s="97">
        <f>B11+H11</f>
        <v>0.99999999999998956</v>
      </c>
      <c r="R11" s="267">
        <f>B11-H11</f>
        <v>-8.0722404627436295E-3</v>
      </c>
      <c r="S11" s="268">
        <f>IF(Rules!B20=Rules!D20,SUM(C11:G11)*B4*F4,SUM(C11:G11)*B4*F4*POWER(O2,A11-1))</f>
        <v>905.05390516871887</v>
      </c>
      <c r="T11" s="253">
        <f>IF(Rules!B20=Rules!D20,SUM(C11:G11)*D4*H4,SUM(C11:G11)*D4*H4*POWER(O2,A11-1))</f>
        <v>-1797.2239013558799</v>
      </c>
      <c r="U11" s="264">
        <f t="shared" si="0"/>
        <v>-2530.828398801536</v>
      </c>
      <c r="V11" s="93">
        <f>S11/B4</f>
        <v>2699.906541637828</v>
      </c>
      <c r="W11" s="9">
        <f>T11/D4</f>
        <v>-2703.4735161346066</v>
      </c>
    </row>
    <row r="12" spans="1:23">
      <c r="A12" s="98">
        <v>6</v>
      </c>
      <c r="B12" s="97">
        <f>C12*B4</f>
        <v>0.50010591277934868</v>
      </c>
      <c r="C12" s="97">
        <f>1/(1-D4*B4/(1-D4*B4/(1-D4*B4/(1-D4*B4/(1-D4*B4)))))</f>
        <v>1.4918881822547474</v>
      </c>
      <c r="D12" s="128">
        <f>C12*D4*C11</f>
        <v>1.4673735049807435</v>
      </c>
      <c r="E12" s="1">
        <f>D12*D4*C10</f>
        <v>1.4187573585985833</v>
      </c>
      <c r="F12" s="1">
        <f>E12*D4*C9</f>
        <v>1.3223445173184669</v>
      </c>
      <c r="G12" s="1">
        <f>F12*D4*C8</f>
        <v>1.1311439254279438</v>
      </c>
      <c r="H12" s="1">
        <f>G12*D4</f>
        <v>0.75196553120270859</v>
      </c>
      <c r="I12" s="1">
        <f>H12*D4</f>
        <v>0.49989408722063822</v>
      </c>
      <c r="J12" s="1"/>
      <c r="K12" s="1"/>
      <c r="L12" s="1"/>
      <c r="M12" s="235"/>
      <c r="N12" s="97">
        <f>B12+I12</f>
        <v>0.9999999999999869</v>
      </c>
      <c r="R12" s="267">
        <f>B12-I12</f>
        <v>2.118255587104656E-4</v>
      </c>
      <c r="S12" s="268">
        <f>IF(Rules!B20=Rules!D20,SUM(C12:H12)*B4*F4,SUM(C12:H12)*B4*F4*POWER(O2,A12-1))</f>
        <v>1117.4513784020999</v>
      </c>
      <c r="T12" s="253">
        <f>IF(Rules!B20=Rules!D20,SUM(C12:H12)*D4*H4,SUM(C12:H12)*D4*H4*POWER(O2,A12-1))</f>
        <v>-2218.9952602800395</v>
      </c>
      <c r="U12" s="264">
        <f t="shared" si="0"/>
        <v>-3632.3722806794758</v>
      </c>
      <c r="V12" s="93">
        <f>S12/B4</f>
        <v>3333.518886864103</v>
      </c>
      <c r="W12" s="9">
        <f>T12/D4</f>
        <v>-3337.922956660816</v>
      </c>
    </row>
    <row r="13" spans="1:23">
      <c r="A13" s="98">
        <v>7</v>
      </c>
      <c r="B13" s="97">
        <f>C13*B4</f>
        <v>0.50216881972954563</v>
      </c>
      <c r="C13" s="97">
        <f>1/(1-D4*B4/(1-D4*B4/(1-D4*B4/(1-D4*B4/(1-D4*B4/(1-D4*B4))))))</f>
        <v>1.4980421316911496</v>
      </c>
      <c r="D13" s="128">
        <f>C13*D4*C12</f>
        <v>1.4857316251384085</v>
      </c>
      <c r="E13" s="1">
        <f>D13*D4*C11</f>
        <v>1.4613181122898764</v>
      </c>
      <c r="F13" s="1">
        <f>E13*D4*C10</f>
        <v>1.4129025895774647</v>
      </c>
      <c r="G13" s="1">
        <f>F13*D4*C9</f>
        <v>1.3168876140162071</v>
      </c>
      <c r="H13" s="1">
        <f>G13*D4*C8</f>
        <v>1.1264760473211735</v>
      </c>
      <c r="I13" s="1">
        <f>H13*D4</f>
        <v>0.74886240403980653</v>
      </c>
      <c r="J13" s="1">
        <f>I13*D4</f>
        <v>0.49783118027043877</v>
      </c>
      <c r="K13" s="1"/>
      <c r="L13" s="1"/>
      <c r="M13" s="235"/>
      <c r="N13" s="97">
        <f>B13+J13</f>
        <v>0.99999999999998446</v>
      </c>
      <c r="R13" s="267">
        <f>B13-J13</f>
        <v>4.3376394591068679E-3</v>
      </c>
      <c r="S13" s="268">
        <f>IF(Rules!B20=Rules!D20,SUM(C13:I13)*B4*F4,SUM(C13:I13)*B4*F4*POWER(O2,A13-1))</f>
        <v>1333.5817735603537</v>
      </c>
      <c r="T13" s="253">
        <f>IF(Rules!B20=Rules!D20,SUM(C13:I13)*D4*H4,SUM(C13:I13)*D4*H4*POWER(O2,A13-1))</f>
        <v>-2648.1793229856671</v>
      </c>
      <c r="U13" s="264">
        <f t="shared" si="0"/>
        <v>-4946.9698301047893</v>
      </c>
      <c r="V13" s="93">
        <f>S13/B4</f>
        <v>3978.2670774437092</v>
      </c>
      <c r="W13" s="9">
        <f>T13/D4</f>
        <v>-3983.5229546334458</v>
      </c>
    </row>
    <row r="14" spans="1:23">
      <c r="A14" s="98">
        <v>8</v>
      </c>
      <c r="B14" s="97">
        <f>C14*B4</f>
        <v>0.50320259611208895</v>
      </c>
      <c r="C14" s="97">
        <f>1/(1-D4*B4/(1-D4*B4/(1-D4*B4/(1-D4*B4/(1-D4*B4/(1-D4*B4/(1-D4*B4)))))))</f>
        <v>1.5011260359778222</v>
      </c>
      <c r="D14" s="128">
        <f>C14*D4*C13</f>
        <v>1.4949313571210241</v>
      </c>
      <c r="E14" s="1">
        <f>D14*D4*C12</f>
        <v>1.4826464140754232</v>
      </c>
      <c r="F14" s="1">
        <f>E14*D4*C11</f>
        <v>1.4582835973544099</v>
      </c>
      <c r="G14" s="1">
        <f>F14*D4*C10</f>
        <v>1.4099686123863424</v>
      </c>
      <c r="H14" s="1">
        <f>G14*D4*C9</f>
        <v>1.3141530176956282</v>
      </c>
      <c r="I14" s="1">
        <f>H14*D4*C8</f>
        <v>1.1241368520690971</v>
      </c>
      <c r="J14" s="1">
        <f>I14*D4</f>
        <v>0.74730734622552442</v>
      </c>
      <c r="K14" s="1">
        <f>J14*D4</f>
        <v>0.49679740388789295</v>
      </c>
      <c r="L14" s="1"/>
      <c r="M14" s="235"/>
      <c r="N14" s="97">
        <f>B14+K14</f>
        <v>0.9999999999999819</v>
      </c>
      <c r="R14" s="267">
        <f>B14-K14</f>
        <v>6.4051922241959991E-3</v>
      </c>
      <c r="S14" s="268">
        <f>IF(Rules!B20=Rules!D20,SUM(C14:J14)*B4*F4,SUM(C14:J14)*B4*F4*POWER(O2,A14-1))</f>
        <v>1552.0087033341845</v>
      </c>
      <c r="T14" s="253">
        <f>IF(Rules!B20=Rules!D20,SUM(C14:J14)*D4*H4,SUM(C14:J14)*D4*H4*POWER(O2,A14-1))</f>
        <v>-3081.9237625681144</v>
      </c>
      <c r="U14" s="264">
        <f t="shared" si="0"/>
        <v>-6476.8848893387194</v>
      </c>
      <c r="V14" s="93">
        <f>S14/B4</f>
        <v>4629.8661625349951</v>
      </c>
      <c r="W14" s="9">
        <f>T14/D4</f>
        <v>-4635.9828981592</v>
      </c>
    </row>
    <row r="15" spans="1:23">
      <c r="A15" s="98">
        <v>9</v>
      </c>
      <c r="B15" s="97">
        <f>C15*B4</f>
        <v>0.5037222509385072</v>
      </c>
      <c r="C15" s="97">
        <f>1/(1-D4*B4/(1-D4*B4/(1-D4*B4/(1-D4*B4/(1-D4*B4/(1-D4*B4/(1-D4*B4/(1-D4*B4))))))))</f>
        <v>1.502676241393464</v>
      </c>
      <c r="D15" s="128">
        <f>C15*D4*C14</f>
        <v>1.4995558438158727</v>
      </c>
      <c r="E15" s="1">
        <f>D15*D4*C13</f>
        <v>1.4933676446522872</v>
      </c>
      <c r="F15" s="1">
        <f>E15*D4*C12</f>
        <v>1.4810955517743722</v>
      </c>
      <c r="G15" s="1">
        <f>F15*D4*C11</f>
        <v>1.4567582187921932</v>
      </c>
      <c r="H15" s="1">
        <f>G15*D4*C10</f>
        <v>1.4084937717595711</v>
      </c>
      <c r="I15" s="1">
        <f>H15*D4*C9</f>
        <v>1.3127784010954675</v>
      </c>
      <c r="J15" s="1">
        <f>I15*D4*C8</f>
        <v>1.122960994191895</v>
      </c>
      <c r="K15" s="1">
        <f>J15*D4</f>
        <v>0.74652565560828965</v>
      </c>
      <c r="L15" s="1">
        <f>K15*D4</f>
        <v>0.49627774906147226</v>
      </c>
      <c r="M15" s="235"/>
      <c r="N15" s="97">
        <f>B15+L15</f>
        <v>0.99999999999997946</v>
      </c>
      <c r="R15" s="267">
        <f>B15-L15</f>
        <v>7.4445018770349369E-3</v>
      </c>
      <c r="S15" s="268">
        <f>IF(Rules!B20=Rules!D20,SUM(C15:K15)*B4*F4,SUM(C15:K15)*B4*F4*POWER(O2,A15-1))</f>
        <v>1771.8099081485509</v>
      </c>
      <c r="T15" s="253">
        <f>IF(Rules!B20=Rules!D20,SUM(C15:K15)*D4*H4,SUM(C15:K15)*D4*H4*POWER(O2,A15-1))</f>
        <v>-3518.3971887178604</v>
      </c>
      <c r="U15" s="264">
        <f t="shared" si="0"/>
        <v>-8223.4721699080292</v>
      </c>
      <c r="V15" s="93">
        <f>S15/B4</f>
        <v>5285.5649085975901</v>
      </c>
      <c r="W15" s="9">
        <f>T15/D4</f>
        <v>-5292.54791891268</v>
      </c>
    </row>
    <row r="16" spans="1:23" ht="17" thickBot="1">
      <c r="A16" s="99">
        <v>10</v>
      </c>
      <c r="B16" s="129">
        <f>C16*B4</f>
        <v>0.50398387464395811</v>
      </c>
      <c r="C16" s="129">
        <f>1/(1-D4*B4/(1-D4*B4/(1-D4*B4/(1-D4*B4/(1-D4*B4/(1-D4*B4/(1-D4*B4/(1-D4*B4/(1-D4*B4)))))))))</f>
        <v>1.5034567027005312</v>
      </c>
      <c r="D16" s="137">
        <f>C16*D4*C15</f>
        <v>1.5018840726389433</v>
      </c>
      <c r="E16" s="109">
        <f>D16*D4*C14</f>
        <v>1.4987653200474071</v>
      </c>
      <c r="F16" s="109">
        <f>E16*D4*C13</f>
        <v>1.4925803831288011</v>
      </c>
      <c r="G16" s="109">
        <f>F16*D4*C12</f>
        <v>1.4803147597539386</v>
      </c>
      <c r="H16" s="109">
        <f>G16*D4*C11</f>
        <v>1.4559902567308856</v>
      </c>
      <c r="I16" s="109">
        <f>H16*D4*C10</f>
        <v>1.4077512533606042</v>
      </c>
      <c r="J16" s="109">
        <f>I16*D4*C9</f>
        <v>1.3120863411544699</v>
      </c>
      <c r="K16" s="109">
        <f>J16*D4*C8</f>
        <v>1.1223690006621914</v>
      </c>
      <c r="L16" s="109">
        <f>K16*D4</f>
        <v>0.74613210822760256</v>
      </c>
      <c r="M16" s="237">
        <f>L16*D4</f>
        <v>0.49601612535601863</v>
      </c>
      <c r="N16" s="129">
        <f>B16+M16</f>
        <v>0.99999999999997669</v>
      </c>
      <c r="R16" s="269">
        <f>B16-M16</f>
        <v>7.967749287939474E-3</v>
      </c>
      <c r="S16" s="270">
        <f>IF(Rules!B20=Rules!D20,SUM(C16:L16)*B4*F4,SUM(C16:L16)*B4*F4*POWER(O2,A16-1))</f>
        <v>1992.4154841220745</v>
      </c>
      <c r="T16" s="254">
        <f>IF(Rules!B20=Rules!D20,SUM(C16:L16)*D4*H4,SUM(C16:L16)*D4*H4*POWER(O2,A16-1))</f>
        <v>-3956.4679065477412</v>
      </c>
      <c r="U16" s="264">
        <f t="shared" si="0"/>
        <v>-10187.524592333695</v>
      </c>
      <c r="V16" s="94">
        <f>S16/B4</f>
        <v>5943.6632100260158</v>
      </c>
      <c r="W16" s="10">
        <f>T16/D4</f>
        <v>-5951.5156651983134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6</v>
      </c>
      <c r="D21" s="57">
        <f>SUM($C$21:C21)</f>
        <v>6</v>
      </c>
      <c r="E21" s="57">
        <f t="shared" ref="E21:E30" si="2">D21/R7</f>
        <v>-18.205734263244562</v>
      </c>
      <c r="F21" s="8">
        <f t="shared" ref="F21:F30" si="3">U7/E21</f>
        <v>7.9785773060848149</v>
      </c>
      <c r="G21" s="256">
        <f>E21*U7</f>
        <v>2644.4895551755999</v>
      </c>
    </row>
    <row r="22" spans="1:7">
      <c r="A22" s="97">
        <v>2</v>
      </c>
      <c r="B22" s="93">
        <f>C21</f>
        <v>6</v>
      </c>
      <c r="C22" s="1">
        <f t="shared" si="1"/>
        <v>36</v>
      </c>
      <c r="D22" s="9">
        <f>SUM($C$21:C22)</f>
        <v>42</v>
      </c>
      <c r="E22" s="9">
        <f t="shared" si="2"/>
        <v>-305.85123859689219</v>
      </c>
      <c r="F22" s="9">
        <f t="shared" si="3"/>
        <v>1.4922823731428596</v>
      </c>
      <c r="G22" s="257">
        <f t="shared" ref="G22:G30" si="4">E22*U8</f>
        <v>139595.52497571363</v>
      </c>
    </row>
    <row r="23" spans="1:7">
      <c r="A23" s="97">
        <v>3</v>
      </c>
      <c r="B23" s="93">
        <f t="shared" ref="B23:B30" si="5">C22</f>
        <v>36</v>
      </c>
      <c r="C23" s="1">
        <f t="shared" si="1"/>
        <v>216</v>
      </c>
      <c r="D23" s="9">
        <f>SUM($C$21:C23)</f>
        <v>258</v>
      </c>
      <c r="E23" s="9">
        <f t="shared" si="2"/>
        <v>-4297.5634750901891</v>
      </c>
      <c r="F23" s="9">
        <f t="shared" si="3"/>
        <v>0.22107514039004014</v>
      </c>
      <c r="G23" s="257">
        <f t="shared" si="4"/>
        <v>4083048.2245144756</v>
      </c>
    </row>
    <row r="24" spans="1:7">
      <c r="A24" s="97">
        <v>4</v>
      </c>
      <c r="B24" s="93">
        <f t="shared" si="5"/>
        <v>216</v>
      </c>
      <c r="C24" s="1">
        <f t="shared" si="1"/>
        <v>1296</v>
      </c>
      <c r="D24" s="9">
        <f>SUM($C$21:C24)</f>
        <v>1554</v>
      </c>
      <c r="E24" s="9">
        <f t="shared" si="2"/>
        <v>-62375.568483694442</v>
      </c>
      <c r="F24" s="9">
        <f t="shared" si="3"/>
        <v>2.627083716347588E-2</v>
      </c>
      <c r="G24" s="257">
        <f t="shared" si="4"/>
        <v>102212249.41365428</v>
      </c>
    </row>
    <row r="25" spans="1:7">
      <c r="A25" s="97">
        <v>5</v>
      </c>
      <c r="B25" s="93">
        <f t="shared" si="5"/>
        <v>1296</v>
      </c>
      <c r="C25" s="1">
        <f t="shared" si="1"/>
        <v>7776</v>
      </c>
      <c r="D25" s="9">
        <f>SUM($C$21:C25)</f>
        <v>9330</v>
      </c>
      <c r="E25" s="9">
        <f t="shared" si="2"/>
        <v>-1155812.9422756168</v>
      </c>
      <c r="F25" s="9">
        <f t="shared" si="3"/>
        <v>2.1896522406287702E-3</v>
      </c>
      <c r="G25" s="257">
        <f t="shared" si="4"/>
        <v>2925164218.0134916</v>
      </c>
    </row>
    <row r="26" spans="1:7">
      <c r="A26" s="97">
        <v>6</v>
      </c>
      <c r="B26" s="93">
        <f t="shared" si="5"/>
        <v>7776</v>
      </c>
      <c r="C26" s="1">
        <f t="shared" si="1"/>
        <v>46656</v>
      </c>
      <c r="D26" s="9">
        <f>SUM($C$21:C26)</f>
        <v>55986</v>
      </c>
      <c r="E26" s="9">
        <f t="shared" si="2"/>
        <v>264302383.24792823</v>
      </c>
      <c r="F26" s="9">
        <f t="shared" si="3"/>
        <v>-1.3743244521832924E-5</v>
      </c>
      <c r="G26" s="257">
        <f t="shared" si="4"/>
        <v>-960044650627.29797</v>
      </c>
    </row>
    <row r="27" spans="1:7">
      <c r="A27" s="97">
        <v>7</v>
      </c>
      <c r="B27" s="93">
        <f t="shared" si="5"/>
        <v>46656</v>
      </c>
      <c r="C27" s="1">
        <f t="shared" si="1"/>
        <v>279936</v>
      </c>
      <c r="D27" s="9">
        <f>SUM($C$21:C27)</f>
        <v>335922</v>
      </c>
      <c r="E27" s="9">
        <f t="shared" si="2"/>
        <v>77443504.27621001</v>
      </c>
      <c r="F27" s="9">
        <f t="shared" si="3"/>
        <v>-6.3878434690415432E-5</v>
      </c>
      <c r="G27" s="257">
        <f t="shared" si="4"/>
        <v>-383110679192.00214</v>
      </c>
    </row>
    <row r="28" spans="1:7">
      <c r="A28" s="97">
        <v>8</v>
      </c>
      <c r="B28" s="93">
        <f t="shared" si="5"/>
        <v>279936</v>
      </c>
      <c r="C28" s="1">
        <f t="shared" si="1"/>
        <v>1679616</v>
      </c>
      <c r="D28" s="9">
        <f>SUM($C$21:C28)</f>
        <v>2015538</v>
      </c>
      <c r="E28" s="9">
        <f t="shared" si="2"/>
        <v>314672523.39222294</v>
      </c>
      <c r="F28" s="9">
        <f t="shared" si="3"/>
        <v>-2.058293752348253E-5</v>
      </c>
      <c r="G28" s="257">
        <f t="shared" si="4"/>
        <v>-2038097711849.1736</v>
      </c>
    </row>
    <row r="29" spans="1:7">
      <c r="A29" s="97">
        <v>9</v>
      </c>
      <c r="B29" s="93">
        <f t="shared" si="5"/>
        <v>1679616</v>
      </c>
      <c r="C29" s="1">
        <f t="shared" si="1"/>
        <v>10077696</v>
      </c>
      <c r="D29" s="9">
        <f>SUM($C$21:C29)</f>
        <v>12093234</v>
      </c>
      <c r="E29" s="9">
        <f t="shared" si="2"/>
        <v>1624451736.294894</v>
      </c>
      <c r="F29" s="9">
        <f t="shared" si="3"/>
        <v>-5.0623062453455288E-6</v>
      </c>
      <c r="G29" s="257">
        <f t="shared" si="4"/>
        <v>-13358633644779.838</v>
      </c>
    </row>
    <row r="30" spans="1:7" ht="17" thickBot="1">
      <c r="A30" s="129">
        <v>10</v>
      </c>
      <c r="B30" s="94">
        <f t="shared" si="5"/>
        <v>10077696</v>
      </c>
      <c r="C30" s="109">
        <f t="shared" si="1"/>
        <v>60466176</v>
      </c>
      <c r="D30" s="10">
        <f>SUM($C$21:C30)</f>
        <v>72559410</v>
      </c>
      <c r="E30" s="10">
        <f t="shared" si="2"/>
        <v>9106638195.7864628</v>
      </c>
      <c r="F30" s="10">
        <f t="shared" si="3"/>
        <v>-1.118692142293228E-6</v>
      </c>
      <c r="G30" s="258">
        <f t="shared" si="4"/>
        <v>-92774100573059.938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6</v>
      </c>
      <c r="D33" s="57">
        <f>SUM($C$33:C33)</f>
        <v>6</v>
      </c>
      <c r="E33" s="9">
        <f t="shared" ref="E33:E42" si="7">D33/R7</f>
        <v>-18.205734263244562</v>
      </c>
      <c r="F33" s="8">
        <f t="shared" ref="F33:F42" si="8">U7/E33</f>
        <v>7.9785773060848149</v>
      </c>
      <c r="G33" s="259">
        <f>E33*U7</f>
        <v>2644.4895551755999</v>
      </c>
    </row>
    <row r="34" spans="1:7">
      <c r="A34" s="97">
        <v>2</v>
      </c>
      <c r="B34" s="93">
        <f t="shared" ref="B34:B42" si="9">B33*($O$2+1)</f>
        <v>7</v>
      </c>
      <c r="C34" s="1">
        <f t="shared" si="6"/>
        <v>42</v>
      </c>
      <c r="D34" s="9">
        <f>SUM($C$33:C34)</f>
        <v>48</v>
      </c>
      <c r="E34" s="9">
        <f t="shared" si="7"/>
        <v>-349.5442726821625</v>
      </c>
      <c r="F34" s="9">
        <f t="shared" si="8"/>
        <v>1.3057470765000021</v>
      </c>
      <c r="G34" s="257">
        <f t="shared" ref="G34:G42" si="10">E34*U8</f>
        <v>159537.74282938702</v>
      </c>
    </row>
    <row r="35" spans="1:7">
      <c r="A35" s="97">
        <v>3</v>
      </c>
      <c r="B35" s="93">
        <f t="shared" si="9"/>
        <v>49</v>
      </c>
      <c r="C35" s="1">
        <f t="shared" si="6"/>
        <v>294</v>
      </c>
      <c r="D35" s="9">
        <f>SUM($C$33:C35)</f>
        <v>342</v>
      </c>
      <c r="E35" s="9">
        <f t="shared" si="7"/>
        <v>-5696.7701879102506</v>
      </c>
      <c r="F35" s="9">
        <f t="shared" si="8"/>
        <v>0.16677598310125835</v>
      </c>
      <c r="G35" s="257">
        <f t="shared" si="10"/>
        <v>5412412.7627284909</v>
      </c>
    </row>
    <row r="36" spans="1:7">
      <c r="A36" s="97">
        <v>4</v>
      </c>
      <c r="B36" s="93">
        <f t="shared" si="9"/>
        <v>343</v>
      </c>
      <c r="C36" s="1">
        <f t="shared" si="6"/>
        <v>2058</v>
      </c>
      <c r="D36" s="9">
        <f>SUM($C$33:C36)</f>
        <v>2400</v>
      </c>
      <c r="E36" s="9">
        <f t="shared" si="7"/>
        <v>-96332.924299141989</v>
      </c>
      <c r="F36" s="9">
        <f t="shared" si="8"/>
        <v>1.7010367063350632E-2</v>
      </c>
      <c r="G36" s="257">
        <f t="shared" si="10"/>
        <v>157856755.8512035</v>
      </c>
    </row>
    <row r="37" spans="1:7">
      <c r="A37" s="97">
        <v>5</v>
      </c>
      <c r="B37" s="93">
        <f t="shared" si="9"/>
        <v>2401</v>
      </c>
      <c r="C37" s="1">
        <f t="shared" si="6"/>
        <v>14406</v>
      </c>
      <c r="D37" s="9">
        <f>SUM($C$33:C37)</f>
        <v>16806</v>
      </c>
      <c r="E37" s="9">
        <f t="shared" si="7"/>
        <v>-2081949.8722276543</v>
      </c>
      <c r="F37" s="9">
        <f t="shared" si="8"/>
        <v>1.2156048676107598E-3</v>
      </c>
      <c r="G37" s="257">
        <f t="shared" si="10"/>
        <v>5269057861.5149765</v>
      </c>
    </row>
    <row r="38" spans="1:7">
      <c r="A38" s="97">
        <v>6</v>
      </c>
      <c r="B38" s="93">
        <f t="shared" si="9"/>
        <v>16807</v>
      </c>
      <c r="C38" s="1">
        <f t="shared" si="6"/>
        <v>100842</v>
      </c>
      <c r="D38" s="9">
        <f>SUM($C$33:C38)</f>
        <v>117648</v>
      </c>
      <c r="E38" s="9">
        <f t="shared" si="7"/>
        <v>555400399.82053125</v>
      </c>
      <c r="F38" s="9">
        <f t="shared" si="8"/>
        <v>-6.5400966255213693E-6</v>
      </c>
      <c r="G38" s="257">
        <f t="shared" si="10"/>
        <v>-2017421016986.3958</v>
      </c>
    </row>
    <row r="39" spans="1:7">
      <c r="A39" s="97">
        <v>7</v>
      </c>
      <c r="B39" s="93">
        <f t="shared" si="9"/>
        <v>117649</v>
      </c>
      <c r="C39" s="1">
        <f t="shared" si="6"/>
        <v>705894</v>
      </c>
      <c r="D39" s="9">
        <f>SUM($C$33:C39)</f>
        <v>823542</v>
      </c>
      <c r="E39" s="9">
        <f t="shared" si="7"/>
        <v>189859486.42434418</v>
      </c>
      <c r="F39" s="9">
        <f t="shared" si="8"/>
        <v>-2.6055952869524241E-5</v>
      </c>
      <c r="G39" s="257">
        <f t="shared" si="10"/>
        <v>-939229151300.42053</v>
      </c>
    </row>
    <row r="40" spans="1:7">
      <c r="A40" s="97">
        <v>8</v>
      </c>
      <c r="B40" s="93">
        <f t="shared" si="9"/>
        <v>823543</v>
      </c>
      <c r="C40" s="1">
        <f t="shared" si="6"/>
        <v>4941258</v>
      </c>
      <c r="D40" s="9">
        <f>SUM($C$33:C40)</f>
        <v>5764800</v>
      </c>
      <c r="E40" s="9">
        <f t="shared" si="7"/>
        <v>900019827.38677549</v>
      </c>
      <c r="F40" s="9">
        <f t="shared" si="8"/>
        <v>-7.1963802265828708E-6</v>
      </c>
      <c r="G40" s="257">
        <f t="shared" si="10"/>
        <v>-5829324820106.6484</v>
      </c>
    </row>
    <row r="41" spans="1:7">
      <c r="A41" s="97">
        <v>9</v>
      </c>
      <c r="B41" s="93">
        <f t="shared" si="9"/>
        <v>5764801</v>
      </c>
      <c r="C41" s="1">
        <f t="shared" si="6"/>
        <v>34588806</v>
      </c>
      <c r="D41" s="9">
        <f>SUM($C$33:C41)</f>
        <v>40353606</v>
      </c>
      <c r="E41" s="9">
        <f t="shared" si="7"/>
        <v>5420591822.8705444</v>
      </c>
      <c r="F41" s="9">
        <f t="shared" si="8"/>
        <v>-1.5170801341675609E-6</v>
      </c>
      <c r="G41" s="257">
        <f t="shared" si="10"/>
        <v>-44576085999806.953</v>
      </c>
    </row>
    <row r="42" spans="1:7" ht="17" thickBot="1">
      <c r="A42" s="129">
        <v>10</v>
      </c>
      <c r="B42" s="94">
        <f t="shared" si="9"/>
        <v>40353607</v>
      </c>
      <c r="C42" s="109">
        <f t="shared" si="6"/>
        <v>242121642</v>
      </c>
      <c r="D42" s="10">
        <f>SUM($C$33:C42)</f>
        <v>282475248</v>
      </c>
      <c r="E42" s="9">
        <f t="shared" si="7"/>
        <v>35452326346.108017</v>
      </c>
      <c r="F42" s="10">
        <f t="shared" si="8"/>
        <v>-2.8735842305175239E-7</v>
      </c>
      <c r="G42" s="258">
        <f t="shared" si="10"/>
        <v>-361171446506415.19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6</v>
      </c>
      <c r="D45" s="57">
        <f>SUM(C45:C45)</f>
        <v>6</v>
      </c>
      <c r="E45" s="57">
        <f t="shared" ref="E45:E54" si="12">D45/R7</f>
        <v>-18.205734263244562</v>
      </c>
      <c r="F45" s="8">
        <f t="shared" ref="F45:F54" si="13">U7/E45</f>
        <v>7.9785773060848149</v>
      </c>
      <c r="G45" s="256">
        <f>E45*U7</f>
        <v>2644.4895551755999</v>
      </c>
    </row>
    <row r="46" spans="1:7">
      <c r="A46" s="97">
        <v>2</v>
      </c>
      <c r="B46" s="93">
        <f t="shared" ref="B46:B54" si="14">B45*$O$2*2</f>
        <v>12</v>
      </c>
      <c r="C46" s="1">
        <f t="shared" si="11"/>
        <v>72</v>
      </c>
      <c r="D46" s="9">
        <f>SUM($C$45:C46)</f>
        <v>78</v>
      </c>
      <c r="E46" s="9">
        <f t="shared" si="12"/>
        <v>-568.00944310851412</v>
      </c>
      <c r="F46" s="9">
        <f t="shared" si="13"/>
        <v>0.80353666246153965</v>
      </c>
      <c r="G46" s="257">
        <f t="shared" ref="G46:G54" si="15">E46*U8</f>
        <v>259248.83209775391</v>
      </c>
    </row>
    <row r="47" spans="1:7">
      <c r="A47" s="97">
        <v>3</v>
      </c>
      <c r="B47" s="93">
        <f t="shared" si="14"/>
        <v>144</v>
      </c>
      <c r="C47" s="1">
        <f t="shared" si="11"/>
        <v>864</v>
      </c>
      <c r="D47" s="9">
        <f>SUM($C$45:C47)</f>
        <v>942</v>
      </c>
      <c r="E47" s="9">
        <f t="shared" si="12"/>
        <v>-15691.103850910689</v>
      </c>
      <c r="F47" s="9">
        <f t="shared" si="13"/>
        <v>6.0549242272431379E-2</v>
      </c>
      <c r="G47" s="257">
        <f t="shared" si="15"/>
        <v>14907873.749971457</v>
      </c>
    </row>
    <row r="48" spans="1:7">
      <c r="A48" s="97">
        <v>4</v>
      </c>
      <c r="B48" s="93">
        <f t="shared" si="14"/>
        <v>1728</v>
      </c>
      <c r="C48" s="1">
        <f t="shared" si="11"/>
        <v>10368</v>
      </c>
      <c r="D48" s="9">
        <f>SUM($C$45:C48)</f>
        <v>11310</v>
      </c>
      <c r="E48" s="9">
        <f t="shared" si="12"/>
        <v>-453968.90575970663</v>
      </c>
      <c r="F48" s="9">
        <f t="shared" si="13"/>
        <v>3.6096269630452272E-3</v>
      </c>
      <c r="G48" s="257">
        <f t="shared" si="15"/>
        <v>743899961.94879651</v>
      </c>
    </row>
    <row r="49" spans="1:7">
      <c r="A49" s="97">
        <v>5</v>
      </c>
      <c r="B49" s="93">
        <f t="shared" si="14"/>
        <v>20736</v>
      </c>
      <c r="C49" s="1">
        <f t="shared" si="11"/>
        <v>124416</v>
      </c>
      <c r="D49" s="9">
        <f>SUM($C$45:C49)</f>
        <v>135726</v>
      </c>
      <c r="E49" s="9">
        <f t="shared" si="12"/>
        <v>-16813919.335830692</v>
      </c>
      <c r="F49" s="9">
        <f t="shared" si="13"/>
        <v>1.5051983706192203E-4</v>
      </c>
      <c r="G49" s="257">
        <f t="shared" si="15"/>
        <v>42553144550.278572</v>
      </c>
    </row>
    <row r="50" spans="1:7">
      <c r="A50" s="97">
        <v>6</v>
      </c>
      <c r="B50" s="93">
        <f t="shared" si="14"/>
        <v>248832</v>
      </c>
      <c r="C50" s="1">
        <f t="shared" si="11"/>
        <v>1492992</v>
      </c>
      <c r="D50" s="9">
        <f>SUM($C$45:C50)</f>
        <v>1628718</v>
      </c>
      <c r="E50" s="9">
        <f t="shared" si="12"/>
        <v>7688958829.6859779</v>
      </c>
      <c r="F50" s="9">
        <f t="shared" si="13"/>
        <v>-4.7241406296199718E-7</v>
      </c>
      <c r="G50" s="257">
        <f t="shared" si="15"/>
        <v>-27929160920237.051</v>
      </c>
    </row>
    <row r="51" spans="1:7">
      <c r="A51" s="97">
        <v>7</v>
      </c>
      <c r="B51" s="93">
        <f t="shared" si="14"/>
        <v>2985984</v>
      </c>
      <c r="C51" s="1">
        <f t="shared" si="11"/>
        <v>17915904</v>
      </c>
      <c r="D51" s="9">
        <f>SUM($C$45:C51)</f>
        <v>19544622</v>
      </c>
      <c r="E51" s="9">
        <f t="shared" si="12"/>
        <v>4505819855.3054228</v>
      </c>
      <c r="F51" s="9">
        <f t="shared" si="13"/>
        <v>-1.0979067048763457E-6</v>
      </c>
      <c r="G51" s="257">
        <f t="shared" si="15"/>
        <v>-22290154884083.055</v>
      </c>
    </row>
    <row r="52" spans="1:7">
      <c r="A52" s="97">
        <v>8</v>
      </c>
      <c r="B52" s="93">
        <f t="shared" si="14"/>
        <v>35831808</v>
      </c>
      <c r="C52" s="1">
        <f t="shared" si="11"/>
        <v>214990848</v>
      </c>
      <c r="D52" s="9">
        <f>SUM($C$45:C52)</f>
        <v>234535470</v>
      </c>
      <c r="E52" s="9">
        <f t="shared" si="12"/>
        <v>36616460800.977707</v>
      </c>
      <c r="F52" s="9">
        <f t="shared" si="13"/>
        <v>-1.7688451444126949E-7</v>
      </c>
      <c r="G52" s="257">
        <f t="shared" si="15"/>
        <v>-237160601662916.06</v>
      </c>
    </row>
    <row r="53" spans="1:7">
      <c r="A53" s="97">
        <v>9</v>
      </c>
      <c r="B53" s="93">
        <f t="shared" si="14"/>
        <v>429981696</v>
      </c>
      <c r="C53" s="1">
        <f t="shared" si="11"/>
        <v>2579890176</v>
      </c>
      <c r="D53" s="9">
        <f>SUM($C$45:C53)</f>
        <v>2814425646</v>
      </c>
      <c r="E53" s="9">
        <f t="shared" si="12"/>
        <v>378054259705.68158</v>
      </c>
      <c r="F53" s="9">
        <f t="shared" si="13"/>
        <v>-2.1752094993745266E-8</v>
      </c>
      <c r="G53" s="257">
        <f t="shared" si="15"/>
        <v>-3108918683404855</v>
      </c>
    </row>
    <row r="54" spans="1:7" ht="17" thickBot="1">
      <c r="A54" s="129">
        <v>10</v>
      </c>
      <c r="B54" s="94">
        <f t="shared" si="14"/>
        <v>5159780352</v>
      </c>
      <c r="C54" s="109">
        <f t="shared" si="11"/>
        <v>30958682112</v>
      </c>
      <c r="D54" s="10">
        <f>SUM($C$45:C54)</f>
        <v>33773107758</v>
      </c>
      <c r="E54" s="10">
        <f t="shared" si="12"/>
        <v>4238726212071.1138</v>
      </c>
      <c r="F54" s="10">
        <f t="shared" si="13"/>
        <v>-2.4034401097484184E-9</v>
      </c>
      <c r="G54" s="258">
        <f t="shared" si="15"/>
        <v>-4.318212752564392E+16</v>
      </c>
    </row>
  </sheetData>
  <mergeCells count="1">
    <mergeCell ref="A18:F18"/>
  </mergeCells>
  <conditionalFormatting sqref="F45:F54">
    <cfRule type="cellIs" dxfId="281" priority="65" operator="equal">
      <formula>MAX($F$45:$F$54)</formula>
    </cfRule>
  </conditionalFormatting>
  <conditionalFormatting sqref="F21:F30">
    <cfRule type="cellIs" dxfId="280" priority="63" operator="equal">
      <formula>MAX($F$21:$F$30)</formula>
    </cfRule>
  </conditionalFormatting>
  <conditionalFormatting sqref="E33:E42">
    <cfRule type="cellIs" dxfId="279" priority="61" stopIfTrue="1" operator="lessThan">
      <formula>0</formula>
    </cfRule>
    <cfRule type="cellIs" dxfId="278" priority="62" operator="equal">
      <formula>MIN($E$33:$E$42)</formula>
    </cfRule>
  </conditionalFormatting>
  <conditionalFormatting sqref="E21:E30">
    <cfRule type="cellIs" dxfId="277" priority="57" stopIfTrue="1" operator="lessThan">
      <formula>0</formula>
    </cfRule>
    <cfRule type="cellIs" dxfId="276" priority="58" operator="equal">
      <formula>MIN($E$21:$E$30)</formula>
    </cfRule>
  </conditionalFormatting>
  <conditionalFormatting sqref="E45:E54">
    <cfRule type="cellIs" dxfId="275" priority="53" stopIfTrue="1" operator="lessThan">
      <formula>0</formula>
    </cfRule>
    <cfRule type="cellIs" dxfId="274" priority="54" operator="equal">
      <formula>MIN($E$45:$E$54)</formula>
    </cfRule>
  </conditionalFormatting>
  <conditionalFormatting sqref="F33:F42">
    <cfRule type="cellIs" dxfId="273" priority="43" operator="lessThanOrEqual">
      <formula>0</formula>
    </cfRule>
    <cfRule type="cellIs" dxfId="272" priority="44" operator="equal">
      <formula>MAX($F$33:$F$42)</formula>
    </cfRule>
  </conditionalFormatting>
  <conditionalFormatting sqref="R7:R16">
    <cfRule type="cellIs" dxfId="271" priority="29" operator="lessThanOrEqual">
      <formula>0</formula>
    </cfRule>
    <cfRule type="cellIs" dxfId="270" priority="30" operator="greaterThan">
      <formula>0</formula>
    </cfRule>
  </conditionalFormatting>
  <conditionalFormatting sqref="U7:U16">
    <cfRule type="cellIs" dxfId="269" priority="9" operator="lessThanOrEqual">
      <formula>0</formula>
    </cfRule>
    <cfRule type="cellIs" dxfId="268" priority="10" operator="greaterThan">
      <formula>0</formula>
    </cfRule>
  </conditionalFormatting>
  <conditionalFormatting sqref="S7:T16">
    <cfRule type="cellIs" dxfId="267" priority="1" operator="lessThanOrEqual">
      <formula>0</formula>
    </cfRule>
    <cfRule type="cellIs" dxfId="26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0.99999999999999822</v>
      </c>
    </row>
    <row r="2" spans="1:23">
      <c r="A2" t="s">
        <v>39</v>
      </c>
      <c r="B2" s="133" t="s">
        <v>124</v>
      </c>
      <c r="C2" s="139">
        <f>Analysis!B45</f>
        <v>0.34498195258060599</v>
      </c>
      <c r="D2" s="133" t="s">
        <v>125</v>
      </c>
      <c r="E2" s="139">
        <f>Analysis!L45</f>
        <v>0.65501804741939229</v>
      </c>
      <c r="F2" s="133" t="s">
        <v>46</v>
      </c>
      <c r="G2" s="139">
        <f>Analysis!S45</f>
        <v>523.14826086788321</v>
      </c>
      <c r="H2" t="s">
        <v>153</v>
      </c>
      <c r="I2" s="153">
        <f>Analysis!T45</f>
        <v>-523.83941683042167</v>
      </c>
      <c r="J2" t="s">
        <v>47</v>
      </c>
      <c r="K2" s="153">
        <f>G2*C2+I2*E2</f>
        <v>-162.64756345022539</v>
      </c>
      <c r="L2" t="s">
        <v>46</v>
      </c>
      <c r="M2" s="160">
        <v>3</v>
      </c>
      <c r="N2" t="s">
        <v>153</v>
      </c>
      <c r="O2" s="160">
        <v>7</v>
      </c>
    </row>
    <row r="4" spans="1:23">
      <c r="A4" t="s">
        <v>122</v>
      </c>
      <c r="B4">
        <f>$C$2</f>
        <v>0.34498195258060599</v>
      </c>
      <c r="C4" t="s">
        <v>123</v>
      </c>
      <c r="D4">
        <f>$E$2</f>
        <v>0.65501804741939229</v>
      </c>
      <c r="E4" t="s">
        <v>46</v>
      </c>
      <c r="F4">
        <f>G2</f>
        <v>523.14826086788321</v>
      </c>
      <c r="G4" t="s">
        <v>153</v>
      </c>
      <c r="H4">
        <f>I2</f>
        <v>-523.83941683042167</v>
      </c>
      <c r="I4" t="s">
        <v>47</v>
      </c>
      <c r="J4">
        <f>B4*F4+D4*H4</f>
        <v>-162.64756345022539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0.34498195258060599</v>
      </c>
      <c r="C7" s="95">
        <v>1</v>
      </c>
      <c r="D7" s="22">
        <f>C7*D4</f>
        <v>0.65501804741939229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0.99999999999999822</v>
      </c>
      <c r="R7" s="265">
        <f>B7-D7</f>
        <v>-0.3100360948387863</v>
      </c>
      <c r="S7" s="266">
        <f>IF(Rules!B20=Rules!D20,SUM(C7)*B4*F4,SUM(C7)*B4*F4*POWER(O2,A7-1))</f>
        <v>180.47670852335057</v>
      </c>
      <c r="T7" s="252">
        <f>IF(Rules!B20=Rules!D20,SUM(C7)*D4*H4,SUM(C7)*D4*H4*POWER(O2,A7-1))</f>
        <v>-343.12427197357596</v>
      </c>
      <c r="U7" s="263">
        <f>S7+T7</f>
        <v>-162.64756345022539</v>
      </c>
      <c r="V7" s="282">
        <f>S7/B4</f>
        <v>523.14826086788321</v>
      </c>
      <c r="W7" s="57">
        <f>T7/D4</f>
        <v>-523.83941683042167</v>
      </c>
    </row>
    <row r="8" spans="1:23">
      <c r="A8" s="98">
        <v>2</v>
      </c>
      <c r="B8" s="97">
        <f>C8*B4</f>
        <v>0.4456954993738223</v>
      </c>
      <c r="C8" s="97">
        <f>1/(1-B4*D4)</f>
        <v>1.2919385957434522</v>
      </c>
      <c r="D8" s="128">
        <f>C8*D4</f>
        <v>0.84624309636962758</v>
      </c>
      <c r="E8" s="1">
        <f>D8*D4</f>
        <v>0.55430450062617409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0.99999999999999645</v>
      </c>
      <c r="R8" s="267">
        <f>B8-E8</f>
        <v>-0.10860900125235179</v>
      </c>
      <c r="S8" s="268">
        <f>IF(Rules!B20=Rules!D20,SUM(C8:D8)*B4*F4,SUM(C8:D8)*B4*F4*POWER(O2,A8-1))</f>
        <v>385.8919940174568</v>
      </c>
      <c r="T8" s="253">
        <f>IF(Rules!B20=Rules!D20,SUM(C8:D8)*D4*H4,SUM(C8:D8)*D4*H4*POWER(O2,A8-1))</f>
        <v>-733.66203645352914</v>
      </c>
      <c r="U8" s="264">
        <f>S8+T8+U7</f>
        <v>-510.41760588629774</v>
      </c>
      <c r="V8" s="93">
        <f>S8/B4</f>
        <v>1118.5860336485052</v>
      </c>
      <c r="W8" s="9">
        <f>T8/D4</f>
        <v>-1120.0638506739999</v>
      </c>
    </row>
    <row r="9" spans="1:23">
      <c r="A9" s="98">
        <v>3</v>
      </c>
      <c r="B9" s="97">
        <f>C9*B4</f>
        <v>0.48722038866506362</v>
      </c>
      <c r="C9" s="97">
        <f>1/(1-D4*B4/(1-D4*B4))</f>
        <v>1.4123068903183369</v>
      </c>
      <c r="D9" s="128">
        <f>C9*D4*C8</f>
        <v>1.1951549558871495</v>
      </c>
      <c r="E9" s="1">
        <f>D9*(D4)</f>
        <v>0.78284806556881059</v>
      </c>
      <c r="F9" s="1">
        <f>E9*D4</f>
        <v>0.51277961133493066</v>
      </c>
      <c r="G9" s="1"/>
      <c r="H9" s="1"/>
      <c r="I9" s="1"/>
      <c r="J9" s="1"/>
      <c r="K9" s="1"/>
      <c r="L9" s="1"/>
      <c r="M9" s="235"/>
      <c r="N9" s="97">
        <f>B9+F9</f>
        <v>0.99999999999999423</v>
      </c>
      <c r="R9" s="267">
        <f>B9-F9</f>
        <v>-2.5559222669867043E-2</v>
      </c>
      <c r="S9" s="268">
        <f>IF(Rules!B20=Rules!D20,SUM(C9:E9)*B4*F4,SUM(C9:E9)*B4*F4*POWER(O2,A9-1))</f>
        <v>611.87197375111623</v>
      </c>
      <c r="T9" s="253">
        <f>IF(Rules!B20=Rules!D20,SUM(C9:E9)*D4*H4,SUM(C9:E9)*D4*H4*POWER(O2,A9-1))</f>
        <v>-1163.2976202423542</v>
      </c>
      <c r="U9" s="264">
        <f t="shared" ref="U9:U16" si="0">S9+T9+U8</f>
        <v>-1061.8432523775357</v>
      </c>
      <c r="V9" s="93">
        <f>S9/B4</f>
        <v>1773.6347341478702</v>
      </c>
      <c r="W9" s="9">
        <f>T9/D4</f>
        <v>-1775.9779670582461</v>
      </c>
    </row>
    <row r="10" spans="1:23">
      <c r="A10" s="98">
        <v>4</v>
      </c>
      <c r="B10" s="97">
        <f>C10*B4</f>
        <v>0.50668421411484144</v>
      </c>
      <c r="C10" s="97">
        <f>1/(1-D4*B4/(1-D4*B4/(1-D4*B4)))</f>
        <v>1.4687267270784354</v>
      </c>
      <c r="D10" s="128">
        <f>C10*D4*C9</f>
        <v>1.3586992698376481</v>
      </c>
      <c r="E10" s="1">
        <f>D10*D4*C8</f>
        <v>1.1497898771425634</v>
      </c>
      <c r="F10" s="1">
        <f>E10*D4</f>
        <v>0.75313312026850487</v>
      </c>
      <c r="G10" s="1">
        <f>F10*D4</f>
        <v>0.4933157858851504</v>
      </c>
      <c r="H10" s="1"/>
      <c r="I10" s="1"/>
      <c r="J10" s="1"/>
      <c r="K10" s="1"/>
      <c r="L10" s="1"/>
      <c r="M10" s="235"/>
      <c r="N10" s="97">
        <f>B10+G10</f>
        <v>0.99999999999999178</v>
      </c>
      <c r="R10" s="267">
        <f>B10-G10</f>
        <v>1.3368428229691032E-2</v>
      </c>
      <c r="S10" s="268">
        <f>IF(Rules!B20=Rules!D20,SUM(C10:F10)*B4*F4,SUM(C10:F10)*B4*F4*POWER(O2,A10-1))</f>
        <v>853.71781666290588</v>
      </c>
      <c r="T10" s="253">
        <f>IF(Rules!B20=Rules!D20,SUM(C10:F10)*D4*H4,SUM(C10:F10)*D4*H4*POWER(O2,A10-1))</f>
        <v>-1623.0975548594411</v>
      </c>
      <c r="U10" s="264">
        <f t="shared" si="0"/>
        <v>-1831.222990574071</v>
      </c>
      <c r="V10" s="93">
        <f>S10/B4</f>
        <v>2474.6738496803896</v>
      </c>
      <c r="W10" s="9">
        <f>T10/D4</f>
        <v>-2477.9432585927066</v>
      </c>
    </row>
    <row r="11" spans="1:23">
      <c r="A11" s="98">
        <v>5</v>
      </c>
      <c r="B11" s="97">
        <f>C11*B4</f>
        <v>0.51635293708605634</v>
      </c>
      <c r="C11" s="97">
        <f>1/(1-D4*B4/(1-D4*B4/(1-D4*B4/(1-D4*B4))))</f>
        <v>1.496753477170401</v>
      </c>
      <c r="D11" s="128">
        <f>C11*D4*C10</f>
        <v>1.439940476464006</v>
      </c>
      <c r="E11" s="1">
        <f>D11*D4*C9</f>
        <v>1.3320694979610312</v>
      </c>
      <c r="F11" s="1">
        <f>E11*D4*C8</f>
        <v>1.1272546165340784</v>
      </c>
      <c r="G11" s="1">
        <f>F11*D4</f>
        <v>0.73837211786664791</v>
      </c>
      <c r="H11" s="1">
        <f>G11*D4</f>
        <v>0.48364706291393311</v>
      </c>
      <c r="I11" s="1"/>
      <c r="J11" s="1"/>
      <c r="K11" s="1"/>
      <c r="L11" s="1"/>
      <c r="M11" s="235"/>
      <c r="N11" s="97">
        <f>B11+H11</f>
        <v>0.99999999999998945</v>
      </c>
      <c r="R11" s="267">
        <f>B11-H11</f>
        <v>3.2705874172123228E-2</v>
      </c>
      <c r="S11" s="268">
        <f>IF(Rules!B20=Rules!D20,SUM(C11:G11)*B4*F4,SUM(C11:G11)*B4*F4*POWER(O2,A11-1))</f>
        <v>1107.1145495665321</v>
      </c>
      <c r="T11" s="253">
        <f>IF(Rules!B20=Rules!D20,SUM(C11:G11)*D4*H4,SUM(C11:G11)*D4*H4*POWER(O2,A11-1))</f>
        <v>-2104.8581665717829</v>
      </c>
      <c r="U11" s="264">
        <f t="shared" si="0"/>
        <v>-2828.966607579322</v>
      </c>
      <c r="V11" s="93">
        <f>S11/B4</f>
        <v>3209.1955572889042</v>
      </c>
      <c r="W11" s="9">
        <f>T11/D4</f>
        <v>-3213.4353776424923</v>
      </c>
    </row>
    <row r="12" spans="1:23">
      <c r="A12" s="98">
        <v>6</v>
      </c>
      <c r="B12" s="97">
        <f>C12*B4</f>
        <v>0.52129440204530586</v>
      </c>
      <c r="C12" s="97">
        <f>1/(1-D4*B4/(1-D4*B4/(1-D4*B4/(1-D4*B4/(1-D4*B4)))))</f>
        <v>1.5110773133081621</v>
      </c>
      <c r="D12" s="128">
        <f>C12*D4*C11</f>
        <v>1.4814610140765185</v>
      </c>
      <c r="E12" s="1">
        <f>D12*D4*C10</f>
        <v>1.4252284768397645</v>
      </c>
      <c r="F12" s="1">
        <f>E12*D4*C9</f>
        <v>1.3184596256963175</v>
      </c>
      <c r="G12" s="1">
        <f>F12*D4*C8</f>
        <v>1.1157373560875918</v>
      </c>
      <c r="H12" s="1">
        <f>G12*D4</f>
        <v>0.73082810441736956</v>
      </c>
      <c r="I12" s="1">
        <f>H12*D4</f>
        <v>0.47870559795468115</v>
      </c>
      <c r="J12" s="1"/>
      <c r="K12" s="1"/>
      <c r="L12" s="1"/>
      <c r="M12" s="235"/>
      <c r="N12" s="97">
        <f>B12+I12</f>
        <v>0.99999999999998701</v>
      </c>
      <c r="R12" s="267">
        <f>B12-I12</f>
        <v>4.258880409062471E-2</v>
      </c>
      <c r="S12" s="268">
        <f>IF(Rules!B20=Rules!D20,SUM(C12:H12)*B4*F4,SUM(C12:H12)*B4*F4*POWER(O2,A12-1))</f>
        <v>1368.51732180159</v>
      </c>
      <c r="T12" s="253">
        <f>IF(Rules!B20=Rules!D20,SUM(C12:H12)*D4*H4,SUM(C12:H12)*D4*H4*POWER(O2,A12-1))</f>
        <v>-2601.8399469294623</v>
      </c>
      <c r="U12" s="264">
        <f t="shared" si="0"/>
        <v>-4062.2892327071941</v>
      </c>
      <c r="V12" s="93">
        <f>S12/B4</f>
        <v>3966.9243899993062</v>
      </c>
      <c r="W12" s="9">
        <f>T12/D4</f>
        <v>-3972.1652818270622</v>
      </c>
    </row>
    <row r="13" spans="1:23">
      <c r="A13" s="98">
        <v>7</v>
      </c>
      <c r="B13" s="97">
        <f>C13*B4</f>
        <v>0.52385657279445319</v>
      </c>
      <c r="C13" s="97">
        <f>1/(1-D4*B4/(1-D4*B4/(1-D4*B4/(1-D4*B4/(1-D4*B4/(1-D4*B4))))))</f>
        <v>1.5185042837046747</v>
      </c>
      <c r="D13" s="128">
        <f>C13*D4*C12</f>
        <v>1.5029895906903272</v>
      </c>
      <c r="E13" s="1">
        <f>D13*D4*C11</f>
        <v>1.4735318064539409</v>
      </c>
      <c r="F13" s="1">
        <f>E13*D4*C10</f>
        <v>1.4176002420127296</v>
      </c>
      <c r="G13" s="1">
        <f>F13*D4*C9</f>
        <v>1.3114028486263862</v>
      </c>
      <c r="H13" s="1">
        <f>G13*D4*C8</f>
        <v>1.1097656072095432</v>
      </c>
      <c r="I13" s="1">
        <f>H13*D4</f>
        <v>0.72691650112759121</v>
      </c>
      <c r="J13" s="1">
        <f>I13*D4</f>
        <v>0.47614342720553127</v>
      </c>
      <c r="K13" s="1"/>
      <c r="L13" s="1"/>
      <c r="M13" s="235"/>
      <c r="N13" s="97">
        <f>B13+J13</f>
        <v>0.99999999999998446</v>
      </c>
      <c r="R13" s="267">
        <f>B13-J13</f>
        <v>4.7713145588921924E-2</v>
      </c>
      <c r="S13" s="268">
        <f>IF(Rules!B20=Rules!D20,SUM(C13:I13)*B4*F4,SUM(C13:I13)*B4*F4*POWER(O2,A13-1))</f>
        <v>1635.247276472563</v>
      </c>
      <c r="T13" s="253">
        <f>IF(Rules!B20=Rules!D20,SUM(C13:I13)*D4*H4,SUM(C13:I13)*D4*H4*POWER(O2,A13-1))</f>
        <v>-3108.9498242030786</v>
      </c>
      <c r="U13" s="264">
        <f t="shared" si="0"/>
        <v>-5535.9917804377092</v>
      </c>
      <c r="V13" s="93">
        <f>S13/B4</f>
        <v>4740.0951390072587</v>
      </c>
      <c r="W13" s="9">
        <f>T13/D4</f>
        <v>-4746.3575033566867</v>
      </c>
    </row>
    <row r="14" spans="1:23">
      <c r="A14" s="98">
        <v>8</v>
      </c>
      <c r="B14" s="97">
        <f>C14*B4</f>
        <v>0.52519500983575218</v>
      </c>
      <c r="C14" s="97">
        <f>1/(1-D4*B4/(1-D4*B4/(1-D4*B4/(1-D4*B4/(1-D4*B4/(1-D4*B4/(1-D4*B4)))))))</f>
        <v>1.5223840143146008</v>
      </c>
      <c r="D14" s="128">
        <f>C14*D4*C13</f>
        <v>1.5142357749643276</v>
      </c>
      <c r="E14" s="1">
        <f>D14*D4*C12</f>
        <v>1.4987646936825554</v>
      </c>
      <c r="F14" s="1">
        <f>E14*D4*C11</f>
        <v>1.4693897151457207</v>
      </c>
      <c r="G14" s="1">
        <f>F14*D4*C10</f>
        <v>1.4136153740816451</v>
      </c>
      <c r="H14" s="1">
        <f>G14*D4*C9</f>
        <v>1.307716501092469</v>
      </c>
      <c r="I14" s="1">
        <f>H14*D4*C8</f>
        <v>1.1066460610581463</v>
      </c>
      <c r="J14" s="1">
        <f>I14*D4</f>
        <v>0.7248731420986686</v>
      </c>
      <c r="K14" s="1">
        <f>J14*D4</f>
        <v>0.47480499016422961</v>
      </c>
      <c r="L14" s="1"/>
      <c r="M14" s="235"/>
      <c r="N14" s="97">
        <f>B14+K14</f>
        <v>0.99999999999998179</v>
      </c>
      <c r="R14" s="267">
        <f>B14-K14</f>
        <v>5.0390019671522568E-2</v>
      </c>
      <c r="S14" s="268">
        <f>IF(Rules!B20=Rules!D20,SUM(C14:J14)*B4*F4,SUM(C14:J14)*B4*F4*POWER(O2,A14-1))</f>
        <v>1905.4054597144839</v>
      </c>
      <c r="T14" s="253">
        <f>IF(Rules!B20=Rules!D20,SUM(C14:J14)*D4*H4,SUM(C14:J14)*D4*H4*POWER(O2,A14-1))</f>
        <v>-3622.5774867476584</v>
      </c>
      <c r="U14" s="264">
        <f t="shared" si="0"/>
        <v>-7253.1638074708835</v>
      </c>
      <c r="V14" s="93">
        <f>S14/B4</f>
        <v>5523.203302263415</v>
      </c>
      <c r="W14" s="9">
        <f>T14/D4</f>
        <v>-5530.5002679234722</v>
      </c>
    </row>
    <row r="15" spans="1:23">
      <c r="A15" s="98">
        <v>9</v>
      </c>
      <c r="B15" s="97">
        <f>C15*B4</f>
        <v>0.52589691113826187</v>
      </c>
      <c r="C15" s="97">
        <f>1/(1-D4*B4/(1-D4*B4/(1-D4*B4/(1-D4*B4/(1-D4*B4/(1-D4*B4/(1-D4*B4/(1-D4*B4))))))))</f>
        <v>1.5244186172764636</v>
      </c>
      <c r="D15" s="128">
        <f>C15*D4*C14</f>
        <v>1.5201334833709357</v>
      </c>
      <c r="E15" s="1">
        <f>D15*D4*C13</f>
        <v>1.5119972895128786</v>
      </c>
      <c r="F15" s="1">
        <f>E15*D4*C12</f>
        <v>1.4965490790356009</v>
      </c>
      <c r="G15" s="1">
        <f>F15*D4*C11</f>
        <v>1.4672175253492277</v>
      </c>
      <c r="H15" s="1">
        <f>G15*D4*C10</f>
        <v>1.4115256351511929</v>
      </c>
      <c r="I15" s="1">
        <f>H15*D4*C9</f>
        <v>1.3057833118159281</v>
      </c>
      <c r="J15" s="1">
        <f>I15*D4*C8</f>
        <v>1.1050101129788981</v>
      </c>
      <c r="K15" s="1">
        <f>J15*D4</f>
        <v>0.72380156658211992</v>
      </c>
      <c r="L15" s="1">
        <f>K15*D4</f>
        <v>0.47410308886171743</v>
      </c>
      <c r="M15" s="235"/>
      <c r="N15" s="97">
        <f>B15+L15</f>
        <v>0.99999999999997935</v>
      </c>
      <c r="R15" s="267">
        <f>B15-L15</f>
        <v>5.1793822276544443E-2</v>
      </c>
      <c r="S15" s="268">
        <f>IF(Rules!B20=Rules!D20,SUM(C15:K15)*B4*F4,SUM(C15:K15)*B4*F4*POWER(O2,A15-1))</f>
        <v>2177.7107649769191</v>
      </c>
      <c r="T15" s="253">
        <f>IF(Rules!B20=Rules!D20,SUM(C15:K15)*D4*H4,SUM(C15:K15)*D4*H4*POWER(O2,A15-1))</f>
        <v>-4140.2872809210521</v>
      </c>
      <c r="U15" s="264">
        <f t="shared" si="0"/>
        <v>-9215.740323415017</v>
      </c>
      <c r="V15" s="93">
        <f>S15/B4</f>
        <v>6312.5353331870047</v>
      </c>
      <c r="W15" s="9">
        <f>T15/D4</f>
        <v>-6320.8751228042511</v>
      </c>
    </row>
    <row r="16" spans="1:23" ht="17" thickBot="1">
      <c r="A16" s="99">
        <v>10</v>
      </c>
      <c r="B16" s="129">
        <f>C16*B4</f>
        <v>0.52626575169287348</v>
      </c>
      <c r="C16" s="129">
        <f>1/(1-D4*B4/(1-D4*B4/(1-D4*B4/(1-D4*B4/(1-D4*B4/(1-D4*B4/(1-D4*B4/(1-D4*B4/(1-D4*B4)))))))))</f>
        <v>1.5254877762624699</v>
      </c>
      <c r="D16" s="137">
        <f>C16*D4*C15</f>
        <v>1.5232326570465688</v>
      </c>
      <c r="E16" s="109">
        <f>D16*D4*C14</f>
        <v>1.5189508568699355</v>
      </c>
      <c r="F16" s="109">
        <f>E16*D4*C13</f>
        <v>1.510820992770797</v>
      </c>
      <c r="G16" s="109">
        <f>F16*D4*C12</f>
        <v>1.4953848006217141</v>
      </c>
      <c r="H16" s="109">
        <f>G16*D4*C11</f>
        <v>1.4660760661634447</v>
      </c>
      <c r="I16" s="109">
        <f>H16*D4*C10</f>
        <v>1.4104275028876569</v>
      </c>
      <c r="J16" s="109">
        <f>I16*D4*C9</f>
        <v>1.3047674444819011</v>
      </c>
      <c r="K16" s="109">
        <f>J16*D4*C8</f>
        <v>1.1041504422606501</v>
      </c>
      <c r="L16" s="109">
        <f>K16*D4</f>
        <v>0.72323846674682946</v>
      </c>
      <c r="M16" s="237">
        <f>L16*D4</f>
        <v>0.47373424830710331</v>
      </c>
      <c r="N16" s="129">
        <f>B16+M16</f>
        <v>0.9999999999999768</v>
      </c>
      <c r="R16" s="269">
        <f>B16-M16</f>
        <v>5.2531503385770173E-2</v>
      </c>
      <c r="S16" s="270">
        <f>IF(Rules!B20=Rules!D20,SUM(C16:L16)*B4*F4,SUM(C16:L16)*B4*F4*POWER(O2,A16-1))</f>
        <v>2451.3315722596926</v>
      </c>
      <c r="T16" s="254">
        <f>IF(Rules!B20=Rules!D20,SUM(C16:L16)*D4*H4,SUM(C16:L16)*D4*H4*POWER(O2,A16-1))</f>
        <v>-4660.4981217763234</v>
      </c>
      <c r="U16" s="264">
        <f t="shared" si="0"/>
        <v>-11424.906872931648</v>
      </c>
      <c r="V16" s="94">
        <f>S16/B4</f>
        <v>7105.6806129211418</v>
      </c>
      <c r="W16" s="10">
        <f>T16/D4</f>
        <v>-7115.0682643593154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7</v>
      </c>
      <c r="D21" s="57">
        <f>SUM($C$21:C21)</f>
        <v>7</v>
      </c>
      <c r="E21" s="57">
        <f t="shared" ref="E21:E30" si="2">D21/R7</f>
        <v>-22.578016290780226</v>
      </c>
      <c r="F21" s="8">
        <f t="shared" ref="F21:F30" si="3">U7/E21</f>
        <v>7.2038022010216558</v>
      </c>
      <c r="G21" s="256">
        <f>E21*U7</f>
        <v>3672.2593372348992</v>
      </c>
    </row>
    <row r="22" spans="1:7">
      <c r="A22" s="97">
        <v>2</v>
      </c>
      <c r="B22" s="93">
        <f>C21</f>
        <v>7</v>
      </c>
      <c r="C22" s="1">
        <f t="shared" si="1"/>
        <v>49</v>
      </c>
      <c r="D22" s="9">
        <f>SUM($C$21:C22)</f>
        <v>56</v>
      </c>
      <c r="E22" s="9">
        <f t="shared" si="2"/>
        <v>-515.61103917975117</v>
      </c>
      <c r="F22" s="9">
        <f t="shared" si="3"/>
        <v>0.98992761423084485</v>
      </c>
      <c r="G22" s="257">
        <f t="shared" ref="G22:G30" si="4">E22*U8</f>
        <v>263176.95218667464</v>
      </c>
    </row>
    <row r="23" spans="1:7">
      <c r="A23" s="97">
        <v>3</v>
      </c>
      <c r="B23" s="93">
        <f t="shared" ref="B23:B30" si="5">C22</f>
        <v>49</v>
      </c>
      <c r="C23" s="1">
        <f t="shared" si="1"/>
        <v>343</v>
      </c>
      <c r="D23" s="9">
        <f>SUM($C$21:C23)</f>
        <v>399</v>
      </c>
      <c r="E23" s="9">
        <f t="shared" si="2"/>
        <v>-15610.803393891931</v>
      </c>
      <c r="F23" s="9">
        <f t="shared" si="3"/>
        <v>6.8019769744394137E-2</v>
      </c>
      <c r="G23" s="257">
        <f t="shared" si="4"/>
        <v>16576226.247996479</v>
      </c>
    </row>
    <row r="24" spans="1:7">
      <c r="A24" s="97">
        <v>4</v>
      </c>
      <c r="B24" s="93">
        <f t="shared" si="5"/>
        <v>343</v>
      </c>
      <c r="C24" s="1">
        <f t="shared" si="1"/>
        <v>2401</v>
      </c>
      <c r="D24" s="9">
        <f>SUM($C$21:C24)</f>
        <v>2800</v>
      </c>
      <c r="E24" s="9">
        <f t="shared" si="2"/>
        <v>209448.706451612</v>
      </c>
      <c r="F24" s="9">
        <f t="shared" si="3"/>
        <v>-8.7430618293034452E-3</v>
      </c>
      <c r="G24" s="257">
        <f t="shared" si="4"/>
        <v>-383547286.60019165</v>
      </c>
    </row>
    <row r="25" spans="1:7">
      <c r="A25" s="97">
        <v>5</v>
      </c>
      <c r="B25" s="93">
        <f t="shared" si="5"/>
        <v>2401</v>
      </c>
      <c r="C25" s="1">
        <f t="shared" si="1"/>
        <v>16807</v>
      </c>
      <c r="D25" s="9">
        <f>SUM($C$21:C25)</f>
        <v>19607</v>
      </c>
      <c r="E25" s="9">
        <f t="shared" si="2"/>
        <v>599494.75426992192</v>
      </c>
      <c r="F25" s="9">
        <f t="shared" si="3"/>
        <v>-4.7189180346114967E-3</v>
      </c>
      <c r="G25" s="257">
        <f t="shared" si="4"/>
        <v>-1695950641.2485802</v>
      </c>
    </row>
    <row r="26" spans="1:7">
      <c r="A26" s="97">
        <v>6</v>
      </c>
      <c r="B26" s="93">
        <f t="shared" si="5"/>
        <v>16807</v>
      </c>
      <c r="C26" s="1">
        <f t="shared" si="1"/>
        <v>117649</v>
      </c>
      <c r="D26" s="9">
        <f>SUM($C$21:C26)</f>
        <v>137256</v>
      </c>
      <c r="E26" s="9">
        <f t="shared" si="2"/>
        <v>3222818.8353900001</v>
      </c>
      <c r="F26" s="9">
        <f t="shared" si="3"/>
        <v>-1.2604770668766456E-3</v>
      </c>
      <c r="G26" s="257">
        <f t="shared" si="4"/>
        <v>-13092022253.970736</v>
      </c>
    </row>
    <row r="27" spans="1:7">
      <c r="A27" s="97">
        <v>7</v>
      </c>
      <c r="B27" s="93">
        <f t="shared" si="5"/>
        <v>117649</v>
      </c>
      <c r="C27" s="1">
        <f t="shared" si="1"/>
        <v>823543</v>
      </c>
      <c r="D27" s="9">
        <f>SUM($C$21:C27)</f>
        <v>960799</v>
      </c>
      <c r="E27" s="9">
        <f t="shared" si="2"/>
        <v>20136987.158169657</v>
      </c>
      <c r="F27" s="9">
        <f t="shared" si="3"/>
        <v>-2.7491658692307079E-4</v>
      </c>
      <c r="G27" s="257">
        <f t="shared" si="4"/>
        <v>-111478195390.40692</v>
      </c>
    </row>
    <row r="28" spans="1:7">
      <c r="A28" s="97">
        <v>8</v>
      </c>
      <c r="B28" s="93">
        <f t="shared" si="5"/>
        <v>823543</v>
      </c>
      <c r="C28" s="1">
        <f t="shared" si="1"/>
        <v>5764801</v>
      </c>
      <c r="D28" s="9">
        <f>SUM($C$21:C28)</f>
        <v>6725600</v>
      </c>
      <c r="E28" s="9">
        <f t="shared" si="2"/>
        <v>133470874.66609797</v>
      </c>
      <c r="F28" s="9">
        <f t="shared" si="3"/>
        <v>-5.4342670830741253E-5</v>
      </c>
      <c r="G28" s="257">
        <f t="shared" si="4"/>
        <v>-968086117479.62427</v>
      </c>
    </row>
    <row r="29" spans="1:7">
      <c r="A29" s="97">
        <v>9</v>
      </c>
      <c r="B29" s="93">
        <f t="shared" si="5"/>
        <v>5764801</v>
      </c>
      <c r="C29" s="1">
        <f t="shared" si="1"/>
        <v>40353607</v>
      </c>
      <c r="D29" s="9">
        <f>SUM($C$21:C29)</f>
        <v>47079207</v>
      </c>
      <c r="E29" s="9">
        <f t="shared" si="2"/>
        <v>908973405.14141738</v>
      </c>
      <c r="F29" s="9">
        <f t="shared" si="3"/>
        <v>-1.013862481706078E-5</v>
      </c>
      <c r="G29" s="257">
        <f t="shared" si="4"/>
        <v>-8376862862673.6152</v>
      </c>
    </row>
    <row r="30" spans="1:7" ht="17" thickBot="1">
      <c r="A30" s="129">
        <v>10</v>
      </c>
      <c r="B30" s="94">
        <f t="shared" si="5"/>
        <v>40353607</v>
      </c>
      <c r="C30" s="109">
        <f t="shared" si="1"/>
        <v>282475249</v>
      </c>
      <c r="D30" s="10">
        <f>SUM($C$21:C30)</f>
        <v>329554456</v>
      </c>
      <c r="E30" s="10">
        <f t="shared" si="2"/>
        <v>6273463250.8018093</v>
      </c>
      <c r="F30" s="10">
        <f t="shared" si="3"/>
        <v>-1.8211482902161631E-6</v>
      </c>
      <c r="G30" s="258">
        <f t="shared" si="4"/>
        <v>-71673733411169.703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7</v>
      </c>
      <c r="D33" s="57">
        <f>SUM($C$33:C33)</f>
        <v>7</v>
      </c>
      <c r="E33" s="9">
        <f t="shared" ref="E33:E42" si="7">D33/R7</f>
        <v>-22.578016290780226</v>
      </c>
      <c r="F33" s="8">
        <f t="shared" ref="F33:F42" si="8">U7/E33</f>
        <v>7.2038022010216558</v>
      </c>
      <c r="G33" s="259">
        <f>E33*U7</f>
        <v>3672.2593372348992</v>
      </c>
    </row>
    <row r="34" spans="1:7">
      <c r="A34" s="97">
        <v>2</v>
      </c>
      <c r="B34" s="93">
        <f t="shared" ref="B34:B42" si="9">B33*($O$2+1)</f>
        <v>8</v>
      </c>
      <c r="C34" s="1">
        <f t="shared" si="6"/>
        <v>56</v>
      </c>
      <c r="D34" s="9">
        <f>SUM($C$33:C34)</f>
        <v>63</v>
      </c>
      <c r="E34" s="9">
        <f t="shared" si="7"/>
        <v>-580.06241907722006</v>
      </c>
      <c r="F34" s="9">
        <f t="shared" si="8"/>
        <v>0.87993565709408428</v>
      </c>
      <c r="G34" s="257">
        <f t="shared" ref="G34:G42" si="10">E34*U8</f>
        <v>296074.07121000899</v>
      </c>
    </row>
    <row r="35" spans="1:7">
      <c r="A35" s="97">
        <v>3</v>
      </c>
      <c r="B35" s="93">
        <f t="shared" si="9"/>
        <v>64</v>
      </c>
      <c r="C35" s="1">
        <f t="shared" si="6"/>
        <v>448</v>
      </c>
      <c r="D35" s="9">
        <f>SUM($C$33:C35)</f>
        <v>511</v>
      </c>
      <c r="E35" s="9">
        <f t="shared" si="7"/>
        <v>-19992.78329393177</v>
      </c>
      <c r="F35" s="9">
        <f t="shared" si="8"/>
        <v>5.3111327060691313E-2</v>
      </c>
      <c r="G35" s="257">
        <f t="shared" si="10"/>
        <v>21229202.036907773</v>
      </c>
    </row>
    <row r="36" spans="1:7">
      <c r="A36" s="97">
        <v>4</v>
      </c>
      <c r="B36" s="93">
        <f t="shared" si="9"/>
        <v>512</v>
      </c>
      <c r="C36" s="1">
        <f t="shared" si="6"/>
        <v>3584</v>
      </c>
      <c r="D36" s="9">
        <f>SUM($C$33:C36)</f>
        <v>4095</v>
      </c>
      <c r="E36" s="9">
        <f t="shared" si="7"/>
        <v>306318.73318548256</v>
      </c>
      <c r="F36" s="9">
        <f t="shared" si="8"/>
        <v>-5.9781619345664573E-3</v>
      </c>
      <c r="G36" s="257">
        <f t="shared" si="10"/>
        <v>-560937906.65278029</v>
      </c>
    </row>
    <row r="37" spans="1:7">
      <c r="A37" s="97">
        <v>5</v>
      </c>
      <c r="B37" s="93">
        <f t="shared" si="9"/>
        <v>4096</v>
      </c>
      <c r="C37" s="1">
        <f t="shared" si="6"/>
        <v>28672</v>
      </c>
      <c r="D37" s="9">
        <f>SUM($C$33:C37)</f>
        <v>32767</v>
      </c>
      <c r="E37" s="9">
        <f t="shared" si="7"/>
        <v>1001868.9556363814</v>
      </c>
      <c r="F37" s="9">
        <f t="shared" si="8"/>
        <v>-2.8236892576258923E-3</v>
      </c>
      <c r="G37" s="257">
        <f t="shared" si="10"/>
        <v>-2834253820.6656923</v>
      </c>
    </row>
    <row r="38" spans="1:7">
      <c r="A38" s="97">
        <v>6</v>
      </c>
      <c r="B38" s="93">
        <f t="shared" si="9"/>
        <v>32768</v>
      </c>
      <c r="C38" s="1">
        <f t="shared" si="6"/>
        <v>229376</v>
      </c>
      <c r="D38" s="9">
        <f>SUM($C$33:C38)</f>
        <v>262143</v>
      </c>
      <c r="E38" s="9">
        <f t="shared" si="7"/>
        <v>6155209.2292186916</v>
      </c>
      <c r="F38" s="9">
        <f t="shared" si="8"/>
        <v>-6.5997581583800017E-4</v>
      </c>
      <c r="G38" s="257">
        <f t="shared" si="10"/>
        <v>-25004240176.915039</v>
      </c>
    </row>
    <row r="39" spans="1:7">
      <c r="A39" s="97">
        <v>7</v>
      </c>
      <c r="B39" s="93">
        <f t="shared" si="9"/>
        <v>262144</v>
      </c>
      <c r="C39" s="1">
        <f t="shared" si="6"/>
        <v>1835008</v>
      </c>
      <c r="D39" s="9">
        <f>SUM($C$33:C39)</f>
        <v>2097151</v>
      </c>
      <c r="E39" s="9">
        <f t="shared" si="7"/>
        <v>43953316.724666297</v>
      </c>
      <c r="F39" s="9">
        <f t="shared" si="8"/>
        <v>-1.2595162761246069E-4</v>
      </c>
      <c r="G39" s="257">
        <f t="shared" si="10"/>
        <v>-243325200110.72791</v>
      </c>
    </row>
    <row r="40" spans="1:7">
      <c r="A40" s="97">
        <v>8</v>
      </c>
      <c r="B40" s="93">
        <f t="shared" si="9"/>
        <v>2097152</v>
      </c>
      <c r="C40" s="1">
        <f t="shared" si="6"/>
        <v>14680064</v>
      </c>
      <c r="D40" s="9">
        <f>SUM($C$33:C40)</f>
        <v>16777215</v>
      </c>
      <c r="E40" s="9">
        <f t="shared" si="7"/>
        <v>332947180.99666631</v>
      </c>
      <c r="F40" s="9">
        <f t="shared" si="8"/>
        <v>-2.1784728093383399E-5</v>
      </c>
      <c r="G40" s="257">
        <f t="shared" si="10"/>
        <v>-2414920443004.4775</v>
      </c>
    </row>
    <row r="41" spans="1:7">
      <c r="A41" s="97">
        <v>9</v>
      </c>
      <c r="B41" s="93">
        <f t="shared" si="9"/>
        <v>16777216</v>
      </c>
      <c r="C41" s="1">
        <f t="shared" si="6"/>
        <v>117440512</v>
      </c>
      <c r="D41" s="9">
        <f>SUM($C$33:C41)</f>
        <v>134217727</v>
      </c>
      <c r="E41" s="9">
        <f t="shared" si="7"/>
        <v>2591384862.1437306</v>
      </c>
      <c r="F41" s="9">
        <f t="shared" si="8"/>
        <v>-3.5562993587109518E-6</v>
      </c>
      <c r="G41" s="257">
        <f t="shared" si="10"/>
        <v>-23881529967545.242</v>
      </c>
    </row>
    <row r="42" spans="1:7" ht="17" thickBot="1">
      <c r="A42" s="129">
        <v>10</v>
      </c>
      <c r="B42" s="94">
        <f t="shared" si="9"/>
        <v>134217728</v>
      </c>
      <c r="C42" s="109">
        <f t="shared" si="6"/>
        <v>939524096</v>
      </c>
      <c r="D42" s="10">
        <f>SUM($C$33:C42)</f>
        <v>1073741823</v>
      </c>
      <c r="E42" s="9">
        <f t="shared" si="7"/>
        <v>20439959905.865879</v>
      </c>
      <c r="F42" s="10">
        <f t="shared" si="8"/>
        <v>-5.5894957355825919E-7</v>
      </c>
      <c r="G42" s="258">
        <f t="shared" si="10"/>
        <v>-233524638410974.41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7</v>
      </c>
      <c r="D45" s="57">
        <f>SUM(C45:C45)</f>
        <v>7</v>
      </c>
      <c r="E45" s="57">
        <f t="shared" ref="E45:E54" si="12">D45/R7</f>
        <v>-22.578016290780226</v>
      </c>
      <c r="F45" s="8">
        <f t="shared" ref="F45:F54" si="13">U7/E45</f>
        <v>7.2038022010216558</v>
      </c>
      <c r="G45" s="256">
        <f>E45*U7</f>
        <v>3672.2593372348992</v>
      </c>
    </row>
    <row r="46" spans="1:7">
      <c r="A46" s="97">
        <v>2</v>
      </c>
      <c r="B46" s="93">
        <f t="shared" ref="B46:B54" si="14">B45*$O$2*2</f>
        <v>14</v>
      </c>
      <c r="C46" s="1">
        <f t="shared" si="11"/>
        <v>98</v>
      </c>
      <c r="D46" s="9">
        <f>SUM($C$45:C46)</f>
        <v>105</v>
      </c>
      <c r="E46" s="9">
        <f t="shared" si="12"/>
        <v>-966.77069846203335</v>
      </c>
      <c r="F46" s="9">
        <f t="shared" si="13"/>
        <v>0.52796139425645061</v>
      </c>
      <c r="G46" s="257">
        <f t="shared" ref="G46:G54" si="15">E46*U8</f>
        <v>493456.78535001492</v>
      </c>
    </row>
    <row r="47" spans="1:7">
      <c r="A47" s="97">
        <v>3</v>
      </c>
      <c r="B47" s="93">
        <f t="shared" si="14"/>
        <v>196</v>
      </c>
      <c r="C47" s="1">
        <f t="shared" si="11"/>
        <v>1372</v>
      </c>
      <c r="D47" s="9">
        <f>SUM($C$45:C47)</f>
        <v>1477</v>
      </c>
      <c r="E47" s="9">
        <f t="shared" si="12"/>
        <v>-57787.359931775391</v>
      </c>
      <c r="F47" s="9">
        <f t="shared" si="13"/>
        <v>1.8375008888296046E-2</v>
      </c>
      <c r="G47" s="257">
        <f t="shared" si="15"/>
        <v>61361118.216267668</v>
      </c>
    </row>
    <row r="48" spans="1:7">
      <c r="A48" s="97">
        <v>4</v>
      </c>
      <c r="B48" s="93">
        <f t="shared" si="14"/>
        <v>2744</v>
      </c>
      <c r="C48" s="1">
        <f t="shared" si="11"/>
        <v>19208</v>
      </c>
      <c r="D48" s="9">
        <f>SUM($C$45:C48)</f>
        <v>20685</v>
      </c>
      <c r="E48" s="9">
        <f t="shared" si="12"/>
        <v>1547302.3189112837</v>
      </c>
      <c r="F48" s="9">
        <f t="shared" si="13"/>
        <v>-1.1834939870461515E-3</v>
      </c>
      <c r="G48" s="257">
        <f t="shared" si="15"/>
        <v>-2833455579.7589159</v>
      </c>
    </row>
    <row r="49" spans="1:7">
      <c r="A49" s="97">
        <v>5</v>
      </c>
      <c r="B49" s="93">
        <f t="shared" si="14"/>
        <v>38416</v>
      </c>
      <c r="C49" s="1">
        <f t="shared" si="11"/>
        <v>268912</v>
      </c>
      <c r="D49" s="9">
        <f>SUM($C$45:C49)</f>
        <v>289597</v>
      </c>
      <c r="E49" s="9">
        <f t="shared" si="12"/>
        <v>8854586.747197764</v>
      </c>
      <c r="F49" s="9">
        <f t="shared" si="13"/>
        <v>-3.1949165876935057E-4</v>
      </c>
      <c r="G49" s="257">
        <f t="shared" si="15"/>
        <v>-25049330231.736881</v>
      </c>
    </row>
    <row r="50" spans="1:7">
      <c r="A50" s="97">
        <v>6</v>
      </c>
      <c r="B50" s="93">
        <f t="shared" si="14"/>
        <v>537824</v>
      </c>
      <c r="C50" s="1">
        <f t="shared" si="11"/>
        <v>3764768</v>
      </c>
      <c r="D50" s="9">
        <f>SUM($C$45:C50)</f>
        <v>4054365</v>
      </c>
      <c r="E50" s="9">
        <f t="shared" si="12"/>
        <v>95197906.740295351</v>
      </c>
      <c r="F50" s="9">
        <f t="shared" si="13"/>
        <v>-4.2672043659419132E-5</v>
      </c>
      <c r="G50" s="257">
        <f t="shared" si="15"/>
        <v>-386721431527.36542</v>
      </c>
    </row>
    <row r="51" spans="1:7">
      <c r="A51" s="97">
        <v>7</v>
      </c>
      <c r="B51" s="93">
        <f t="shared" si="14"/>
        <v>7529536</v>
      </c>
      <c r="C51" s="1">
        <f t="shared" si="11"/>
        <v>52706752</v>
      </c>
      <c r="D51" s="9">
        <f>SUM($C$45:C51)</f>
        <v>56761117</v>
      </c>
      <c r="E51" s="9">
        <f t="shared" si="12"/>
        <v>1189632674.5889258</v>
      </c>
      <c r="F51" s="9">
        <f t="shared" si="13"/>
        <v>-4.6535303700788607E-6</v>
      </c>
      <c r="G51" s="257">
        <f t="shared" si="15"/>
        <v>-6585796708264.4219</v>
      </c>
    </row>
    <row r="52" spans="1:7">
      <c r="A52" s="97">
        <v>8</v>
      </c>
      <c r="B52" s="93">
        <f t="shared" si="14"/>
        <v>105413504</v>
      </c>
      <c r="C52" s="1">
        <f t="shared" si="11"/>
        <v>737894528</v>
      </c>
      <c r="D52" s="9">
        <f>SUM($C$45:C52)</f>
        <v>794655645</v>
      </c>
      <c r="E52" s="9">
        <f t="shared" si="12"/>
        <v>15770099916.215988</v>
      </c>
      <c r="F52" s="9">
        <f t="shared" si="13"/>
        <v>-4.5993137938286883E-7</v>
      </c>
      <c r="G52" s="257">
        <f t="shared" si="15"/>
        <v>-114383117952497.42</v>
      </c>
    </row>
    <row r="53" spans="1:7">
      <c r="A53" s="97">
        <v>9</v>
      </c>
      <c r="B53" s="93">
        <f t="shared" si="14"/>
        <v>1475789056</v>
      </c>
      <c r="C53" s="1">
        <f t="shared" si="11"/>
        <v>10330523392</v>
      </c>
      <c r="D53" s="9">
        <f>SUM($C$45:C53)</f>
        <v>11125179037</v>
      </c>
      <c r="E53" s="9">
        <f t="shared" si="12"/>
        <v>214797413050.51727</v>
      </c>
      <c r="F53" s="9">
        <f t="shared" si="13"/>
        <v>-4.2904335729814429E-8</v>
      </c>
      <c r="G53" s="257">
        <f t="shared" si="15"/>
        <v>-1979517180814883</v>
      </c>
    </row>
    <row r="54" spans="1:7" ht="17" thickBot="1">
      <c r="A54" s="129">
        <v>10</v>
      </c>
      <c r="B54" s="94">
        <f t="shared" si="14"/>
        <v>20661046784</v>
      </c>
      <c r="C54" s="109">
        <f t="shared" si="11"/>
        <v>144627327488</v>
      </c>
      <c r="D54" s="10">
        <f>SUM($C$45:C54)</f>
        <v>155752506525</v>
      </c>
      <c r="E54" s="10">
        <f t="shared" si="12"/>
        <v>2964935257634.1934</v>
      </c>
      <c r="F54" s="10">
        <f t="shared" si="13"/>
        <v>-3.8533410952277951E-9</v>
      </c>
      <c r="G54" s="258">
        <f t="shared" si="15"/>
        <v>-3.387410920274226E+16</v>
      </c>
    </row>
  </sheetData>
  <mergeCells count="1">
    <mergeCell ref="A18:F18"/>
  </mergeCells>
  <conditionalFormatting sqref="F45:F54">
    <cfRule type="cellIs" dxfId="265" priority="65" operator="equal">
      <formula>MAX($F$45:$F$54)</formula>
    </cfRule>
  </conditionalFormatting>
  <conditionalFormatting sqref="F21:F30">
    <cfRule type="cellIs" dxfId="264" priority="63" operator="equal">
      <formula>MAX($F$21:$F$30)</formula>
    </cfRule>
  </conditionalFormatting>
  <conditionalFormatting sqref="E33:E42">
    <cfRule type="cellIs" dxfId="263" priority="61" stopIfTrue="1" operator="lessThan">
      <formula>0</formula>
    </cfRule>
    <cfRule type="cellIs" dxfId="262" priority="62" operator="equal">
      <formula>MIN($E$33:$E$42)</formula>
    </cfRule>
  </conditionalFormatting>
  <conditionalFormatting sqref="E21:E30">
    <cfRule type="cellIs" dxfId="261" priority="57" stopIfTrue="1" operator="lessThan">
      <formula>0</formula>
    </cfRule>
    <cfRule type="cellIs" dxfId="260" priority="58" operator="equal">
      <formula>MIN($E$21:$E$30)</formula>
    </cfRule>
  </conditionalFormatting>
  <conditionalFormatting sqref="E45:E54">
    <cfRule type="cellIs" dxfId="259" priority="53" stopIfTrue="1" operator="lessThan">
      <formula>0</formula>
    </cfRule>
    <cfRule type="cellIs" dxfId="258" priority="54" operator="equal">
      <formula>MIN($E$45:$E$54)</formula>
    </cfRule>
  </conditionalFormatting>
  <conditionalFormatting sqref="F33:F42">
    <cfRule type="cellIs" dxfId="257" priority="43" operator="lessThanOrEqual">
      <formula>0</formula>
    </cfRule>
    <cfRule type="cellIs" dxfId="256" priority="44" operator="equal">
      <formula>MAX($F$33:$F$42)</formula>
    </cfRule>
  </conditionalFormatting>
  <conditionalFormatting sqref="R7:R16">
    <cfRule type="cellIs" dxfId="255" priority="29" operator="lessThanOrEqual">
      <formula>0</formula>
    </cfRule>
    <cfRule type="cellIs" dxfId="254" priority="30" operator="greaterThan">
      <formula>0</formula>
    </cfRule>
  </conditionalFormatting>
  <conditionalFormatting sqref="U7:U16">
    <cfRule type="cellIs" dxfId="253" priority="9" operator="lessThanOrEqual">
      <formula>0</formula>
    </cfRule>
    <cfRule type="cellIs" dxfId="252" priority="10" operator="greaterThan">
      <formula>0</formula>
    </cfRule>
  </conditionalFormatting>
  <conditionalFormatting sqref="S7:T16">
    <cfRule type="cellIs" dxfId="251" priority="1" operator="lessThanOrEqual">
      <formula>0</formula>
    </cfRule>
    <cfRule type="cellIs" dxfId="25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0.999999999999998</v>
      </c>
    </row>
    <row r="2" spans="1:23">
      <c r="A2" t="s">
        <v>39</v>
      </c>
      <c r="B2" s="133" t="s">
        <v>124</v>
      </c>
      <c r="C2" s="139">
        <f>Analysis!B46</f>
        <v>0.35180807698215028</v>
      </c>
      <c r="D2" s="133" t="s">
        <v>125</v>
      </c>
      <c r="E2" s="139">
        <f>Analysis!M46</f>
        <v>0.64819192301784767</v>
      </c>
      <c r="F2" s="133" t="s">
        <v>46</v>
      </c>
      <c r="G2" s="139">
        <f>Analysis!S46</f>
        <v>608.60581108240365</v>
      </c>
      <c r="H2" t="s">
        <v>153</v>
      </c>
      <c r="I2" s="153">
        <f>Analysis!T46</f>
        <v>-609.40986906487194</v>
      </c>
      <c r="J2" t="s">
        <v>47</v>
      </c>
      <c r="K2" s="153">
        <f>G2*C2+I2*E2</f>
        <v>-180.90211489815184</v>
      </c>
      <c r="L2" t="s">
        <v>46</v>
      </c>
      <c r="M2" s="160">
        <v>3</v>
      </c>
      <c r="N2" t="s">
        <v>153</v>
      </c>
      <c r="O2" s="160">
        <v>8</v>
      </c>
    </row>
    <row r="4" spans="1:23">
      <c r="A4" t="s">
        <v>122</v>
      </c>
      <c r="B4">
        <f>$C$2</f>
        <v>0.35180807698215028</v>
      </c>
      <c r="C4" t="s">
        <v>123</v>
      </c>
      <c r="D4">
        <f>$E$2</f>
        <v>0.64819192301784767</v>
      </c>
      <c r="E4" t="s">
        <v>46</v>
      </c>
      <c r="F4">
        <f>G2</f>
        <v>608.60581108240365</v>
      </c>
      <c r="G4" t="s">
        <v>153</v>
      </c>
      <c r="H4">
        <f>I2</f>
        <v>-609.40986906487194</v>
      </c>
      <c r="I4" t="s">
        <v>47</v>
      </c>
      <c r="J4">
        <f>B4*F4+D4*H4</f>
        <v>-180.90211489815184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0.35180807698215028</v>
      </c>
      <c r="C7" s="95">
        <v>1</v>
      </c>
      <c r="D7" s="22">
        <f>C7*D4</f>
        <v>0.64819192301784767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0.999999999999998</v>
      </c>
      <c r="R7" s="265">
        <f>B7-D7</f>
        <v>-0.2963838460356974</v>
      </c>
      <c r="S7" s="266">
        <f>IF(Rules!B20=Rules!D20,SUM(C7)*B4*F4,SUM(C7)*B4*F4*POWER(O2,A7-1))</f>
        <v>214.11244003706227</v>
      </c>
      <c r="T7" s="252">
        <f>IF(Rules!B20=Rules!D20,SUM(C7)*D4*H4,SUM(C7)*D4*H4*POWER(O2,A7-1))</f>
        <v>-395.01455493521411</v>
      </c>
      <c r="U7" s="263">
        <f>S7+T7</f>
        <v>-180.90211489815184</v>
      </c>
      <c r="V7" s="282">
        <f>S7/B4</f>
        <v>608.60581108240365</v>
      </c>
      <c r="W7" s="57">
        <f>T7/D4</f>
        <v>-609.40986906487194</v>
      </c>
    </row>
    <row r="8" spans="1:23">
      <c r="A8" s="98">
        <v>2</v>
      </c>
      <c r="B8" s="97">
        <f>C8*B4</f>
        <v>0.45573305794371677</v>
      </c>
      <c r="C8" s="97">
        <f>1/(1-B4*D4)</f>
        <v>1.2954024872113421</v>
      </c>
      <c r="D8" s="128">
        <f>C8*D4</f>
        <v>0.83966942926762267</v>
      </c>
      <c r="E8" s="1">
        <f>D8*D4</f>
        <v>0.54426694205627901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0.99999999999999578</v>
      </c>
      <c r="R8" s="267">
        <f>B8-E8</f>
        <v>-8.8533884112562244E-2</v>
      </c>
      <c r="S8" s="268">
        <f>IF(Rules!B20=Rules!D20,SUM(C8:D8)*B4*F4,SUM(C8:D8)*B4*F4*POWER(O2,A8-1))</f>
        <v>457.14545769191795</v>
      </c>
      <c r="T8" s="253">
        <f>IF(Rules!B20=Rules!D20,SUM(C8:D8)*D4*H4,SUM(C8:D8)*D4*H4*POWER(O2,A8-1))</f>
        <v>-843.38448284261278</v>
      </c>
      <c r="U8" s="264">
        <f>S8+T8+U7</f>
        <v>-567.14114004884664</v>
      </c>
      <c r="V8" s="93">
        <f>S8/B4</f>
        <v>1299.4171754479423</v>
      </c>
      <c r="W8" s="9">
        <f>T8/D4</f>
        <v>-1301.1338970655311</v>
      </c>
    </row>
    <row r="9" spans="1:23">
      <c r="A9" s="98">
        <v>3</v>
      </c>
      <c r="B9" s="97">
        <f>C9*B4</f>
        <v>0.49930360325821088</v>
      </c>
      <c r="C9" s="97">
        <f>1/(1-D4*B4/(1-D4*B4))</f>
        <v>1.4192499715790894</v>
      </c>
      <c r="D9" s="128">
        <f>C9*D4*C8</f>
        <v>1.1917008136239038</v>
      </c>
      <c r="E9" s="1">
        <f>D9*(D4)</f>
        <v>0.77245084204481185</v>
      </c>
      <c r="F9" s="1">
        <f>E9*D4</f>
        <v>0.50069639674178235</v>
      </c>
      <c r="G9" s="1"/>
      <c r="H9" s="1"/>
      <c r="I9" s="1"/>
      <c r="J9" s="1"/>
      <c r="K9" s="1"/>
      <c r="L9" s="1"/>
      <c r="M9" s="235"/>
      <c r="N9" s="97">
        <f>B9+F9</f>
        <v>0.99999999999999323</v>
      </c>
      <c r="R9" s="267">
        <f>B9-F9</f>
        <v>-1.3927934835714639E-3</v>
      </c>
      <c r="S9" s="268">
        <f>IF(Rules!B20=Rules!D20,SUM(C9:E9)*B4*F4,SUM(C9:E9)*B4*F4*POWER(O2,A9-1))</f>
        <v>724.42837803539453</v>
      </c>
      <c r="T9" s="253">
        <f>IF(Rules!B20=Rules!D20,SUM(C9:E9)*D4*H4,SUM(C9:E9)*D4*H4*POWER(O2,A9-1))</f>
        <v>-1336.4928879543709</v>
      </c>
      <c r="U9" s="264">
        <f t="shared" ref="U9:U16" si="0">S9+T9+U8</f>
        <v>-1179.2056499678229</v>
      </c>
      <c r="V9" s="93">
        <f>S9/B4</f>
        <v>2059.1578915686746</v>
      </c>
      <c r="W9" s="9">
        <f>T9/D4</f>
        <v>-2061.8783426549594</v>
      </c>
    </row>
    <row r="10" spans="1:23">
      <c r="A10" s="98">
        <v>4</v>
      </c>
      <c r="B10" s="97">
        <f>C10*B4</f>
        <v>0.52015265585906456</v>
      </c>
      <c r="C10" s="97">
        <f>1/(1-D4*B4/(1-D4*B4/(1-D4*B4)))</f>
        <v>1.4785125467300047</v>
      </c>
      <c r="D10" s="128">
        <f>C10*D4*C9</f>
        <v>1.3601522478811168</v>
      </c>
      <c r="E10" s="1">
        <f>D10*D4*C8</f>
        <v>1.1420782616954115</v>
      </c>
      <c r="F10" s="1">
        <f>E10*D4</f>
        <v>0.74028590468522948</v>
      </c>
      <c r="G10" s="1">
        <f>F10*D4</f>
        <v>0.479847344140926</v>
      </c>
      <c r="H10" s="1"/>
      <c r="I10" s="1"/>
      <c r="J10" s="1"/>
      <c r="K10" s="1"/>
      <c r="L10" s="1"/>
      <c r="M10" s="235"/>
      <c r="N10" s="97">
        <f>B10+G10</f>
        <v>0.99999999999999056</v>
      </c>
      <c r="R10" s="267">
        <f>B10-G10</f>
        <v>4.0305311718138559E-2</v>
      </c>
      <c r="S10" s="268">
        <f>IF(Rules!B20=Rules!D20,SUM(C10:F10)*B4*F4,SUM(C10:F10)*B4*F4*POWER(O2,A10-1))</f>
        <v>1010.8310303235833</v>
      </c>
      <c r="T10" s="253">
        <f>IF(Rules!B20=Rules!D20,SUM(C10:F10)*D4*H4,SUM(C10:F10)*D4*H4*POWER(O2,A10-1))</f>
        <v>-1864.8751538624176</v>
      </c>
      <c r="U10" s="264">
        <f t="shared" si="0"/>
        <v>-2033.2497735066572</v>
      </c>
      <c r="V10" s="93">
        <f>S10/B4</f>
        <v>2873.2456599479092</v>
      </c>
      <c r="W10" s="9">
        <f>T10/D4</f>
        <v>-2877.041640969459</v>
      </c>
    </row>
    <row r="11" spans="1:23">
      <c r="A11" s="98">
        <v>5</v>
      </c>
      <c r="B11" s="97">
        <f>C11*B4</f>
        <v>0.53075766953601355</v>
      </c>
      <c r="C11" s="97">
        <f>1/(1-D4*B4/(1-D4*B4/(1-D4*B4/(1-D4*B4))))</f>
        <v>1.5086568622554468</v>
      </c>
      <c r="D11" s="128">
        <f>C11*D4*C10</f>
        <v>1.4458362258728203</v>
      </c>
      <c r="E11" s="1">
        <f>D11*D4*C9</f>
        <v>1.3300917851784622</v>
      </c>
      <c r="F11" s="1">
        <f>E11*D4*C8</f>
        <v>1.1168374101343526</v>
      </c>
      <c r="G11" s="1">
        <f>F11*D4</f>
        <v>0.7239249885732586</v>
      </c>
      <c r="H11" s="1">
        <f>G11*D4</f>
        <v>0.4692423304639739</v>
      </c>
      <c r="I11" s="1"/>
      <c r="J11" s="1"/>
      <c r="K11" s="1"/>
      <c r="L11" s="1"/>
      <c r="M11" s="235"/>
      <c r="N11" s="97">
        <f>B11+H11</f>
        <v>0.99999999999998745</v>
      </c>
      <c r="R11" s="267">
        <f>B11-H11</f>
        <v>6.1515339072039654E-2</v>
      </c>
      <c r="S11" s="268">
        <f>IF(Rules!B20=Rules!D20,SUM(C11:G11)*B4*F4,SUM(C11:G11)*B4*F4*POWER(O2,A11-1))</f>
        <v>1311.5130504853532</v>
      </c>
      <c r="T11" s="253">
        <f>IF(Rules!B20=Rules!D20,SUM(C11:G11)*D4*H4,SUM(C11:G11)*D4*H4*POWER(O2,A11-1))</f>
        <v>-2419.6013264783724</v>
      </c>
      <c r="U11" s="264">
        <f t="shared" si="0"/>
        <v>-3141.3380494996763</v>
      </c>
      <c r="V11" s="93">
        <f>S11/B4</f>
        <v>3727.9219446456759</v>
      </c>
      <c r="W11" s="9">
        <f>T11/D4</f>
        <v>-3732.8470790151296</v>
      </c>
    </row>
    <row r="12" spans="1:23">
      <c r="A12" s="98">
        <v>6</v>
      </c>
      <c r="B12" s="97">
        <f>C12*B4</f>
        <v>0.53631964444366742</v>
      </c>
      <c r="C12" s="97">
        <f>1/(1-D4*B4/(1-D4*B4/(1-D4*B4/(1-D4*B4/(1-D4*B4)))))</f>
        <v>1.5244665473410342</v>
      </c>
      <c r="D12" s="128">
        <f>C12*D4*C11</f>
        <v>1.4907746059725744</v>
      </c>
      <c r="E12" s="1">
        <f>D12*D4*C10</f>
        <v>1.4286985886930406</v>
      </c>
      <c r="F12" s="1">
        <f>E12*D4*C9</f>
        <v>1.314326078093323</v>
      </c>
      <c r="G12" s="1">
        <f>F12*D4*C8</f>
        <v>1.1035994278641734</v>
      </c>
      <c r="H12" s="1">
        <f>G12*D4</f>
        <v>0.71534423538867509</v>
      </c>
      <c r="I12" s="1">
        <f>H12*D4</f>
        <v>0.4636803555563172</v>
      </c>
      <c r="J12" s="1"/>
      <c r="K12" s="1"/>
      <c r="L12" s="1"/>
      <c r="M12" s="235"/>
      <c r="N12" s="97">
        <f>B12+I12</f>
        <v>0.99999999999998468</v>
      </c>
      <c r="R12" s="267">
        <f>B12-I12</f>
        <v>7.2639288887350217E-2</v>
      </c>
      <c r="S12" s="268">
        <f>IF(Rules!B20=Rules!D20,SUM(C12:H12)*B4*F4,SUM(C12:H12)*B4*F4*POWER(O2,A12-1))</f>
        <v>1622.3748111526404</v>
      </c>
      <c r="T12" s="253">
        <f>IF(Rules!B20=Rules!D20,SUM(C12:H12)*D4*H4,SUM(C12:H12)*D4*H4*POWER(O2,A12-1))</f>
        <v>-2993.1080317174979</v>
      </c>
      <c r="U12" s="264">
        <f t="shared" si="0"/>
        <v>-4512.0712700645336</v>
      </c>
      <c r="V12" s="93">
        <f>S12/B4</f>
        <v>4611.5337233572245</v>
      </c>
      <c r="W12" s="9">
        <f>T12/D4</f>
        <v>-4617.6262391271484</v>
      </c>
    </row>
    <row r="13" spans="1:23">
      <c r="A13" s="98">
        <v>7</v>
      </c>
      <c r="B13" s="97">
        <f>C13*B4</f>
        <v>0.53928357299692531</v>
      </c>
      <c r="C13" s="97">
        <f>1/(1-D4*B4/(1-D4*B4/(1-D4*B4/(1-D4*B4/(1-D4*B4/(1-D4*B4))))))</f>
        <v>1.532891392440336</v>
      </c>
      <c r="D13" s="128">
        <f>C13*D4*C12</f>
        <v>1.5147218819179453</v>
      </c>
      <c r="E13" s="1">
        <f>D13*D4*C11</f>
        <v>1.4812453055220149</v>
      </c>
      <c r="F13" s="1">
        <f>E13*D4*C10</f>
        <v>1.4195660893531661</v>
      </c>
      <c r="G13" s="1">
        <f>F13*D4*C9</f>
        <v>1.3059246684919126</v>
      </c>
      <c r="H13" s="1">
        <f>G13*D4*C8</f>
        <v>1.0965450210591137</v>
      </c>
      <c r="I13" s="1">
        <f>H13*D4</f>
        <v>0.71077162587595311</v>
      </c>
      <c r="J13" s="1">
        <f>I13*D4</f>
        <v>0.46071642700305621</v>
      </c>
      <c r="K13" s="1"/>
      <c r="L13" s="1"/>
      <c r="M13" s="235"/>
      <c r="N13" s="97">
        <f>B13+J13</f>
        <v>0.99999999999998157</v>
      </c>
      <c r="R13" s="267">
        <f>B13-J13</f>
        <v>7.8567145993869103E-2</v>
      </c>
      <c r="S13" s="268">
        <f>IF(Rules!B20=Rules!D20,SUM(C13:I13)*B4*F4,SUM(C13:I13)*B4*F4*POWER(O2,A13-1))</f>
        <v>1940.2154147764957</v>
      </c>
      <c r="T13" s="253">
        <f>IF(Rules!B20=Rules!D20,SUM(C13:I13)*D4*H4,SUM(C13:I13)*D4*H4*POWER(O2,A13-1))</f>
        <v>-3579.4899559022128</v>
      </c>
      <c r="U13" s="264">
        <f t="shared" si="0"/>
        <v>-6151.345811190251</v>
      </c>
      <c r="V13" s="93">
        <f>S13/B4</f>
        <v>5514.9825763520957</v>
      </c>
      <c r="W13" s="9">
        <f>T13/D4</f>
        <v>-5522.2686812215234</v>
      </c>
    </row>
    <row r="14" spans="1:23">
      <c r="A14" s="98">
        <v>8</v>
      </c>
      <c r="B14" s="97">
        <f>C14*B4</f>
        <v>0.54087644470819507</v>
      </c>
      <c r="C14" s="97">
        <f>1/(1-D4*B4/(1-D4*B4/(1-D4*B4/(1-D4*B4/(1-D4*B4/(1-D4*B4/(1-D4*B4)))))))</f>
        <v>1.5374190648148125</v>
      </c>
      <c r="D14" s="128">
        <f>C14*D4*C13</f>
        <v>1.5275916045613689</v>
      </c>
      <c r="E14" s="1">
        <f>D14*D4*C12</f>
        <v>1.5094849129393308</v>
      </c>
      <c r="F14" s="1">
        <f>E14*D4*C11</f>
        <v>1.4761240777855311</v>
      </c>
      <c r="G14" s="1">
        <f>F14*D4*C10</f>
        <v>1.4146581100985043</v>
      </c>
      <c r="H14" s="1">
        <f>G14*D4*C9</f>
        <v>1.3014095908007923</v>
      </c>
      <c r="I14" s="1">
        <f>H14*D4*C8</f>
        <v>1.0927538483511117</v>
      </c>
      <c r="J14" s="1">
        <f>I14*D4</f>
        <v>0.70831421834786057</v>
      </c>
      <c r="K14" s="1">
        <f>J14*D4</f>
        <v>0.45912355529178339</v>
      </c>
      <c r="L14" s="1"/>
      <c r="M14" s="235"/>
      <c r="N14" s="97">
        <f>B14+K14</f>
        <v>0.99999999999997846</v>
      </c>
      <c r="R14" s="267">
        <f>B14-K14</f>
        <v>8.1752889416411678E-2</v>
      </c>
      <c r="S14" s="268">
        <f>IF(Rules!B20=Rules!D20,SUM(C14:J14)*B4*F4,SUM(C14:J14)*B4*F4*POWER(O2,A14-1))</f>
        <v>2262.6879003396084</v>
      </c>
      <c r="T14" s="253">
        <f>IF(Rules!B20=Rules!D20,SUM(C14:J14)*D4*H4,SUM(C14:J14)*D4*H4*POWER(O2,A14-1))</f>
        <v>-4174.4172069368369</v>
      </c>
      <c r="U14" s="264">
        <f t="shared" si="0"/>
        <v>-8063.075117787479</v>
      </c>
      <c r="V14" s="93">
        <f>S14/B4</f>
        <v>6431.5973633954136</v>
      </c>
      <c r="W14" s="9">
        <f>T14/D4</f>
        <v>-6440.0944515038273</v>
      </c>
    </row>
    <row r="15" spans="1:23">
      <c r="A15" s="98">
        <v>9</v>
      </c>
      <c r="B15" s="97">
        <f>C15*B4</f>
        <v>0.5417363778290708</v>
      </c>
      <c r="C15" s="97">
        <f>1/(1-D4*B4/(1-D4*B4/(1-D4*B4/(1-D4*B4/(1-D4*B4/(1-D4*B4/(1-D4*B4/(1-D4*B4))))))))</f>
        <v>1.5398633893688489</v>
      </c>
      <c r="D15" s="128">
        <f>C15*D4*C14</f>
        <v>1.5345394966478842</v>
      </c>
      <c r="E15" s="1">
        <f>D15*D4*C13</f>
        <v>1.5247304431140887</v>
      </c>
      <c r="F15" s="1">
        <f>E15*D4*C12</f>
        <v>1.5066576651165116</v>
      </c>
      <c r="G15" s="1">
        <f>F15*D4*C11</f>
        <v>1.4733593144219783</v>
      </c>
      <c r="H15" s="1">
        <f>G15*D4*C10</f>
        <v>1.4120084717831258</v>
      </c>
      <c r="I15" s="1">
        <f>H15*D4*C9</f>
        <v>1.2989720656551962</v>
      </c>
      <c r="J15" s="1">
        <f>I15*D4*C8</f>
        <v>1.0907071330032834</v>
      </c>
      <c r="K15" s="1">
        <f>J15*D4</f>
        <v>0.70698755399068158</v>
      </c>
      <c r="L15" s="1">
        <f>K15*D4</f>
        <v>0.45826362217090433</v>
      </c>
      <c r="M15" s="235"/>
      <c r="N15" s="97">
        <f>B15+L15</f>
        <v>0.99999999999997513</v>
      </c>
      <c r="R15" s="267">
        <f>B15-L15</f>
        <v>8.3472755658166475E-2</v>
      </c>
      <c r="S15" s="268">
        <f>IF(Rules!B20=Rules!D20,SUM(C15:K15)*B4*F4,SUM(C15:K15)*B4*F4*POWER(O2,A15-1))</f>
        <v>2588.153819634686</v>
      </c>
      <c r="T15" s="253">
        <f>IF(Rules!B20=Rules!D20,SUM(C15:K15)*D4*H4,SUM(C15:K15)*D4*H4*POWER(O2,A15-1))</f>
        <v>-4774.8670230926446</v>
      </c>
      <c r="U15" s="264">
        <f t="shared" si="0"/>
        <v>-10249.788321245438</v>
      </c>
      <c r="V15" s="93">
        <f>S15/B4</f>
        <v>7356.7208627958862</v>
      </c>
      <c r="W15" s="9">
        <f>T15/D4</f>
        <v>-7366.4401754064602</v>
      </c>
    </row>
    <row r="16" spans="1:23" ht="17" thickBot="1">
      <c r="A16" s="99">
        <v>10</v>
      </c>
      <c r="B16" s="129">
        <f>C16*B4</f>
        <v>0.54220176178777468</v>
      </c>
      <c r="C16" s="129">
        <f>1/(1-D4*B4/(1-D4*B4/(1-D4*B4/(1-D4*B4/(1-D4*B4/(1-D4*B4/(1-D4*B4/(1-D4*B4/(1-D4*B4)))))))))</f>
        <v>1.5411862241448324</v>
      </c>
      <c r="D16" s="137">
        <f>C16*D4*C15</f>
        <v>1.5382996001319513</v>
      </c>
      <c r="E16" s="109">
        <f>D16*D4*C14</f>
        <v>1.532981114024452</v>
      </c>
      <c r="F16" s="109">
        <f>E16*D4*C13</f>
        <v>1.5231820219537615</v>
      </c>
      <c r="G16" s="109">
        <f>F16*D4*C12</f>
        <v>1.5051275975425535</v>
      </c>
      <c r="H16" s="109">
        <f>G16*D4*C11</f>
        <v>1.4718630625765987</v>
      </c>
      <c r="I16" s="109">
        <f>H16*D4*C10</f>
        <v>1.4105745240278722</v>
      </c>
      <c r="J16" s="109">
        <f>I16*D4*C9</f>
        <v>1.2976529106253887</v>
      </c>
      <c r="K16" s="109">
        <f>J16*D4*C8</f>
        <v>1.0895994788522896</v>
      </c>
      <c r="L16" s="109">
        <f>K16*D4</f>
        <v>0.7062695815165102</v>
      </c>
      <c r="M16" s="237">
        <f>L16*D4</f>
        <v>0.45779823821219728</v>
      </c>
      <c r="N16" s="129">
        <f>B16+M16</f>
        <v>0.99999999999997202</v>
      </c>
      <c r="R16" s="269">
        <f>B16-M16</f>
        <v>8.4403523575577399E-2</v>
      </c>
      <c r="S16" s="270">
        <f>IF(Rules!B20=Rules!D20,SUM(C16:L16)*B4*F4,SUM(C16:L16)*B4*F4*POWER(O2,A16-1))</f>
        <v>2915.5125950082715</v>
      </c>
      <c r="T16" s="254">
        <f>IF(Rules!B20=Rules!D20,SUM(C16:L16)*D4*H4,SUM(C16:L16)*D4*H4*POWER(O2,A16-1))</f>
        <v>-5378.8089562934892</v>
      </c>
      <c r="U16" s="264">
        <f t="shared" si="0"/>
        <v>-12713.084682530656</v>
      </c>
      <c r="V16" s="94">
        <f>S16/B4</f>
        <v>8287.2247278057694</v>
      </c>
      <c r="W16" s="10">
        <f>T16/D4</f>
        <v>-8298.1733731745153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8</v>
      </c>
      <c r="D21" s="57">
        <f>SUM($C$21:C21)</f>
        <v>8</v>
      </c>
      <c r="E21" s="57">
        <f t="shared" ref="E21:E30" si="2">D21/R7</f>
        <v>-26.992024386634267</v>
      </c>
      <c r="F21" s="8">
        <f t="shared" ref="F21:F30" si="3">U7/E21</f>
        <v>6.702058071188234</v>
      </c>
      <c r="G21" s="256">
        <f>E21*U7</f>
        <v>4882.9142969246286</v>
      </c>
    </row>
    <row r="22" spans="1:7">
      <c r="A22" s="97">
        <v>2</v>
      </c>
      <c r="B22" s="93">
        <f>C21</f>
        <v>8</v>
      </c>
      <c r="C22" s="1">
        <f t="shared" si="1"/>
        <v>64</v>
      </c>
      <c r="D22" s="9">
        <f>SUM($C$21:C22)</f>
        <v>72</v>
      </c>
      <c r="E22" s="9">
        <f t="shared" si="2"/>
        <v>-813.24795270993627</v>
      </c>
      <c r="F22" s="9">
        <f t="shared" si="3"/>
        <v>0.69737788845209758</v>
      </c>
      <c r="G22" s="257">
        <f t="shared" ref="G22:G30" si="4">E22*U8</f>
        <v>461226.3710423038</v>
      </c>
    </row>
    <row r="23" spans="1:7">
      <c r="A23" s="97">
        <v>3</v>
      </c>
      <c r="B23" s="93">
        <f t="shared" ref="B23:B30" si="5">C22</f>
        <v>64</v>
      </c>
      <c r="C23" s="1">
        <f t="shared" si="1"/>
        <v>512</v>
      </c>
      <c r="D23" s="9">
        <f>SUM($C$21:C23)</f>
        <v>584</v>
      </c>
      <c r="E23" s="9">
        <f t="shared" si="2"/>
        <v>-419301.21506777935</v>
      </c>
      <c r="F23" s="9">
        <f t="shared" si="3"/>
        <v>2.8123115497702676E-3</v>
      </c>
      <c r="G23" s="257">
        <f t="shared" si="4"/>
        <v>494442361.84629864</v>
      </c>
    </row>
    <row r="24" spans="1:7">
      <c r="A24" s="97">
        <v>4</v>
      </c>
      <c r="B24" s="93">
        <f t="shared" si="5"/>
        <v>512</v>
      </c>
      <c r="C24" s="1">
        <f t="shared" si="1"/>
        <v>4096</v>
      </c>
      <c r="D24" s="9">
        <f>SUM($C$21:C24)</f>
        <v>4680</v>
      </c>
      <c r="E24" s="9">
        <f t="shared" si="2"/>
        <v>116113.72795546113</v>
      </c>
      <c r="F24" s="9">
        <f t="shared" si="3"/>
        <v>-1.7510847419235136E-2</v>
      </c>
      <c r="G24" s="257">
        <f t="shared" si="4"/>
        <v>-236088211.06645495</v>
      </c>
    </row>
    <row r="25" spans="1:7">
      <c r="A25" s="97">
        <v>5</v>
      </c>
      <c r="B25" s="93">
        <f t="shared" si="5"/>
        <v>4096</v>
      </c>
      <c r="C25" s="1">
        <f t="shared" si="1"/>
        <v>32768</v>
      </c>
      <c r="D25" s="9">
        <f>SUM($C$21:C25)</f>
        <v>37448</v>
      </c>
      <c r="E25" s="9">
        <f t="shared" si="2"/>
        <v>608758.7350554181</v>
      </c>
      <c r="F25" s="9">
        <f t="shared" si="3"/>
        <v>-5.1602348658105184E-3</v>
      </c>
      <c r="G25" s="257">
        <f t="shared" si="4"/>
        <v>-1912316977.3948774</v>
      </c>
    </row>
    <row r="26" spans="1:7">
      <c r="A26" s="97">
        <v>6</v>
      </c>
      <c r="B26" s="93">
        <f t="shared" si="5"/>
        <v>32768</v>
      </c>
      <c r="C26" s="1">
        <f t="shared" si="1"/>
        <v>262144</v>
      </c>
      <c r="D26" s="9">
        <f>SUM($C$21:C26)</f>
        <v>299592</v>
      </c>
      <c r="E26" s="9">
        <f t="shared" si="2"/>
        <v>4124379.5828537154</v>
      </c>
      <c r="F26" s="9">
        <f t="shared" si="3"/>
        <v>-1.0940000015572206E-3</v>
      </c>
      <c r="G26" s="257">
        <f t="shared" si="4"/>
        <v>-18609494622.634995</v>
      </c>
    </row>
    <row r="27" spans="1:7">
      <c r="A27" s="97">
        <v>7</v>
      </c>
      <c r="B27" s="93">
        <f t="shared" si="5"/>
        <v>262144</v>
      </c>
      <c r="C27" s="1">
        <f t="shared" si="1"/>
        <v>2097152</v>
      </c>
      <c r="D27" s="9">
        <f>SUM($C$21:C27)</f>
        <v>2396744</v>
      </c>
      <c r="E27" s="9">
        <f t="shared" si="2"/>
        <v>30505677.273640908</v>
      </c>
      <c r="F27" s="9">
        <f t="shared" si="3"/>
        <v>-2.0164593482097361E-4</v>
      </c>
      <c r="G27" s="257">
        <f t="shared" si="4"/>
        <v>-187650970114.73264</v>
      </c>
    </row>
    <row r="28" spans="1:7">
      <c r="A28" s="97">
        <v>8</v>
      </c>
      <c r="B28" s="93">
        <f t="shared" si="5"/>
        <v>2097152</v>
      </c>
      <c r="C28" s="1">
        <f t="shared" si="1"/>
        <v>16777216</v>
      </c>
      <c r="D28" s="9">
        <f>SUM($C$21:C28)</f>
        <v>19173960</v>
      </c>
      <c r="E28" s="9">
        <f t="shared" si="2"/>
        <v>234535563.65863293</v>
      </c>
      <c r="F28" s="9">
        <f t="shared" si="3"/>
        <v>-3.4378901826263347E-5</v>
      </c>
      <c r="G28" s="257">
        <f t="shared" si="4"/>
        <v>-1891077867572.1846</v>
      </c>
    </row>
    <row r="29" spans="1:7">
      <c r="A29" s="97">
        <v>9</v>
      </c>
      <c r="B29" s="93">
        <f t="shared" si="5"/>
        <v>16777216</v>
      </c>
      <c r="C29" s="1">
        <f t="shared" si="1"/>
        <v>134217728</v>
      </c>
      <c r="D29" s="9">
        <f>SUM($C$21:C29)</f>
        <v>153391688</v>
      </c>
      <c r="E29" s="9">
        <f t="shared" si="2"/>
        <v>1837625783.2934389</v>
      </c>
      <c r="F29" s="9">
        <f t="shared" si="3"/>
        <v>-5.5777342778002993E-6</v>
      </c>
      <c r="G29" s="257">
        <f t="shared" si="4"/>
        <v>-18835275292420.59</v>
      </c>
    </row>
    <row r="30" spans="1:7" ht="17" thickBot="1">
      <c r="A30" s="129">
        <v>10</v>
      </c>
      <c r="B30" s="94">
        <f t="shared" si="5"/>
        <v>134217728</v>
      </c>
      <c r="C30" s="109">
        <f t="shared" si="1"/>
        <v>1073741824</v>
      </c>
      <c r="D30" s="10">
        <f>SUM($C$21:C30)</f>
        <v>1227133512</v>
      </c>
      <c r="E30" s="10">
        <f t="shared" si="2"/>
        <v>14538889610.46974</v>
      </c>
      <c r="F30" s="10">
        <f t="shared" si="3"/>
        <v>-8.7441923167060258E-7</v>
      </c>
      <c r="G30" s="258">
        <f t="shared" si="4"/>
        <v>-184834134807866.94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8</v>
      </c>
      <c r="D33" s="57">
        <f>SUM($C$33:C33)</f>
        <v>8</v>
      </c>
      <c r="E33" s="9">
        <f t="shared" ref="E33:E42" si="7">D33/R7</f>
        <v>-26.992024386634267</v>
      </c>
      <c r="F33" s="8">
        <f t="shared" ref="F33:F42" si="8">U7/E33</f>
        <v>6.702058071188234</v>
      </c>
      <c r="G33" s="259">
        <f>E33*U7</f>
        <v>4882.9142969246286</v>
      </c>
    </row>
    <row r="34" spans="1:7">
      <c r="A34" s="97">
        <v>2</v>
      </c>
      <c r="B34" s="93">
        <f t="shared" ref="B34:B42" si="9">B33*($O$2+1)</f>
        <v>9</v>
      </c>
      <c r="C34" s="1">
        <f t="shared" si="6"/>
        <v>72</v>
      </c>
      <c r="D34" s="9">
        <f>SUM($C$33:C34)</f>
        <v>80</v>
      </c>
      <c r="E34" s="9">
        <f t="shared" si="7"/>
        <v>-903.60883634437369</v>
      </c>
      <c r="F34" s="9">
        <f t="shared" si="8"/>
        <v>0.62764009960688771</v>
      </c>
      <c r="G34" s="257">
        <f t="shared" ref="G34:G42" si="10">E34*U8</f>
        <v>512473.74560255976</v>
      </c>
    </row>
    <row r="35" spans="1:7">
      <c r="A35" s="97">
        <v>3</v>
      </c>
      <c r="B35" s="93">
        <f t="shared" si="9"/>
        <v>81</v>
      </c>
      <c r="C35" s="1">
        <f t="shared" si="6"/>
        <v>648</v>
      </c>
      <c r="D35" s="9">
        <f>SUM($C$33:C35)</f>
        <v>728</v>
      </c>
      <c r="E35" s="9">
        <f t="shared" si="7"/>
        <v>-522690.55576942355</v>
      </c>
      <c r="F35" s="9">
        <f t="shared" si="8"/>
        <v>2.2560301443212039E-3</v>
      </c>
      <c r="G35" s="257">
        <f t="shared" si="10"/>
        <v>616359656.54812562</v>
      </c>
    </row>
    <row r="36" spans="1:7">
      <c r="A36" s="97">
        <v>4</v>
      </c>
      <c r="B36" s="93">
        <f t="shared" si="9"/>
        <v>729</v>
      </c>
      <c r="C36" s="1">
        <f t="shared" si="6"/>
        <v>5832</v>
      </c>
      <c r="D36" s="9">
        <f>SUM($C$33:C36)</f>
        <v>6560</v>
      </c>
      <c r="E36" s="9">
        <f t="shared" si="7"/>
        <v>162757.70414269765</v>
      </c>
      <c r="F36" s="9">
        <f t="shared" si="8"/>
        <v>-1.2492494805186043E-2</v>
      </c>
      <c r="G36" s="257">
        <f t="shared" si="10"/>
        <v>-330927065.08460355</v>
      </c>
    </row>
    <row r="37" spans="1:7">
      <c r="A37" s="97">
        <v>5</v>
      </c>
      <c r="B37" s="93">
        <f t="shared" si="9"/>
        <v>6561</v>
      </c>
      <c r="C37" s="1">
        <f t="shared" si="6"/>
        <v>52488</v>
      </c>
      <c r="D37" s="9">
        <f>SUM($C$33:C37)</f>
        <v>59048</v>
      </c>
      <c r="E37" s="9">
        <f t="shared" si="7"/>
        <v>959890.66939629172</v>
      </c>
      <c r="F37" s="9">
        <f t="shared" si="8"/>
        <v>-3.2725998383496863E-3</v>
      </c>
      <c r="G37" s="257">
        <f t="shared" si="10"/>
        <v>-3015341083.1342859</v>
      </c>
    </row>
    <row r="38" spans="1:7">
      <c r="A38" s="97">
        <v>6</v>
      </c>
      <c r="B38" s="93">
        <f t="shared" si="9"/>
        <v>59049</v>
      </c>
      <c r="C38" s="1">
        <f t="shared" si="6"/>
        <v>472392</v>
      </c>
      <c r="D38" s="9">
        <f>SUM($C$33:C38)</f>
        <v>531440</v>
      </c>
      <c r="E38" s="9">
        <f t="shared" si="7"/>
        <v>7316150.9169529844</v>
      </c>
      <c r="F38" s="9">
        <f t="shared" si="8"/>
        <v>-6.1672747340533421E-4</v>
      </c>
      <c r="G38" s="257">
        <f t="shared" si="10"/>
        <v>-33010994359.839855</v>
      </c>
    </row>
    <row r="39" spans="1:7">
      <c r="A39" s="97">
        <v>7</v>
      </c>
      <c r="B39" s="93">
        <f t="shared" si="9"/>
        <v>531441</v>
      </c>
      <c r="C39" s="1">
        <f t="shared" si="6"/>
        <v>4251528</v>
      </c>
      <c r="D39" s="9">
        <f>SUM($C$33:C39)</f>
        <v>4782968</v>
      </c>
      <c r="E39" s="9">
        <f t="shared" si="7"/>
        <v>60877456.339997806</v>
      </c>
      <c r="F39" s="9">
        <f t="shared" si="8"/>
        <v>-1.010447246158786E-4</v>
      </c>
      <c r="G39" s="257">
        <f t="shared" si="10"/>
        <v>-374478286052.96289</v>
      </c>
    </row>
    <row r="40" spans="1:7">
      <c r="A40" s="97">
        <v>8</v>
      </c>
      <c r="B40" s="93">
        <f t="shared" si="9"/>
        <v>4782969</v>
      </c>
      <c r="C40" s="1">
        <f t="shared" si="6"/>
        <v>38263752</v>
      </c>
      <c r="D40" s="9">
        <f>SUM($C$33:C40)</f>
        <v>43046720</v>
      </c>
      <c r="E40" s="9">
        <f t="shared" si="7"/>
        <v>526546771.70784479</v>
      </c>
      <c r="F40" s="9">
        <f t="shared" si="8"/>
        <v>-1.5313122311309675E-5</v>
      </c>
      <c r="G40" s="257">
        <f t="shared" si="10"/>
        <v>-4245586173308.8477</v>
      </c>
    </row>
    <row r="41" spans="1:7">
      <c r="A41" s="97">
        <v>9</v>
      </c>
      <c r="B41" s="93">
        <f t="shared" si="9"/>
        <v>43046721</v>
      </c>
      <c r="C41" s="1">
        <f t="shared" si="6"/>
        <v>344373768</v>
      </c>
      <c r="D41" s="9">
        <f>SUM($C$33:C41)</f>
        <v>387420488</v>
      </c>
      <c r="E41" s="9">
        <f t="shared" si="7"/>
        <v>4641280678.2915535</v>
      </c>
      <c r="F41" s="9">
        <f t="shared" si="8"/>
        <v>-2.2083965680391399E-6</v>
      </c>
      <c r="G41" s="257">
        <f t="shared" si="10"/>
        <v>-47572144491974.867</v>
      </c>
    </row>
    <row r="42" spans="1:7" ht="17" thickBot="1">
      <c r="A42" s="129">
        <v>10</v>
      </c>
      <c r="B42" s="94">
        <f t="shared" si="9"/>
        <v>387420489</v>
      </c>
      <c r="C42" s="109">
        <f t="shared" si="6"/>
        <v>3099363912</v>
      </c>
      <c r="D42" s="10">
        <f>SUM($C$33:C42)</f>
        <v>3486784400</v>
      </c>
      <c r="E42" s="9">
        <f t="shared" si="7"/>
        <v>41310886705.788185</v>
      </c>
      <c r="F42" s="10">
        <f t="shared" si="8"/>
        <v>-3.0774175275084063E-7</v>
      </c>
      <c r="G42" s="258">
        <f t="shared" si="10"/>
        <v>-525188801001115.12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8</v>
      </c>
      <c r="D45" s="57">
        <f>SUM(C45:C45)</f>
        <v>8</v>
      </c>
      <c r="E45" s="57">
        <f t="shared" ref="E45:E54" si="12">D45/R7</f>
        <v>-26.992024386634267</v>
      </c>
      <c r="F45" s="8">
        <f t="shared" ref="F45:F54" si="13">U7/E45</f>
        <v>6.702058071188234</v>
      </c>
      <c r="G45" s="256">
        <f>E45*U7</f>
        <v>4882.9142969246286</v>
      </c>
    </row>
    <row r="46" spans="1:7">
      <c r="A46" s="97">
        <v>2</v>
      </c>
      <c r="B46" s="93">
        <f t="shared" ref="B46:B54" si="14">B45*$O$2*2</f>
        <v>16</v>
      </c>
      <c r="C46" s="1">
        <f t="shared" si="11"/>
        <v>128</v>
      </c>
      <c r="D46" s="9">
        <f>SUM($C$45:C46)</f>
        <v>136</v>
      </c>
      <c r="E46" s="9">
        <f t="shared" si="12"/>
        <v>-1536.1350217854351</v>
      </c>
      <c r="F46" s="9">
        <f t="shared" si="13"/>
        <v>0.36920005859228694</v>
      </c>
      <c r="G46" s="257">
        <f t="shared" ref="G46:G54" si="15">E46*U8</f>
        <v>871205.36752435158</v>
      </c>
    </row>
    <row r="47" spans="1:7">
      <c r="A47" s="97">
        <v>3</v>
      </c>
      <c r="B47" s="93">
        <f t="shared" si="14"/>
        <v>256</v>
      </c>
      <c r="C47" s="1">
        <f t="shared" si="11"/>
        <v>2048</v>
      </c>
      <c r="D47" s="9">
        <f>SUM($C$45:C47)</f>
        <v>2184</v>
      </c>
      <c r="E47" s="9">
        <f t="shared" si="12"/>
        <v>-1568071.6673082707</v>
      </c>
      <c r="F47" s="9">
        <f t="shared" si="13"/>
        <v>7.5201004810706792E-4</v>
      </c>
      <c r="G47" s="257">
        <f t="shared" si="15"/>
        <v>1849078969.644377</v>
      </c>
    </row>
    <row r="48" spans="1:7">
      <c r="A48" s="97">
        <v>4</v>
      </c>
      <c r="B48" s="93">
        <f t="shared" si="14"/>
        <v>4096</v>
      </c>
      <c r="C48" s="1">
        <f t="shared" si="11"/>
        <v>32768</v>
      </c>
      <c r="D48" s="9">
        <f>SUM($C$45:C48)</f>
        <v>34952</v>
      </c>
      <c r="E48" s="9">
        <f t="shared" si="12"/>
        <v>867180.98707249516</v>
      </c>
      <c r="F48" s="9">
        <f t="shared" si="13"/>
        <v>-2.3446659968534116E-3</v>
      </c>
      <c r="G48" s="257">
        <f t="shared" si="15"/>
        <v>-1763195545.5544302</v>
      </c>
    </row>
    <row r="49" spans="1:7">
      <c r="A49" s="97">
        <v>5</v>
      </c>
      <c r="B49" s="93">
        <f t="shared" si="14"/>
        <v>65536</v>
      </c>
      <c r="C49" s="1">
        <f t="shared" si="11"/>
        <v>524288</v>
      </c>
      <c r="D49" s="9">
        <f>SUM($C$45:C49)</f>
        <v>559240</v>
      </c>
      <c r="E49" s="9">
        <f t="shared" si="12"/>
        <v>9091065.8778143562</v>
      </c>
      <c r="F49" s="9">
        <f t="shared" si="13"/>
        <v>-3.4554122604762229E-4</v>
      </c>
      <c r="G49" s="257">
        <f t="shared" si="15"/>
        <v>-28558111152.486412</v>
      </c>
    </row>
    <row r="50" spans="1:7">
      <c r="A50" s="97">
        <v>6</v>
      </c>
      <c r="B50" s="93">
        <f t="shared" si="14"/>
        <v>1048576</v>
      </c>
      <c r="C50" s="1">
        <f t="shared" si="11"/>
        <v>8388608</v>
      </c>
      <c r="D50" s="9">
        <f>SUM($C$45:C50)</f>
        <v>8947848</v>
      </c>
      <c r="E50" s="9">
        <f t="shared" si="12"/>
        <v>123181932.76749195</v>
      </c>
      <c r="F50" s="9">
        <f t="shared" si="13"/>
        <v>-3.662932679081393E-5</v>
      </c>
      <c r="G50" s="257">
        <f t="shared" si="15"/>
        <v>-555805659831.22144</v>
      </c>
    </row>
    <row r="51" spans="1:7">
      <c r="A51" s="97">
        <v>7</v>
      </c>
      <c r="B51" s="93">
        <f t="shared" si="14"/>
        <v>16777216</v>
      </c>
      <c r="C51" s="1">
        <f t="shared" si="11"/>
        <v>134217728</v>
      </c>
      <c r="D51" s="9">
        <f>SUM($C$45:C51)</f>
        <v>143165576</v>
      </c>
      <c r="E51" s="9">
        <f t="shared" si="12"/>
        <v>1822206651.2530792</v>
      </c>
      <c r="F51" s="9">
        <f t="shared" si="13"/>
        <v>-3.3757674010025959E-6</v>
      </c>
      <c r="G51" s="257">
        <f t="shared" si="15"/>
        <v>-11209023251308.643</v>
      </c>
    </row>
    <row r="52" spans="1:7">
      <c r="A52" s="97">
        <v>8</v>
      </c>
      <c r="B52" s="93">
        <f t="shared" si="14"/>
        <v>268435456</v>
      </c>
      <c r="C52" s="1">
        <f t="shared" si="11"/>
        <v>2147483648</v>
      </c>
      <c r="D52" s="9">
        <f>SUM($C$45:C52)</f>
        <v>2290649224</v>
      </c>
      <c r="E52" s="9">
        <f t="shared" si="12"/>
        <v>28019183668.634445</v>
      </c>
      <c r="F52" s="9">
        <f t="shared" si="13"/>
        <v>-2.877698084692431E-7</v>
      </c>
      <c r="G52" s="257">
        <f t="shared" si="15"/>
        <v>-225920782659283.69</v>
      </c>
    </row>
    <row r="53" spans="1:7">
      <c r="A53" s="97">
        <v>9</v>
      </c>
      <c r="B53" s="93">
        <f t="shared" si="14"/>
        <v>4294967296</v>
      </c>
      <c r="C53" s="1">
        <f t="shared" si="11"/>
        <v>34359738368</v>
      </c>
      <c r="D53" s="9">
        <f>SUM($C$45:C53)</f>
        <v>36650387592</v>
      </c>
      <c r="E53" s="9">
        <f t="shared" si="12"/>
        <v>439070057086.51654</v>
      </c>
      <c r="F53" s="9">
        <f t="shared" si="13"/>
        <v>-2.3344311814972545E-8</v>
      </c>
      <c r="G53" s="257">
        <f t="shared" si="15"/>
        <v>-4500375143333945</v>
      </c>
    </row>
    <row r="54" spans="1:7" ht="17" thickBot="1">
      <c r="A54" s="129">
        <v>10</v>
      </c>
      <c r="B54" s="94">
        <f t="shared" si="14"/>
        <v>68719476736</v>
      </c>
      <c r="C54" s="109">
        <f t="shared" si="11"/>
        <v>549755813888</v>
      </c>
      <c r="D54" s="10">
        <f>SUM($C$45:C54)</f>
        <v>586406201480</v>
      </c>
      <c r="E54" s="10">
        <f t="shared" si="12"/>
        <v>6947650721653.9912</v>
      </c>
      <c r="F54" s="10">
        <f t="shared" si="13"/>
        <v>-1.8298393502867568E-9</v>
      </c>
      <c r="G54" s="258">
        <f t="shared" si="15"/>
        <v>-8.8326071969032416E+16</v>
      </c>
    </row>
  </sheetData>
  <mergeCells count="1">
    <mergeCell ref="A18:F18"/>
  </mergeCells>
  <conditionalFormatting sqref="F45:F54">
    <cfRule type="cellIs" dxfId="249" priority="65" operator="equal">
      <formula>MAX($F$45:$F$54)</formula>
    </cfRule>
  </conditionalFormatting>
  <conditionalFormatting sqref="F21:F30">
    <cfRule type="cellIs" dxfId="248" priority="63" operator="equal">
      <formula>MAX($F$21:$F$30)</formula>
    </cfRule>
  </conditionalFormatting>
  <conditionalFormatting sqref="E33:E42">
    <cfRule type="cellIs" dxfId="247" priority="61" stopIfTrue="1" operator="lessThan">
      <formula>0</formula>
    </cfRule>
    <cfRule type="cellIs" dxfId="246" priority="62" operator="equal">
      <formula>MIN($E$33:$E$42)</formula>
    </cfRule>
  </conditionalFormatting>
  <conditionalFormatting sqref="E21:E30">
    <cfRule type="cellIs" dxfId="245" priority="57" stopIfTrue="1" operator="lessThan">
      <formula>0</formula>
    </cfRule>
    <cfRule type="cellIs" dxfId="244" priority="58" operator="equal">
      <formula>MIN($E$21:$E$30)</formula>
    </cfRule>
  </conditionalFormatting>
  <conditionalFormatting sqref="E45:E54">
    <cfRule type="cellIs" dxfId="243" priority="53" stopIfTrue="1" operator="lessThan">
      <formula>0</formula>
    </cfRule>
    <cfRule type="cellIs" dxfId="242" priority="54" operator="equal">
      <formula>MIN($E$45:$E$54)</formula>
    </cfRule>
  </conditionalFormatting>
  <conditionalFormatting sqref="F33:F42">
    <cfRule type="cellIs" dxfId="241" priority="43" operator="lessThanOrEqual">
      <formula>0</formula>
    </cfRule>
    <cfRule type="cellIs" dxfId="240" priority="44" operator="equal">
      <formula>MAX($F$33:$F$42)</formula>
    </cfRule>
  </conditionalFormatting>
  <conditionalFormatting sqref="R7:R16">
    <cfRule type="cellIs" dxfId="239" priority="29" operator="lessThanOrEqual">
      <formula>0</formula>
    </cfRule>
    <cfRule type="cellIs" dxfId="238" priority="30" operator="greaterThan">
      <formula>0</formula>
    </cfRule>
  </conditionalFormatting>
  <conditionalFormatting sqref="U7:U16">
    <cfRule type="cellIs" dxfId="237" priority="9" operator="lessThanOrEqual">
      <formula>0</formula>
    </cfRule>
    <cfRule type="cellIs" dxfId="236" priority="10" operator="greaterThan">
      <formula>0</formula>
    </cfRule>
  </conditionalFormatting>
  <conditionalFormatting sqref="S7:T16">
    <cfRule type="cellIs" dxfId="235" priority="1" operator="lessThanOrEqual">
      <formula>0</formula>
    </cfRule>
    <cfRule type="cellIs" dxfId="23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0.99999999999999756</v>
      </c>
    </row>
    <row r="2" spans="1:23">
      <c r="A2" t="s">
        <v>39</v>
      </c>
      <c r="B2" s="133" t="s">
        <v>124</v>
      </c>
      <c r="C2" s="139">
        <f>Analysis!B47</f>
        <v>0.3566149366930606</v>
      </c>
      <c r="D2" s="133" t="s">
        <v>125</v>
      </c>
      <c r="E2" s="139">
        <f>Analysis!N47</f>
        <v>0.64338506330693701</v>
      </c>
      <c r="F2" s="133" t="s">
        <v>46</v>
      </c>
      <c r="G2" s="139">
        <f>Analysis!S47</f>
        <v>695.62225317738023</v>
      </c>
      <c r="H2" t="s">
        <v>153</v>
      </c>
      <c r="I2" s="153">
        <f>Analysis!T47</f>
        <v>-696.54127270572656</v>
      </c>
      <c r="J2" t="s">
        <v>47</v>
      </c>
      <c r="K2" s="153">
        <f>G2*C2+I2*E2</f>
        <v>-200.07496505653273</v>
      </c>
      <c r="L2" t="s">
        <v>46</v>
      </c>
      <c r="M2" s="160">
        <v>3</v>
      </c>
      <c r="N2" t="s">
        <v>153</v>
      </c>
      <c r="O2" s="160">
        <v>9</v>
      </c>
    </row>
    <row r="4" spans="1:23">
      <c r="A4" t="s">
        <v>122</v>
      </c>
      <c r="B4">
        <f>$C$2</f>
        <v>0.3566149366930606</v>
      </c>
      <c r="C4" t="s">
        <v>123</v>
      </c>
      <c r="D4">
        <f>$E$2</f>
        <v>0.64338506330693701</v>
      </c>
      <c r="E4" t="s">
        <v>46</v>
      </c>
      <c r="F4">
        <f>G2</f>
        <v>695.62225317738023</v>
      </c>
      <c r="G4" t="s">
        <v>153</v>
      </c>
      <c r="H4">
        <f>I2</f>
        <v>-696.54127270572656</v>
      </c>
      <c r="I4" t="s">
        <v>47</v>
      </c>
      <c r="J4">
        <f>B4*F4+D4*H4</f>
        <v>-200.07496505653273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0.3566149366930606</v>
      </c>
      <c r="C7" s="95">
        <v>1</v>
      </c>
      <c r="D7" s="22">
        <f>C7*D4</f>
        <v>0.64338506330693701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0.99999999999999756</v>
      </c>
      <c r="R7" s="265">
        <f>B7-D7</f>
        <v>-0.28677012661387641</v>
      </c>
      <c r="S7" s="266">
        <f>IF(Rules!B20=Rules!D20,SUM(C7)*B4*F4,SUM(C7)*B4*F4*POWER(O2,A7-1))</f>
        <v>248.06928577913561</v>
      </c>
      <c r="T7" s="252">
        <f>IF(Rules!B20=Rules!D20,SUM(C7)*D4*H4,SUM(C7)*D4*H4*POWER(O2,A7-1))</f>
        <v>-448.14425083566834</v>
      </c>
      <c r="U7" s="263">
        <f>S7+T7</f>
        <v>-200.07496505653273</v>
      </c>
      <c r="V7" s="282">
        <f>S7/B4</f>
        <v>695.62225317738023</v>
      </c>
      <c r="W7" s="57">
        <f>T7/D4</f>
        <v>-696.54127270572656</v>
      </c>
    </row>
    <row r="8" spans="1:23">
      <c r="A8" s="98">
        <v>2</v>
      </c>
      <c r="B8" s="97">
        <f>C8*B4</f>
        <v>0.46280013442782997</v>
      </c>
      <c r="C8" s="97">
        <f>1/(1-B4*D4)</f>
        <v>1.2977586937873082</v>
      </c>
      <c r="D8" s="128">
        <f>C8*D4</f>
        <v>0.83495855935947516</v>
      </c>
      <c r="E8" s="1">
        <f>D8*D4</f>
        <v>0.53719986557216481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0.99999999999999478</v>
      </c>
      <c r="R8" s="267">
        <f>B8-E8</f>
        <v>-7.4399731144334846E-2</v>
      </c>
      <c r="S8" s="268">
        <f>IF(Rules!B20=Rules!D20,SUM(C8:D8)*B4*F4,SUM(C8:D8)*B4*F4*POWER(O2,A8-1))</f>
        <v>529.06164575696255</v>
      </c>
      <c r="T8" s="253">
        <f>IF(Rules!B20=Rules!D20,SUM(C8:D8)*D4*H4,SUM(C8:D8)*D4*H4*POWER(O2,A8-1))</f>
        <v>-955.76497565576972</v>
      </c>
      <c r="U8" s="264">
        <f>S8+T8+U7</f>
        <v>-626.7782949553399</v>
      </c>
      <c r="V8" s="93">
        <f>S8/B4</f>
        <v>1483.5655810242388</v>
      </c>
      <c r="W8" s="9">
        <f>T8/D4</f>
        <v>-1485.5255898283217</v>
      </c>
    </row>
    <row r="9" spans="1:23">
      <c r="A9" s="98">
        <v>3</v>
      </c>
      <c r="B9" s="97">
        <f>C9*B4</f>
        <v>0.50782392539160981</v>
      </c>
      <c r="C9" s="97">
        <f>1/(1-D4*B4/(1-D4*B4))</f>
        <v>1.4240119331532521</v>
      </c>
      <c r="D9" s="128">
        <f>C9*D4*C8</f>
        <v>1.1889909522163407</v>
      </c>
      <c r="E9" s="1">
        <f>D9*(D4)</f>
        <v>0.76497901906308563</v>
      </c>
      <c r="F9" s="1">
        <f>E9*D4</f>
        <v>0.49217607460838192</v>
      </c>
      <c r="G9" s="1"/>
      <c r="H9" s="1"/>
      <c r="I9" s="1"/>
      <c r="J9" s="1"/>
      <c r="K9" s="1"/>
      <c r="L9" s="1"/>
      <c r="M9" s="235"/>
      <c r="N9" s="97">
        <f>B9+F9</f>
        <v>0.99999999999999178</v>
      </c>
      <c r="R9" s="267">
        <f>B9-F9</f>
        <v>1.564785078322789E-2</v>
      </c>
      <c r="S9" s="268">
        <f>IF(Rules!B20=Rules!D20,SUM(C9:E9)*B4*F4,SUM(C9:E9)*B4*F4*POWER(O2,A9-1))</f>
        <v>837.97355840745888</v>
      </c>
      <c r="T9" s="253">
        <f>IF(Rules!B20=Rules!D20,SUM(C9:E9)*D4*H4,SUM(C9:E9)*D4*H4*POWER(O2,A9-1))</f>
        <v>-1513.8231698984268</v>
      </c>
      <c r="U9" s="264">
        <f t="shared" ref="U9:U16" si="0">S9+T9+U8</f>
        <v>-1302.6279064463079</v>
      </c>
      <c r="V9" s="93">
        <f>S9/B4</f>
        <v>2349.7993835538778</v>
      </c>
      <c r="W9" s="9">
        <f>T9/D4</f>
        <v>-2352.9038148904515</v>
      </c>
    </row>
    <row r="10" spans="1:23">
      <c r="A10" s="98">
        <v>4</v>
      </c>
      <c r="B10" s="97">
        <f>C10*B4</f>
        <v>0.52967307608898895</v>
      </c>
      <c r="C10" s="97">
        <f>1/(1-D4*B4/(1-D4*B4/(1-D4*B4)))</f>
        <v>1.4852801203469499</v>
      </c>
      <c r="D10" s="128">
        <f>C10*D4*C9</f>
        <v>1.3607958344286393</v>
      </c>
      <c r="E10" s="1">
        <f>D10*D4*C8</f>
        <v>1.1362081294969115</v>
      </c>
      <c r="F10" s="1">
        <f>E10*D4</f>
        <v>0.73101933932622687</v>
      </c>
      <c r="G10" s="1">
        <f>F10*D4</f>
        <v>0.47032692391099973</v>
      </c>
      <c r="H10" s="1"/>
      <c r="I10" s="1"/>
      <c r="J10" s="1"/>
      <c r="K10" s="1"/>
      <c r="L10" s="1"/>
      <c r="M10" s="235"/>
      <c r="N10" s="97">
        <f>B10+G10</f>
        <v>0.99999999999998868</v>
      </c>
      <c r="R10" s="267">
        <f>B10-G10</f>
        <v>5.934615217798922E-2</v>
      </c>
      <c r="S10" s="268">
        <f>IF(Rules!B20=Rules!D20,SUM(C10:F10)*B4*F4,SUM(C10:F10)*B4*F4*POWER(O2,A10-1))</f>
        <v>1169.2258139524911</v>
      </c>
      <c r="T10" s="253">
        <f>IF(Rules!B20=Rules!D20,SUM(C10:F10)*D4*H4,SUM(C10:F10)*D4*H4*POWER(O2,A10-1))</f>
        <v>-2112.2398317298425</v>
      </c>
      <c r="U10" s="264">
        <f t="shared" si="0"/>
        <v>-2245.6419242236593</v>
      </c>
      <c r="V10" s="93">
        <f>S10/B4</f>
        <v>3278.6787474324069</v>
      </c>
      <c r="W10" s="9">
        <f>T10/D4</f>
        <v>-3283.0103653217157</v>
      </c>
    </row>
    <row r="11" spans="1:23">
      <c r="A11" s="98">
        <v>5</v>
      </c>
      <c r="B11" s="97">
        <f>C11*B4</f>
        <v>0.54096805761114009</v>
      </c>
      <c r="C11" s="97">
        <f>1/(1-D4*B4/(1-D4*B4/(1-D4*B4/(1-D4*B4))))</f>
        <v>1.5169528865717499</v>
      </c>
      <c r="D11" s="128">
        <f>C11*D4*C10</f>
        <v>1.4496108642154064</v>
      </c>
      <c r="E11" s="1">
        <f>D11*D4*C9</f>
        <v>1.3281160897151407</v>
      </c>
      <c r="F11" s="1">
        <f>E11*D4*C8</f>
        <v>1.1089218969306933</v>
      </c>
      <c r="G11" s="1">
        <f>F11*D4</f>
        <v>0.71346378485920281</v>
      </c>
      <c r="H11" s="1">
        <f>G11*D4</f>
        <v>0.45903194238884509</v>
      </c>
      <c r="I11" s="1"/>
      <c r="J11" s="1"/>
      <c r="K11" s="1"/>
      <c r="L11" s="1"/>
      <c r="M11" s="235"/>
      <c r="N11" s="97">
        <f>B11+H11</f>
        <v>0.99999999999998512</v>
      </c>
      <c r="R11" s="267">
        <f>B11-H11</f>
        <v>8.1936115222294992E-2</v>
      </c>
      <c r="S11" s="268">
        <f>IF(Rules!B20=Rules!D20,SUM(C11:G11)*B4*F4,SUM(C11:G11)*B4*F4*POWER(O2,A11-1))</f>
        <v>1517.4560751791996</v>
      </c>
      <c r="T11" s="253">
        <f>IF(Rules!B20=Rules!D20,SUM(C11:G11)*D4*H4,SUM(C11:G11)*D4*H4*POWER(O2,A11-1))</f>
        <v>-2741.3277458003313</v>
      </c>
      <c r="U11" s="264">
        <f t="shared" si="0"/>
        <v>-3469.513594844791</v>
      </c>
      <c r="V11" s="93">
        <f>S11/B4</f>
        <v>4255.1669014505633</v>
      </c>
      <c r="W11" s="9">
        <f>T11/D4</f>
        <v>-4260.7886041217243</v>
      </c>
    </row>
    <row r="12" spans="1:23">
      <c r="A12" s="98">
        <v>6</v>
      </c>
      <c r="B12" s="97">
        <f>C12*B4</f>
        <v>0.54699801638745826</v>
      </c>
      <c r="C12" s="97">
        <f>1/(1-D4*B4/(1-D4*B4/(1-D4*B4/(1-D4*B4/(1-D4*B4)))))</f>
        <v>1.5338617654657043</v>
      </c>
      <c r="D12" s="128">
        <f>C12*D4*C11</f>
        <v>1.4970258128172589</v>
      </c>
      <c r="E12" s="1">
        <f>D12*D4*C10</f>
        <v>1.4305684121641669</v>
      </c>
      <c r="F12" s="1">
        <f>E12*D4*C9</f>
        <v>1.3106696235074191</v>
      </c>
      <c r="G12" s="1">
        <f>F12*D4*C8</f>
        <v>1.0943548206399805</v>
      </c>
      <c r="H12" s="1">
        <f>G12*D4</f>
        <v>0.70409154555770548</v>
      </c>
      <c r="I12" s="1">
        <f>H12*D4</f>
        <v>0.45300198361252347</v>
      </c>
      <c r="J12" s="1"/>
      <c r="K12" s="1"/>
      <c r="L12" s="1"/>
      <c r="M12" s="235"/>
      <c r="N12" s="97">
        <f>B12+I12</f>
        <v>0.99999999999998179</v>
      </c>
      <c r="R12" s="267">
        <f>B12-I12</f>
        <v>9.399603277493479E-2</v>
      </c>
      <c r="S12" s="268">
        <f>IF(Rules!B20=Rules!D20,SUM(C12:H12)*B4*F4,SUM(C12:H12)*B4*F4*POWER(O2,A12-1))</f>
        <v>1878.0263840559012</v>
      </c>
      <c r="T12" s="253">
        <f>IF(Rules!B20=Rules!D20,SUM(C12:H12)*D4*H4,SUM(C12:H12)*D4*H4*POWER(O2,A12-1))</f>
        <v>-3392.7083084428255</v>
      </c>
      <c r="U12" s="264">
        <f t="shared" si="0"/>
        <v>-4984.1955192317155</v>
      </c>
      <c r="V12" s="93">
        <f>S12/B4</f>
        <v>5266.2583386750384</v>
      </c>
      <c r="W12" s="9">
        <f>T12/D4</f>
        <v>-5273.2158421655495</v>
      </c>
    </row>
    <row r="13" spans="1:23">
      <c r="A13" s="98">
        <v>7</v>
      </c>
      <c r="B13" s="97">
        <f>C13*B4</f>
        <v>0.55027254950946314</v>
      </c>
      <c r="C13" s="97">
        <f>1/(1-D4*B4/(1-D4*B4/(1-D4*B4/(1-D4*B4/(1-D4*B4/(1-D4*B4))))))</f>
        <v>1.5430440312237514</v>
      </c>
      <c r="D13" s="128">
        <f>C13*D4*C12</f>
        <v>1.5227742176462757</v>
      </c>
      <c r="E13" s="1">
        <f>D13*D4*C11</f>
        <v>1.4862045343551213</v>
      </c>
      <c r="F13" s="1">
        <f>E13*D4*C10</f>
        <v>1.4202275222378713</v>
      </c>
      <c r="G13" s="1">
        <f>F13*D4*C9</f>
        <v>1.301195424167364</v>
      </c>
      <c r="H13" s="1">
        <f>G13*D4*C8</f>
        <v>1.0864442568079236</v>
      </c>
      <c r="I13" s="1">
        <f>H13*D4</f>
        <v>0.69900200694582404</v>
      </c>
      <c r="J13" s="1">
        <f>I13*D4</f>
        <v>0.44972745049051505</v>
      </c>
      <c r="K13" s="1"/>
      <c r="L13" s="1"/>
      <c r="M13" s="235"/>
      <c r="N13" s="97">
        <f>B13+J13</f>
        <v>0.99999999999997824</v>
      </c>
      <c r="R13" s="267">
        <f>B13-J13</f>
        <v>0.10054509901894809</v>
      </c>
      <c r="S13" s="268">
        <f>IF(Rules!B20=Rules!D20,SUM(C13:I13)*B4*F4,SUM(C13:I13)*B4*F4*POWER(O2,A13-1))</f>
        <v>2247.2328667491315</v>
      </c>
      <c r="T13" s="253">
        <f>IF(Rules!B20=Rules!D20,SUM(C13:I13)*D4*H4,SUM(C13:I13)*D4*H4*POWER(O2,A13-1))</f>
        <v>-4059.690365776366</v>
      </c>
      <c r="U13" s="264">
        <f t="shared" si="0"/>
        <v>-6796.6530182589504</v>
      </c>
      <c r="V13" s="93">
        <f>S13/B4</f>
        <v>6301.5668597283984</v>
      </c>
      <c r="W13" s="9">
        <f>T13/D4</f>
        <v>-6309.8921583754991</v>
      </c>
    </row>
    <row r="14" spans="1:23">
      <c r="A14" s="98">
        <v>8</v>
      </c>
      <c r="B14" s="97">
        <f>C14*B4</f>
        <v>0.55206724454316658</v>
      </c>
      <c r="C14" s="97">
        <f>1/(1-D4*B4/(1-D4*B4/(1-D4*B4/(1-D4*B4/(1-D4*B4/(1-D4*B4/(1-D4*B4)))))))</f>
        <v>1.5480766163710418</v>
      </c>
      <c r="D14" s="128">
        <f>C14*D4*C13</f>
        <v>1.5368863162419153</v>
      </c>
      <c r="E14" s="1">
        <f>D14*D4*C12</f>
        <v>1.5166973919535456</v>
      </c>
      <c r="F14" s="1">
        <f>E14*D4*C11</f>
        <v>1.4802736446707785</v>
      </c>
      <c r="G14" s="1">
        <f>F14*D4*C10</f>
        <v>1.4145599222767966</v>
      </c>
      <c r="H14" s="1">
        <f>G14*D4*C9</f>
        <v>1.296002837050237</v>
      </c>
      <c r="I14" s="1">
        <f>H14*D4*C8</f>
        <v>1.0821086617492586</v>
      </c>
      <c r="J14" s="1">
        <f>I14*D4</f>
        <v>0.69621254984453163</v>
      </c>
      <c r="K14" s="1">
        <f>J14*D4</f>
        <v>0.447932755456808</v>
      </c>
      <c r="L14" s="1"/>
      <c r="M14" s="235"/>
      <c r="N14" s="97">
        <f>B14+K14</f>
        <v>0.99999999999997458</v>
      </c>
      <c r="R14" s="267">
        <f>B14-K14</f>
        <v>0.10413448908635858</v>
      </c>
      <c r="S14" s="268">
        <f>IF(Rules!B20=Rules!D20,SUM(C14:J14)*B4*F4,SUM(C14:J14)*B4*F4*POWER(O2,A14-1))</f>
        <v>2622.2952565162946</v>
      </c>
      <c r="T14" s="253">
        <f>IF(Rules!B20=Rules!D20,SUM(C14:J14)*D4*H4,SUM(C14:J14)*D4*H4*POWER(O2,A14-1))</f>
        <v>-4737.2512865123963</v>
      </c>
      <c r="U14" s="264">
        <f t="shared" si="0"/>
        <v>-8911.6090482550517</v>
      </c>
      <c r="V14" s="93">
        <f>S14/B4</f>
        <v>7353.2961934606537</v>
      </c>
      <c r="W14" s="9">
        <f>T14/D4</f>
        <v>-7363.0109815782525</v>
      </c>
    </row>
    <row r="15" spans="1:23">
      <c r="A15" s="98">
        <v>9</v>
      </c>
      <c r="B15" s="97">
        <f>C15*B4</f>
        <v>0.55305585016663372</v>
      </c>
      <c r="C15" s="97">
        <f>1/(1-D4*B4/(1-D4*B4/(1-D4*B4/(1-D4*B4/(1-D4*B4/(1-D4*B4/(1-D4*B4/(1-D4*B4))))))))</f>
        <v>1.5508488099101982</v>
      </c>
      <c r="D15" s="128">
        <f>C15*D4*C14</f>
        <v>1.5446599489586588</v>
      </c>
      <c r="E15" s="1">
        <f>D15*D4*C13</f>
        <v>1.5334943462723989</v>
      </c>
      <c r="F15" s="1">
        <f>E15*D4*C12</f>
        <v>1.5133499797526679</v>
      </c>
      <c r="G15" s="1">
        <f>F15*D4*C11</f>
        <v>1.4770066211464443</v>
      </c>
      <c r="H15" s="1">
        <f>G15*D4*C10</f>
        <v>1.4114379315831864</v>
      </c>
      <c r="I15" s="1">
        <f>H15*D4*C9</f>
        <v>1.2931425066164079</v>
      </c>
      <c r="J15" s="1">
        <f>I15*D4*C8</f>
        <v>1.0797204043709367</v>
      </c>
      <c r="K15" s="1">
        <f>J15*D4</f>
        <v>0.69467598071998682</v>
      </c>
      <c r="L15" s="1">
        <f>K15*D4</f>
        <v>0.4469441498333373</v>
      </c>
      <c r="M15" s="235"/>
      <c r="N15" s="97">
        <f>B15+L15</f>
        <v>0.99999999999997102</v>
      </c>
      <c r="R15" s="267">
        <f>B15-L15</f>
        <v>0.10611170033329642</v>
      </c>
      <c r="S15" s="268">
        <f>IF(Rules!B20=Rules!D20,SUM(C15:K15)*B4*F4,SUM(C15:K15)*B4*F4*POWER(O2,A15-1))</f>
        <v>3001.2257019467397</v>
      </c>
      <c r="T15" s="253">
        <f>IF(Rules!B20=Rules!D20,SUM(C15:K15)*D4*H4,SUM(C15:K15)*D4*H4*POWER(O2,A15-1))</f>
        <v>-5421.7999602947903</v>
      </c>
      <c r="U15" s="264">
        <f t="shared" si="0"/>
        <v>-11332.183306603103</v>
      </c>
      <c r="V15" s="93">
        <f>S15/B4</f>
        <v>8415.8721162313577</v>
      </c>
      <c r="W15" s="9">
        <f>T15/D4</f>
        <v>-8426.9907237623192</v>
      </c>
    </row>
    <row r="16" spans="1:23" ht="17" thickBot="1">
      <c r="A16" s="99">
        <v>10</v>
      </c>
      <c r="B16" s="129">
        <f>C16*B4</f>
        <v>0.55360193625411469</v>
      </c>
      <c r="C16" s="129">
        <f>1/(1-D4*B4/(1-D4*B4/(1-D4*B4/(1-D4*B4/(1-D4*B4/(1-D4*B4/(1-D4*B4/(1-D4*B4/(1-D4*B4)))))))))</f>
        <v>1.5523801144947591</v>
      </c>
      <c r="D16" s="137">
        <f>C16*D4*C15</f>
        <v>1.5489539490887736</v>
      </c>
      <c r="E16" s="109">
        <f>D16*D4*C14</f>
        <v>1.5427726498222103</v>
      </c>
      <c r="F16" s="109">
        <f>E16*D4*C13</f>
        <v>1.531620689512269</v>
      </c>
      <c r="G16" s="109">
        <f>F16*D4*C12</f>
        <v>1.5115009358178804</v>
      </c>
      <c r="H16" s="109">
        <f>G16*D4*C11</f>
        <v>1.47520198231801</v>
      </c>
      <c r="I16" s="109">
        <f>H16*D4*C10</f>
        <v>1.4097134060063929</v>
      </c>
      <c r="J16" s="109">
        <f>I16*D4*C9</f>
        <v>1.2915625169638716</v>
      </c>
      <c r="K16" s="109">
        <f>J16*D4*C8</f>
        <v>1.0784011784868519</v>
      </c>
      <c r="L16" s="109">
        <f>K16*D4</f>
        <v>0.69382721049103868</v>
      </c>
      <c r="M16" s="237">
        <f>L16*D4</f>
        <v>0.44639806374585245</v>
      </c>
      <c r="N16" s="129">
        <f>B16+M16</f>
        <v>0.99999999999996714</v>
      </c>
      <c r="R16" s="269">
        <f>B16-M16</f>
        <v>0.10720387250826224</v>
      </c>
      <c r="S16" s="270">
        <f>IF(Rules!B20=Rules!D20,SUM(C16:L16)*B4*F4,SUM(C16:L16)*B4*F4*POWER(O2,A16-1))</f>
        <v>3382.6565653398002</v>
      </c>
      <c r="T16" s="254">
        <f>IF(Rules!B20=Rules!D20,SUM(C16:L16)*D4*H4,SUM(C16:L16)*D4*H4*POWER(O2,A16-1))</f>
        <v>-6110.865710550851</v>
      </c>
      <c r="U16" s="264">
        <f t="shared" si="0"/>
        <v>-14060.392451814154</v>
      </c>
      <c r="V16" s="94">
        <f>S16/B4</f>
        <v>9485.4595735883649</v>
      </c>
      <c r="W16" s="10">
        <f>T16/D4</f>
        <v>-9497.9912638033475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9</v>
      </c>
      <c r="D21" s="57">
        <f>SUM($C$21:C21)</f>
        <v>9</v>
      </c>
      <c r="E21" s="57">
        <f t="shared" ref="E21:E30" si="2">D21/R7</f>
        <v>-31.384022130443565</v>
      </c>
      <c r="F21" s="8">
        <f t="shared" ref="F21:F30" si="3">U7/E21</f>
        <v>6.3750581179476429</v>
      </c>
      <c r="G21" s="256">
        <f>E21*U7</f>
        <v>6279.1571310819463</v>
      </c>
    </row>
    <row r="22" spans="1:7">
      <c r="A22" s="97">
        <v>2</v>
      </c>
      <c r="B22" s="93">
        <f>C21</f>
        <v>9</v>
      </c>
      <c r="C22" s="1">
        <f t="shared" si="1"/>
        <v>81</v>
      </c>
      <c r="D22" s="9">
        <f>SUM($C$21:C22)</f>
        <v>90</v>
      </c>
      <c r="E22" s="9">
        <f t="shared" si="2"/>
        <v>-1209.6817907231514</v>
      </c>
      <c r="F22" s="9">
        <f t="shared" si="3"/>
        <v>0.51813485146424332</v>
      </c>
      <c r="G22" s="257">
        <f t="shared" ref="G22:G30" si="4">E22*U8</f>
        <v>758202.29022797919</v>
      </c>
    </row>
    <row r="23" spans="1:7">
      <c r="A23" s="97">
        <v>3</v>
      </c>
      <c r="B23" s="93">
        <f t="shared" ref="B23:B30" si="5">C22</f>
        <v>81</v>
      </c>
      <c r="C23" s="1">
        <f t="shared" si="1"/>
        <v>729</v>
      </c>
      <c r="D23" s="9">
        <f>SUM($C$21:C23)</f>
        <v>819</v>
      </c>
      <c r="E23" s="9">
        <f t="shared" si="2"/>
        <v>52339.456155719679</v>
      </c>
      <c r="F23" s="9">
        <f t="shared" si="3"/>
        <v>-2.488806728466467E-2</v>
      </c>
      <c r="G23" s="257">
        <f t="shared" si="4"/>
        <v>-68178836.196663439</v>
      </c>
    </row>
    <row r="24" spans="1:7">
      <c r="A24" s="97">
        <v>4</v>
      </c>
      <c r="B24" s="93">
        <f t="shared" si="5"/>
        <v>729</v>
      </c>
      <c r="C24" s="1">
        <f t="shared" si="1"/>
        <v>6561</v>
      </c>
      <c r="D24" s="9">
        <f>SUM($C$21:C24)</f>
        <v>7380</v>
      </c>
      <c r="E24" s="9">
        <f t="shared" si="2"/>
        <v>124355.15579621949</v>
      </c>
      <c r="F24" s="9">
        <f t="shared" si="3"/>
        <v>-1.8058293681876669E-2</v>
      </c>
      <c r="G24" s="257">
        <f t="shared" si="4"/>
        <v>-279257151.34935528</v>
      </c>
    </row>
    <row r="25" spans="1:7">
      <c r="A25" s="97">
        <v>5</v>
      </c>
      <c r="B25" s="93">
        <f t="shared" si="5"/>
        <v>6561</v>
      </c>
      <c r="C25" s="1">
        <f t="shared" si="1"/>
        <v>59049</v>
      </c>
      <c r="D25" s="9">
        <f>SUM($C$21:C25)</f>
        <v>66429</v>
      </c>
      <c r="E25" s="9">
        <f t="shared" si="2"/>
        <v>810741.3906526597</v>
      </c>
      <c r="F25" s="9">
        <f t="shared" si="3"/>
        <v>-4.2794331643186212E-3</v>
      </c>
      <c r="G25" s="257">
        <f t="shared" si="4"/>
        <v>-2812878276.7727742</v>
      </c>
    </row>
    <row r="26" spans="1:7">
      <c r="A26" s="97">
        <v>6</v>
      </c>
      <c r="B26" s="93">
        <f t="shared" si="5"/>
        <v>59049</v>
      </c>
      <c r="C26" s="1">
        <f t="shared" si="1"/>
        <v>531441</v>
      </c>
      <c r="D26" s="9">
        <f>SUM($C$21:C26)</f>
        <v>597870</v>
      </c>
      <c r="E26" s="9">
        <f t="shared" si="2"/>
        <v>6360587.594495046</v>
      </c>
      <c r="F26" s="9">
        <f t="shared" si="3"/>
        <v>-7.8360614411558942E-4</v>
      </c>
      <c r="G26" s="257">
        <f t="shared" si="4"/>
        <v>-31702412188.163044</v>
      </c>
    </row>
    <row r="27" spans="1:7">
      <c r="A27" s="97">
        <v>7</v>
      </c>
      <c r="B27" s="93">
        <f t="shared" si="5"/>
        <v>531441</v>
      </c>
      <c r="C27" s="1">
        <f t="shared" si="1"/>
        <v>4782969</v>
      </c>
      <c r="D27" s="9">
        <f>SUM($C$21:C27)</f>
        <v>5380839</v>
      </c>
      <c r="E27" s="9">
        <f t="shared" si="2"/>
        <v>53516671.150584489</v>
      </c>
      <c r="F27" s="9">
        <f t="shared" si="3"/>
        <v>-1.2700066861660023E-4</v>
      </c>
      <c r="G27" s="257">
        <f t="shared" si="4"/>
        <v>-363734244502.79175</v>
      </c>
    </row>
    <row r="28" spans="1:7">
      <c r="A28" s="97">
        <v>8</v>
      </c>
      <c r="B28" s="93">
        <f t="shared" si="5"/>
        <v>4782969</v>
      </c>
      <c r="C28" s="1">
        <f t="shared" si="1"/>
        <v>43046721</v>
      </c>
      <c r="D28" s="9">
        <f>SUM($C$21:C28)</f>
        <v>48427560</v>
      </c>
      <c r="E28" s="9">
        <f t="shared" si="2"/>
        <v>465048231.61747205</v>
      </c>
      <c r="F28" s="9">
        <f t="shared" si="3"/>
        <v>-1.9162763004731398E-5</v>
      </c>
      <c r="G28" s="257">
        <f t="shared" si="4"/>
        <v>-4144328028757.2749</v>
      </c>
    </row>
    <row r="29" spans="1:7">
      <c r="A29" s="97">
        <v>9</v>
      </c>
      <c r="B29" s="93">
        <f t="shared" si="5"/>
        <v>43046721</v>
      </c>
      <c r="C29" s="1">
        <f t="shared" si="1"/>
        <v>387420489</v>
      </c>
      <c r="D29" s="9">
        <f>SUM($C$21:C29)</f>
        <v>435848049</v>
      </c>
      <c r="E29" s="9">
        <f t="shared" si="2"/>
        <v>4107445716.4573092</v>
      </c>
      <c r="F29" s="9">
        <f t="shared" si="3"/>
        <v>-2.7589368402845656E-6</v>
      </c>
      <c r="G29" s="257">
        <f t="shared" si="4"/>
        <v>-46546327780815.945</v>
      </c>
    </row>
    <row r="30" spans="1:7" ht="17" thickBot="1">
      <c r="A30" s="129">
        <v>10</v>
      </c>
      <c r="B30" s="94">
        <f t="shared" si="5"/>
        <v>387420489</v>
      </c>
      <c r="C30" s="109">
        <f t="shared" si="1"/>
        <v>3486784401</v>
      </c>
      <c r="D30" s="10">
        <f>SUM($C$21:C30)</f>
        <v>3922632450</v>
      </c>
      <c r="E30" s="10">
        <f t="shared" si="2"/>
        <v>36590398818.827011</v>
      </c>
      <c r="F30" s="10">
        <f t="shared" si="3"/>
        <v>-3.8426453128954694E-7</v>
      </c>
      <c r="G30" s="258">
        <f t="shared" si="4"/>
        <v>-514475367361104.81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9</v>
      </c>
      <c r="D33" s="57">
        <f>SUM($C$33:C33)</f>
        <v>9</v>
      </c>
      <c r="E33" s="9">
        <f t="shared" ref="E33:E42" si="7">D33/R7</f>
        <v>-31.384022130443565</v>
      </c>
      <c r="F33" s="8">
        <f t="shared" ref="F33:F42" si="8">U7/E33</f>
        <v>6.3750581179476429</v>
      </c>
      <c r="G33" s="259">
        <f>E33*U7</f>
        <v>6279.1571310819463</v>
      </c>
    </row>
    <row r="34" spans="1:7">
      <c r="A34" s="97">
        <v>2</v>
      </c>
      <c r="B34" s="93">
        <f t="shared" ref="B34:B42" si="9">B33*($O$2+1)</f>
        <v>10</v>
      </c>
      <c r="C34" s="1">
        <f t="shared" si="6"/>
        <v>90</v>
      </c>
      <c r="D34" s="9">
        <f>SUM($C$33:C34)</f>
        <v>99</v>
      </c>
      <c r="E34" s="9">
        <f t="shared" si="7"/>
        <v>-1330.6499697954666</v>
      </c>
      <c r="F34" s="9">
        <f t="shared" si="8"/>
        <v>0.47103168314931204</v>
      </c>
      <c r="G34" s="257">
        <f t="shared" ref="G34:G42" si="10">E34*U8</f>
        <v>834022.51925077708</v>
      </c>
    </row>
    <row r="35" spans="1:7">
      <c r="A35" s="97">
        <v>3</v>
      </c>
      <c r="B35" s="93">
        <f t="shared" si="9"/>
        <v>100</v>
      </c>
      <c r="C35" s="1">
        <f t="shared" si="6"/>
        <v>900</v>
      </c>
      <c r="D35" s="9">
        <f>SUM($C$33:C35)</f>
        <v>999</v>
      </c>
      <c r="E35" s="9">
        <f t="shared" si="7"/>
        <v>63842.633332800928</v>
      </c>
      <c r="F35" s="9">
        <f t="shared" si="8"/>
        <v>-2.0403730836977343E-2</v>
      </c>
      <c r="G35" s="257">
        <f t="shared" si="10"/>
        <v>-83163195.800325736</v>
      </c>
    </row>
    <row r="36" spans="1:7">
      <c r="A36" s="97">
        <v>4</v>
      </c>
      <c r="B36" s="93">
        <f t="shared" si="9"/>
        <v>1000</v>
      </c>
      <c r="C36" s="1">
        <f t="shared" si="6"/>
        <v>9000</v>
      </c>
      <c r="D36" s="9">
        <f>SUM($C$33:C36)</f>
        <v>9999</v>
      </c>
      <c r="E36" s="9">
        <f t="shared" si="7"/>
        <v>168486.07084097544</v>
      </c>
      <c r="F36" s="9">
        <f t="shared" si="8"/>
        <v>-1.332835357258224E-2</v>
      </c>
      <c r="G36" s="257">
        <f t="shared" si="10"/>
        <v>-378359384.3282119</v>
      </c>
    </row>
    <row r="37" spans="1:7">
      <c r="A37" s="97">
        <v>5</v>
      </c>
      <c r="B37" s="93">
        <f t="shared" si="9"/>
        <v>10000</v>
      </c>
      <c r="C37" s="1">
        <f t="shared" si="6"/>
        <v>90000</v>
      </c>
      <c r="D37" s="9">
        <f>SUM($C$33:C37)</f>
        <v>99999</v>
      </c>
      <c r="E37" s="9">
        <f t="shared" si="7"/>
        <v>1220450.8320744752</v>
      </c>
      <c r="F37" s="9">
        <f t="shared" si="8"/>
        <v>-2.8428130848560653E-3</v>
      </c>
      <c r="G37" s="257">
        <f t="shared" si="10"/>
        <v>-4234370753.7220287</v>
      </c>
    </row>
    <row r="38" spans="1:7">
      <c r="A38" s="97">
        <v>6</v>
      </c>
      <c r="B38" s="93">
        <f t="shared" si="9"/>
        <v>100000</v>
      </c>
      <c r="C38" s="1">
        <f t="shared" si="6"/>
        <v>900000</v>
      </c>
      <c r="D38" s="9">
        <f>SUM($C$33:C38)</f>
        <v>999999</v>
      </c>
      <c r="E38" s="9">
        <f t="shared" si="7"/>
        <v>10638736.236819796</v>
      </c>
      <c r="F38" s="9">
        <f t="shared" si="8"/>
        <v>-4.6849507387746137E-4</v>
      </c>
      <c r="G38" s="257">
        <f t="shared" si="10"/>
        <v>-53025541481.845314</v>
      </c>
    </row>
    <row r="39" spans="1:7">
      <c r="A39" s="97">
        <v>7</v>
      </c>
      <c r="B39" s="93">
        <f t="shared" si="9"/>
        <v>1000000</v>
      </c>
      <c r="C39" s="1">
        <f t="shared" si="6"/>
        <v>9000000</v>
      </c>
      <c r="D39" s="9">
        <f>SUM($C$33:C39)</f>
        <v>9999999</v>
      </c>
      <c r="E39" s="9">
        <f t="shared" si="7"/>
        <v>99457846.255792767</v>
      </c>
      <c r="F39" s="9">
        <f t="shared" si="8"/>
        <v>-6.8337021905530049E-5</v>
      </c>
      <c r="G39" s="257">
        <f t="shared" si="10"/>
        <v>-675980470943.96851</v>
      </c>
    </row>
    <row r="40" spans="1:7">
      <c r="A40" s="97">
        <v>8</v>
      </c>
      <c r="B40" s="93">
        <f t="shared" si="9"/>
        <v>10000000</v>
      </c>
      <c r="C40" s="1">
        <f t="shared" si="6"/>
        <v>90000000</v>
      </c>
      <c r="D40" s="9">
        <f>SUM($C$33:C40)</f>
        <v>99999999</v>
      </c>
      <c r="E40" s="9">
        <f t="shared" si="7"/>
        <v>960296630.61073017</v>
      </c>
      <c r="F40" s="9">
        <f t="shared" si="8"/>
        <v>-9.2800586445746879E-6</v>
      </c>
      <c r="G40" s="257">
        <f t="shared" si="10"/>
        <v>-8557788142359.4219</v>
      </c>
    </row>
    <row r="41" spans="1:7">
      <c r="A41" s="97">
        <v>9</v>
      </c>
      <c r="B41" s="93">
        <f t="shared" si="9"/>
        <v>100000000</v>
      </c>
      <c r="C41" s="1">
        <f t="shared" si="6"/>
        <v>900000000</v>
      </c>
      <c r="D41" s="9">
        <f>SUM($C$33:C41)</f>
        <v>999999999</v>
      </c>
      <c r="E41" s="9">
        <f t="shared" si="7"/>
        <v>9424031429.701004</v>
      </c>
      <c r="F41" s="9">
        <f t="shared" si="8"/>
        <v>-1.2024772403547299E-6</v>
      </c>
      <c r="G41" s="257">
        <f t="shared" si="10"/>
        <v>-106794851648560.69</v>
      </c>
    </row>
    <row r="42" spans="1:7" ht="17" thickBot="1">
      <c r="A42" s="129">
        <v>10</v>
      </c>
      <c r="B42" s="94">
        <f t="shared" si="9"/>
        <v>1000000000</v>
      </c>
      <c r="C42" s="109">
        <f t="shared" si="6"/>
        <v>9000000000</v>
      </c>
      <c r="D42" s="10">
        <f>SUM($C$33:C42)</f>
        <v>9999999999</v>
      </c>
      <c r="E42" s="9">
        <f t="shared" si="7"/>
        <v>93280212412.376205</v>
      </c>
      <c r="F42" s="10">
        <f t="shared" si="8"/>
        <v>-1.5073285199711503E-7</v>
      </c>
      <c r="G42" s="258">
        <f t="shared" si="10"/>
        <v>-1311556394506595.2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9</v>
      </c>
      <c r="D45" s="57">
        <f>SUM(C45:C45)</f>
        <v>9</v>
      </c>
      <c r="E45" s="57">
        <f t="shared" ref="E45:E54" si="12">D45/R7</f>
        <v>-31.384022130443565</v>
      </c>
      <c r="F45" s="8">
        <f t="shared" ref="F45:F54" si="13">U7/E45</f>
        <v>6.3750581179476429</v>
      </c>
      <c r="G45" s="256">
        <f>E45*U7</f>
        <v>6279.1571310819463</v>
      </c>
    </row>
    <row r="46" spans="1:7">
      <c r="A46" s="97">
        <v>2</v>
      </c>
      <c r="B46" s="93">
        <f t="shared" ref="B46:B54" si="14">B45*$O$2*2</f>
        <v>18</v>
      </c>
      <c r="C46" s="1">
        <f t="shared" si="11"/>
        <v>162</v>
      </c>
      <c r="D46" s="9">
        <f>SUM($C$45:C46)</f>
        <v>171</v>
      </c>
      <c r="E46" s="9">
        <f t="shared" si="12"/>
        <v>-2298.395402373988</v>
      </c>
      <c r="F46" s="9">
        <f t="shared" si="13"/>
        <v>0.27270255340223326</v>
      </c>
      <c r="G46" s="257">
        <f t="shared" ref="G46:G54" si="15">E46*U8</f>
        <v>1440584.3514331605</v>
      </c>
    </row>
    <row r="47" spans="1:7">
      <c r="A47" s="97">
        <v>3</v>
      </c>
      <c r="B47" s="93">
        <f t="shared" si="14"/>
        <v>324</v>
      </c>
      <c r="C47" s="1">
        <f t="shared" si="11"/>
        <v>2916</v>
      </c>
      <c r="D47" s="9">
        <f>SUM($C$45:C47)</f>
        <v>3087</v>
      </c>
      <c r="E47" s="9">
        <f t="shared" si="12"/>
        <v>197279.48858694339</v>
      </c>
      <c r="F47" s="9">
        <f t="shared" si="13"/>
        <v>-6.6029566265436886E-3</v>
      </c>
      <c r="G47" s="257">
        <f t="shared" si="15"/>
        <v>-256981767.20280835</v>
      </c>
    </row>
    <row r="48" spans="1:7">
      <c r="A48" s="97">
        <v>4</v>
      </c>
      <c r="B48" s="93">
        <f t="shared" si="14"/>
        <v>5832</v>
      </c>
      <c r="C48" s="1">
        <f t="shared" si="11"/>
        <v>52488</v>
      </c>
      <c r="D48" s="9">
        <f>SUM($C$45:C48)</f>
        <v>55575</v>
      </c>
      <c r="E48" s="9">
        <f t="shared" si="12"/>
        <v>936454.98419714067</v>
      </c>
      <c r="F48" s="9">
        <f t="shared" si="13"/>
        <v>-2.3980244241520437E-3</v>
      </c>
      <c r="G48" s="257">
        <f t="shared" si="15"/>
        <v>-2102942572.6613035</v>
      </c>
    </row>
    <row r="49" spans="1:7">
      <c r="A49" s="97">
        <v>5</v>
      </c>
      <c r="B49" s="93">
        <f t="shared" si="14"/>
        <v>104976</v>
      </c>
      <c r="C49" s="1">
        <f t="shared" si="11"/>
        <v>944784</v>
      </c>
      <c r="D49" s="9">
        <f>SUM($C$45:C49)</f>
        <v>1000359</v>
      </c>
      <c r="E49" s="9">
        <f t="shared" si="12"/>
        <v>12209011.829350194</v>
      </c>
      <c r="F49" s="9">
        <f t="shared" si="13"/>
        <v>-2.8417644632828984E-4</v>
      </c>
      <c r="G49" s="257">
        <f t="shared" si="15"/>
        <v>-42359332521.551369</v>
      </c>
    </row>
    <row r="50" spans="1:7">
      <c r="A50" s="97">
        <v>6</v>
      </c>
      <c r="B50" s="93">
        <f t="shared" si="14"/>
        <v>1889568</v>
      </c>
      <c r="C50" s="1">
        <f t="shared" si="11"/>
        <v>17006112</v>
      </c>
      <c r="D50" s="9">
        <f>SUM($C$45:C50)</f>
        <v>18006471</v>
      </c>
      <c r="E50" s="9">
        <f t="shared" si="12"/>
        <v>191566287.09123188</v>
      </c>
      <c r="F50" s="9">
        <f t="shared" si="13"/>
        <v>-2.6018124561019618E-5</v>
      </c>
      <c r="G50" s="257">
        <f t="shared" si="15"/>
        <v>-954803829755.97437</v>
      </c>
    </row>
    <row r="51" spans="1:7">
      <c r="A51" s="97">
        <v>7</v>
      </c>
      <c r="B51" s="93">
        <f t="shared" si="14"/>
        <v>34012224</v>
      </c>
      <c r="C51" s="1">
        <f t="shared" si="11"/>
        <v>306110016</v>
      </c>
      <c r="D51" s="9">
        <f>SUM($C$45:C51)</f>
        <v>324116487</v>
      </c>
      <c r="E51" s="9">
        <f t="shared" si="12"/>
        <v>3223593095.660675</v>
      </c>
      <c r="F51" s="9">
        <f t="shared" si="13"/>
        <v>-2.1084091002080948E-6</v>
      </c>
      <c r="G51" s="257">
        <f t="shared" si="15"/>
        <v>-21909643743260.84</v>
      </c>
    </row>
    <row r="52" spans="1:7">
      <c r="A52" s="97">
        <v>8</v>
      </c>
      <c r="B52" s="93">
        <f t="shared" si="14"/>
        <v>612220032</v>
      </c>
      <c r="C52" s="1">
        <f t="shared" si="11"/>
        <v>5509980288</v>
      </c>
      <c r="D52" s="9">
        <f>SUM($C$45:C52)</f>
        <v>5834096775</v>
      </c>
      <c r="E52" s="9">
        <f t="shared" si="12"/>
        <v>56024635317.140625</v>
      </c>
      <c r="F52" s="9">
        <f t="shared" si="13"/>
        <v>-1.5906590016711029E-7</v>
      </c>
      <c r="G52" s="257">
        <f t="shared" si="15"/>
        <v>-499269647017419.94</v>
      </c>
    </row>
    <row r="53" spans="1:7">
      <c r="A53" s="97">
        <v>9</v>
      </c>
      <c r="B53" s="93">
        <f t="shared" si="14"/>
        <v>11019960576</v>
      </c>
      <c r="C53" s="1">
        <f t="shared" si="11"/>
        <v>99179645184</v>
      </c>
      <c r="D53" s="9">
        <f>SUM($C$45:C53)</f>
        <v>105013741959</v>
      </c>
      <c r="E53" s="9">
        <f t="shared" si="12"/>
        <v>989652805761.77991</v>
      </c>
      <c r="F53" s="9">
        <f t="shared" si="13"/>
        <v>-1.1450665567385743E-8</v>
      </c>
      <c r="G53" s="257">
        <f t="shared" si="15"/>
        <v>-1.1214927004786566E+16</v>
      </c>
    </row>
    <row r="54" spans="1:7" ht="17" thickBot="1">
      <c r="A54" s="129">
        <v>10</v>
      </c>
      <c r="B54" s="94">
        <f t="shared" si="14"/>
        <v>198359290368</v>
      </c>
      <c r="C54" s="109">
        <f t="shared" si="11"/>
        <v>1785233613312</v>
      </c>
      <c r="D54" s="10">
        <f>SUM($C$45:C54)</f>
        <v>1890247355271</v>
      </c>
      <c r="E54" s="10">
        <f t="shared" si="12"/>
        <v>17632267482924.352</v>
      </c>
      <c r="F54" s="10">
        <f t="shared" si="13"/>
        <v>-7.9742395386360176E-10</v>
      </c>
      <c r="G54" s="258">
        <f t="shared" si="15"/>
        <v>-2.479166006252777E+17</v>
      </c>
    </row>
  </sheetData>
  <mergeCells count="1">
    <mergeCell ref="A18:F18"/>
  </mergeCells>
  <conditionalFormatting sqref="F45:F54">
    <cfRule type="cellIs" dxfId="233" priority="65" operator="equal">
      <formula>MAX($F$45:$F$54)</formula>
    </cfRule>
  </conditionalFormatting>
  <conditionalFormatting sqref="F21:F30">
    <cfRule type="cellIs" dxfId="232" priority="63" operator="equal">
      <formula>MAX($F$21:$F$30)</formula>
    </cfRule>
  </conditionalFormatting>
  <conditionalFormatting sqref="E33:E42">
    <cfRule type="cellIs" dxfId="231" priority="61" stopIfTrue="1" operator="lessThan">
      <formula>0</formula>
    </cfRule>
    <cfRule type="cellIs" dxfId="230" priority="62" operator="equal">
      <formula>MIN($E$33:$E$42)</formula>
    </cfRule>
  </conditionalFormatting>
  <conditionalFormatting sqref="E21:E30">
    <cfRule type="cellIs" dxfId="229" priority="57" stopIfTrue="1" operator="lessThan">
      <formula>0</formula>
    </cfRule>
    <cfRule type="cellIs" dxfId="228" priority="58" operator="equal">
      <formula>MIN($E$21:$E$30)</formula>
    </cfRule>
  </conditionalFormatting>
  <conditionalFormatting sqref="E45:E54">
    <cfRule type="cellIs" dxfId="227" priority="53" stopIfTrue="1" operator="lessThan">
      <formula>0</formula>
    </cfRule>
    <cfRule type="cellIs" dxfId="226" priority="54" operator="equal">
      <formula>MIN($E$45:$E$54)</formula>
    </cfRule>
  </conditionalFormatting>
  <conditionalFormatting sqref="F33:F42">
    <cfRule type="cellIs" dxfId="225" priority="43" operator="lessThanOrEqual">
      <formula>0</formula>
    </cfRule>
    <cfRule type="cellIs" dxfId="224" priority="44" operator="equal">
      <formula>MAX($F$33:$F$42)</formula>
    </cfRule>
  </conditionalFormatting>
  <conditionalFormatting sqref="R7:R16">
    <cfRule type="cellIs" dxfId="223" priority="29" operator="lessThanOrEqual">
      <formula>0</formula>
    </cfRule>
    <cfRule type="cellIs" dxfId="222" priority="30" operator="greaterThan">
      <formula>0</formula>
    </cfRule>
  </conditionalFormatting>
  <conditionalFormatting sqref="U7:U16">
    <cfRule type="cellIs" dxfId="221" priority="9" operator="lessThanOrEqual">
      <formula>0</formula>
    </cfRule>
    <cfRule type="cellIs" dxfId="220" priority="10" operator="greaterThan">
      <formula>0</formula>
    </cfRule>
  </conditionalFormatting>
  <conditionalFormatting sqref="S7:T16">
    <cfRule type="cellIs" dxfId="219" priority="1" operator="lessThanOrEqual">
      <formula>0</formula>
    </cfRule>
    <cfRule type="cellIs" dxfId="21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pageSetUpPr fitToPage="1"/>
  </sheetPr>
  <dimension ref="A1:W54"/>
  <sheetViews>
    <sheetView zoomScale="90" zoomScaleNormal="90" workbookViewId="0">
      <selection activeCell="O18" sqref="O18:U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0.99999999999999722</v>
      </c>
    </row>
    <row r="2" spans="1:23">
      <c r="A2" t="s">
        <v>39</v>
      </c>
      <c r="B2" s="133" t="s">
        <v>124</v>
      </c>
      <c r="C2" s="139">
        <f>Analysis!B48</f>
        <v>0.36001741627851891</v>
      </c>
      <c r="D2" s="133" t="s">
        <v>125</v>
      </c>
      <c r="E2" s="139">
        <f>Analysis!O48</f>
        <v>0.63998258372147832</v>
      </c>
      <c r="F2" s="133" t="s">
        <v>46</v>
      </c>
      <c r="G2" s="139">
        <f>Analysis!S48</f>
        <v>783.91234507687432</v>
      </c>
      <c r="H2" t="s">
        <v>153</v>
      </c>
      <c r="I2" s="153">
        <f>Analysis!T48</f>
        <v>-784.94800883022151</v>
      </c>
      <c r="J2" t="s">
        <v>47</v>
      </c>
      <c r="K2" s="153">
        <f>G2*C2+I2*E2</f>
        <v>-220.1309577147839</v>
      </c>
      <c r="L2" t="s">
        <v>46</v>
      </c>
      <c r="M2" s="160">
        <v>3</v>
      </c>
      <c r="N2" t="s">
        <v>153</v>
      </c>
      <c r="O2" s="160">
        <v>10</v>
      </c>
    </row>
    <row r="4" spans="1:23">
      <c r="A4" t="s">
        <v>122</v>
      </c>
      <c r="B4">
        <f>$C$2</f>
        <v>0.36001741627851891</v>
      </c>
      <c r="C4" t="s">
        <v>123</v>
      </c>
      <c r="D4">
        <f>$E$2</f>
        <v>0.63998258372147832</v>
      </c>
      <c r="E4" t="s">
        <v>46</v>
      </c>
      <c r="F4">
        <f>G2</f>
        <v>783.91234507687432</v>
      </c>
      <c r="G4" t="s">
        <v>153</v>
      </c>
      <c r="H4">
        <f>I2</f>
        <v>-784.94800883022151</v>
      </c>
      <c r="I4" t="s">
        <v>47</v>
      </c>
      <c r="J4">
        <f>B4*F4+D4*H4</f>
        <v>-220.1309577147839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0.36001741627851891</v>
      </c>
      <c r="C7" s="95">
        <v>1</v>
      </c>
      <c r="D7" s="22">
        <f>C7*D4</f>
        <v>0.63998258372147832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0.99999999999999722</v>
      </c>
      <c r="R7" s="265">
        <f>B7-D7</f>
        <v>-0.27996516744295941</v>
      </c>
      <c r="S7" s="266">
        <f>IF(Rules!B20=Rules!D20,SUM(C7)*B4*F4,SUM(C7)*B4*F4*POWER(O2,A7-1))</f>
        <v>282.22209706341101</v>
      </c>
      <c r="T7" s="252">
        <f>IF(Rules!B20=Rules!D20,SUM(C7)*D4*H4,SUM(C7)*D4*H4*POWER(O2,A7-1))</f>
        <v>-502.35305477819492</v>
      </c>
      <c r="U7" s="263">
        <f>S7+T7</f>
        <v>-220.1309577147839</v>
      </c>
      <c r="V7" s="282">
        <f>S7/B4</f>
        <v>783.91234507687432</v>
      </c>
      <c r="W7" s="57">
        <f>T7/D4</f>
        <v>-784.94800883022151</v>
      </c>
    </row>
    <row r="8" spans="1:23">
      <c r="A8" s="98">
        <v>2</v>
      </c>
      <c r="B8" s="97">
        <f>C8*B4</f>
        <v>0.46780106210450467</v>
      </c>
      <c r="C8" s="97">
        <f>1/(1-B4*D4)</f>
        <v>1.2993845323932927</v>
      </c>
      <c r="D8" s="128">
        <f>C8*D4</f>
        <v>0.83158347028878432</v>
      </c>
      <c r="E8" s="1">
        <f>D8*D4</f>
        <v>0.53219893789548933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0.999999999999994</v>
      </c>
      <c r="R8" s="267">
        <f>B8-E8</f>
        <v>-6.439787579098466E-2</v>
      </c>
      <c r="S8" s="268">
        <f>IF(Rules!B20=Rules!D20,SUM(C8:D8)*B4*F4,SUM(C8:D8)*B4*F4*POWER(O2,A8-1))</f>
        <v>601.40625849196431</v>
      </c>
      <c r="T8" s="253">
        <f>IF(Rules!B20=Rules!D20,SUM(C8:D8)*D4*H4,SUM(C8:D8)*D4*H4*POWER(O2,A8-1))</f>
        <v>-1070.49828578193</v>
      </c>
      <c r="U8" s="264">
        <f>S8+T8+U7</f>
        <v>-689.2229850047496</v>
      </c>
      <c r="V8" s="93">
        <f>S8/B4</f>
        <v>1670.4921242662901</v>
      </c>
      <c r="W8" s="9">
        <f>T8/D4</f>
        <v>-1672.6990905862103</v>
      </c>
    </row>
    <row r="9" spans="1:23">
      <c r="A9" s="98">
        <v>3</v>
      </c>
      <c r="B9" s="97">
        <f>C9*B4</f>
        <v>0.513858789769991</v>
      </c>
      <c r="C9" s="97">
        <f>1/(1-D4*B4/(1-D4*B4))</f>
        <v>1.427316475635324</v>
      </c>
      <c r="D9" s="128">
        <f>C9*D4*C8</f>
        <v>1.18693278800918</v>
      </c>
      <c r="E9" s="1">
        <f>D9*(D4)</f>
        <v>0.75961631237385274</v>
      </c>
      <c r="F9" s="1">
        <f>E9*D4</f>
        <v>0.48614121022999984</v>
      </c>
      <c r="G9" s="1"/>
      <c r="H9" s="1"/>
      <c r="I9" s="1"/>
      <c r="J9" s="1"/>
      <c r="K9" s="1"/>
      <c r="L9" s="1"/>
      <c r="M9" s="235"/>
      <c r="N9" s="97">
        <f>B9+F9</f>
        <v>0.9999999999999909</v>
      </c>
      <c r="R9" s="267">
        <f>B9-F9</f>
        <v>2.7717579539991155E-2</v>
      </c>
      <c r="S9" s="268">
        <f>IF(Rules!B20=Rules!D20,SUM(C9:E9)*B4*F4,SUM(C9:E9)*B4*F4*POWER(O2,A9-1))</f>
        <v>952.17941807395391</v>
      </c>
      <c r="T9" s="253">
        <f>IF(Rules!B20=Rules!D20,SUM(C9:E9)*D4*H4,SUM(C9:E9)*D4*H4*POWER(O2,A9-1))</f>
        <v>-1694.8716785238157</v>
      </c>
      <c r="U9" s="264">
        <f t="shared" ref="U9:U16" si="0">S9+T9+U8</f>
        <v>-1431.9152454546115</v>
      </c>
      <c r="V9" s="93">
        <f>S9/B4</f>
        <v>2644.8148756706896</v>
      </c>
      <c r="W9" s="9">
        <f>T9/D4</f>
        <v>-2648.3090659564373</v>
      </c>
    </row>
    <row r="10" spans="1:23">
      <c r="A10" s="98">
        <v>4</v>
      </c>
      <c r="B10" s="97">
        <f>C10*B4</f>
        <v>0.53642724152013843</v>
      </c>
      <c r="C10" s="97">
        <f>1/(1-D4*B4/(1-D4*B4/(1-D4*B4)))</f>
        <v>1.4900035866741077</v>
      </c>
      <c r="D10" s="128">
        <f>C10*D4*C9</f>
        <v>1.3610552282143706</v>
      </c>
      <c r="E10" s="1">
        <f>D10*D4*C8</f>
        <v>1.1318310299331997</v>
      </c>
      <c r="F10" s="1">
        <f>E10*D4</f>
        <v>0.72435214687279104</v>
      </c>
      <c r="G10" s="1">
        <f>F10*D4</f>
        <v>0.46357275847984852</v>
      </c>
      <c r="H10" s="1"/>
      <c r="I10" s="1"/>
      <c r="J10" s="1"/>
      <c r="K10" s="1"/>
      <c r="L10" s="1"/>
      <c r="M10" s="235"/>
      <c r="N10" s="97">
        <f>B10+G10</f>
        <v>0.9999999999999869</v>
      </c>
      <c r="R10" s="267">
        <f>B10-G10</f>
        <v>7.2854483040289908E-2</v>
      </c>
      <c r="S10" s="268">
        <f>IF(Rules!B20=Rules!D20,SUM(C10:F10)*B4*F4,SUM(C10:F10)*B4*F4*POWER(O2,A10-1))</f>
        <v>1328.4877062809608</v>
      </c>
      <c r="T10" s="253">
        <f>IF(Rules!B20=Rules!D20,SUM(C10:F10)*D4*H4,SUM(C10:F10)*D4*H4*POWER(O2,A10-1))</f>
        <v>-2364.6973941079114</v>
      </c>
      <c r="U10" s="264">
        <f t="shared" si="0"/>
        <v>-2468.1249332815623</v>
      </c>
      <c r="V10" s="93">
        <f>S10/B4</f>
        <v>3690.0651085535478</v>
      </c>
      <c r="W10" s="9">
        <f>T10/D4</f>
        <v>-3694.9402284625799</v>
      </c>
    </row>
    <row r="11" spans="1:23">
      <c r="A11" s="98">
        <v>5</v>
      </c>
      <c r="B11" s="97">
        <f>C11*B4</f>
        <v>0.54822546005899753</v>
      </c>
      <c r="C11" s="97">
        <f>1/(1-D4*B4/(1-D4*B4/(1-D4*B4/(1-D4*B4))))</f>
        <v>1.5227748305234099</v>
      </c>
      <c r="D11" s="128">
        <f>C11*D4*C10</f>
        <v>1.4520820573829618</v>
      </c>
      <c r="E11" s="1">
        <f>D11*D4*C9</f>
        <v>1.3264155158236064</v>
      </c>
      <c r="F11" s="1">
        <f>E11*D4*C8</f>
        <v>1.1030252176934827</v>
      </c>
      <c r="G11" s="1">
        <f>F11*D4</f>
        <v>0.70591692872942113</v>
      </c>
      <c r="H11" s="1">
        <f>G11*D4</f>
        <v>0.4517745399409856</v>
      </c>
      <c r="I11" s="1"/>
      <c r="J11" s="1"/>
      <c r="K11" s="1"/>
      <c r="L11" s="1"/>
      <c r="M11" s="235"/>
      <c r="N11" s="97">
        <f>B11+H11</f>
        <v>0.99999999999998312</v>
      </c>
      <c r="R11" s="267">
        <f>B11-H11</f>
        <v>9.6450920118011929E-2</v>
      </c>
      <c r="S11" s="268">
        <f>IF(Rules!B20=Rules!D20,SUM(C11:G11)*B4*F4,SUM(C11:G11)*B4*F4*POWER(O2,A11-1))</f>
        <v>1724.437563851513</v>
      </c>
      <c r="T11" s="253">
        <f>IF(Rules!B20=Rules!D20,SUM(C11:G11)*D4*H4,SUM(C11:G11)*D4*H4*POWER(O2,A11-1))</f>
        <v>-3069.4849446194748</v>
      </c>
      <c r="U11" s="264">
        <f t="shared" si="0"/>
        <v>-3813.1723140495242</v>
      </c>
      <c r="V11" s="93">
        <f>S11/B4</f>
        <v>4789.8726169331849</v>
      </c>
      <c r="W11" s="9">
        <f>T11/D4</f>
        <v>-4796.2007446679527</v>
      </c>
    </row>
    <row r="12" spans="1:23">
      <c r="A12" s="98">
        <v>6</v>
      </c>
      <c r="B12" s="97">
        <f>C12*B4</f>
        <v>0.55460224699580907</v>
      </c>
      <c r="C12" s="97">
        <f>1/(1-D4*B4/(1-D4*B4/(1-D4*B4/(1-D4*B4/(1-D4*B4)))))</f>
        <v>1.540487270667912</v>
      </c>
      <c r="D12" s="128">
        <f>C12*D4*C11</f>
        <v>1.501280899837848</v>
      </c>
      <c r="E12" s="1">
        <f>D12*D4*C10</f>
        <v>1.4315859535168309</v>
      </c>
      <c r="F12" s="1">
        <f>E12*D4*C9</f>
        <v>1.3076931922167949</v>
      </c>
      <c r="G12" s="1">
        <f>F12*D4*C8</f>
        <v>1.0874560428566606</v>
      </c>
      <c r="H12" s="1">
        <f>G12*D4</f>
        <v>0.69595292799094033</v>
      </c>
      <c r="I12" s="1">
        <f>H12*D4</f>
        <v>0.44539775300416995</v>
      </c>
      <c r="J12" s="1"/>
      <c r="K12" s="1"/>
      <c r="L12" s="1"/>
      <c r="M12" s="235"/>
      <c r="N12" s="97">
        <f>B12+I12</f>
        <v>0.99999999999997902</v>
      </c>
      <c r="R12" s="267">
        <f>B12-I12</f>
        <v>0.10920449399163912</v>
      </c>
      <c r="S12" s="268">
        <f>IF(Rules!B20=Rules!D20,SUM(C12:H12)*B4*F4,SUM(C12:H12)*B4*F4*POWER(O2,A12-1))</f>
        <v>2134.8567164861934</v>
      </c>
      <c r="T12" s="253">
        <f>IF(Rules!B20=Rules!D20,SUM(C12:H12)*D4*H4,SUM(C12:H12)*D4*H4*POWER(O2,A12-1))</f>
        <v>-3800.0277235542703</v>
      </c>
      <c r="U12" s="264">
        <f t="shared" si="0"/>
        <v>-5478.3433211176016</v>
      </c>
      <c r="V12" s="93">
        <f>S12/B4</f>
        <v>5929.8706672418657</v>
      </c>
      <c r="W12" s="9">
        <f>T12/D4</f>
        <v>-5937.7049004321807</v>
      </c>
    </row>
    <row r="13" spans="1:23">
      <c r="A13" s="98">
        <v>7</v>
      </c>
      <c r="B13" s="97">
        <f>C13*B4</f>
        <v>0.55811096715878772</v>
      </c>
      <c r="C13" s="97">
        <f>1/(1-D4*B4/(1-D4*B4/(1-D4*B4/(1-D4*B4/(1-D4*B4/(1-D4*B4))))))</f>
        <v>1.5502332440689994</v>
      </c>
      <c r="D13" s="128">
        <f>C13*D4*C12</f>
        <v>1.5283517385262397</v>
      </c>
      <c r="E13" s="1">
        <f>D13*D4*C11</f>
        <v>1.4894542246289306</v>
      </c>
      <c r="F13" s="1">
        <f>E13*D4*C10</f>
        <v>1.4203083157957885</v>
      </c>
      <c r="G13" s="1">
        <f>F13*D4*C9</f>
        <v>1.297391547362104</v>
      </c>
      <c r="H13" s="1">
        <f>G13*D4*C8</f>
        <v>1.0788893652787142</v>
      </c>
      <c r="I13" s="1">
        <f>H13*D4</f>
        <v>0.69047040354069733</v>
      </c>
      <c r="J13" s="1">
        <f>I13*D4</f>
        <v>0.44188903284118725</v>
      </c>
      <c r="K13" s="1"/>
      <c r="L13" s="1"/>
      <c r="M13" s="235"/>
      <c r="N13" s="97">
        <f>B13+J13</f>
        <v>0.99999999999997491</v>
      </c>
      <c r="R13" s="267">
        <f>B13-J13</f>
        <v>0.11622193431760047</v>
      </c>
      <c r="S13" s="268">
        <f>IF(Rules!B20=Rules!D20,SUM(C13:I13)*B4*F4,SUM(C13:I13)*B4*F4*POWER(O2,A13-1))</f>
        <v>2555.5489835158987</v>
      </c>
      <c r="T13" s="253">
        <f>IF(Rules!B20=Rules!D20,SUM(C13:I13)*D4*H4,SUM(C13:I13)*D4*H4*POWER(O2,A13-1))</f>
        <v>-4548.856563191347</v>
      </c>
      <c r="U13" s="264">
        <f t="shared" si="0"/>
        <v>-7471.6509007930499</v>
      </c>
      <c r="V13" s="93">
        <f>S13/B4</f>
        <v>7098.4037659413098</v>
      </c>
      <c r="W13" s="9">
        <f>T13/D4</f>
        <v>-7107.7818035920463</v>
      </c>
    </row>
    <row r="14" spans="1:23">
      <c r="A14" s="98">
        <v>8</v>
      </c>
      <c r="B14" s="97">
        <f>C14*B4</f>
        <v>0.56006058253620439</v>
      </c>
      <c r="C14" s="97">
        <f>1/(1-D4*B4/(1-D4*B4/(1-D4*B4/(1-D4*B4/(1-D4*B4/(1-D4*B4/(1-D4*B4)))))))</f>
        <v>1.5556485803534761</v>
      </c>
      <c r="D14" s="128">
        <f>C14*D4*C13</f>
        <v>1.5433936116124223</v>
      </c>
      <c r="E14" s="1">
        <f>D14*D4*C12</f>
        <v>1.5216086473198789</v>
      </c>
      <c r="F14" s="1">
        <f>E14*D4*C11</f>
        <v>1.4828827493387875</v>
      </c>
      <c r="G14" s="1">
        <f>F14*D4*C10</f>
        <v>1.4140419124063444</v>
      </c>
      <c r="H14" s="1">
        <f>G14*D4*C9</f>
        <v>1.2916674530232839</v>
      </c>
      <c r="I14" s="1">
        <f>H14*D4*C8</f>
        <v>1.0741293030441779</v>
      </c>
      <c r="J14" s="1">
        <f>I14*D4</f>
        <v>0.6874240466131637</v>
      </c>
      <c r="K14" s="1">
        <f>J14*D4</f>
        <v>0.43993941746376647</v>
      </c>
      <c r="L14" s="1"/>
      <c r="M14" s="235"/>
      <c r="N14" s="97">
        <f>B14+K14</f>
        <v>0.99999999999997091</v>
      </c>
      <c r="R14" s="267">
        <f>B14-K14</f>
        <v>0.12012116507243792</v>
      </c>
      <c r="S14" s="268">
        <f>IF(Rules!B20=Rules!D20,SUM(C14:J14)*B4*F4,SUM(C14:J14)*B4*F4*POWER(O2,A14-1))</f>
        <v>2983.3123004636232</v>
      </c>
      <c r="T14" s="253">
        <f>IF(Rules!B20=Rules!D20,SUM(C14:J14)*D4*H4,SUM(C14:J14)*D4*H4*POWER(O2,A14-1))</f>
        <v>-5310.2718146075404</v>
      </c>
      <c r="U14" s="264">
        <f t="shared" si="0"/>
        <v>-9798.6104149369676</v>
      </c>
      <c r="V14" s="93">
        <f>S14/B4</f>
        <v>8286.5777197724638</v>
      </c>
      <c r="W14" s="9">
        <f>T14/D4</f>
        <v>-8297.5255103482341</v>
      </c>
    </row>
    <row r="15" spans="1:23">
      <c r="A15" s="98">
        <v>9</v>
      </c>
      <c r="B15" s="97">
        <f>C15*B4</f>
        <v>0.56114978193392073</v>
      </c>
      <c r="C15" s="97">
        <f>1/(1-D4*B4/(1-D4*B4/(1-D4*B4/(1-D4*B4/(1-D4*B4/(1-D4*B4/(1-D4*B4/(1-D4*B4))))))))</f>
        <v>1.5586739878711882</v>
      </c>
      <c r="D15" s="128">
        <f>C15*D4*C14</f>
        <v>1.5517971148345318</v>
      </c>
      <c r="E15" s="1">
        <f>D15*D4*C13</f>
        <v>1.5395724868723262</v>
      </c>
      <c r="F15" s="1">
        <f>E15*D4*C12</f>
        <v>1.517841457665035</v>
      </c>
      <c r="G15" s="1">
        <f>F15*D4*C11</f>
        <v>1.4792114370322396</v>
      </c>
      <c r="H15" s="1">
        <f>G15*D4*C10</f>
        <v>1.4105410358351476</v>
      </c>
      <c r="I15" s="1">
        <f>H15*D4*C9</f>
        <v>1.2884695504120582</v>
      </c>
      <c r="J15" s="1">
        <f>I15*D4*C8</f>
        <v>1.0714699800930891</v>
      </c>
      <c r="K15" s="1">
        <f>J15*D4</f>
        <v>0.68572212623997608</v>
      </c>
      <c r="L15" s="1">
        <f>K15*D4</f>
        <v>0.43885021806604563</v>
      </c>
      <c r="M15" s="235"/>
      <c r="N15" s="97">
        <f>B15+L15</f>
        <v>0.99999999999996636</v>
      </c>
      <c r="R15" s="267">
        <f>B15-L15</f>
        <v>0.12229956386787511</v>
      </c>
      <c r="S15" s="268">
        <f>IF(Rules!B20=Rules!D20,SUM(C15:K15)*B4*F4,SUM(C15:K15)*B4*F4*POWER(O2,A15-1))</f>
        <v>3415.818475078042</v>
      </c>
      <c r="T15" s="253">
        <f>IF(Rules!B20=Rules!D20,SUM(C15:K15)*D4*H4,SUM(C15:K15)*D4*H4*POWER(O2,A15-1))</f>
        <v>-6080.1293143878192</v>
      </c>
      <c r="U15" s="264">
        <f t="shared" si="0"/>
        <v>-12462.921254246745</v>
      </c>
      <c r="V15" s="93">
        <f>S15/B4</f>
        <v>9487.9256408958699</v>
      </c>
      <c r="W15" s="9">
        <f>T15/D4</f>
        <v>-9500.4605891492556</v>
      </c>
    </row>
    <row r="16" spans="1:23" ht="17" thickBot="1">
      <c r="A16" s="99">
        <v>10</v>
      </c>
      <c r="B16" s="129">
        <f>C16*B4</f>
        <v>0.56176013587442997</v>
      </c>
      <c r="C16" s="129">
        <f>1/(1-D4*B4/(1-D4*B4/(1-D4*B4/(1-D4*B4/(1-D4*B4/(1-D4*B4/(1-D4*B4/(1-D4*B4/(1-D4*B4)))))))))</f>
        <v>1.5603693334653499</v>
      </c>
      <c r="D16" s="137">
        <f>C16*D4*C15</f>
        <v>1.5565061803338798</v>
      </c>
      <c r="E16" s="109">
        <f>D16*D4*C14</f>
        <v>1.5496388716688099</v>
      </c>
      <c r="F16" s="109">
        <f>E16*D4*C13</f>
        <v>1.5374312457486241</v>
      </c>
      <c r="G16" s="109">
        <f>F16*D4*C12</f>
        <v>1.5157304401091065</v>
      </c>
      <c r="H16" s="109">
        <f>G16*D4*C11</f>
        <v>1.4771541462020701</v>
      </c>
      <c r="I16" s="109">
        <f>H16*D4*C10</f>
        <v>1.4085792519643958</v>
      </c>
      <c r="J16" s="109">
        <f>I16*D4*C9</f>
        <v>1.2866775438573135</v>
      </c>
      <c r="K16" s="109">
        <f>J16*D4*C8</f>
        <v>1.0699797770635144</v>
      </c>
      <c r="L16" s="109">
        <f>K16*D4</f>
        <v>0.68476842225483936</v>
      </c>
      <c r="M16" s="237">
        <f>L16*D4</f>
        <v>0.43823986412553234</v>
      </c>
      <c r="N16" s="129">
        <f>B16+M16</f>
        <v>0.99999999999996225</v>
      </c>
      <c r="R16" s="269">
        <f>B16-M16</f>
        <v>0.12352027174889763</v>
      </c>
      <c r="S16" s="270">
        <f>IF(Rules!B20=Rules!D20,SUM(C16:L16)*B4*F4,SUM(C16:L16)*B4*F4*POWER(O2,A16-1))</f>
        <v>3851.4384519979362</v>
      </c>
      <c r="T16" s="254">
        <f>IF(Rules!B20=Rules!D20,SUM(C16:L16)*D4*H4,SUM(C16:L16)*D4*H4*POWER(O2,A16-1))</f>
        <v>-6855.5293571383581</v>
      </c>
      <c r="U16" s="264">
        <f t="shared" si="0"/>
        <v>-15467.012159387166</v>
      </c>
      <c r="V16" s="94">
        <f>S16/B4</f>
        <v>10697.922594440161</v>
      </c>
      <c r="W16" s="10">
        <f>T16/D4</f>
        <v>-10712.056127017822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10</v>
      </c>
      <c r="D21" s="57">
        <f>SUM($C$21:C21)</f>
        <v>10</v>
      </c>
      <c r="E21" s="57">
        <f t="shared" ref="E21:E30" si="2">D21/R7</f>
        <v>-35.718729195257538</v>
      </c>
      <c r="F21" s="8">
        <f t="shared" ref="F21:F30" si="3">U7/E21</f>
        <v>6.1629000435998496</v>
      </c>
      <c r="G21" s="256">
        <f>E21*U7</f>
        <v>7862.7980661070542</v>
      </c>
    </row>
    <row r="22" spans="1:7">
      <c r="A22" s="97">
        <v>2</v>
      </c>
      <c r="B22" s="93">
        <f>C21</f>
        <v>10</v>
      </c>
      <c r="C22" s="1">
        <f t="shared" si="1"/>
        <v>100</v>
      </c>
      <c r="D22" s="9">
        <f>SUM($C$21:C22)</f>
        <v>110</v>
      </c>
      <c r="E22" s="9">
        <f t="shared" si="2"/>
        <v>-1708.1308761957546</v>
      </c>
      <c r="F22" s="9">
        <f t="shared" si="3"/>
        <v>0.40349541982388681</v>
      </c>
      <c r="G22" s="257">
        <f t="shared" ref="G22:G30" si="4">E22*U8</f>
        <v>1177283.0612704162</v>
      </c>
    </row>
    <row r="23" spans="1:7">
      <c r="A23" s="97">
        <v>3</v>
      </c>
      <c r="B23" s="93">
        <f t="shared" ref="B23:B30" si="5">C22</f>
        <v>100</v>
      </c>
      <c r="C23" s="1">
        <f t="shared" si="1"/>
        <v>1000</v>
      </c>
      <c r="D23" s="9">
        <f>SUM($C$21:C23)</f>
        <v>1110</v>
      </c>
      <c r="E23" s="9">
        <f t="shared" si="2"/>
        <v>40046.786855918741</v>
      </c>
      <c r="F23" s="9">
        <f t="shared" si="3"/>
        <v>-3.5756058297670409E-2</v>
      </c>
      <c r="G23" s="257">
        <f t="shared" si="4"/>
        <v>-57343604.630461395</v>
      </c>
    </row>
    <row r="24" spans="1:7">
      <c r="A24" s="97">
        <v>4</v>
      </c>
      <c r="B24" s="93">
        <f t="shared" si="5"/>
        <v>1000</v>
      </c>
      <c r="C24" s="1">
        <f t="shared" si="1"/>
        <v>10000</v>
      </c>
      <c r="D24" s="9">
        <f>SUM($C$21:C24)</f>
        <v>11110</v>
      </c>
      <c r="E24" s="9">
        <f t="shared" si="2"/>
        <v>152495.76328550655</v>
      </c>
      <c r="F24" s="9">
        <f t="shared" si="3"/>
        <v>-1.6184875435920631E-2</v>
      </c>
      <c r="G24" s="257">
        <f t="shared" si="4"/>
        <v>-376378595.58476174</v>
      </c>
    </row>
    <row r="25" spans="1:7">
      <c r="A25" s="97">
        <v>5</v>
      </c>
      <c r="B25" s="93">
        <f t="shared" si="5"/>
        <v>10000</v>
      </c>
      <c r="C25" s="1">
        <f t="shared" si="1"/>
        <v>100000</v>
      </c>
      <c r="D25" s="9">
        <f>SUM($C$21:C25)</f>
        <v>111110</v>
      </c>
      <c r="E25" s="9">
        <f t="shared" si="2"/>
        <v>1151984.8630168799</v>
      </c>
      <c r="F25" s="9">
        <f t="shared" si="3"/>
        <v>-3.3100889052165004E-3</v>
      </c>
      <c r="G25" s="257">
        <f t="shared" si="4"/>
        <v>-4392716785.8600998</v>
      </c>
    </row>
    <row r="26" spans="1:7">
      <c r="A26" s="97">
        <v>6</v>
      </c>
      <c r="B26" s="93">
        <f t="shared" si="5"/>
        <v>100000</v>
      </c>
      <c r="C26" s="1">
        <f t="shared" si="1"/>
        <v>1000000</v>
      </c>
      <c r="D26" s="9">
        <f>SUM($C$21:C26)</f>
        <v>1111110</v>
      </c>
      <c r="E26" s="9">
        <f t="shared" si="2"/>
        <v>10174581.277626436</v>
      </c>
      <c r="F26" s="9">
        <f t="shared" si="3"/>
        <v>-5.3843427769988876E-4</v>
      </c>
      <c r="G26" s="257">
        <f t="shared" si="4"/>
        <v>-55739849387.45298</v>
      </c>
    </row>
    <row r="27" spans="1:7">
      <c r="A27" s="97">
        <v>7</v>
      </c>
      <c r="B27" s="93">
        <f t="shared" si="5"/>
        <v>1000000</v>
      </c>
      <c r="C27" s="1">
        <f t="shared" si="1"/>
        <v>10000000</v>
      </c>
      <c r="D27" s="9">
        <f>SUM($C$21:C27)</f>
        <v>11111110</v>
      </c>
      <c r="E27" s="9">
        <f t="shared" si="2"/>
        <v>95602521.720526472</v>
      </c>
      <c r="F27" s="9">
        <f t="shared" si="3"/>
        <v>-7.8153282636569187E-5</v>
      </c>
      <c r="G27" s="257">
        <f t="shared" si="4"/>
        <v>-714308667531.25879</v>
      </c>
    </row>
    <row r="28" spans="1:7">
      <c r="A28" s="97">
        <v>8</v>
      </c>
      <c r="B28" s="93">
        <f t="shared" si="5"/>
        <v>10000000</v>
      </c>
      <c r="C28" s="1">
        <f t="shared" si="1"/>
        <v>100000000</v>
      </c>
      <c r="D28" s="9">
        <f>SUM($C$21:C28)</f>
        <v>111111110</v>
      </c>
      <c r="E28" s="9">
        <f t="shared" si="2"/>
        <v>924991944.03413844</v>
      </c>
      <c r="F28" s="9">
        <f t="shared" si="3"/>
        <v>-1.0593184598130222E-5</v>
      </c>
      <c r="G28" s="257">
        <f t="shared" si="4"/>
        <v>-9063635696545.7012</v>
      </c>
    </row>
    <row r="29" spans="1:7">
      <c r="A29" s="97">
        <v>9</v>
      </c>
      <c r="B29" s="93">
        <f t="shared" si="5"/>
        <v>100000000</v>
      </c>
      <c r="C29" s="1">
        <f t="shared" si="1"/>
        <v>1000000000</v>
      </c>
      <c r="D29" s="9">
        <f>SUM($C$21:C29)</f>
        <v>1111111110</v>
      </c>
      <c r="E29" s="9">
        <f t="shared" si="2"/>
        <v>9085160035.4059792</v>
      </c>
      <c r="F29" s="9">
        <f t="shared" si="3"/>
        <v>-1.3717888518944319E-6</v>
      </c>
      <c r="G29" s="257">
        <f t="shared" si="4"/>
        <v>-113227634103494.28</v>
      </c>
    </row>
    <row r="30" spans="1:7" ht="17" thickBot="1">
      <c r="A30" s="129">
        <v>10</v>
      </c>
      <c r="B30" s="94">
        <f t="shared" si="5"/>
        <v>1000000000</v>
      </c>
      <c r="C30" s="109">
        <f t="shared" si="1"/>
        <v>10000000000</v>
      </c>
      <c r="D30" s="10">
        <f>SUM($C$21:C30)</f>
        <v>11111111110</v>
      </c>
      <c r="E30" s="10">
        <f t="shared" si="2"/>
        <v>89953745670.084015</v>
      </c>
      <c r="F30" s="10">
        <f t="shared" si="3"/>
        <v>-1.71944059073585E-7</v>
      </c>
      <c r="G30" s="258">
        <f t="shared" si="4"/>
        <v>-1391315678061610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10</v>
      </c>
      <c r="D33" s="57">
        <f>SUM($C$33:C33)</f>
        <v>10</v>
      </c>
      <c r="E33" s="9">
        <f t="shared" ref="E33:E42" si="7">D33/R7</f>
        <v>-35.718729195257538</v>
      </c>
      <c r="F33" s="8">
        <f t="shared" ref="F33:F42" si="8">U7/E33</f>
        <v>6.1629000435998496</v>
      </c>
      <c r="G33" s="259">
        <f>E33*U7</f>
        <v>7862.7980661070542</v>
      </c>
    </row>
    <row r="34" spans="1:7">
      <c r="A34" s="97">
        <v>2</v>
      </c>
      <c r="B34" s="93">
        <f t="shared" ref="B34:B42" si="9">B33*($O$2+1)</f>
        <v>11</v>
      </c>
      <c r="C34" s="1">
        <f t="shared" si="6"/>
        <v>110</v>
      </c>
      <c r="D34" s="9">
        <f>SUM($C$33:C34)</f>
        <v>120</v>
      </c>
      <c r="E34" s="9">
        <f t="shared" si="7"/>
        <v>-1863.4155013044597</v>
      </c>
      <c r="F34" s="9">
        <f t="shared" si="8"/>
        <v>0.36987080150522955</v>
      </c>
      <c r="G34" s="257">
        <f t="shared" ref="G34:G42" si="10">E34*U8</f>
        <v>1284308.7941131815</v>
      </c>
    </row>
    <row r="35" spans="1:7">
      <c r="A35" s="97">
        <v>3</v>
      </c>
      <c r="B35" s="93">
        <f t="shared" si="9"/>
        <v>121</v>
      </c>
      <c r="C35" s="1">
        <f t="shared" si="6"/>
        <v>1210</v>
      </c>
      <c r="D35" s="9">
        <f>SUM($C$33:C35)</f>
        <v>1330</v>
      </c>
      <c r="E35" s="9">
        <f t="shared" si="7"/>
        <v>47983.987854389125</v>
      </c>
      <c r="F35" s="9">
        <f t="shared" si="8"/>
        <v>-2.9841522338657257E-2</v>
      </c>
      <c r="G35" s="257">
        <f t="shared" si="10"/>
        <v>-68709003.746408701</v>
      </c>
    </row>
    <row r="36" spans="1:7">
      <c r="A36" s="97">
        <v>4</v>
      </c>
      <c r="B36" s="93">
        <f t="shared" si="9"/>
        <v>1331</v>
      </c>
      <c r="C36" s="1">
        <f t="shared" si="6"/>
        <v>13310</v>
      </c>
      <c r="D36" s="9">
        <f>SUM($C$33:C36)</f>
        <v>14640</v>
      </c>
      <c r="E36" s="9">
        <f t="shared" si="7"/>
        <v>200948.51255623903</v>
      </c>
      <c r="F36" s="9">
        <f t="shared" si="8"/>
        <v>-1.2282374733133759E-2</v>
      </c>
      <c r="G36" s="257">
        <f t="shared" si="10"/>
        <v>-495966034.14589667</v>
      </c>
    </row>
    <row r="37" spans="1:7">
      <c r="A37" s="97">
        <v>5</v>
      </c>
      <c r="B37" s="93">
        <f t="shared" si="9"/>
        <v>14641</v>
      </c>
      <c r="C37" s="1">
        <f t="shared" si="6"/>
        <v>146410</v>
      </c>
      <c r="D37" s="9">
        <f>SUM($C$33:C37)</f>
        <v>161050</v>
      </c>
      <c r="E37" s="9">
        <f t="shared" si="7"/>
        <v>1669761.1573113897</v>
      </c>
      <c r="F37" s="9">
        <f t="shared" si="8"/>
        <v>-2.2836633235554507E-3</v>
      </c>
      <c r="G37" s="257">
        <f t="shared" si="10"/>
        <v>-6367087016.1350832</v>
      </c>
    </row>
    <row r="38" spans="1:7">
      <c r="A38" s="97">
        <v>6</v>
      </c>
      <c r="B38" s="93">
        <f t="shared" si="9"/>
        <v>161051</v>
      </c>
      <c r="C38" s="1">
        <f t="shared" si="6"/>
        <v>1610510</v>
      </c>
      <c r="D38" s="9">
        <f>SUM($C$33:C38)</f>
        <v>1771560</v>
      </c>
      <c r="E38" s="9">
        <f t="shared" si="7"/>
        <v>16222409.30978201</v>
      </c>
      <c r="F38" s="9">
        <f t="shared" si="8"/>
        <v>-3.3770220048721093E-4</v>
      </c>
      <c r="G38" s="257">
        <f t="shared" si="10"/>
        <v>-88871927694.680267</v>
      </c>
    </row>
    <row r="39" spans="1:7">
      <c r="A39" s="97">
        <v>7</v>
      </c>
      <c r="B39" s="93">
        <f t="shared" si="9"/>
        <v>1771561</v>
      </c>
      <c r="C39" s="1">
        <f t="shared" si="6"/>
        <v>17715610</v>
      </c>
      <c r="D39" s="9">
        <f>SUM($C$33:C39)</f>
        <v>19487170</v>
      </c>
      <c r="E39" s="9">
        <f t="shared" si="7"/>
        <v>167672050.15489829</v>
      </c>
      <c r="F39" s="9">
        <f t="shared" si="8"/>
        <v>-4.4561099443172618E-5</v>
      </c>
      <c r="G39" s="257">
        <f t="shared" si="10"/>
        <v>-1252787024577.6633</v>
      </c>
    </row>
    <row r="40" spans="1:7">
      <c r="A40" s="97">
        <v>8</v>
      </c>
      <c r="B40" s="93">
        <f t="shared" si="9"/>
        <v>19487171</v>
      </c>
      <c r="C40" s="1">
        <f t="shared" si="6"/>
        <v>194871710</v>
      </c>
      <c r="D40" s="9">
        <f>SUM($C$33:C40)</f>
        <v>214358880</v>
      </c>
      <c r="E40" s="9">
        <f t="shared" si="7"/>
        <v>1784522152.0348468</v>
      </c>
      <c r="F40" s="9">
        <f t="shared" si="8"/>
        <v>-5.4908875206529953E-6</v>
      </c>
      <c r="G40" s="257">
        <f t="shared" si="10"/>
        <v>-17485837344614.381</v>
      </c>
    </row>
    <row r="41" spans="1:7">
      <c r="A41" s="97">
        <v>9</v>
      </c>
      <c r="B41" s="93">
        <f t="shared" si="9"/>
        <v>214358881</v>
      </c>
      <c r="C41" s="1">
        <f t="shared" si="6"/>
        <v>2143588810</v>
      </c>
      <c r="D41" s="9">
        <f>SUM($C$33:C41)</f>
        <v>2357947690</v>
      </c>
      <c r="E41" s="9">
        <f t="shared" si="7"/>
        <v>19280098926.169361</v>
      </c>
      <c r="F41" s="9">
        <f t="shared" si="8"/>
        <v>-6.46413760737011E-7</v>
      </c>
      <c r="G41" s="257">
        <f t="shared" si="10"/>
        <v>-240286354690935.97</v>
      </c>
    </row>
    <row r="42" spans="1:7" ht="17" thickBot="1">
      <c r="A42" s="129">
        <v>10</v>
      </c>
      <c r="B42" s="94">
        <f t="shared" si="9"/>
        <v>2357947691</v>
      </c>
      <c r="C42" s="109">
        <f t="shared" si="6"/>
        <v>23579476910</v>
      </c>
      <c r="D42" s="10">
        <f>SUM($C$33:C42)</f>
        <v>25937424600</v>
      </c>
      <c r="E42" s="9">
        <f t="shared" si="7"/>
        <v>209985164643.48276</v>
      </c>
      <c r="F42" s="10">
        <f t="shared" si="8"/>
        <v>-7.3657642365580381E-8</v>
      </c>
      <c r="G42" s="258">
        <f t="shared" si="10"/>
        <v>-3247843094831664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10</v>
      </c>
      <c r="D45" s="57">
        <f>SUM(C45:C45)</f>
        <v>10</v>
      </c>
      <c r="E45" s="57">
        <f t="shared" ref="E45:E54" si="12">D45/R7</f>
        <v>-35.718729195257538</v>
      </c>
      <c r="F45" s="8">
        <f t="shared" ref="F45:F54" si="13">U7/E45</f>
        <v>6.1629000435998496</v>
      </c>
      <c r="G45" s="256">
        <f>E45*U7</f>
        <v>7862.7980661070542</v>
      </c>
    </row>
    <row r="46" spans="1:7">
      <c r="A46" s="97">
        <v>2</v>
      </c>
      <c r="B46" s="93">
        <f t="shared" ref="B46:B54" si="14">B45*$O$2*2</f>
        <v>20</v>
      </c>
      <c r="C46" s="1">
        <f t="shared" si="11"/>
        <v>200</v>
      </c>
      <c r="D46" s="9">
        <f>SUM($C$45:C46)</f>
        <v>210</v>
      </c>
      <c r="E46" s="9">
        <f t="shared" si="12"/>
        <v>-3260.9771272828043</v>
      </c>
      <c r="F46" s="9">
        <f t="shared" si="13"/>
        <v>0.21135474371727403</v>
      </c>
      <c r="G46" s="257">
        <f t="shared" ref="G46:G54" si="15">E46*U8</f>
        <v>2247540.3896980677</v>
      </c>
    </row>
    <row r="47" spans="1:7">
      <c r="A47" s="97">
        <v>3</v>
      </c>
      <c r="B47" s="93">
        <f t="shared" si="14"/>
        <v>400</v>
      </c>
      <c r="C47" s="1">
        <f t="shared" si="11"/>
        <v>4000</v>
      </c>
      <c r="D47" s="9">
        <f>SUM($C$45:C47)</f>
        <v>4210</v>
      </c>
      <c r="E47" s="9">
        <f t="shared" si="12"/>
        <v>151889.16456163774</v>
      </c>
      <c r="F47" s="9">
        <f t="shared" si="13"/>
        <v>-9.4273692898845969E-3</v>
      </c>
      <c r="G47" s="257">
        <f t="shared" si="15"/>
        <v>-217492410.35517338</v>
      </c>
    </row>
    <row r="48" spans="1:7">
      <c r="A48" s="97">
        <v>4</v>
      </c>
      <c r="B48" s="93">
        <f t="shared" si="14"/>
        <v>8000</v>
      </c>
      <c r="C48" s="1">
        <f t="shared" si="11"/>
        <v>80000</v>
      </c>
      <c r="D48" s="9">
        <f>SUM($C$45:C48)</f>
        <v>84210</v>
      </c>
      <c r="E48" s="9">
        <f t="shared" si="12"/>
        <v>1155865.7269372193</v>
      </c>
      <c r="F48" s="9">
        <f t="shared" si="13"/>
        <v>-2.1353041930065103E-3</v>
      </c>
      <c r="G48" s="257">
        <f t="shared" si="15"/>
        <v>-2852821020.179369</v>
      </c>
    </row>
    <row r="49" spans="1:7">
      <c r="A49" s="97">
        <v>5</v>
      </c>
      <c r="B49" s="93">
        <f t="shared" si="14"/>
        <v>160000</v>
      </c>
      <c r="C49" s="1">
        <f t="shared" si="11"/>
        <v>1600000</v>
      </c>
      <c r="D49" s="9">
        <f>SUM($C$45:C49)</f>
        <v>1684210</v>
      </c>
      <c r="E49" s="9">
        <f t="shared" si="12"/>
        <v>17461834.453619469</v>
      </c>
      <c r="F49" s="9">
        <f t="shared" si="13"/>
        <v>-2.1837180533223612E-4</v>
      </c>
      <c r="G49" s="257">
        <f t="shared" si="15"/>
        <v>-66584983691.057861</v>
      </c>
    </row>
    <row r="50" spans="1:7">
      <c r="A50" s="97">
        <v>6</v>
      </c>
      <c r="B50" s="93">
        <f t="shared" si="14"/>
        <v>3200000</v>
      </c>
      <c r="C50" s="1">
        <f t="shared" si="11"/>
        <v>32000000</v>
      </c>
      <c r="D50" s="9">
        <f>SUM($C$45:C50)</f>
        <v>33684210</v>
      </c>
      <c r="E50" s="9">
        <f t="shared" si="12"/>
        <v>308450767.62664109</v>
      </c>
      <c r="F50" s="9">
        <f t="shared" si="13"/>
        <v>-1.776083542689953E-5</v>
      </c>
      <c r="G50" s="257">
        <f t="shared" si="15"/>
        <v>-1689799202721.0066</v>
      </c>
    </row>
    <row r="51" spans="1:7">
      <c r="A51" s="97">
        <v>7</v>
      </c>
      <c r="B51" s="93">
        <f t="shared" si="14"/>
        <v>64000000</v>
      </c>
      <c r="C51" s="1">
        <f t="shared" si="11"/>
        <v>640000000</v>
      </c>
      <c r="D51" s="9">
        <f>SUM($C$45:C51)</f>
        <v>673684210</v>
      </c>
      <c r="E51" s="9">
        <f t="shared" si="12"/>
        <v>5796532418.3903065</v>
      </c>
      <c r="F51" s="9">
        <f t="shared" si="13"/>
        <v>-1.2889863044823481E-6</v>
      </c>
      <c r="G51" s="257">
        <f t="shared" si="15"/>
        <v>-43309666665342.047</v>
      </c>
    </row>
    <row r="52" spans="1:7">
      <c r="A52" s="97">
        <v>8</v>
      </c>
      <c r="B52" s="93">
        <f t="shared" si="14"/>
        <v>1280000000</v>
      </c>
      <c r="C52" s="1">
        <f t="shared" si="11"/>
        <v>12800000000</v>
      </c>
      <c r="D52" s="9">
        <f>SUM($C$45:C52)</f>
        <v>13473684210</v>
      </c>
      <c r="E52" s="9">
        <f t="shared" si="12"/>
        <v>112167445278.06422</v>
      </c>
      <c r="F52" s="9">
        <f t="shared" si="13"/>
        <v>-8.7356990173451075E-8</v>
      </c>
      <c r="G52" s="257">
        <f t="shared" si="15"/>
        <v>-1099085097518512.5</v>
      </c>
    </row>
    <row r="53" spans="1:7">
      <c r="A53" s="97">
        <v>9</v>
      </c>
      <c r="B53" s="93">
        <f t="shared" si="14"/>
        <v>25600000000</v>
      </c>
      <c r="C53" s="1">
        <f t="shared" si="11"/>
        <v>256000000000</v>
      </c>
      <c r="D53" s="9">
        <f>SUM($C$45:C53)</f>
        <v>269473684210</v>
      </c>
      <c r="E53" s="9">
        <f t="shared" si="12"/>
        <v>2203390393943.8633</v>
      </c>
      <c r="F53" s="9">
        <f t="shared" si="13"/>
        <v>-5.6562474305514599E-9</v>
      </c>
      <c r="G53" s="257">
        <f t="shared" si="15"/>
        <v>-2.746068097208608E+16</v>
      </c>
    </row>
    <row r="54" spans="1:7" ht="17" thickBot="1">
      <c r="A54" s="129">
        <v>10</v>
      </c>
      <c r="B54" s="94">
        <f t="shared" si="14"/>
        <v>512000000000</v>
      </c>
      <c r="C54" s="109">
        <f t="shared" si="11"/>
        <v>5120000000000</v>
      </c>
      <c r="D54" s="10">
        <f>SUM($C$45:C54)</f>
        <v>5389473684210</v>
      </c>
      <c r="E54" s="10">
        <f t="shared" si="12"/>
        <v>43632301062016.562</v>
      </c>
      <c r="F54" s="10">
        <f t="shared" si="13"/>
        <v>-3.5448536480813154E-10</v>
      </c>
      <c r="G54" s="258">
        <f t="shared" si="15"/>
        <v>-6.7486133106825178E+17</v>
      </c>
    </row>
  </sheetData>
  <mergeCells count="1">
    <mergeCell ref="A18:F18"/>
  </mergeCells>
  <conditionalFormatting sqref="F45:F54">
    <cfRule type="cellIs" dxfId="217" priority="65" operator="equal">
      <formula>MAX($F$45:$F$54)</formula>
    </cfRule>
  </conditionalFormatting>
  <conditionalFormatting sqref="F21:F30">
    <cfRule type="cellIs" dxfId="216" priority="63" operator="equal">
      <formula>MAX($F$21:$F$30)</formula>
    </cfRule>
  </conditionalFormatting>
  <conditionalFormatting sqref="E33:E42">
    <cfRule type="cellIs" dxfId="215" priority="61" stopIfTrue="1" operator="lessThan">
      <formula>0</formula>
    </cfRule>
    <cfRule type="cellIs" dxfId="214" priority="62" operator="equal">
      <formula>MIN($E$33:$E$42)</formula>
    </cfRule>
  </conditionalFormatting>
  <conditionalFormatting sqref="E21:E30">
    <cfRule type="cellIs" dxfId="213" priority="57" stopIfTrue="1" operator="lessThan">
      <formula>0</formula>
    </cfRule>
    <cfRule type="cellIs" dxfId="212" priority="58" operator="equal">
      <formula>MIN($E$21:$E$30)</formula>
    </cfRule>
  </conditionalFormatting>
  <conditionalFormatting sqref="E45:E54">
    <cfRule type="cellIs" dxfId="211" priority="53" stopIfTrue="1" operator="lessThan">
      <formula>0</formula>
    </cfRule>
    <cfRule type="cellIs" dxfId="210" priority="54" operator="equal">
      <formula>MIN($E$45:$E$54)</formula>
    </cfRule>
  </conditionalFormatting>
  <conditionalFormatting sqref="F33:F42">
    <cfRule type="cellIs" dxfId="209" priority="43" operator="lessThanOrEqual">
      <formula>0</formula>
    </cfRule>
    <cfRule type="cellIs" dxfId="208" priority="44" operator="equal">
      <formula>MAX($F$33:$F$42)</formula>
    </cfRule>
  </conditionalFormatting>
  <conditionalFormatting sqref="R7:R16">
    <cfRule type="cellIs" dxfId="207" priority="29" operator="lessThanOrEqual">
      <formula>0</formula>
    </cfRule>
    <cfRule type="cellIs" dxfId="206" priority="30" operator="greaterThan">
      <formula>0</formula>
    </cfRule>
  </conditionalFormatting>
  <conditionalFormatting sqref="U7:U16">
    <cfRule type="cellIs" dxfId="205" priority="9" operator="lessThanOrEqual">
      <formula>0</formula>
    </cfRule>
    <cfRule type="cellIs" dxfId="204" priority="10" operator="greaterThan">
      <formula>0</formula>
    </cfRule>
  </conditionalFormatting>
  <conditionalFormatting sqref="S7:T16">
    <cfRule type="cellIs" dxfId="203" priority="1" operator="lessThanOrEqual">
      <formula>0</formula>
    </cfRule>
    <cfRule type="cellIs" dxfId="20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32FE-DE9E-DE45-9F04-E65736F466C5}">
  <sheetPr>
    <pageSetUpPr fitToPage="1"/>
  </sheetPr>
  <dimension ref="A1:W54"/>
  <sheetViews>
    <sheetView topLeftCell="A22" zoomScale="90" zoomScaleNormal="90" workbookViewId="0">
      <selection activeCell="O18" sqref="O18:U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0.99999999999999845</v>
      </c>
    </row>
    <row r="2" spans="1:23">
      <c r="A2" t="s">
        <v>39</v>
      </c>
      <c r="B2" s="133" t="s">
        <v>124</v>
      </c>
      <c r="C2" s="139">
        <f>Analysis!B57</f>
        <v>0.20896511811829604</v>
      </c>
      <c r="D2" s="133" t="s">
        <v>125</v>
      </c>
      <c r="E2" s="139">
        <f>Analysis!J57</f>
        <v>0.79103488188170235</v>
      </c>
      <c r="F2" s="133" t="s">
        <v>46</v>
      </c>
      <c r="G2" s="139">
        <f>Analysis!S57</f>
        <v>343.09104771440599</v>
      </c>
      <c r="H2" t="s">
        <v>153</v>
      </c>
      <c r="I2" s="153">
        <f>Analysis!T57</f>
        <v>-343.54432155866573</v>
      </c>
      <c r="J2" t="s">
        <v>47</v>
      </c>
      <c r="K2" s="153">
        <f>G2*C2+I2*E2</f>
        <v>-200.06148051431794</v>
      </c>
      <c r="L2" t="s">
        <v>46</v>
      </c>
      <c r="M2" s="160">
        <v>3</v>
      </c>
      <c r="N2" t="s">
        <v>153</v>
      </c>
      <c r="O2" s="160">
        <v>10</v>
      </c>
    </row>
    <row r="4" spans="1:23">
      <c r="A4" t="s">
        <v>122</v>
      </c>
      <c r="B4">
        <f>$C$2</f>
        <v>0.20896511811829604</v>
      </c>
      <c r="C4" t="s">
        <v>123</v>
      </c>
      <c r="D4">
        <f>$E$2</f>
        <v>0.79103488188170235</v>
      </c>
      <c r="E4" t="s">
        <v>46</v>
      </c>
      <c r="F4">
        <f>G2</f>
        <v>343.09104771440599</v>
      </c>
      <c r="G4" t="s">
        <v>153</v>
      </c>
      <c r="H4">
        <f>I2</f>
        <v>-343.54432155866573</v>
      </c>
      <c r="I4" t="s">
        <v>47</v>
      </c>
      <c r="J4">
        <f>B4*F4+D4*H4</f>
        <v>-200.06148051431794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0.20896511811829604</v>
      </c>
      <c r="C7" s="95">
        <v>1</v>
      </c>
      <c r="D7" s="22">
        <f>C7*D4</f>
        <v>0.79103488188170235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0.99999999999999845</v>
      </c>
      <c r="R7" s="265">
        <f>B7-D7</f>
        <v>-0.58206976376340624</v>
      </c>
      <c r="S7" s="266">
        <f>IF(Rules!B20=Rules!D20,SUM(C7)*B4*F4,SUM(C7)*B4*F4*POWER(O2,A7-1))</f>
        <v>71.694061310970795</v>
      </c>
      <c r="T7" s="252">
        <f>IF(Rules!B20=Rules!D20,SUM(C7)*D4*H4,SUM(C7)*D4*H4*POWER(O2,A7-1))</f>
        <v>-271.75554182528873</v>
      </c>
      <c r="U7" s="263">
        <f>S7+T7</f>
        <v>-200.06148051431794</v>
      </c>
      <c r="V7" s="282">
        <f>S7/B4</f>
        <v>343.09104771440599</v>
      </c>
      <c r="W7" s="57">
        <f>T7/D4</f>
        <v>-343.54432155866573</v>
      </c>
    </row>
    <row r="8" spans="1:23">
      <c r="A8" s="98">
        <v>2</v>
      </c>
      <c r="B8" s="97">
        <f>C8*B4</f>
        <v>0.25034718108078113</v>
      </c>
      <c r="C8" s="97">
        <f>1/(1-B4*D4)</f>
        <v>1.1980333528156528</v>
      </c>
      <c r="D8" s="128">
        <f>C8*D4</f>
        <v>0.9476861717348698</v>
      </c>
      <c r="E8" s="1">
        <f>D8*D4</f>
        <v>0.74965281891921542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0.99999999999999656</v>
      </c>
      <c r="R8" s="267">
        <f>B8-E8</f>
        <v>-0.49930563783843429</v>
      </c>
      <c r="S8" s="268">
        <f>IF(Rules!B20=Rules!D20,SUM(C8:D8)*B4*F4,SUM(C8:D8)*B4*F4*POWER(O2,A8-1))</f>
        <v>153.83534714927228</v>
      </c>
      <c r="T8" s="253">
        <f>IF(Rules!B20=Rules!D20,SUM(C8:D8)*D4*H4,SUM(C8:D8)*D4*H4*POWER(O2,A8-1))</f>
        <v>-583.11117199932812</v>
      </c>
      <c r="U8" s="264">
        <f>S8+T8+U7</f>
        <v>-629.33730536437383</v>
      </c>
      <c r="V8" s="93">
        <f>S8/B4</f>
        <v>736.17715977929595</v>
      </c>
      <c r="W8" s="9">
        <f>T8/D4</f>
        <v>-737.14975831689208</v>
      </c>
    </row>
    <row r="9" spans="1:23">
      <c r="A9" s="98">
        <v>3</v>
      </c>
      <c r="B9" s="97">
        <f>C9*B4</f>
        <v>0.26056584628794605</v>
      </c>
      <c r="C9" s="97">
        <f>1/(1-D4*B4/(1-D4*B4))</f>
        <v>1.2469346493534801</v>
      </c>
      <c r="D9" s="128">
        <f>C9*D4*C8</f>
        <v>1.1817027242493618</v>
      </c>
      <c r="E9" s="1">
        <f>D9*(D4)</f>
        <v>0.93476807489587987</v>
      </c>
      <c r="F9" s="1">
        <f>E9*D4</f>
        <v>0.73943415371204868</v>
      </c>
      <c r="G9" s="1"/>
      <c r="H9" s="1"/>
      <c r="I9" s="1"/>
      <c r="J9" s="1"/>
      <c r="K9" s="1"/>
      <c r="L9" s="1"/>
      <c r="M9" s="235"/>
      <c r="N9" s="97">
        <f>B9+F9</f>
        <v>0.99999999999999467</v>
      </c>
      <c r="R9" s="267">
        <f>B9-F9</f>
        <v>-0.47886830742410263</v>
      </c>
      <c r="S9" s="268">
        <f>IF(Rules!B20=Rules!D20,SUM(C9:E9)*B4*F4,SUM(C9:E9)*B4*F4*POWER(O2,A9-1))</f>
        <v>241.13619643832058</v>
      </c>
      <c r="T9" s="253">
        <f>IF(Rules!B20=Rules!D20,SUM(C9:E9)*D4*H4,SUM(C9:E9)*D4*H4*POWER(O2,A9-1))</f>
        <v>-914.02407003489839</v>
      </c>
      <c r="U9" s="264">
        <f t="shared" ref="U9:U16" si="0">S9+T9+U8</f>
        <v>-1302.2251789609518</v>
      </c>
      <c r="V9" s="93">
        <f>S9/B4</f>
        <v>1153.9542992137681</v>
      </c>
      <c r="W9" s="9">
        <f>T9/D4</f>
        <v>-1155.4788429312132</v>
      </c>
    </row>
    <row r="10" spans="1:23">
      <c r="A10" s="98">
        <v>4</v>
      </c>
      <c r="B10" s="97">
        <f>C10*B4</f>
        <v>0.26321892792984758</v>
      </c>
      <c r="C10" s="97">
        <f>1/(1-D4*B4/(1-D4*B4/(1-D4*B4)))</f>
        <v>1.2596309388863562</v>
      </c>
      <c r="D10" s="128">
        <f>C10*D4*C9</f>
        <v>1.2424606614936475</v>
      </c>
      <c r="E10" s="1">
        <f>D10*D4*C8</f>
        <v>1.1774627878220889</v>
      </c>
      <c r="F10" s="1">
        <f>E10*D4</f>
        <v>0.93141413728494604</v>
      </c>
      <c r="G10" s="1">
        <f>F10*D4</f>
        <v>0.73678107207014498</v>
      </c>
      <c r="H10" s="1"/>
      <c r="I10" s="1"/>
      <c r="J10" s="1"/>
      <c r="K10" s="1"/>
      <c r="L10" s="1"/>
      <c r="M10" s="235"/>
      <c r="N10" s="97">
        <f>B10+G10</f>
        <v>0.99999999999999256</v>
      </c>
      <c r="R10" s="267">
        <f>B10-G10</f>
        <v>-0.4735621441402974</v>
      </c>
      <c r="S10" s="268">
        <f>IF(Rules!B20=Rules!D20,SUM(C10:F10)*B4*F4,SUM(C10:F10)*B4*F4*POWER(O2,A10-1))</f>
        <v>330.57906016922431</v>
      </c>
      <c r="T10" s="253">
        <f>IF(Rules!B20=Rules!D20,SUM(C10:F10)*D4*H4,SUM(C10:F10)*D4*H4*POWER(O2,A10-1))</f>
        <v>-1253.0562499830828</v>
      </c>
      <c r="U10" s="264">
        <f t="shared" si="0"/>
        <v>-2224.7023687748106</v>
      </c>
      <c r="V10" s="93">
        <f>S10/B4</f>
        <v>1581.9820223874976</v>
      </c>
      <c r="W10" s="9">
        <f>T10/D4</f>
        <v>-1584.0720538168061</v>
      </c>
    </row>
    <row r="11" spans="1:23">
      <c r="A11" s="98">
        <v>5</v>
      </c>
      <c r="B11" s="97">
        <f>C11*B4</f>
        <v>0.26391660795507832</v>
      </c>
      <c r="C11" s="97">
        <f>1/(1-D4*B4/(1-D4*B4/(1-D4*B4/(1-D4*B4))))</f>
        <v>1.2629696780573396</v>
      </c>
      <c r="D11" s="128">
        <f>C11*D4*C10</f>
        <v>1.2584381566902056</v>
      </c>
      <c r="E11" s="1">
        <f>D11*D4*C9</f>
        <v>1.2412841383465125</v>
      </c>
      <c r="F11" s="1">
        <f>E11*D4*C8</f>
        <v>1.1763478131048228</v>
      </c>
      <c r="G11" s="1">
        <f>F11*D4</f>
        <v>0.93053215339117235</v>
      </c>
      <c r="H11" s="1">
        <f>G11*D4</f>
        <v>0.73608339204491213</v>
      </c>
      <c r="I11" s="1"/>
      <c r="J11" s="1"/>
      <c r="K11" s="1"/>
      <c r="L11" s="1"/>
      <c r="M11" s="235"/>
      <c r="N11" s="97">
        <f>B11+H11</f>
        <v>0.99999999999999045</v>
      </c>
      <c r="R11" s="267">
        <f>B11-H11</f>
        <v>-0.47216678408983381</v>
      </c>
      <c r="S11" s="268">
        <f>IF(Rules!B20=Rules!D20,SUM(C11:G11)*B4*F4,SUM(C11:G11)*B4*F4*POWER(O2,A11-1))</f>
        <v>420.81345050612299</v>
      </c>
      <c r="T11" s="253">
        <f>IF(Rules!B20=Rules!D20,SUM(C11:G11)*D4*H4,SUM(C11:G11)*D4*H4*POWER(O2,A11-1))</f>
        <v>-1595.0887027258059</v>
      </c>
      <c r="U11" s="264">
        <f t="shared" si="0"/>
        <v>-3398.9776209944935</v>
      </c>
      <c r="V11" s="93">
        <f>S11/B4</f>
        <v>2013.7975863890292</v>
      </c>
      <c r="W11" s="9">
        <f>T11/D4</f>
        <v>-2016.4581098262468</v>
      </c>
    </row>
    <row r="12" spans="1:23">
      <c r="A12" s="98">
        <v>6</v>
      </c>
      <c r="B12" s="97">
        <f>C12*B4</f>
        <v>0.2641006912528171</v>
      </c>
      <c r="C12" s="97">
        <f>1/(1-D4*B4/(1-D4*B4/(1-D4*B4/(1-D4*B4/(1-D4*B4)))))</f>
        <v>1.2638506064122557</v>
      </c>
      <c r="D12" s="128">
        <f>C12*D4*C11</f>
        <v>1.2626538284867661</v>
      </c>
      <c r="E12" s="1">
        <f>D12*D4*C10</f>
        <v>1.2581234403844306</v>
      </c>
      <c r="F12" s="1">
        <f>E12*D4*C9</f>
        <v>1.2409737120006801</v>
      </c>
      <c r="G12" s="1">
        <f>F12*D4*C8</f>
        <v>1.1760536263495354</v>
      </c>
      <c r="H12" s="1">
        <f>G12*D4</f>
        <v>0.93029944140595244</v>
      </c>
      <c r="I12" s="1">
        <f>H12*D4</f>
        <v>0.73589930874717124</v>
      </c>
      <c r="J12" s="1"/>
      <c r="K12" s="1"/>
      <c r="L12" s="1"/>
      <c r="M12" s="235"/>
      <c r="N12" s="97">
        <f>B12+I12</f>
        <v>0.99999999999998834</v>
      </c>
      <c r="R12" s="267">
        <f>B12-I12</f>
        <v>-0.47179861749435414</v>
      </c>
      <c r="S12" s="268">
        <f>IF(Rules!B20=Rules!D20,SUM(C12:H12)*B4*F4,SUM(C12:H12)*B4*F4*POWER(O2,A12-1))</f>
        <v>511.31879430547411</v>
      </c>
      <c r="T12" s="253">
        <f>IF(Rules!B20=Rules!D20,SUM(C12:H12)*D4*H4,SUM(C12:H12)*D4*H4*POWER(O2,A12-1))</f>
        <v>-1938.1482015536819</v>
      </c>
      <c r="U12" s="264">
        <f t="shared" si="0"/>
        <v>-4825.8070282427016</v>
      </c>
      <c r="V12" s="93">
        <f>S12/B4</f>
        <v>2446.9097948491785</v>
      </c>
      <c r="W12" s="9">
        <f>T12/D4</f>
        <v>-2450.1425233527539</v>
      </c>
    </row>
    <row r="13" spans="1:23">
      <c r="A13" s="98">
        <v>7</v>
      </c>
      <c r="B13" s="97">
        <f>C13*B4</f>
        <v>0.2641493045674031</v>
      </c>
      <c r="C13" s="97">
        <f>1/(1-D4*B4/(1-D4*B4/(1-D4*B4/(1-D4*B4/(1-D4*B4/(1-D4*B4))))))</f>
        <v>1.2640832448306853</v>
      </c>
      <c r="D13" s="128">
        <f>C13*D4*C12</f>
        <v>1.2637671167739428</v>
      </c>
      <c r="E13" s="1">
        <f>D13*D4*C11</f>
        <v>1.2625704179072879</v>
      </c>
      <c r="F13" s="1">
        <f>E13*D4*C10</f>
        <v>1.2580403290811977</v>
      </c>
      <c r="G13" s="1">
        <f>F13*D4*C9</f>
        <v>1.2408917336039891</v>
      </c>
      <c r="H13" s="1">
        <f>G13*D4*C8</f>
        <v>1.1759759365566103</v>
      </c>
      <c r="I13" s="1">
        <f>H13*D4</f>
        <v>0.93023798606978247</v>
      </c>
      <c r="J13" s="1">
        <f>I13*D4</f>
        <v>0.73585069543258308</v>
      </c>
      <c r="K13" s="1"/>
      <c r="L13" s="1"/>
      <c r="M13" s="235"/>
      <c r="N13" s="97">
        <f>B13+J13</f>
        <v>0.99999999999998623</v>
      </c>
      <c r="R13" s="267">
        <f>B13-J13</f>
        <v>-0.47170139086517998</v>
      </c>
      <c r="S13" s="268">
        <f>IF(Rules!B20=Rules!D20,SUM(C13:I13)*B4*F4,SUM(C13:I13)*B4*F4*POWER(O2,A13-1))</f>
        <v>601.91227837760448</v>
      </c>
      <c r="T13" s="253">
        <f>IF(Rules!B20=Rules!D20,SUM(C13:I13)*D4*H4,SUM(C13:I13)*D4*H4*POWER(O2,A13-1))</f>
        <v>-2281.5417951049953</v>
      </c>
      <c r="U13" s="264">
        <f t="shared" si="0"/>
        <v>-6505.4365449700927</v>
      </c>
      <c r="V13" s="93">
        <f>S13/B4</f>
        <v>2880.4437974995394</v>
      </c>
      <c r="W13" s="9">
        <f>T13/D4</f>
        <v>-2884.2492883217701</v>
      </c>
    </row>
    <row r="14" spans="1:23">
      <c r="A14" s="98">
        <v>8</v>
      </c>
      <c r="B14" s="97">
        <f>C14*B4</f>
        <v>0.26416214551655909</v>
      </c>
      <c r="C14" s="97">
        <f>1/(1-D4*B4/(1-D4*B4/(1-D4*B4/(1-D4*B4/(1-D4*B4/(1-D4*B4/(1-D4*B4)))))))</f>
        <v>1.264144695034775</v>
      </c>
      <c r="D14" s="128">
        <f>C14*D4*C13</f>
        <v>1.2640611859690454</v>
      </c>
      <c r="E14" s="1">
        <f>D14*D4*C12</f>
        <v>1.2637450634288898</v>
      </c>
      <c r="F14" s="1">
        <f>E14*D4*C11</f>
        <v>1.2625483854452069</v>
      </c>
      <c r="G14" s="1">
        <f>F14*D4*C10</f>
        <v>1.2580183756713492</v>
      </c>
      <c r="H14" s="1">
        <f>G14*D4*C9</f>
        <v>1.2408700794453935</v>
      </c>
      <c r="I14" s="1">
        <f>H14*D4*C8</f>
        <v>1.1759554152099487</v>
      </c>
      <c r="J14" s="1">
        <f>I14*D4</f>
        <v>0.93022175296874998</v>
      </c>
      <c r="K14" s="1">
        <f>J14*D4</f>
        <v>0.7358378544834252</v>
      </c>
      <c r="L14" s="1"/>
      <c r="M14" s="235"/>
      <c r="N14" s="97">
        <f>B14+K14</f>
        <v>0.99999999999998423</v>
      </c>
      <c r="R14" s="267">
        <f>B14-K14</f>
        <v>-0.47167570896686611</v>
      </c>
      <c r="S14" s="268">
        <f>IF(Rules!B20=Rules!D20,SUM(C14:J14)*B4*F4,SUM(C14:J14)*B4*F4*POWER(O2,A14-1))</f>
        <v>692.53344199011542</v>
      </c>
      <c r="T14" s="253">
        <f>IF(Rules!B20=Rules!D20,SUM(C14:J14)*D4*H4,SUM(C14:J14)*D4*H4*POWER(O2,A14-1))</f>
        <v>-2625.0403076461957</v>
      </c>
      <c r="U14" s="264">
        <f t="shared" si="0"/>
        <v>-8437.9434106261724</v>
      </c>
      <c r="V14" s="93">
        <f>S14/B4</f>
        <v>3314.1102602496044</v>
      </c>
      <c r="W14" s="9">
        <f>T14/D4</f>
        <v>-3318.4886883898062</v>
      </c>
    </row>
    <row r="15" spans="1:23">
      <c r="A15" s="98">
        <v>9</v>
      </c>
      <c r="B15" s="97">
        <f>C15*B4</f>
        <v>0.26416553759360167</v>
      </c>
      <c r="C15" s="97">
        <f>1/(1-D4*B4/(1-D4*B4/(1-D4*B4/(1-D4*B4/(1-D4*B4/(1-D4*B4/(1-D4*B4/(1-D4*B4))))))))</f>
        <v>1.2641609277776993</v>
      </c>
      <c r="D15" s="128">
        <f>C15*D4*C14</f>
        <v>1.2641388675604543</v>
      </c>
      <c r="E15" s="1">
        <f>D15*D4*C13</f>
        <v>1.2640553588796861</v>
      </c>
      <c r="F15" s="1">
        <f>E15*D4*C12</f>
        <v>1.2637392377967973</v>
      </c>
      <c r="G15" s="1">
        <f>F15*D4*C11</f>
        <v>1.2625425653295794</v>
      </c>
      <c r="H15" s="1">
        <f>G15*D4*C10</f>
        <v>1.2580125764382328</v>
      </c>
      <c r="I15" s="1">
        <f>H15*D4*C9</f>
        <v>1.2408643592627659</v>
      </c>
      <c r="J15" s="1">
        <f>I15*D4*C8</f>
        <v>1.1759499942719727</v>
      </c>
      <c r="K15" s="1">
        <f>J15*D4</f>
        <v>0.9302174648177185</v>
      </c>
      <c r="L15" s="1">
        <f>K15*D4</f>
        <v>0.73583446240638051</v>
      </c>
      <c r="M15" s="235"/>
      <c r="N15" s="97">
        <f>B15+L15</f>
        <v>0.99999999999998224</v>
      </c>
      <c r="R15" s="267">
        <f>B15-L15</f>
        <v>-0.47166892481277883</v>
      </c>
      <c r="S15" s="268">
        <f>IF(Rules!B20=Rules!D20,SUM(C15:K15)*B4*F4,SUM(C15:K15)*B4*F4*POWER(O2,A15-1))</f>
        <v>783.16308060146832</v>
      </c>
      <c r="T15" s="253">
        <f>IF(Rules!B20=Rules!D20,SUM(C15:K15)*D4*H4,SUM(C15:K15)*D4*H4*POWER(O2,A15-1))</f>
        <v>-2968.5709445762245</v>
      </c>
      <c r="U15" s="264">
        <f t="shared" si="0"/>
        <v>-10623.351274600929</v>
      </c>
      <c r="V15" s="93">
        <f>S15/B4</f>
        <v>3747.8172800022844</v>
      </c>
      <c r="W15" s="9">
        <f>T15/D4</f>
        <v>-3752.7686990422353</v>
      </c>
    </row>
    <row r="16" spans="1:23" ht="17" thickBot="1">
      <c r="A16" s="99">
        <v>10</v>
      </c>
      <c r="B16" s="129">
        <f>C16*B4</f>
        <v>0.26416643366236597</v>
      </c>
      <c r="C16" s="129">
        <f>1/(1-D4*B4/(1-D4*B4/(1-D4*B4/(1-D4*B4/(1-D4*B4/(1-D4*B4/(1-D4*B4/(1-D4*B4/(1-D4*B4)))))))))</f>
        <v>1.2641652159037386</v>
      </c>
      <c r="D16" s="137">
        <f>C16*D4*C15</f>
        <v>1.2641593883348206</v>
      </c>
      <c r="E16" s="109">
        <f>D16*D4*C14</f>
        <v>1.2641373281444397</v>
      </c>
      <c r="F16" s="109">
        <f>E16*D4*C13</f>
        <v>1.2640538195653648</v>
      </c>
      <c r="G16" s="109">
        <f>F16*D4*C12</f>
        <v>1.2637376988674351</v>
      </c>
      <c r="H16" s="109">
        <f>G16*D4*C11</f>
        <v>1.2625410278574756</v>
      </c>
      <c r="I16" s="109">
        <f>H16*D4*C10</f>
        <v>1.2580110444825621</v>
      </c>
      <c r="J16" s="109">
        <f>I16*D4*C9</f>
        <v>1.2408628481894846</v>
      </c>
      <c r="K16" s="109">
        <f>J16*D4*C8</f>
        <v>1.1759485622487196</v>
      </c>
      <c r="L16" s="109">
        <f>K16*D4</f>
        <v>0.93021633203737364</v>
      </c>
      <c r="M16" s="237">
        <f>L16*D4</f>
        <v>0.73583356633761432</v>
      </c>
      <c r="N16" s="129">
        <f>B16+M16</f>
        <v>0.99999999999998024</v>
      </c>
      <c r="R16" s="269">
        <f>B16-M16</f>
        <v>-0.47166713267524835</v>
      </c>
      <c r="S16" s="270">
        <f>IF(Rules!B20=Rules!D20,SUM(C16:L16)*B4*F4,SUM(C16:L16)*B4*F4*POWER(O2,A16-1))</f>
        <v>873.795265394068</v>
      </c>
      <c r="T16" s="254">
        <f>IF(Rules!B20=Rules!D20,SUM(C16:L16)*D4*H4,SUM(C16:L16)*D4*H4*POWER(O2,A16-1))</f>
        <v>-3312.1112327779429</v>
      </c>
      <c r="U16" s="264">
        <f t="shared" si="0"/>
        <v>-13061.667241984804</v>
      </c>
      <c r="V16" s="94">
        <f>S16/B4</f>
        <v>4181.5364844739725</v>
      </c>
      <c r="W16" s="10">
        <f>T16/D4</f>
        <v>-4187.0609105114818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10</v>
      </c>
      <c r="D21" s="57">
        <f>SUM($C$21:C21)</f>
        <v>10</v>
      </c>
      <c r="E21" s="57">
        <f t="shared" ref="E21:E30" si="2">D21/R7</f>
        <v>-17.180071226075054</v>
      </c>
      <c r="F21" s="8">
        <f t="shared" ref="F21:F30" si="3">U7/E21</f>
        <v>11.644973870112635</v>
      </c>
      <c r="G21" s="256">
        <f>E21*U7</f>
        <v>3437.0704848300088</v>
      </c>
    </row>
    <row r="22" spans="1:7">
      <c r="A22" s="97">
        <v>2</v>
      </c>
      <c r="B22" s="93">
        <f>C21</f>
        <v>10</v>
      </c>
      <c r="C22" s="1">
        <f t="shared" si="1"/>
        <v>100</v>
      </c>
      <c r="D22" s="9">
        <f>SUM($C$21:C22)</f>
        <v>110</v>
      </c>
      <c r="E22" s="9">
        <f t="shared" si="2"/>
        <v>-220.30594422327329</v>
      </c>
      <c r="F22" s="9">
        <f t="shared" si="3"/>
        <v>2.8566514970043655</v>
      </c>
      <c r="G22" s="257">
        <f t="shared" ref="G22:G30" si="4">E22*U8</f>
        <v>138646.74929322884</v>
      </c>
    </row>
    <row r="23" spans="1:7">
      <c r="A23" s="97">
        <v>3</v>
      </c>
      <c r="B23" s="93">
        <f t="shared" ref="B23:B30" si="5">C22</f>
        <v>100</v>
      </c>
      <c r="C23" s="1">
        <f t="shared" si="1"/>
        <v>1000</v>
      </c>
      <c r="D23" s="9">
        <f>SUM($C$21:C23)</f>
        <v>1110</v>
      </c>
      <c r="E23" s="9">
        <f t="shared" si="2"/>
        <v>-2317.9650496622758</v>
      </c>
      <c r="F23" s="9">
        <f t="shared" si="3"/>
        <v>0.56179672732800012</v>
      </c>
      <c r="G23" s="257">
        <f t="shared" si="4"/>
        <v>3018512.4516216884</v>
      </c>
    </row>
    <row r="24" spans="1:7">
      <c r="A24" s="97">
        <v>4</v>
      </c>
      <c r="B24" s="93">
        <f t="shared" si="5"/>
        <v>1000</v>
      </c>
      <c r="C24" s="1">
        <f t="shared" si="1"/>
        <v>10000</v>
      </c>
      <c r="D24" s="9">
        <f>SUM($C$21:C24)</f>
        <v>11110</v>
      </c>
      <c r="E24" s="9">
        <f t="shared" si="2"/>
        <v>-23460.490111955725</v>
      </c>
      <c r="F24" s="9">
        <f t="shared" si="3"/>
        <v>9.4827616906480464E-2</v>
      </c>
      <c r="G24" s="257">
        <f t="shared" si="4"/>
        <v>52192607.924685925</v>
      </c>
    </row>
    <row r="25" spans="1:7">
      <c r="A25" s="97">
        <v>5</v>
      </c>
      <c r="B25" s="93">
        <f t="shared" si="5"/>
        <v>10000</v>
      </c>
      <c r="C25" s="1">
        <f t="shared" si="1"/>
        <v>100000</v>
      </c>
      <c r="D25" s="9">
        <f>SUM($C$21:C25)</f>
        <v>111110</v>
      </c>
      <c r="E25" s="9">
        <f t="shared" si="2"/>
        <v>-235319.39082538334</v>
      </c>
      <c r="F25" s="9">
        <f t="shared" si="3"/>
        <v>1.4444103433518892E-2</v>
      </c>
      <c r="G25" s="257">
        <f t="shared" si="4"/>
        <v>799845343.20153487</v>
      </c>
    </row>
    <row r="26" spans="1:7">
      <c r="A26" s="97">
        <v>6</v>
      </c>
      <c r="B26" s="93">
        <f t="shared" si="5"/>
        <v>100000</v>
      </c>
      <c r="C26" s="1">
        <f t="shared" si="1"/>
        <v>1000000</v>
      </c>
      <c r="D26" s="9">
        <f>SUM($C$21:C26)</f>
        <v>1111110</v>
      </c>
      <c r="E26" s="9">
        <f t="shared" si="2"/>
        <v>-2355051.4113435196</v>
      </c>
      <c r="F26" s="9">
        <f t="shared" si="3"/>
        <v>2.0491302249277246E-3</v>
      </c>
      <c r="G26" s="257">
        <f t="shared" si="4"/>
        <v>11365023652.734451</v>
      </c>
    </row>
    <row r="27" spans="1:7">
      <c r="A27" s="97">
        <v>7</v>
      </c>
      <c r="B27" s="93">
        <f t="shared" si="5"/>
        <v>1000000</v>
      </c>
      <c r="C27" s="1">
        <f t="shared" si="1"/>
        <v>10000000</v>
      </c>
      <c r="D27" s="9">
        <f>SUM($C$21:C27)</f>
        <v>11111110</v>
      </c>
      <c r="E27" s="9">
        <f t="shared" si="2"/>
        <v>-23555389.522215206</v>
      </c>
      <c r="F27" s="9">
        <f t="shared" si="3"/>
        <v>2.7617613959789471E-4</v>
      </c>
      <c r="G27" s="257">
        <f t="shared" si="4"/>
        <v>153238091828.8244</v>
      </c>
    </row>
    <row r="28" spans="1:7">
      <c r="A28" s="97">
        <v>8</v>
      </c>
      <c r="B28" s="93">
        <f t="shared" si="5"/>
        <v>10000000</v>
      </c>
      <c r="C28" s="1">
        <f t="shared" si="1"/>
        <v>100000000</v>
      </c>
      <c r="D28" s="9">
        <f>SUM($C$21:C28)</f>
        <v>111111110</v>
      </c>
      <c r="E28" s="9">
        <f t="shared" si="2"/>
        <v>-235566741.91124234</v>
      </c>
      <c r="F28" s="9">
        <f t="shared" si="3"/>
        <v>3.581975682206213E-5</v>
      </c>
      <c r="G28" s="257">
        <f t="shared" si="4"/>
        <v>1987698837672.6436</v>
      </c>
    </row>
    <row r="29" spans="1:7">
      <c r="A29" s="97">
        <v>9</v>
      </c>
      <c r="B29" s="93">
        <f t="shared" si="5"/>
        <v>100000000</v>
      </c>
      <c r="C29" s="1">
        <f t="shared" si="1"/>
        <v>1000000000</v>
      </c>
      <c r="D29" s="9">
        <f>SUM($C$21:C29)</f>
        <v>1111111110</v>
      </c>
      <c r="E29" s="9">
        <f t="shared" si="2"/>
        <v>-2355701322.5771384</v>
      </c>
      <c r="F29" s="9">
        <f t="shared" si="3"/>
        <v>4.5096342107491695E-6</v>
      </c>
      <c r="G29" s="257">
        <f t="shared" si="4"/>
        <v>25025442647778.938</v>
      </c>
    </row>
    <row r="30" spans="1:7" ht="17" thickBot="1">
      <c r="A30" s="129">
        <v>10</v>
      </c>
      <c r="B30" s="94">
        <f t="shared" si="5"/>
        <v>1000000000</v>
      </c>
      <c r="C30" s="109">
        <f t="shared" si="1"/>
        <v>10000000000</v>
      </c>
      <c r="D30" s="10">
        <f>SUM($C$21:C30)</f>
        <v>11111111110</v>
      </c>
      <c r="E30" s="10">
        <f t="shared" si="2"/>
        <v>-23557102753.755386</v>
      </c>
      <c r="F30" s="10">
        <f t="shared" si="3"/>
        <v>5.544683222941141E-7</v>
      </c>
      <c r="G30" s="258">
        <f t="shared" si="4"/>
        <v>307695037354796.75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10</v>
      </c>
      <c r="D33" s="57">
        <f>SUM($C$33:C33)</f>
        <v>10</v>
      </c>
      <c r="E33" s="9">
        <f t="shared" ref="E33:E42" si="7">D33/R7</f>
        <v>-17.180071226075054</v>
      </c>
      <c r="F33" s="8">
        <f t="shared" ref="F33:F42" si="8">U7/E33</f>
        <v>11.644973870112635</v>
      </c>
      <c r="G33" s="259">
        <f>E33*U7</f>
        <v>3437.0704848300088</v>
      </c>
    </row>
    <row r="34" spans="1:7">
      <c r="A34" s="97">
        <v>2</v>
      </c>
      <c r="B34" s="93">
        <f t="shared" ref="B34:B42" si="9">B33*($O$2+1)</f>
        <v>11</v>
      </c>
      <c r="C34" s="1">
        <f t="shared" si="6"/>
        <v>110</v>
      </c>
      <c r="D34" s="9">
        <f>SUM($C$33:C34)</f>
        <v>120</v>
      </c>
      <c r="E34" s="9">
        <f t="shared" si="7"/>
        <v>-240.33375733447997</v>
      </c>
      <c r="F34" s="9">
        <f t="shared" si="8"/>
        <v>2.6185972055873346</v>
      </c>
      <c r="G34" s="257">
        <f t="shared" ref="G34:G42" si="10">E34*U8</f>
        <v>151250.99922897693</v>
      </c>
    </row>
    <row r="35" spans="1:7">
      <c r="A35" s="97">
        <v>3</v>
      </c>
      <c r="B35" s="93">
        <f t="shared" si="9"/>
        <v>121</v>
      </c>
      <c r="C35" s="1">
        <f t="shared" si="6"/>
        <v>1210</v>
      </c>
      <c r="D35" s="9">
        <f>SUM($C$33:C35)</f>
        <v>1330</v>
      </c>
      <c r="E35" s="9">
        <f t="shared" si="7"/>
        <v>-2777.3815459917359</v>
      </c>
      <c r="F35" s="9">
        <f t="shared" si="8"/>
        <v>0.46886794536396997</v>
      </c>
      <c r="G35" s="257">
        <f t="shared" si="10"/>
        <v>3616776.1807719334</v>
      </c>
    </row>
    <row r="36" spans="1:7">
      <c r="A36" s="97">
        <v>4</v>
      </c>
      <c r="B36" s="93">
        <f t="shared" si="9"/>
        <v>1331</v>
      </c>
      <c r="C36" s="1">
        <f t="shared" si="6"/>
        <v>13310</v>
      </c>
      <c r="D36" s="9">
        <f>SUM($C$33:C36)</f>
        <v>14640</v>
      </c>
      <c r="E36" s="9">
        <f t="shared" si="7"/>
        <v>-30914.63323483635</v>
      </c>
      <c r="F36" s="9">
        <f t="shared" si="8"/>
        <v>7.1962761190641933E-2</v>
      </c>
      <c r="G36" s="257">
        <f t="shared" si="10"/>
        <v>68775857.787344918</v>
      </c>
    </row>
    <row r="37" spans="1:7">
      <c r="A37" s="97">
        <v>5</v>
      </c>
      <c r="B37" s="93">
        <f t="shared" si="9"/>
        <v>14641</v>
      </c>
      <c r="C37" s="1">
        <f t="shared" si="6"/>
        <v>146410</v>
      </c>
      <c r="D37" s="9">
        <f>SUM($C$33:C37)</f>
        <v>161050</v>
      </c>
      <c r="E37" s="9">
        <f t="shared" si="7"/>
        <v>-341087.10190287093</v>
      </c>
      <c r="F37" s="9">
        <f t="shared" si="8"/>
        <v>9.965130906540106E-3</v>
      </c>
      <c r="G37" s="257">
        <f t="shared" si="10"/>
        <v>1159347426.1777265</v>
      </c>
    </row>
    <row r="38" spans="1:7">
      <c r="A38" s="97">
        <v>6</v>
      </c>
      <c r="B38" s="93">
        <f t="shared" si="9"/>
        <v>161051</v>
      </c>
      <c r="C38" s="1">
        <f t="shared" si="6"/>
        <v>1610510</v>
      </c>
      <c r="D38" s="9">
        <f>SUM($C$33:C38)</f>
        <v>1771560</v>
      </c>
      <c r="E38" s="9">
        <f t="shared" si="7"/>
        <v>-3754907.1453588982</v>
      </c>
      <c r="F38" s="9">
        <f t="shared" si="8"/>
        <v>1.2852000972134413E-3</v>
      </c>
      <c r="G38" s="257">
        <f t="shared" si="10"/>
        <v>18120457292.47171</v>
      </c>
    </row>
    <row r="39" spans="1:7">
      <c r="A39" s="97">
        <v>7</v>
      </c>
      <c r="B39" s="93">
        <f t="shared" si="9"/>
        <v>1771561</v>
      </c>
      <c r="C39" s="1">
        <f t="shared" si="6"/>
        <v>17715610</v>
      </c>
      <c r="D39" s="9">
        <f>SUM($C$33:C39)</f>
        <v>19487170</v>
      </c>
      <c r="E39" s="9">
        <f t="shared" si="7"/>
        <v>-41312513.334457718</v>
      </c>
      <c r="F39" s="9">
        <f t="shared" si="8"/>
        <v>1.5746891244072708E-4</v>
      </c>
      <c r="G39" s="257">
        <f t="shared" si="10"/>
        <v>268755934010.5455</v>
      </c>
    </row>
    <row r="40" spans="1:7">
      <c r="A40" s="97">
        <v>8</v>
      </c>
      <c r="B40" s="93">
        <f t="shared" si="9"/>
        <v>19487171</v>
      </c>
      <c r="C40" s="1">
        <f t="shared" si="6"/>
        <v>194871710</v>
      </c>
      <c r="D40" s="9">
        <f>SUM($C$33:C40)</f>
        <v>214358880</v>
      </c>
      <c r="E40" s="9">
        <f t="shared" si="7"/>
        <v>-454462411.19671082</v>
      </c>
      <c r="F40" s="9">
        <f t="shared" si="8"/>
        <v>1.8566867584069275E-5</v>
      </c>
      <c r="G40" s="257">
        <f t="shared" si="10"/>
        <v>3834728107934.5684</v>
      </c>
    </row>
    <row r="41" spans="1:7">
      <c r="A41" s="97">
        <v>9</v>
      </c>
      <c r="B41" s="93">
        <f t="shared" si="9"/>
        <v>214358881</v>
      </c>
      <c r="C41" s="1">
        <f t="shared" si="6"/>
        <v>2143588810</v>
      </c>
      <c r="D41" s="9">
        <f>SUM($C$33:C41)</f>
        <v>2357947690</v>
      </c>
      <c r="E41" s="9">
        <f t="shared" si="7"/>
        <v>-4999158447.709796</v>
      </c>
      <c r="F41" s="9">
        <f t="shared" si="8"/>
        <v>2.1250279193426398E-6</v>
      </c>
      <c r="G41" s="257">
        <f t="shared" si="10"/>
        <v>53107816267409.867</v>
      </c>
    </row>
    <row r="42" spans="1:7" ht="17" thickBot="1">
      <c r="A42" s="129">
        <v>10</v>
      </c>
      <c r="B42" s="94">
        <f t="shared" si="9"/>
        <v>2357947691</v>
      </c>
      <c r="C42" s="109">
        <f t="shared" si="6"/>
        <v>23579476910</v>
      </c>
      <c r="D42" s="10">
        <f>SUM($C$33:C42)</f>
        <v>25937424600</v>
      </c>
      <c r="E42" s="9">
        <f t="shared" si="7"/>
        <v>-54990951887.797539</v>
      </c>
      <c r="F42" s="10">
        <f t="shared" si="8"/>
        <v>2.3752393427623463E-7</v>
      </c>
      <c r="G42" s="258">
        <f t="shared" si="10"/>
        <v>718273514878407.5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10</v>
      </c>
      <c r="D45" s="57">
        <f>SUM(C45:C45)</f>
        <v>10</v>
      </c>
      <c r="E45" s="57">
        <f t="shared" ref="E45:E54" si="12">D45/R7</f>
        <v>-17.180071226075054</v>
      </c>
      <c r="F45" s="8">
        <f t="shared" ref="F45:F54" si="13">U7/E45</f>
        <v>11.644973870112635</v>
      </c>
      <c r="G45" s="256">
        <f>E45*U7</f>
        <v>3437.0704848300088</v>
      </c>
    </row>
    <row r="46" spans="1:7">
      <c r="A46" s="97">
        <v>2</v>
      </c>
      <c r="B46" s="93">
        <f t="shared" ref="B46:B54" si="14">B45*$O$2*2</f>
        <v>20</v>
      </c>
      <c r="C46" s="1">
        <f t="shared" si="11"/>
        <v>200</v>
      </c>
      <c r="D46" s="9">
        <f>SUM($C$45:C46)</f>
        <v>210</v>
      </c>
      <c r="E46" s="9">
        <f t="shared" si="12"/>
        <v>-420.58407533533995</v>
      </c>
      <c r="F46" s="9">
        <f t="shared" si="13"/>
        <v>1.4963412603356199</v>
      </c>
      <c r="G46" s="257">
        <f t="shared" ref="G46:G54" si="15">E46*U8</f>
        <v>264689.24865070963</v>
      </c>
    </row>
    <row r="47" spans="1:7">
      <c r="A47" s="97">
        <v>3</v>
      </c>
      <c r="B47" s="93">
        <f t="shared" si="14"/>
        <v>400</v>
      </c>
      <c r="C47" s="1">
        <f t="shared" si="11"/>
        <v>4000</v>
      </c>
      <c r="D47" s="9">
        <f>SUM($C$45:C47)</f>
        <v>4210</v>
      </c>
      <c r="E47" s="9">
        <f t="shared" si="12"/>
        <v>-8791.5611343046676</v>
      </c>
      <c r="F47" s="9">
        <f t="shared" si="13"/>
        <v>0.14812217751403328</v>
      </c>
      <c r="G47" s="257">
        <f t="shared" si="15"/>
        <v>11448592.271466045</v>
      </c>
    </row>
    <row r="48" spans="1:7">
      <c r="A48" s="97">
        <v>4</v>
      </c>
      <c r="B48" s="93">
        <f t="shared" si="14"/>
        <v>8000</v>
      </c>
      <c r="C48" s="1">
        <f t="shared" si="11"/>
        <v>80000</v>
      </c>
      <c r="D48" s="9">
        <f>SUM($C$45:C48)</f>
        <v>84210</v>
      </c>
      <c r="E48" s="9">
        <f t="shared" si="12"/>
        <v>-177822.49075857713</v>
      </c>
      <c r="F48" s="9">
        <f t="shared" si="13"/>
        <v>1.251080422551951E-2</v>
      </c>
      <c r="G48" s="257">
        <f t="shared" si="15"/>
        <v>395602116.41204339</v>
      </c>
    </row>
    <row r="49" spans="1:7">
      <c r="A49" s="97">
        <v>5</v>
      </c>
      <c r="B49" s="93">
        <f t="shared" si="14"/>
        <v>160000</v>
      </c>
      <c r="C49" s="1">
        <f t="shared" si="11"/>
        <v>1600000</v>
      </c>
      <c r="D49" s="9">
        <f>SUM($C$45:C49)</f>
        <v>1684210</v>
      </c>
      <c r="E49" s="9">
        <f t="shared" si="12"/>
        <v>-3566981.1108092782</v>
      </c>
      <c r="F49" s="9">
        <f t="shared" si="13"/>
        <v>9.5290037020222176E-4</v>
      </c>
      <c r="G49" s="257">
        <f t="shared" si="15"/>
        <v>12124088970.150816</v>
      </c>
    </row>
    <row r="50" spans="1:7">
      <c r="A50" s="97">
        <v>6</v>
      </c>
      <c r="B50" s="93">
        <f t="shared" si="14"/>
        <v>3200000</v>
      </c>
      <c r="C50" s="1">
        <f t="shared" si="11"/>
        <v>32000000</v>
      </c>
      <c r="D50" s="9">
        <f>SUM($C$45:C50)</f>
        <v>33684210</v>
      </c>
      <c r="E50" s="9">
        <f t="shared" si="12"/>
        <v>-71395313.065755412</v>
      </c>
      <c r="F50" s="9">
        <f t="shared" si="13"/>
        <v>6.7592770743901792E-5</v>
      </c>
      <c r="G50" s="257">
        <f t="shared" si="15"/>
        <v>344540003576.31042</v>
      </c>
    </row>
    <row r="51" spans="1:7">
      <c r="A51" s="97">
        <v>7</v>
      </c>
      <c r="B51" s="93">
        <f t="shared" si="14"/>
        <v>64000000</v>
      </c>
      <c r="C51" s="1">
        <f t="shared" si="11"/>
        <v>640000000</v>
      </c>
      <c r="D51" s="9">
        <f>SUM($C$45:C51)</f>
        <v>673684210</v>
      </c>
      <c r="E51" s="9">
        <f t="shared" si="12"/>
        <v>-1428200601.1564846</v>
      </c>
      <c r="F51" s="9">
        <f t="shared" si="13"/>
        <v>4.5549879615666873E-6</v>
      </c>
      <c r="G51" s="257">
        <f t="shared" si="15"/>
        <v>9291068384311.6504</v>
      </c>
    </row>
    <row r="52" spans="1:7">
      <c r="A52" s="97">
        <v>8</v>
      </c>
      <c r="B52" s="93">
        <f t="shared" si="14"/>
        <v>1280000000</v>
      </c>
      <c r="C52" s="1">
        <f t="shared" si="11"/>
        <v>12800000000</v>
      </c>
      <c r="D52" s="9">
        <f>SUM($C$45:C52)</f>
        <v>13473684210</v>
      </c>
      <c r="E52" s="9">
        <f t="shared" si="12"/>
        <v>-28565567303.671532</v>
      </c>
      <c r="F52" s="9">
        <f t="shared" si="13"/>
        <v>2.9538861668403285E-7</v>
      </c>
      <c r="G52" s="257">
        <f t="shared" si="15"/>
        <v>241034640400813.62</v>
      </c>
    </row>
    <row r="53" spans="1:7">
      <c r="A53" s="97">
        <v>9</v>
      </c>
      <c r="B53" s="93">
        <f t="shared" si="14"/>
        <v>25600000000</v>
      </c>
      <c r="C53" s="1">
        <f t="shared" si="11"/>
        <v>256000000000</v>
      </c>
      <c r="D53" s="9">
        <f>SUM($C$45:C53)</f>
        <v>269473684210</v>
      </c>
      <c r="E53" s="9">
        <f t="shared" si="12"/>
        <v>-571319563435.22766</v>
      </c>
      <c r="F53" s="9">
        <f t="shared" si="13"/>
        <v>1.8594411874721901E-8</v>
      </c>
      <c r="G53" s="257">
        <f t="shared" si="15"/>
        <v>6069328412424072</v>
      </c>
    </row>
    <row r="54" spans="1:7" ht="17" thickBot="1">
      <c r="A54" s="129">
        <v>10</v>
      </c>
      <c r="B54" s="94">
        <f t="shared" si="14"/>
        <v>512000000000</v>
      </c>
      <c r="C54" s="109">
        <f t="shared" si="11"/>
        <v>5120000000000</v>
      </c>
      <c r="D54" s="10">
        <f>SUM($C$45:C54)</f>
        <v>5389473684210</v>
      </c>
      <c r="E54" s="10">
        <f t="shared" si="12"/>
        <v>-11426434684226.246</v>
      </c>
      <c r="F54" s="10">
        <f t="shared" si="13"/>
        <v>1.1431096053098639E-9</v>
      </c>
      <c r="G54" s="258">
        <f t="shared" si="15"/>
        <v>1.4924828760763693E+17</v>
      </c>
    </row>
  </sheetData>
  <mergeCells count="1">
    <mergeCell ref="A18:F18"/>
  </mergeCells>
  <conditionalFormatting sqref="F45:F54">
    <cfRule type="cellIs" dxfId="201" priority="35" operator="equal">
      <formula>MAX($F$45:$F$54)</formula>
    </cfRule>
  </conditionalFormatting>
  <conditionalFormatting sqref="F21:F30">
    <cfRule type="cellIs" dxfId="200" priority="34" operator="equal">
      <formula>MAX($F$21:$F$30)</formula>
    </cfRule>
  </conditionalFormatting>
  <conditionalFormatting sqref="E33:E42">
    <cfRule type="cellIs" dxfId="199" priority="32" stopIfTrue="1" operator="lessThan">
      <formula>0</formula>
    </cfRule>
    <cfRule type="cellIs" dxfId="198" priority="33" operator="equal">
      <formula>MIN($E$33:$E$42)</formula>
    </cfRule>
  </conditionalFormatting>
  <conditionalFormatting sqref="E21:E30">
    <cfRule type="cellIs" dxfId="197" priority="30" stopIfTrue="1" operator="lessThan">
      <formula>0</formula>
    </cfRule>
    <cfRule type="cellIs" dxfId="196" priority="31" operator="equal">
      <formula>MIN($E$21:$E$30)</formula>
    </cfRule>
  </conditionalFormatting>
  <conditionalFormatting sqref="E45:E54">
    <cfRule type="cellIs" dxfId="195" priority="28" stopIfTrue="1" operator="lessThan">
      <formula>0</formula>
    </cfRule>
    <cfRule type="cellIs" dxfId="194" priority="29" operator="equal">
      <formula>MIN($E$45:$E$54)</formula>
    </cfRule>
  </conditionalFormatting>
  <conditionalFormatting sqref="F33:F42">
    <cfRule type="cellIs" dxfId="193" priority="26" operator="lessThanOrEqual">
      <formula>0</formula>
    </cfRule>
    <cfRule type="cellIs" dxfId="192" priority="27" operator="equal">
      <formula>MAX($F$33:$F$42)</formula>
    </cfRule>
  </conditionalFormatting>
  <conditionalFormatting sqref="R7:R16">
    <cfRule type="cellIs" dxfId="191" priority="24" operator="lessThanOrEqual">
      <formula>0</formula>
    </cfRule>
    <cfRule type="cellIs" dxfId="190" priority="25" operator="greaterThan">
      <formula>0</formula>
    </cfRule>
  </conditionalFormatting>
  <conditionalFormatting sqref="U7:U16">
    <cfRule type="cellIs" dxfId="189" priority="9" operator="lessThanOrEqual">
      <formula>0</formula>
    </cfRule>
    <cfRule type="cellIs" dxfId="188" priority="10" operator="greaterThan">
      <formula>0</formula>
    </cfRule>
  </conditionalFormatting>
  <conditionalFormatting sqref="S7:T16">
    <cfRule type="cellIs" dxfId="187" priority="1" operator="lessThanOrEqual">
      <formula>0</formula>
    </cfRule>
    <cfRule type="cellIs" dxfId="18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73AD-B6BC-3E41-8E28-6ED83E52CB7D}">
  <sheetPr>
    <pageSetUpPr fitToPage="1"/>
  </sheetPr>
  <dimension ref="A1:W54"/>
  <sheetViews>
    <sheetView zoomScale="90" zoomScaleNormal="90" workbookViewId="0">
      <selection activeCell="O18" sqref="O18:V1048576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0.99999999999999811</v>
      </c>
    </row>
    <row r="2" spans="1:23">
      <c r="A2" t="s">
        <v>39</v>
      </c>
      <c r="B2" s="133" t="s">
        <v>124</v>
      </c>
      <c r="C2" s="139">
        <f>Analysis!B58</f>
        <v>0.22541466493068843</v>
      </c>
      <c r="D2" s="133" t="s">
        <v>125</v>
      </c>
      <c r="E2" s="139">
        <f>Analysis!K58</f>
        <v>0.77458533506930971</v>
      </c>
      <c r="F2" s="133" t="s">
        <v>46</v>
      </c>
      <c r="G2" s="139">
        <f>Analysis!S58</f>
        <v>437.84075379967413</v>
      </c>
      <c r="H2" t="s">
        <v>153</v>
      </c>
      <c r="I2" s="153">
        <f>Analysis!T58</f>
        <v>-438.419205971395</v>
      </c>
      <c r="J2" t="s">
        <v>47</v>
      </c>
      <c r="K2" s="153">
        <f>G2*C2+I2*E2</f>
        <v>-240.89736074742009</v>
      </c>
      <c r="L2" t="s">
        <v>46</v>
      </c>
      <c r="M2" s="160">
        <v>3</v>
      </c>
      <c r="N2" t="s">
        <v>153</v>
      </c>
      <c r="O2" s="160">
        <v>10</v>
      </c>
    </row>
    <row r="4" spans="1:23">
      <c r="A4" t="s">
        <v>122</v>
      </c>
      <c r="B4">
        <f>$C$2</f>
        <v>0.22541466493068843</v>
      </c>
      <c r="C4" t="s">
        <v>123</v>
      </c>
      <c r="D4">
        <f>$E$2</f>
        <v>0.77458533506930971</v>
      </c>
      <c r="E4" t="s">
        <v>46</v>
      </c>
      <c r="F4">
        <f>G2</f>
        <v>437.84075379967413</v>
      </c>
      <c r="G4" t="s">
        <v>153</v>
      </c>
      <c r="H4">
        <f>I2</f>
        <v>-438.419205971395</v>
      </c>
      <c r="I4" t="s">
        <v>47</v>
      </c>
      <c r="J4">
        <f>B4*F4+D4*H4</f>
        <v>-240.89736074742009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0.22541466493068843</v>
      </c>
      <c r="C7" s="95">
        <v>1</v>
      </c>
      <c r="D7" s="22">
        <f>C7*D4</f>
        <v>0.77458533506930971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0.99999999999999811</v>
      </c>
      <c r="R7" s="265">
        <f>B7-D7</f>
        <v>-0.54917067013862131</v>
      </c>
      <c r="S7" s="266">
        <f>IF(Rules!B20=Rules!D20,SUM(C7)*B4*F4,SUM(C7)*B4*F4*POWER(O2,A7-1))</f>
        <v>98.695726810753598</v>
      </c>
      <c r="T7" s="252">
        <f>IF(Rules!B20=Rules!D20,SUM(C7)*D4*H4,SUM(C7)*D4*H4*POWER(O2,A7-1))</f>
        <v>-339.59308755817369</v>
      </c>
      <c r="U7" s="263">
        <f>S7+T7</f>
        <v>-240.89736074742009</v>
      </c>
      <c r="V7" s="282">
        <f>S7/B4</f>
        <v>437.84075379967419</v>
      </c>
      <c r="W7" s="57">
        <f>T7/D4</f>
        <v>-438.419205971395</v>
      </c>
    </row>
    <row r="8" spans="1:23">
      <c r="A8" s="98">
        <v>2</v>
      </c>
      <c r="B8" s="97">
        <f>C8*B4</f>
        <v>0.27309844343757095</v>
      </c>
      <c r="C8" s="97">
        <f>1/(1-B4*D4)</f>
        <v>1.2115380493169978</v>
      </c>
      <c r="D8" s="128">
        <f>C8*D4</f>
        <v>0.93843960587942465</v>
      </c>
      <c r="E8" s="1">
        <f>D8*D4</f>
        <v>0.72690155656242506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0.999999999999996</v>
      </c>
      <c r="R8" s="267">
        <f>B8-E8</f>
        <v>-0.45380311312485411</v>
      </c>
      <c r="S8" s="268">
        <f>IF(Rules!B20=Rules!D20,SUM(C8:D8)*B4*F4,SUM(C8:D8)*B4*F4*POWER(O2,A8-1))</f>
        <v>212.19360730649069</v>
      </c>
      <c r="T8" s="253">
        <f>IF(Rules!B20=Rules!D20,SUM(C8:D8)*D4*H4,SUM(C8:D8)*D4*H4*POWER(O2,A8-1))</f>
        <v>-730.11755010923559</v>
      </c>
      <c r="U8" s="264">
        <f>S8+T8+U7</f>
        <v>-758.821303550165</v>
      </c>
      <c r="V8" s="93">
        <f>S8/B4</f>
        <v>941.34783720365749</v>
      </c>
      <c r="W8" s="9">
        <f>T8/D4</f>
        <v>-942.59149644745708</v>
      </c>
    </row>
    <row r="9" spans="1:23">
      <c r="A9" s="98">
        <v>3</v>
      </c>
      <c r="B9" s="97">
        <f>C9*B4</f>
        <v>0.28589162068686236</v>
      </c>
      <c r="C9" s="97">
        <f>1/(1-D4*B4/(1-D4*B4))</f>
        <v>1.268292019841609</v>
      </c>
      <c r="D9" s="128">
        <f>C9*D4*C8</f>
        <v>1.1902154632401789</v>
      </c>
      <c r="E9" s="1">
        <f>D9*(D4)</f>
        <v>0.92192344339856769</v>
      </c>
      <c r="F9" s="1">
        <f>E9*D4</f>
        <v>0.71410837931313131</v>
      </c>
      <c r="G9" s="1"/>
      <c r="H9" s="1"/>
      <c r="I9" s="1"/>
      <c r="J9" s="1"/>
      <c r="K9" s="1"/>
      <c r="L9" s="1"/>
      <c r="M9" s="235"/>
      <c r="N9" s="97">
        <f>B9+F9</f>
        <v>0.99999999999999367</v>
      </c>
      <c r="R9" s="267">
        <f>B9-F9</f>
        <v>-0.42821675862626896</v>
      </c>
      <c r="S9" s="268">
        <f>IF(Rules!B20=Rules!D20,SUM(C9:E9)*B4*F4,SUM(C9:E9)*B4*F4*POWER(O2,A9-1))</f>
        <v>333.63408722252785</v>
      </c>
      <c r="T9" s="253">
        <f>IF(Rules!B20=Rules!D20,SUM(C9:E9)*D4*H4,SUM(C9:E9)*D4*H4*POWER(O2,A9-1))</f>
        <v>-1147.9709756006016</v>
      </c>
      <c r="U9" s="264">
        <f t="shared" ref="U9:U16" si="0">S9+T9+U8</f>
        <v>-1573.1581919282389</v>
      </c>
      <c r="V9" s="93">
        <f>S9/B4</f>
        <v>1480.0904250178899</v>
      </c>
      <c r="W9" s="9">
        <f>T9/D4</f>
        <v>-1482.0458426286646</v>
      </c>
    </row>
    <row r="10" spans="1:23">
      <c r="A10" s="98">
        <v>4</v>
      </c>
      <c r="B10" s="97">
        <f>C10*B4</f>
        <v>0.28953044582595472</v>
      </c>
      <c r="C10" s="97">
        <f>1/(1-D4*B4/(1-D4*B4/(1-D4*B4)))</f>
        <v>1.2844348255468689</v>
      </c>
      <c r="D10" s="128">
        <f>C10*D4*C9</f>
        <v>1.2618292853054984</v>
      </c>
      <c r="E10" s="1">
        <f>D10*D4*C8</f>
        <v>1.184150577189208</v>
      </c>
      <c r="F10" s="1">
        <f>E10*D4</f>
        <v>0.91722567160461921</v>
      </c>
      <c r="G10" s="1">
        <f>F10*D4</f>
        <v>0.71046955417403657</v>
      </c>
      <c r="H10" s="1"/>
      <c r="I10" s="1"/>
      <c r="J10" s="1"/>
      <c r="K10" s="1"/>
      <c r="L10" s="1"/>
      <c r="M10" s="235"/>
      <c r="N10" s="97">
        <f>B10+G10</f>
        <v>0.99999999999999134</v>
      </c>
      <c r="R10" s="267">
        <f>B10-G10</f>
        <v>-0.42093910834808185</v>
      </c>
      <c r="S10" s="268">
        <f>IF(Rules!B20=Rules!D20,SUM(C10:F10)*B4*F4,SUM(C10:F10)*B4*F4*POWER(O2,A10-1))</f>
        <v>458.7022432502734</v>
      </c>
      <c r="T10" s="253">
        <f>IF(Rules!B20=Rules!D20,SUM(C10:F10)*D4*H4,SUM(C10:F10)*D4*H4*POWER(O2,A10-1))</f>
        <v>-1578.306539592232</v>
      </c>
      <c r="U10" s="264">
        <f t="shared" si="0"/>
        <v>-2692.7624882701975</v>
      </c>
      <c r="V10" s="93">
        <f>S10/B4</f>
        <v>2034.9263584572784</v>
      </c>
      <c r="W10" s="9">
        <f>T10/D4</f>
        <v>-2037.6147961166932</v>
      </c>
    </row>
    <row r="11" spans="1:23">
      <c r="A11" s="98">
        <v>5</v>
      </c>
      <c r="B11" s="97">
        <f>C11*B4</f>
        <v>0.29058243650065341</v>
      </c>
      <c r="C11" s="97">
        <f>1/(1-D4*B4/(1-D4*B4/(1-D4*B4/(1-D4*B4))))</f>
        <v>1.2891017387444739</v>
      </c>
      <c r="D11" s="128">
        <f>C11*D4*C10</f>
        <v>1.2825329657827198</v>
      </c>
      <c r="E11" s="1">
        <f>D11*D4*C9</f>
        <v>1.2599608975140619</v>
      </c>
      <c r="F11" s="1">
        <f>E11*D4*C8</f>
        <v>1.1823972080865823</v>
      </c>
      <c r="G11" s="1">
        <f>F11*D4</f>
        <v>0.91586753761076167</v>
      </c>
      <c r="H11" s="1">
        <f>G11*D4</f>
        <v>0.70941756349933549</v>
      </c>
      <c r="I11" s="1"/>
      <c r="J11" s="1"/>
      <c r="K11" s="1"/>
      <c r="L11" s="1"/>
      <c r="M11" s="235"/>
      <c r="N11" s="97">
        <f>B11+H11</f>
        <v>0.9999999999999889</v>
      </c>
      <c r="R11" s="267">
        <f>B11-H11</f>
        <v>-0.41883512699868208</v>
      </c>
      <c r="S11" s="268">
        <f>IF(Rules!B20=Rules!D20,SUM(C11:G11)*B4*F4,SUM(C11:G11)*B4*F4*POWER(O2,A11-1))</f>
        <v>585.25187690632913</v>
      </c>
      <c r="T11" s="253">
        <f>IF(Rules!B20=Rules!D20,SUM(C11:G11)*D4*H4,SUM(C11:G11)*D4*H4*POWER(O2,A11-1))</f>
        <v>-2013.7395842773365</v>
      </c>
      <c r="U11" s="264">
        <f t="shared" si="0"/>
        <v>-4121.2501956412052</v>
      </c>
      <c r="V11" s="93">
        <f>S11/B4</f>
        <v>2596.3345245806663</v>
      </c>
      <c r="W11" s="9">
        <f>T11/D4</f>
        <v>-2599.7646651768168</v>
      </c>
    </row>
    <row r="12" spans="1:23">
      <c r="A12" s="98">
        <v>6</v>
      </c>
      <c r="B12" s="97">
        <f>C12*B4</f>
        <v>0.29088799484813632</v>
      </c>
      <c r="C12" s="97">
        <f>1/(1-D4*B4/(1-D4*B4/(1-D4*B4/(1-D4*B4/(1-D4*B4)))))</f>
        <v>1.2904572776468644</v>
      </c>
      <c r="D12" s="128">
        <f>C12*D4*C11</f>
        <v>1.2885465004514041</v>
      </c>
      <c r="E12" s="1">
        <f>D12*D4*C10</f>
        <v>1.2819805567731559</v>
      </c>
      <c r="F12" s="1">
        <f>E12*D4*C9</f>
        <v>1.2594182106825698</v>
      </c>
      <c r="G12" s="1">
        <f>F12*D4*C8</f>
        <v>1.1818879292703208</v>
      </c>
      <c r="H12" s="1">
        <f>G12*D4</f>
        <v>0.91547305770822407</v>
      </c>
      <c r="I12" s="1">
        <f>H12*D4</f>
        <v>0.70911200515185024</v>
      </c>
      <c r="J12" s="1"/>
      <c r="K12" s="1"/>
      <c r="L12" s="1"/>
      <c r="M12" s="235"/>
      <c r="N12" s="97">
        <f>B12+I12</f>
        <v>0.99999999999998657</v>
      </c>
      <c r="R12" s="267">
        <f>B12-I12</f>
        <v>-0.41822401030371392</v>
      </c>
      <c r="S12" s="268">
        <f>IF(Rules!B20=Rules!D20,SUM(C12:H12)*B4*F4,SUM(C12:H12)*B4*F4*POWER(O2,A12-1))</f>
        <v>712.36241779145132</v>
      </c>
      <c r="T12" s="253">
        <f>IF(Rules!B20=Rules!D20,SUM(C12:H12)*D4*H4,SUM(C12:H12)*D4*H4*POWER(O2,A12-1))</f>
        <v>-2451.1026032775158</v>
      </c>
      <c r="U12" s="264">
        <f t="shared" si="0"/>
        <v>-5859.9903811272698</v>
      </c>
      <c r="V12" s="93">
        <f>S12/B4</f>
        <v>3160.2310258318457</v>
      </c>
      <c r="W12" s="9">
        <f>T12/D4</f>
        <v>-3164.4061568222069</v>
      </c>
    </row>
    <row r="13" spans="1:23">
      <c r="A13" s="98">
        <v>7</v>
      </c>
      <c r="B13" s="97">
        <f>C13*B4</f>
        <v>0.29097686696351815</v>
      </c>
      <c r="C13" s="97">
        <f>1/(1-D4*B4/(1-D4*B4/(1-D4*B4/(1-D4*B4/(1-D4*B4/(1-D4*B4))))))</f>
        <v>1.290851538221744</v>
      </c>
      <c r="D13" s="128">
        <f>C13*D4*C12</f>
        <v>1.2902955462599406</v>
      </c>
      <c r="E13" s="1">
        <f>D13*D4*C11</f>
        <v>1.2883850085397819</v>
      </c>
      <c r="F13" s="1">
        <f>E13*D4*C10</f>
        <v>1.2818198877629934</v>
      </c>
      <c r="G13" s="1">
        <f>F13*D4*C9</f>
        <v>1.2592603693828541</v>
      </c>
      <c r="H13" s="1">
        <f>G13*D4*C8</f>
        <v>1.1817398047432244</v>
      </c>
      <c r="I13" s="1">
        <f>H13*D4</f>
        <v>0.91535832262177108</v>
      </c>
      <c r="J13" s="1">
        <f>I13*D4</f>
        <v>0.7090231330364658</v>
      </c>
      <c r="K13" s="1"/>
      <c r="L13" s="1"/>
      <c r="M13" s="235"/>
      <c r="N13" s="97">
        <f>B13+J13</f>
        <v>0.99999999999998401</v>
      </c>
      <c r="R13" s="267">
        <f>B13-J13</f>
        <v>-0.41804626607294765</v>
      </c>
      <c r="S13" s="268">
        <f>IF(Rules!B20=Rules!D20,SUM(C13:I13)*B4*F4,SUM(C13:I13)*B4*F4*POWER(O2,A13-1))</f>
        <v>839.67466907551488</v>
      </c>
      <c r="T13" s="253">
        <f>IF(Rules!B20=Rules!D20,SUM(C13:I13)*D4*H4,SUM(C13:I13)*D4*H4*POWER(O2,A13-1))</f>
        <v>-2889.1596691162217</v>
      </c>
      <c r="U13" s="264">
        <f t="shared" si="0"/>
        <v>-7909.4753811679766</v>
      </c>
      <c r="V13" s="93">
        <f>S13/B4</f>
        <v>3725.0223685921324</v>
      </c>
      <c r="W13" s="9">
        <f>T13/D4</f>
        <v>-3729.9436721942334</v>
      </c>
    </row>
    <row r="14" spans="1:23">
      <c r="A14" s="98">
        <v>8</v>
      </c>
      <c r="B14" s="97">
        <f>C14*B4</f>
        <v>0.29100272575008213</v>
      </c>
      <c r="C14" s="97">
        <f>1/(1-D4*B4/(1-D4*B4/(1-D4*B4/(1-D4*B4/(1-D4*B4/(1-D4*B4/(1-D4*B4)))))))</f>
        <v>1.2909662547446104</v>
      </c>
      <c r="D14" s="128">
        <f>C14*D4*C13</f>
        <v>1.2908044595682273</v>
      </c>
      <c r="E14" s="1">
        <f>D14*D4*C12</f>
        <v>1.2902484878840097</v>
      </c>
      <c r="F14" s="1">
        <f>E14*D4*C11</f>
        <v>1.2883380198430827</v>
      </c>
      <c r="G14" s="1">
        <f>F14*D4*C10</f>
        <v>1.2817731385028501</v>
      </c>
      <c r="H14" s="1">
        <f>G14*D4*C9</f>
        <v>1.2592144428910295</v>
      </c>
      <c r="I14" s="1">
        <f>H14*D4*C8</f>
        <v>1.181696705504337</v>
      </c>
      <c r="J14" s="1">
        <f>I14*D4</f>
        <v>0.91532493858337627</v>
      </c>
      <c r="K14" s="1">
        <f>J14*D4</f>
        <v>0.70899727424989989</v>
      </c>
      <c r="L14" s="1"/>
      <c r="M14" s="235"/>
      <c r="N14" s="97">
        <f>B14+K14</f>
        <v>0.99999999999998201</v>
      </c>
      <c r="R14" s="267">
        <f>B14-K14</f>
        <v>-0.41799454849981776</v>
      </c>
      <c r="S14" s="268">
        <f>IF(Rules!B20=Rules!D20,SUM(C14:J14)*B4*F4,SUM(C14:J14)*B4*F4*POWER(O2,A14-1))</f>
        <v>967.05689809623846</v>
      </c>
      <c r="T14" s="253">
        <f>IF(Rules!B20=Rules!D20,SUM(C14:J14)*D4*H4,SUM(C14:J14)*D4*H4*POWER(O2,A14-1))</f>
        <v>-3327.4575149402481</v>
      </c>
      <c r="U14" s="264">
        <f t="shared" si="0"/>
        <v>-10269.875998011987</v>
      </c>
      <c r="V14" s="93">
        <f>S14/B4</f>
        <v>4290.1241513882587</v>
      </c>
      <c r="W14" s="9">
        <f>T14/D4</f>
        <v>-4295.7920377391447</v>
      </c>
    </row>
    <row r="15" spans="1:23">
      <c r="A15" s="98">
        <v>9</v>
      </c>
      <c r="B15" s="97">
        <f>C15*B4</f>
        <v>0.2910102506475909</v>
      </c>
      <c r="C15" s="97">
        <f>1/(1-D4*B4/(1-D4*B4/(1-D4*B4/(1-D4*B4/(1-D4*B4/(1-D4*B4/(1-D4*B4/(1-D4*B4))))))))</f>
        <v>1.2909996372111465</v>
      </c>
      <c r="D15" s="128">
        <f>C15*D4*C14</f>
        <v>1.2909525531563106</v>
      </c>
      <c r="E15" s="1">
        <f>D15*D4*C13</f>
        <v>1.2907907596971304</v>
      </c>
      <c r="F15" s="1">
        <f>E15*D4*C12</f>
        <v>1.2902347939136829</v>
      </c>
      <c r="G15" s="1">
        <f>F15*D4*C11</f>
        <v>1.288324346149387</v>
      </c>
      <c r="H15" s="1">
        <f>G15*D4*C10</f>
        <v>1.2817595344851052</v>
      </c>
      <c r="I15" s="1">
        <f>H15*D4*C9</f>
        <v>1.2592010782985665</v>
      </c>
      <c r="J15" s="1">
        <f>I15*D4*C8</f>
        <v>1.1816841636414535</v>
      </c>
      <c r="K15" s="1">
        <f>J15*D4</f>
        <v>0.91531522384031228</v>
      </c>
      <c r="L15" s="1">
        <f>K15*D4</f>
        <v>0.70898974935238845</v>
      </c>
      <c r="M15" s="235"/>
      <c r="N15" s="97">
        <f>B15+L15</f>
        <v>0.99999999999997935</v>
      </c>
      <c r="R15" s="267">
        <f>B15-L15</f>
        <v>-0.41797949870479756</v>
      </c>
      <c r="S15" s="268">
        <f>IF(Rules!B20=Rules!D20,SUM(C15:K15)*B4*F4,SUM(C15:K15)*B4*F4*POWER(O2,A15-1))</f>
        <v>1094.4627818062831</v>
      </c>
      <c r="T15" s="253">
        <f>IF(Rules!B20=Rules!D20,SUM(C15:K15)*D4*H4,SUM(C15:K15)*D4*H4*POWER(O2,A15-1))</f>
        <v>-3765.8367520183988</v>
      </c>
      <c r="U15" s="264">
        <f t="shared" si="0"/>
        <v>-12941.249968224103</v>
      </c>
      <c r="V15" s="93">
        <f>S15/B4</f>
        <v>4855.3308727398626</v>
      </c>
      <c r="W15" s="9">
        <f>T15/D4</f>
        <v>-4861.7454804788331</v>
      </c>
    </row>
    <row r="16" spans="1:23" ht="17" thickBot="1">
      <c r="A16" s="99">
        <v>10</v>
      </c>
      <c r="B16" s="129">
        <f>C16*B4</f>
        <v>0.29101244046313746</v>
      </c>
      <c r="C16" s="129">
        <f>1/(1-D4*B4/(1-D4*B4/(1-D4*B4/(1-D4*B4/(1-D4*B4/(1-D4*B4/(1-D4*B4/(1-D4*B4/(1-D4*B4)))))))))</f>
        <v>1.2910093518210954</v>
      </c>
      <c r="D16" s="137">
        <f>C16*D4*C15</f>
        <v>1.2909956497753876</v>
      </c>
      <c r="E16" s="109">
        <f>D16*D4*C14</f>
        <v>1.2909485658659776</v>
      </c>
      <c r="F16" s="109">
        <f>E16*D4*C13</f>
        <v>1.2907867729065194</v>
      </c>
      <c r="G16" s="109">
        <f>F16*D4*C12</f>
        <v>1.2902308088402512</v>
      </c>
      <c r="H16" s="109">
        <f>G16*D4*C11</f>
        <v>1.2883203669766445</v>
      </c>
      <c r="I16" s="109">
        <f>H16*D4*C10</f>
        <v>1.281755575588716</v>
      </c>
      <c r="J16" s="109">
        <f>I16*D4*C9</f>
        <v>1.2591971890771736</v>
      </c>
      <c r="K16" s="109">
        <f>J16*D4*C8</f>
        <v>1.1816805138420621</v>
      </c>
      <c r="L16" s="109">
        <f>K16*D4</f>
        <v>0.91531239675922771</v>
      </c>
      <c r="M16" s="237">
        <f>L16*D4</f>
        <v>0.70898755953683934</v>
      </c>
      <c r="N16" s="129">
        <f>B16+M16</f>
        <v>0.9999999999999768</v>
      </c>
      <c r="R16" s="269">
        <f>B16-M16</f>
        <v>-0.41797511907370188</v>
      </c>
      <c r="S16" s="270">
        <f>IF(Rules!B20=Rules!D20,SUM(C16:L16)*B4*F4,SUM(C16:L16)*B4*F4*POWER(O2,A16-1))</f>
        <v>1221.8765076999821</v>
      </c>
      <c r="T16" s="254">
        <f>IF(Rules!B20=Rules!D20,SUM(C16:L16)*D4*H4,SUM(C16:L16)*D4*H4*POWER(O2,A16-1))</f>
        <v>-4204.2429725480761</v>
      </c>
      <c r="U16" s="264">
        <f t="shared" si="0"/>
        <v>-15923.616433072197</v>
      </c>
      <c r="V16" s="94">
        <f>S16/B4</f>
        <v>5420.5723841245663</v>
      </c>
      <c r="W16" s="10">
        <f>T16/D4</f>
        <v>-5427.7337592143822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10</v>
      </c>
      <c r="D21" s="57">
        <f>SUM($C$21:C21)</f>
        <v>10</v>
      </c>
      <c r="E21" s="57">
        <f t="shared" ref="E21:E30" si="2">D21/R7</f>
        <v>-18.209275447058754</v>
      </c>
      <c r="F21" s="8">
        <f t="shared" ref="F21:F30" si="3">U7/E21</f>
        <v>13.229376503628592</v>
      </c>
      <c r="G21" s="256">
        <f>E21*U7</f>
        <v>4386.5663963192519</v>
      </c>
    </row>
    <row r="22" spans="1:7">
      <c r="A22" s="97">
        <v>2</v>
      </c>
      <c r="B22" s="93">
        <f>C21</f>
        <v>10</v>
      </c>
      <c r="C22" s="1">
        <f t="shared" si="1"/>
        <v>100</v>
      </c>
      <c r="D22" s="9">
        <f>SUM($C$21:C22)</f>
        <v>110</v>
      </c>
      <c r="E22" s="9">
        <f t="shared" si="2"/>
        <v>-242.39586908637156</v>
      </c>
      <c r="F22" s="9">
        <f t="shared" si="3"/>
        <v>3.1305042714229527</v>
      </c>
      <c r="G22" s="257">
        <f t="shared" ref="G22:G30" si="4">E22*U8</f>
        <v>183935.14935529561</v>
      </c>
    </row>
    <row r="23" spans="1:7">
      <c r="A23" s="97">
        <v>3</v>
      </c>
      <c r="B23" s="93">
        <f t="shared" ref="B23:B30" si="5">C22</f>
        <v>100</v>
      </c>
      <c r="C23" s="1">
        <f t="shared" si="1"/>
        <v>1000</v>
      </c>
      <c r="D23" s="9">
        <f>SUM($C$21:C23)</f>
        <v>1110</v>
      </c>
      <c r="E23" s="9">
        <f t="shared" si="2"/>
        <v>-2592.145163960678</v>
      </c>
      <c r="F23" s="9">
        <f t="shared" si="3"/>
        <v>0.60689432590438952</v>
      </c>
      <c r="G23" s="257">
        <f t="shared" si="4"/>
        <v>4077854.3993519088</v>
      </c>
    </row>
    <row r="24" spans="1:7">
      <c r="A24" s="97">
        <v>4</v>
      </c>
      <c r="B24" s="93">
        <f t="shared" si="5"/>
        <v>1000</v>
      </c>
      <c r="C24" s="1">
        <f t="shared" si="1"/>
        <v>10000</v>
      </c>
      <c r="D24" s="9">
        <f>SUM($C$21:C24)</f>
        <v>11110</v>
      </c>
      <c r="E24" s="9">
        <f t="shared" si="2"/>
        <v>-26393.366117963429</v>
      </c>
      <c r="F24" s="9">
        <f t="shared" si="3"/>
        <v>0.10202421609411513</v>
      </c>
      <c r="G24" s="257">
        <f t="shared" si="4"/>
        <v>71071066.221633524</v>
      </c>
    </row>
    <row r="25" spans="1:7">
      <c r="A25" s="97">
        <v>5</v>
      </c>
      <c r="B25" s="93">
        <f t="shared" si="5"/>
        <v>10000</v>
      </c>
      <c r="C25" s="1">
        <f t="shared" si="1"/>
        <v>100000</v>
      </c>
      <c r="D25" s="9">
        <f>SUM($C$21:C25)</f>
        <v>111110</v>
      </c>
      <c r="E25" s="9">
        <f t="shared" si="2"/>
        <v>-265283.38440999389</v>
      </c>
      <c r="F25" s="9">
        <f t="shared" si="3"/>
        <v>1.5535274494507494E-2</v>
      </c>
      <c r="G25" s="257">
        <f t="shared" si="4"/>
        <v>1093299199.9000483</v>
      </c>
    </row>
    <row r="26" spans="1:7">
      <c r="A26" s="97">
        <v>6</v>
      </c>
      <c r="B26" s="93">
        <f t="shared" si="5"/>
        <v>100000</v>
      </c>
      <c r="C26" s="1">
        <f t="shared" si="1"/>
        <v>1000000</v>
      </c>
      <c r="D26" s="9">
        <f>SUM($C$21:C26)</f>
        <v>1111110</v>
      </c>
      <c r="E26" s="9">
        <f t="shared" si="2"/>
        <v>-2656734.1248368616</v>
      </c>
      <c r="F26" s="9">
        <f t="shared" si="3"/>
        <v>2.2057120154946276E-3</v>
      </c>
      <c r="G26" s="257">
        <f t="shared" si="4"/>
        <v>15568436416.756584</v>
      </c>
    </row>
    <row r="27" spans="1:7">
      <c r="A27" s="97">
        <v>7</v>
      </c>
      <c r="B27" s="93">
        <f t="shared" si="5"/>
        <v>1000000</v>
      </c>
      <c r="C27" s="1">
        <f t="shared" si="1"/>
        <v>10000000</v>
      </c>
      <c r="D27" s="9">
        <f>SUM($C$21:C27)</f>
        <v>11111110</v>
      </c>
      <c r="E27" s="9">
        <f t="shared" si="2"/>
        <v>-26578661.028062262</v>
      </c>
      <c r="F27" s="9">
        <f t="shared" si="3"/>
        <v>2.9758742823112876E-4</v>
      </c>
      <c r="G27" s="257">
        <f t="shared" si="4"/>
        <v>210223265065.86719</v>
      </c>
    </row>
    <row r="28" spans="1:7">
      <c r="A28" s="97">
        <v>8</v>
      </c>
      <c r="B28" s="93">
        <f t="shared" si="5"/>
        <v>10000000</v>
      </c>
      <c r="C28" s="1">
        <f t="shared" si="1"/>
        <v>100000000</v>
      </c>
      <c r="D28" s="9">
        <f>SUM($C$21:C28)</f>
        <v>111111110</v>
      </c>
      <c r="E28" s="9">
        <f t="shared" si="2"/>
        <v>-265819519.41425484</v>
      </c>
      <c r="F28" s="9">
        <f t="shared" si="3"/>
        <v>3.8634770014790926E-5</v>
      </c>
      <c r="G28" s="257">
        <f t="shared" si="4"/>
        <v>2729933502235.5371</v>
      </c>
    </row>
    <row r="29" spans="1:7">
      <c r="A29" s="97">
        <v>9</v>
      </c>
      <c r="B29" s="93">
        <f t="shared" si="5"/>
        <v>100000000</v>
      </c>
      <c r="C29" s="1">
        <f t="shared" si="1"/>
        <v>1000000000</v>
      </c>
      <c r="D29" s="9">
        <f>SUM($C$21:C29)</f>
        <v>1111111110</v>
      </c>
      <c r="E29" s="9">
        <f t="shared" si="2"/>
        <v>-2658290929.2035251</v>
      </c>
      <c r="F29" s="9">
        <f t="shared" si="3"/>
        <v>4.8682594617668687E-6</v>
      </c>
      <c r="G29" s="257">
        <f t="shared" si="4"/>
        <v>34401607403085.539</v>
      </c>
    </row>
    <row r="30" spans="1:7" ht="17" thickBot="1">
      <c r="A30" s="129">
        <v>10</v>
      </c>
      <c r="B30" s="94">
        <f t="shared" si="5"/>
        <v>1000000000</v>
      </c>
      <c r="C30" s="109">
        <f t="shared" si="1"/>
        <v>10000000000</v>
      </c>
      <c r="D30" s="10">
        <f>SUM($C$21:C30)</f>
        <v>11111111110</v>
      </c>
      <c r="E30" s="10">
        <f t="shared" si="2"/>
        <v>-26583187857.267574</v>
      </c>
      <c r="F30" s="10">
        <f t="shared" si="3"/>
        <v>5.9901079278265874E-7</v>
      </c>
      <c r="G30" s="258">
        <f t="shared" si="4"/>
        <v>423300487007431.25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10</v>
      </c>
      <c r="D33" s="57">
        <f>SUM($C$33:C33)</f>
        <v>10</v>
      </c>
      <c r="E33" s="9">
        <f t="shared" ref="E33:E42" si="7">D33/R7</f>
        <v>-18.209275447058754</v>
      </c>
      <c r="F33" s="8">
        <f t="shared" ref="F33:F42" si="8">U7/E33</f>
        <v>13.229376503628592</v>
      </c>
      <c r="G33" s="259">
        <f>E33*U7</f>
        <v>4386.5663963192519</v>
      </c>
    </row>
    <row r="34" spans="1:7">
      <c r="A34" s="97">
        <v>2</v>
      </c>
      <c r="B34" s="93">
        <f t="shared" ref="B34:B42" si="9">B33*($O$2+1)</f>
        <v>11</v>
      </c>
      <c r="C34" s="1">
        <f t="shared" si="6"/>
        <v>110</v>
      </c>
      <c r="D34" s="9">
        <f>SUM($C$33:C34)</f>
        <v>120</v>
      </c>
      <c r="E34" s="9">
        <f t="shared" si="7"/>
        <v>-264.43185718513263</v>
      </c>
      <c r="F34" s="9">
        <f t="shared" si="8"/>
        <v>2.8696289154710395</v>
      </c>
      <c r="G34" s="257">
        <f t="shared" ref="G34:G42" si="10">E34*U8</f>
        <v>200656.5265694134</v>
      </c>
    </row>
    <row r="35" spans="1:7">
      <c r="A35" s="97">
        <v>3</v>
      </c>
      <c r="B35" s="93">
        <f t="shared" si="9"/>
        <v>121</v>
      </c>
      <c r="C35" s="1">
        <f t="shared" si="6"/>
        <v>1210</v>
      </c>
      <c r="D35" s="9">
        <f>SUM($C$33:C35)</f>
        <v>1330</v>
      </c>
      <c r="E35" s="9">
        <f t="shared" si="7"/>
        <v>-3105.9036649258574</v>
      </c>
      <c r="F35" s="9">
        <f t="shared" si="8"/>
        <v>0.50650579079238522</v>
      </c>
      <c r="G35" s="257">
        <f t="shared" si="10"/>
        <v>4886077.7938180529</v>
      </c>
    </row>
    <row r="36" spans="1:7">
      <c r="A36" s="97">
        <v>4</v>
      </c>
      <c r="B36" s="93">
        <f t="shared" si="9"/>
        <v>1331</v>
      </c>
      <c r="C36" s="1">
        <f t="shared" si="6"/>
        <v>13310</v>
      </c>
      <c r="D36" s="9">
        <f>SUM($C$33:C36)</f>
        <v>14640</v>
      </c>
      <c r="E36" s="9">
        <f t="shared" si="7"/>
        <v>-34779.377134742084</v>
      </c>
      <c r="F36" s="9">
        <f t="shared" si="8"/>
        <v>7.7424114809127004E-2</v>
      </c>
      <c r="G36" s="257">
        <f t="shared" si="10"/>
        <v>93652602.113835707</v>
      </c>
    </row>
    <row r="37" spans="1:7">
      <c r="A37" s="97">
        <v>5</v>
      </c>
      <c r="B37" s="93">
        <f t="shared" si="9"/>
        <v>14641</v>
      </c>
      <c r="C37" s="1">
        <f t="shared" si="6"/>
        <v>146410</v>
      </c>
      <c r="D37" s="9">
        <f>SUM($C$33:C37)</f>
        <v>161050</v>
      </c>
      <c r="E37" s="9">
        <f t="shared" si="7"/>
        <v>-384518.84672153287</v>
      </c>
      <c r="F37" s="9">
        <f t="shared" si="8"/>
        <v>1.0717940695962295E-2</v>
      </c>
      <c r="G37" s="257">
        <f t="shared" si="10"/>
        <v>1584698372.2788479</v>
      </c>
    </row>
    <row r="38" spans="1:7">
      <c r="A38" s="97">
        <v>6</v>
      </c>
      <c r="B38" s="93">
        <f t="shared" si="9"/>
        <v>161051</v>
      </c>
      <c r="C38" s="1">
        <f t="shared" si="6"/>
        <v>1610510</v>
      </c>
      <c r="D38" s="9">
        <f>SUM($C$33:C38)</f>
        <v>1771560</v>
      </c>
      <c r="E38" s="9">
        <f t="shared" si="7"/>
        <v>-4235911.7514881426</v>
      </c>
      <c r="F38" s="9">
        <f t="shared" si="8"/>
        <v>1.38340709743742E-3</v>
      </c>
      <c r="G38" s="257">
        <f t="shared" si="10"/>
        <v>24822402119.024483</v>
      </c>
    </row>
    <row r="39" spans="1:7">
      <c r="A39" s="97">
        <v>7</v>
      </c>
      <c r="B39" s="93">
        <f t="shared" si="9"/>
        <v>1771561</v>
      </c>
      <c r="C39" s="1">
        <f t="shared" si="6"/>
        <v>17715610</v>
      </c>
      <c r="D39" s="9">
        <f>SUM($C$33:C39)</f>
        <v>19487170</v>
      </c>
      <c r="E39" s="9">
        <f t="shared" si="7"/>
        <v>-46614864.3858466</v>
      </c>
      <c r="F39" s="9">
        <f t="shared" si="8"/>
        <v>1.6967710805074196E-4</v>
      </c>
      <c r="G39" s="257">
        <f t="shared" si="10"/>
        <v>368699122256.33759</v>
      </c>
    </row>
    <row r="40" spans="1:7">
      <c r="A40" s="97">
        <v>8</v>
      </c>
      <c r="B40" s="93">
        <f t="shared" si="9"/>
        <v>19487171</v>
      </c>
      <c r="C40" s="1">
        <f t="shared" si="6"/>
        <v>194871710</v>
      </c>
      <c r="D40" s="9">
        <f>SUM($C$33:C40)</f>
        <v>214358880</v>
      </c>
      <c r="E40" s="9">
        <f t="shared" si="7"/>
        <v>-512826975.30227107</v>
      </c>
      <c r="F40" s="9">
        <f t="shared" si="8"/>
        <v>2.002600583161349E-5</v>
      </c>
      <c r="G40" s="257">
        <f t="shared" si="10"/>
        <v>5266669444789.8799</v>
      </c>
    </row>
    <row r="41" spans="1:7">
      <c r="A41" s="97">
        <v>9</v>
      </c>
      <c r="B41" s="93">
        <f t="shared" si="9"/>
        <v>214358881</v>
      </c>
      <c r="C41" s="1">
        <f t="shared" si="6"/>
        <v>2143588810</v>
      </c>
      <c r="D41" s="9">
        <f>SUM($C$33:C41)</f>
        <v>2357947690</v>
      </c>
      <c r="E41" s="9">
        <f t="shared" si="7"/>
        <v>-5641299865.9183655</v>
      </c>
      <c r="F41" s="9">
        <f t="shared" si="8"/>
        <v>2.2940191579618071E-6</v>
      </c>
      <c r="G41" s="257">
        <f t="shared" si="10"/>
        <v>73005471710558.688</v>
      </c>
    </row>
    <row r="42" spans="1:7" ht="17" thickBot="1">
      <c r="A42" s="129">
        <v>10</v>
      </c>
      <c r="B42" s="94">
        <f t="shared" si="9"/>
        <v>2357947691</v>
      </c>
      <c r="C42" s="109">
        <f t="shared" si="6"/>
        <v>23579476910</v>
      </c>
      <c r="D42" s="10">
        <f>SUM($C$33:C42)</f>
        <v>25937424600</v>
      </c>
      <c r="E42" s="9">
        <f t="shared" si="7"/>
        <v>-62054948767.001686</v>
      </c>
      <c r="F42" s="10">
        <f t="shared" si="8"/>
        <v>2.5660510159891925E-7</v>
      </c>
      <c r="G42" s="258">
        <f t="shared" si="10"/>
        <v>988139201939681.25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10</v>
      </c>
      <c r="D45" s="57">
        <f>SUM(C45:C45)</f>
        <v>10</v>
      </c>
      <c r="E45" s="57">
        <f t="shared" ref="E45:E54" si="12">D45/R7</f>
        <v>-18.209275447058754</v>
      </c>
      <c r="F45" s="8">
        <f t="shared" ref="F45:F54" si="13">U7/E45</f>
        <v>13.229376503628592</v>
      </c>
      <c r="G45" s="256">
        <f>E45*U7</f>
        <v>4386.5663963192519</v>
      </c>
    </row>
    <row r="46" spans="1:7">
      <c r="A46" s="97">
        <v>2</v>
      </c>
      <c r="B46" s="93">
        <f t="shared" ref="B46:B54" si="14">B45*$O$2*2</f>
        <v>20</v>
      </c>
      <c r="C46" s="1">
        <f t="shared" si="11"/>
        <v>200</v>
      </c>
      <c r="D46" s="9">
        <f>SUM($C$45:C46)</f>
        <v>210</v>
      </c>
      <c r="E46" s="9">
        <f t="shared" si="12"/>
        <v>-462.75575007398209</v>
      </c>
      <c r="F46" s="9">
        <f t="shared" si="13"/>
        <v>1.6397879516977369</v>
      </c>
      <c r="G46" s="257">
        <f t="shared" ref="G46:G54" si="15">E46*U8</f>
        <v>351148.92149647343</v>
      </c>
    </row>
    <row r="47" spans="1:7">
      <c r="A47" s="97">
        <v>3</v>
      </c>
      <c r="B47" s="93">
        <f t="shared" si="14"/>
        <v>400</v>
      </c>
      <c r="C47" s="1">
        <f t="shared" si="11"/>
        <v>4000</v>
      </c>
      <c r="D47" s="9">
        <f>SUM($C$45:C47)</f>
        <v>4210</v>
      </c>
      <c r="E47" s="9">
        <f t="shared" si="12"/>
        <v>-9831.469495742751</v>
      </c>
      <c r="F47" s="9">
        <f t="shared" si="13"/>
        <v>0.16001251823132362</v>
      </c>
      <c r="G47" s="257">
        <f t="shared" si="15"/>
        <v>15466456.775920302</v>
      </c>
    </row>
    <row r="48" spans="1:7">
      <c r="A48" s="97">
        <v>4</v>
      </c>
      <c r="B48" s="93">
        <f t="shared" si="14"/>
        <v>8000</v>
      </c>
      <c r="C48" s="1">
        <f t="shared" si="11"/>
        <v>80000</v>
      </c>
      <c r="D48" s="9">
        <f>SUM($C$45:C48)</f>
        <v>84210</v>
      </c>
      <c r="E48" s="9">
        <f t="shared" si="12"/>
        <v>-200052.68774020704</v>
      </c>
      <c r="F48" s="9">
        <f t="shared" si="13"/>
        <v>1.3460266486232267E-2</v>
      </c>
      <c r="G48" s="257">
        <f t="shared" si="15"/>
        <v>538694373.22446072</v>
      </c>
    </row>
    <row r="49" spans="1:7">
      <c r="A49" s="97">
        <v>5</v>
      </c>
      <c r="B49" s="93">
        <f t="shared" si="14"/>
        <v>160000</v>
      </c>
      <c r="C49" s="1">
        <f t="shared" si="11"/>
        <v>1600000</v>
      </c>
      <c r="D49" s="9">
        <f>SUM($C$45:C49)</f>
        <v>1684210</v>
      </c>
      <c r="E49" s="9">
        <f t="shared" si="12"/>
        <v>-4021176.5714801173</v>
      </c>
      <c r="F49" s="9">
        <f t="shared" si="13"/>
        <v>1.0248866525461359E-3</v>
      </c>
      <c r="G49" s="257">
        <f t="shared" si="15"/>
        <v>16572274731.920263</v>
      </c>
    </row>
    <row r="50" spans="1:7">
      <c r="A50" s="97">
        <v>6</v>
      </c>
      <c r="B50" s="93">
        <f t="shared" si="14"/>
        <v>3200000</v>
      </c>
      <c r="C50" s="1">
        <f t="shared" si="11"/>
        <v>32000000</v>
      </c>
      <c r="D50" s="9">
        <f>SUM($C$45:C50)</f>
        <v>33684210</v>
      </c>
      <c r="E50" s="9">
        <f t="shared" si="12"/>
        <v>-80541071.698725656</v>
      </c>
      <c r="F50" s="9">
        <f t="shared" si="13"/>
        <v>7.275779000119747E-5</v>
      </c>
      <c r="G50" s="257">
        <f t="shared" si="15"/>
        <v>471969905440.21411</v>
      </c>
    </row>
    <row r="51" spans="1:7">
      <c r="A51" s="97">
        <v>7</v>
      </c>
      <c r="B51" s="93">
        <f t="shared" si="14"/>
        <v>64000000</v>
      </c>
      <c r="C51" s="1">
        <f t="shared" si="11"/>
        <v>640000000</v>
      </c>
      <c r="D51" s="9">
        <f>SUM($C$45:C51)</f>
        <v>673684210</v>
      </c>
      <c r="E51" s="9">
        <f t="shared" si="12"/>
        <v>-1611506344.3299465</v>
      </c>
      <c r="F51" s="9">
        <f t="shared" si="13"/>
        <v>4.9081254994727824E-6</v>
      </c>
      <c r="G51" s="257">
        <f t="shared" si="15"/>
        <v>12746169757073.717</v>
      </c>
    </row>
    <row r="52" spans="1:7">
      <c r="A52" s="97">
        <v>8</v>
      </c>
      <c r="B52" s="93">
        <f t="shared" si="14"/>
        <v>1280000000</v>
      </c>
      <c r="C52" s="1">
        <f t="shared" si="11"/>
        <v>12800000000</v>
      </c>
      <c r="D52" s="9">
        <f>SUM($C$45:C52)</f>
        <v>13473684210</v>
      </c>
      <c r="E52" s="9">
        <f t="shared" si="12"/>
        <v>-32234114675.315853</v>
      </c>
      <c r="F52" s="9">
        <f t="shared" si="13"/>
        <v>3.1860270094144769E-7</v>
      </c>
      <c r="G52" s="257">
        <f t="shared" si="15"/>
        <v>331040360621192.25</v>
      </c>
    </row>
    <row r="53" spans="1:7">
      <c r="A53" s="97">
        <v>9</v>
      </c>
      <c r="B53" s="93">
        <f t="shared" si="14"/>
        <v>25600000000</v>
      </c>
      <c r="C53" s="1">
        <f t="shared" si="11"/>
        <v>256000000000</v>
      </c>
      <c r="D53" s="9">
        <f>SUM($C$45:C53)</f>
        <v>269473684210</v>
      </c>
      <c r="E53" s="9">
        <f t="shared" si="12"/>
        <v>-644705505999.75391</v>
      </c>
      <c r="F53" s="9">
        <f t="shared" si="13"/>
        <v>2.0073118420411074E-8</v>
      </c>
      <c r="G53" s="257">
        <f t="shared" si="15"/>
        <v>8343295109033220</v>
      </c>
    </row>
    <row r="54" spans="1:7" ht="17" thickBot="1">
      <c r="A54" s="129">
        <v>10</v>
      </c>
      <c r="B54" s="94">
        <f t="shared" si="14"/>
        <v>512000000000</v>
      </c>
      <c r="C54" s="109">
        <f t="shared" si="11"/>
        <v>5120000000000</v>
      </c>
      <c r="D54" s="10">
        <f>SUM($C$45:C54)</f>
        <v>5389473684210</v>
      </c>
      <c r="E54" s="10">
        <f t="shared" si="12"/>
        <v>-12894245227213.32</v>
      </c>
      <c r="F54" s="10">
        <f t="shared" si="13"/>
        <v>1.2349397853443477E-9</v>
      </c>
      <c r="G54" s="258">
        <f t="shared" si="15"/>
        <v>2.0532301519211677E+17</v>
      </c>
    </row>
  </sheetData>
  <mergeCells count="1">
    <mergeCell ref="A18:F18"/>
  </mergeCells>
  <conditionalFormatting sqref="F45:F54">
    <cfRule type="cellIs" dxfId="185" priority="33" operator="equal">
      <formula>MAX($F$45:$F$54)</formula>
    </cfRule>
  </conditionalFormatting>
  <conditionalFormatting sqref="F21:F30">
    <cfRule type="cellIs" dxfId="184" priority="32" operator="equal">
      <formula>MAX($F$21:$F$30)</formula>
    </cfRule>
  </conditionalFormatting>
  <conditionalFormatting sqref="E33:E42">
    <cfRule type="cellIs" dxfId="183" priority="30" stopIfTrue="1" operator="lessThan">
      <formula>0</formula>
    </cfRule>
    <cfRule type="cellIs" dxfId="182" priority="31" operator="equal">
      <formula>MIN($E$33:$E$42)</formula>
    </cfRule>
  </conditionalFormatting>
  <conditionalFormatting sqref="E21:E30">
    <cfRule type="cellIs" dxfId="181" priority="28" stopIfTrue="1" operator="lessThan">
      <formula>0</formula>
    </cfRule>
    <cfRule type="cellIs" dxfId="180" priority="29" operator="equal">
      <formula>MIN($E$21:$E$30)</formula>
    </cfRule>
  </conditionalFormatting>
  <conditionalFormatting sqref="E45:E54">
    <cfRule type="cellIs" dxfId="179" priority="26" stopIfTrue="1" operator="lessThan">
      <formula>0</formula>
    </cfRule>
    <cfRule type="cellIs" dxfId="178" priority="27" operator="equal">
      <formula>MIN($E$45:$E$54)</formula>
    </cfRule>
  </conditionalFormatting>
  <conditionalFormatting sqref="F33:F42">
    <cfRule type="cellIs" dxfId="177" priority="24" operator="lessThanOrEqual">
      <formula>0</formula>
    </cfRule>
    <cfRule type="cellIs" dxfId="176" priority="25" operator="equal">
      <formula>MAX($F$33:$F$42)</formula>
    </cfRule>
  </conditionalFormatting>
  <conditionalFormatting sqref="R7:R16">
    <cfRule type="cellIs" dxfId="175" priority="22" operator="lessThanOrEqual">
      <formula>0</formula>
    </cfRule>
    <cfRule type="cellIs" dxfId="174" priority="23" operator="greaterThan">
      <formula>0</formula>
    </cfRule>
  </conditionalFormatting>
  <conditionalFormatting sqref="U7:U16">
    <cfRule type="cellIs" dxfId="173" priority="7" operator="lessThanOrEqual">
      <formula>0</formula>
    </cfRule>
    <cfRule type="cellIs" dxfId="172" priority="8" operator="greaterThan">
      <formula>0</formula>
    </cfRule>
  </conditionalFormatting>
  <conditionalFormatting sqref="S7:T16">
    <cfRule type="cellIs" dxfId="171" priority="1" operator="lessThanOrEqual">
      <formula>0</formula>
    </cfRule>
    <cfRule type="cellIs" dxfId="17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DA1D-27D7-3943-9C9D-0867B9CE4F42}">
  <sheetPr>
    <pageSetUpPr fitToPage="1"/>
  </sheetPr>
  <dimension ref="A1:W54"/>
  <sheetViews>
    <sheetView zoomScale="90" zoomScaleNormal="90" workbookViewId="0">
      <selection activeCell="O18" sqref="O18:V55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0.99999999999999845</v>
      </c>
    </row>
    <row r="2" spans="1:23">
      <c r="A2" t="s">
        <v>39</v>
      </c>
      <c r="B2" s="133" t="s">
        <v>124</v>
      </c>
      <c r="C2" s="139">
        <f>Analysis!B59</f>
        <v>0.23679277979033095</v>
      </c>
      <c r="D2" s="133" t="s">
        <v>125</v>
      </c>
      <c r="E2" s="139">
        <f>Analysis!L59</f>
        <v>0.76320722020966747</v>
      </c>
      <c r="F2" s="133" t="s">
        <v>46</v>
      </c>
      <c r="G2" s="139">
        <f>Analysis!S59</f>
        <v>535.21567979016129</v>
      </c>
      <c r="H2" t="s">
        <v>153</v>
      </c>
      <c r="I2" s="153">
        <f>Analysis!T59</f>
        <v>-535.92277859178466</v>
      </c>
      <c r="J2" t="s">
        <v>47</v>
      </c>
      <c r="K2" s="153">
        <f>G2*C2+I2*E2</f>
        <v>-282.28492549119312</v>
      </c>
      <c r="L2" t="s">
        <v>46</v>
      </c>
      <c r="M2" s="160">
        <v>3</v>
      </c>
      <c r="N2" t="s">
        <v>153</v>
      </c>
      <c r="O2" s="160">
        <v>10</v>
      </c>
    </row>
    <row r="4" spans="1:23">
      <c r="A4" t="s">
        <v>122</v>
      </c>
      <c r="B4">
        <f>$C$2</f>
        <v>0.23679277979033095</v>
      </c>
      <c r="C4" t="s">
        <v>123</v>
      </c>
      <c r="D4">
        <f>$E$2</f>
        <v>0.76320722020966747</v>
      </c>
      <c r="E4" t="s">
        <v>46</v>
      </c>
      <c r="F4">
        <f>G2</f>
        <v>535.21567979016129</v>
      </c>
      <c r="G4" t="s">
        <v>153</v>
      </c>
      <c r="H4">
        <f>I2</f>
        <v>-535.92277859178466</v>
      </c>
      <c r="I4" t="s">
        <v>47</v>
      </c>
      <c r="J4">
        <f>B4*F4+D4*H4</f>
        <v>-282.28492549119312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0.23679277979033095</v>
      </c>
      <c r="C7" s="95">
        <v>1</v>
      </c>
      <c r="D7" s="22">
        <f>C7*D4</f>
        <v>0.76320722020966747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0.99999999999999845</v>
      </c>
      <c r="R7" s="265">
        <f>B7-D7</f>
        <v>-0.52641444041933649</v>
      </c>
      <c r="S7" s="266">
        <f>IF(Rules!B20=Rules!D20,SUM(C7)*B4*F4,SUM(C7)*B4*F4*POWER(O2,A7-1))</f>
        <v>126.73520860488395</v>
      </c>
      <c r="T7" s="252">
        <f>IF(Rules!B20=Rules!D20,SUM(C7)*D4*H4,SUM(C7)*D4*H4*POWER(O2,A7-1))</f>
        <v>-409.02013409607707</v>
      </c>
      <c r="U7" s="263">
        <f>S7+T7</f>
        <v>-282.28492549119312</v>
      </c>
      <c r="V7" s="282">
        <f>S7/B4</f>
        <v>535.21567979016129</v>
      </c>
      <c r="W7" s="57">
        <f>T7/D4</f>
        <v>-535.92277859178466</v>
      </c>
    </row>
    <row r="8" spans="1:23">
      <c r="A8" s="98">
        <v>2</v>
      </c>
      <c r="B8" s="97">
        <f>C8*B4</f>
        <v>0.2890261523031129</v>
      </c>
      <c r="C8" s="97">
        <f>1/(1-B4*D4)</f>
        <v>1.2205868462671547</v>
      </c>
      <c r="D8" s="128">
        <f>C8*D4</f>
        <v>0.93156069396403995</v>
      </c>
      <c r="E8" s="1">
        <f>D8*D4</f>
        <v>0.71097384769688365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0.99999999999999656</v>
      </c>
      <c r="R8" s="267">
        <f>B8-E8</f>
        <v>-0.42194769539377075</v>
      </c>
      <c r="S8" s="268">
        <f>IF(Rules!B20=Rules!D20,SUM(C8:D8)*B4*F4,SUM(C8:D8)*B4*F4*POWER(O2,A8-1))</f>
        <v>272.75286745968828</v>
      </c>
      <c r="T8" s="253">
        <f>IF(Rules!B20=Rules!D20,SUM(C8:D8)*D4*H4,SUM(C8:D8)*D4*H4*POWER(O2,A8-1))</f>
        <v>-880.27167549990565</v>
      </c>
      <c r="U8" s="264">
        <f>S8+T8+U7</f>
        <v>-889.80373353141056</v>
      </c>
      <c r="V8" s="93">
        <f>S8/B4</f>
        <v>1151.8631087535621</v>
      </c>
      <c r="W8" s="9">
        <f>T8/D4</f>
        <v>-1153.3848897001765</v>
      </c>
    </row>
    <row r="9" spans="1:23">
      <c r="A9" s="98">
        <v>3</v>
      </c>
      <c r="B9" s="97">
        <f>C9*B4</f>
        <v>0.30380906282663916</v>
      </c>
      <c r="C9" s="97">
        <f>1/(1-D4*B4/(1-D4*B4))</f>
        <v>1.2830165813993486</v>
      </c>
      <c r="D9" s="128">
        <f>C9*D4*C8</f>
        <v>1.1952078169357472</v>
      </c>
      <c r="E9" s="1">
        <f>D9*(D4)</f>
        <v>0.91219123553639669</v>
      </c>
      <c r="F9" s="1">
        <f>E9*D4</f>
        <v>0.69619093717335534</v>
      </c>
      <c r="G9" s="1"/>
      <c r="H9" s="1"/>
      <c r="I9" s="1"/>
      <c r="J9" s="1"/>
      <c r="K9" s="1"/>
      <c r="L9" s="1"/>
      <c r="M9" s="235"/>
      <c r="N9" s="97">
        <f>B9+F9</f>
        <v>0.99999999999999445</v>
      </c>
      <c r="R9" s="267">
        <f>B9-F9</f>
        <v>-0.39238187434671618</v>
      </c>
      <c r="S9" s="268">
        <f>IF(Rules!B20=Rules!D20,SUM(C9:E9)*B4*F4,SUM(C9:E9)*B4*F4*POWER(O2,A9-1))</f>
        <v>429.68503261596334</v>
      </c>
      <c r="T9" s="253">
        <f>IF(Rules!B20=Rules!D20,SUM(C9:E9)*D4*H4,SUM(C9:E9)*D4*H4*POWER(O2,A9-1))</f>
        <v>-1386.7482572075537</v>
      </c>
      <c r="U9" s="264">
        <f t="shared" ref="U9:U16" si="0">S9+T9+U8</f>
        <v>-1846.866958123001</v>
      </c>
      <c r="V9" s="93">
        <f>S9/B4</f>
        <v>1814.6036082537209</v>
      </c>
      <c r="W9" s="9">
        <f>T9/D4</f>
        <v>-1817.0009670854367</v>
      </c>
    </row>
    <row r="10" spans="1:23">
      <c r="A10" s="98">
        <v>4</v>
      </c>
      <c r="B10" s="97">
        <f>C10*B4</f>
        <v>0.30827145775987735</v>
      </c>
      <c r="C10" s="97">
        <f>1/(1-D4*B4/(1-D4*B4/(1-D4*B4)))</f>
        <v>1.3018617291998407</v>
      </c>
      <c r="D10" s="128">
        <f>C10*D4*C9</f>
        <v>1.27479279337455</v>
      </c>
      <c r="E10" s="1">
        <f>D10*D4*C8</f>
        <v>1.1875468592563527</v>
      </c>
      <c r="F10" s="1">
        <f>E10*D4</f>
        <v>0.90634433732176223</v>
      </c>
      <c r="G10" s="1">
        <f>F10*D4</f>
        <v>0.69172854224011537</v>
      </c>
      <c r="H10" s="1"/>
      <c r="I10" s="1"/>
      <c r="J10" s="1"/>
      <c r="K10" s="1"/>
      <c r="L10" s="1"/>
      <c r="M10" s="235"/>
      <c r="N10" s="97">
        <f>B10+G10</f>
        <v>0.99999999999999267</v>
      </c>
      <c r="R10" s="267">
        <f>B10-G10</f>
        <v>-0.38345708448023802</v>
      </c>
      <c r="S10" s="268">
        <f>IF(Rules!B20=Rules!D20,SUM(C10:F10)*B4*F4,SUM(C10:F10)*B4*F4*POWER(O2,A10-1))</f>
        <v>591.9225860154404</v>
      </c>
      <c r="T10" s="253">
        <f>IF(Rules!B20=Rules!D20,SUM(C10:F10)*D4*H4,SUM(C10:F10)*D4*H4*POWER(O2,A10-1))</f>
        <v>-1910.3472363496164</v>
      </c>
      <c r="U10" s="264">
        <f t="shared" si="0"/>
        <v>-3165.2916084571771</v>
      </c>
      <c r="V10" s="93">
        <f>S10/B4</f>
        <v>2499.7493020672355</v>
      </c>
      <c r="W10" s="9">
        <f>T10/D4</f>
        <v>-2503.0518393481757</v>
      </c>
    </row>
    <row r="11" spans="1:23">
      <c r="A11" s="98">
        <v>5</v>
      </c>
      <c r="B11" s="97">
        <f>C11*B4</f>
        <v>0.30964435649028688</v>
      </c>
      <c r="C11" s="97">
        <f>1/(1-D4*B4/(1-D4*B4/(1-D4*B4/(1-D4*B4))))</f>
        <v>1.3076596202150363</v>
      </c>
      <c r="D11" s="128">
        <f>C11*D4*C10</f>
        <v>1.2992778770005347</v>
      </c>
      <c r="E11" s="1">
        <f>D11*D4*C9</f>
        <v>1.272262665874109</v>
      </c>
      <c r="F11" s="1">
        <f>E11*D4*C8</f>
        <v>1.1851898919262245</v>
      </c>
      <c r="G11" s="1">
        <f>F11*D4</f>
        <v>0.90454548283761005</v>
      </c>
      <c r="H11" s="1">
        <f>G11*D4</f>
        <v>0.6903556435097038</v>
      </c>
      <c r="I11" s="1"/>
      <c r="J11" s="1"/>
      <c r="K11" s="1"/>
      <c r="L11" s="1"/>
      <c r="M11" s="235"/>
      <c r="N11" s="97">
        <f>B11+H11</f>
        <v>0.99999999999999067</v>
      </c>
      <c r="R11" s="267">
        <f>B11-H11</f>
        <v>-0.38071128701941692</v>
      </c>
      <c r="S11" s="268">
        <f>IF(Rules!B20=Rules!D20,SUM(C11:G11)*B4*F4,SUM(C11:G11)*B4*F4*POWER(O2,A11-1))</f>
        <v>756.47429053897031</v>
      </c>
      <c r="T11" s="253">
        <f>IF(Rules!B20=Rules!D20,SUM(C11:G11)*D4*H4,SUM(C11:G11)*D4*H4*POWER(O2,A11-1))</f>
        <v>-2441.4148141036844</v>
      </c>
      <c r="U11" s="264">
        <f t="shared" si="0"/>
        <v>-4850.2321320218907</v>
      </c>
      <c r="V11" s="93">
        <f>S11/B4</f>
        <v>3194.6678915159209</v>
      </c>
      <c r="W11" s="9">
        <f>T11/D4</f>
        <v>-3198.8885186817042</v>
      </c>
    </row>
    <row r="12" spans="1:23">
      <c r="A12" s="98">
        <v>6</v>
      </c>
      <c r="B12" s="97">
        <f>C12*B4</f>
        <v>0.3100692052189048</v>
      </c>
      <c r="C12" s="97">
        <f>1/(1-D4*B4/(1-D4*B4/(1-D4*B4/(1-D4*B4/(1-D4*B4)))))</f>
        <v>1.309453799619468</v>
      </c>
      <c r="D12" s="128">
        <f>C12*D4*C11</f>
        <v>1.3068548791625958</v>
      </c>
      <c r="E12" s="1">
        <f>D12*D4*C10</f>
        <v>1.2984782941198014</v>
      </c>
      <c r="F12" s="1">
        <f>E12*D4*C9</f>
        <v>1.2714797083055729</v>
      </c>
      <c r="G12" s="1">
        <f>F12*D4*C8</f>
        <v>1.1844605194303344</v>
      </c>
      <c r="H12" s="1">
        <f>G12*D4</f>
        <v>0.90398882048252427</v>
      </c>
      <c r="I12" s="1">
        <f>H12*D4</f>
        <v>0.68993079478108343</v>
      </c>
      <c r="J12" s="1"/>
      <c r="K12" s="1"/>
      <c r="L12" s="1"/>
      <c r="M12" s="235"/>
      <c r="N12" s="97">
        <f>B12+I12</f>
        <v>0.99999999999998823</v>
      </c>
      <c r="R12" s="267">
        <f>B12-I12</f>
        <v>-0.37986158956217864</v>
      </c>
      <c r="S12" s="268">
        <f>IF(Rules!B20=Rules!D20,SUM(C12:H12)*B4*F4,SUM(C12:H12)*B4*F4*POWER(O2,A12-1))</f>
        <v>921.96265247797203</v>
      </c>
      <c r="T12" s="253">
        <f>IF(Rules!B20=Rules!D20,SUM(C12:H12)*D4*H4,SUM(C12:H12)*D4*H4*POWER(O2,A12-1))</f>
        <v>-2975.5053224695034</v>
      </c>
      <c r="U12" s="264">
        <f t="shared" si="0"/>
        <v>-6903.7748020134222</v>
      </c>
      <c r="V12" s="93">
        <f>S12/B4</f>
        <v>3893.5420805242766</v>
      </c>
      <c r="W12" s="9">
        <f>T12/D4</f>
        <v>-3898.6860235049608</v>
      </c>
    </row>
    <row r="13" spans="1:23">
      <c r="A13" s="98">
        <v>7</v>
      </c>
      <c r="B13" s="97">
        <f>C13*B4</f>
        <v>0.31020091257887189</v>
      </c>
      <c r="C13" s="97">
        <f>1/(1-D4*B4/(1-D4*B4/(1-D4*B4/(1-D4*B4/(1-D4*B4/(1-D4*B4))))))</f>
        <v>1.3100100132003198</v>
      </c>
      <c r="D13" s="128">
        <f>C13*D4*C12</f>
        <v>1.3092038257028753</v>
      </c>
      <c r="E13" s="1">
        <f>D13*D4*C11</f>
        <v>1.3066054013783033</v>
      </c>
      <c r="F13" s="1">
        <f>E13*D4*C10</f>
        <v>1.2982304154203879</v>
      </c>
      <c r="G13" s="1">
        <f>F13*D4*C9</f>
        <v>1.2712369836194131</v>
      </c>
      <c r="H13" s="1">
        <f>G13*D4*C8</f>
        <v>1.1842344066532533</v>
      </c>
      <c r="I13" s="1">
        <f>H13*D4</f>
        <v>0.9038162495784744</v>
      </c>
      <c r="J13" s="1">
        <f>I13*D4</f>
        <v>0.68979908742111451</v>
      </c>
      <c r="K13" s="1"/>
      <c r="L13" s="1"/>
      <c r="M13" s="235"/>
      <c r="N13" s="97">
        <f>B13+J13</f>
        <v>0.99999999999998646</v>
      </c>
      <c r="R13" s="267">
        <f>B13-J13</f>
        <v>-0.37959817484224262</v>
      </c>
      <c r="S13" s="268">
        <f>IF(Rules!B20=Rules!D20,SUM(C13:I13)*B4*F4,SUM(C13:I13)*B4*F4*POWER(O2,A13-1))</f>
        <v>1087.8110426779933</v>
      </c>
      <c r="T13" s="253">
        <f>IF(Rules!B20=Rules!D20,SUM(C13:I13)*D4*H4,SUM(C13:I13)*D4*H4*POWER(O2,A13-1))</f>
        <v>-3510.7577716189585</v>
      </c>
      <c r="U13" s="264">
        <f t="shared" si="0"/>
        <v>-9326.7215309543863</v>
      </c>
      <c r="V13" s="93">
        <f>S13/B4</f>
        <v>4593.9367055076582</v>
      </c>
      <c r="W13" s="9">
        <f>T13/D4</f>
        <v>-4600.0059730232724</v>
      </c>
    </row>
    <row r="14" spans="1:23">
      <c r="A14" s="98">
        <v>8</v>
      </c>
      <c r="B14" s="97">
        <f>C14*B4</f>
        <v>0.31024176590244718</v>
      </c>
      <c r="C14" s="97">
        <f>1/(1-D4*B4/(1-D4*B4/(1-D4*B4/(1-D4*B4/(1-D4*B4/(1-D4*B4/(1-D4*B4)))))))</f>
        <v>1.3101825409421348</v>
      </c>
      <c r="D14" s="128">
        <f>C14*D4*C13</f>
        <v>1.3099324279092766</v>
      </c>
      <c r="E14" s="1">
        <f>D14*D4*C12</f>
        <v>1.3091262881582546</v>
      </c>
      <c r="F14" s="1">
        <f>E14*D4*C11</f>
        <v>1.3065280177252601</v>
      </c>
      <c r="G14" s="1">
        <f>F14*D4*C10</f>
        <v>1.2981535277755556</v>
      </c>
      <c r="H14" s="1">
        <f>G14*D4*C9</f>
        <v>1.2711616946595081</v>
      </c>
      <c r="I14" s="1">
        <f>H14*D4*C8</f>
        <v>1.1841642704175164</v>
      </c>
      <c r="J14" s="1">
        <f>I14*D4</f>
        <v>0.90376272109696165</v>
      </c>
      <c r="K14" s="1">
        <f>J14*D4</f>
        <v>0.68975823409753712</v>
      </c>
      <c r="L14" s="1"/>
      <c r="M14" s="235"/>
      <c r="N14" s="97">
        <f>B14+K14</f>
        <v>0.99999999999998423</v>
      </c>
      <c r="R14" s="267">
        <f>B14-K14</f>
        <v>-0.37951646819508994</v>
      </c>
      <c r="S14" s="268">
        <f>IF(Rules!B20=Rules!D20,SUM(C14:J14)*B4*F4,SUM(C14:J14)*B4*F4*POWER(O2,A14-1))</f>
        <v>1253.7928747489395</v>
      </c>
      <c r="T14" s="253">
        <f>IF(Rules!B20=Rules!D20,SUM(C14:J14)*D4*H4,SUM(C14:J14)*D4*H4*POWER(O2,A14-1))</f>
        <v>-4046.4408857157523</v>
      </c>
      <c r="U14" s="264">
        <f t="shared" si="0"/>
        <v>-12119.369541921198</v>
      </c>
      <c r="V14" s="93">
        <f>S14/B4</f>
        <v>5294.8948690881334</v>
      </c>
      <c r="W14" s="9">
        <f>T14/D4</f>
        <v>-5301.8902056562283</v>
      </c>
    </row>
    <row r="15" spans="1:23">
      <c r="A15" s="98">
        <v>9</v>
      </c>
      <c r="B15" s="97">
        <f>C15*B4</f>
        <v>0.31025444007680641</v>
      </c>
      <c r="C15" s="97">
        <f>1/(1-D4*B4/(1-D4*B4/(1-D4*B4/(1-D4*B4/(1-D4*B4/(1-D4*B4/(1-D4*B4/(1-D4*B4))))))))</f>
        <v>1.3102360652699054</v>
      </c>
      <c r="D15" s="128">
        <f>C15*D4*C14</f>
        <v>1.3101584665909374</v>
      </c>
      <c r="E15" s="1">
        <f>D15*D4*C13</f>
        <v>1.3099083581538578</v>
      </c>
      <c r="F15" s="1">
        <f>E15*D4*C12</f>
        <v>1.309102233215498</v>
      </c>
      <c r="G15" s="1">
        <f>F15*D4*C11</f>
        <v>1.306504010525221</v>
      </c>
      <c r="H15" s="1">
        <f>G15*D4*C10</f>
        <v>1.2981296744551523</v>
      </c>
      <c r="I15" s="1">
        <f>H15*D4*C9</f>
        <v>1.2711383373088261</v>
      </c>
      <c r="J15" s="1">
        <f>I15*D4*C8</f>
        <v>1.1841425116277058</v>
      </c>
      <c r="K15" s="1">
        <f>J15*D4</f>
        <v>0.90374611463147514</v>
      </c>
      <c r="L15" s="1">
        <f>K15*D4</f>
        <v>0.68974555992317566</v>
      </c>
      <c r="M15" s="235"/>
      <c r="N15" s="97">
        <f>B15+L15</f>
        <v>0.99999999999998201</v>
      </c>
      <c r="R15" s="267">
        <f>B15-L15</f>
        <v>-0.37949111984636924</v>
      </c>
      <c r="S15" s="268">
        <f>IF(Rules!B20=Rules!D20,SUM(C15:K15)*B4*F4,SUM(C15:K15)*B4*F4*POWER(O2,A15-1))</f>
        <v>1419.8228776005933</v>
      </c>
      <c r="T15" s="253">
        <f>IF(Rules!B20=Rules!D20,SUM(C15:K15)*D4*H4,SUM(C15:K15)*D4*H4*POWER(O2,A15-1))</f>
        <v>-4582.2794642600456</v>
      </c>
      <c r="U15" s="264">
        <f t="shared" si="0"/>
        <v>-15281.826128580651</v>
      </c>
      <c r="V15" s="93">
        <f>S15/B4</f>
        <v>5996.0564627763597</v>
      </c>
      <c r="W15" s="9">
        <f>T15/D4</f>
        <v>-6003.978137158093</v>
      </c>
    </row>
    <row r="16" spans="1:23" ht="17" thickBot="1">
      <c r="A16" s="99">
        <v>10</v>
      </c>
      <c r="B16" s="129">
        <f>C16*B4</f>
        <v>0.31025837227325836</v>
      </c>
      <c r="C16" s="129">
        <f>1/(1-D4*B4/(1-D4*B4/(1-D4*B4/(1-D4*B4/(1-D4*B4/(1-D4*B4/(1-D4*B4/(1-D4*B4/(1-D4*B4)))))))))</f>
        <v>1.3102526713355778</v>
      </c>
      <c r="D16" s="137">
        <f>C16*D4*C15</f>
        <v>1.3102285956957478</v>
      </c>
      <c r="E16" s="109">
        <f>D16*D4*C14</f>
        <v>1.3101509974591647</v>
      </c>
      <c r="F16" s="109">
        <f>E16*D4*C13</f>
        <v>1.3099008904479377</v>
      </c>
      <c r="G16" s="109">
        <f>F16*D4*C12</f>
        <v>1.3090947701052458</v>
      </c>
      <c r="H16" s="109">
        <f>G16*D4*C11</f>
        <v>1.3064965622272744</v>
      </c>
      <c r="I16" s="109">
        <f>H16*D4*C10</f>
        <v>1.2981222738987739</v>
      </c>
      <c r="J16" s="109">
        <f>I16*D4*C9</f>
        <v>1.2711310906283788</v>
      </c>
      <c r="K16" s="109">
        <f>J16*D4*C8</f>
        <v>1.1841357609050394</v>
      </c>
      <c r="L16" s="109">
        <f>K16*D4</f>
        <v>0.90374096243119451</v>
      </c>
      <c r="M16" s="237">
        <f>L16*D4</f>
        <v>0.68974162772672143</v>
      </c>
      <c r="N16" s="129">
        <f>B16+M16</f>
        <v>0.99999999999997979</v>
      </c>
      <c r="R16" s="269">
        <f>B16-M16</f>
        <v>-0.37948325545346306</v>
      </c>
      <c r="S16" s="270">
        <f>IF(Rules!B20=Rules!D20,SUM(C16:L16)*B4*F4,SUM(C16:L16)*B4*F4*POWER(O2,A16-1))</f>
        <v>1585.8699289056685</v>
      </c>
      <c r="T16" s="254">
        <f>IF(Rules!B20=Rules!D20,SUM(C16:L16)*D4*H4,SUM(C16:L16)*D4*H4*POWER(O2,A16-1))</f>
        <v>-5118.1730642997964</v>
      </c>
      <c r="U16" s="264">
        <f t="shared" si="0"/>
        <v>-18814.129263974777</v>
      </c>
      <c r="V16" s="94">
        <f>S16/B4</f>
        <v>6697.2900538178701</v>
      </c>
      <c r="W16" s="10">
        <f>T16/D4</f>
        <v>-6706.1381611323559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10</v>
      </c>
      <c r="D21" s="57">
        <f>SUM($C$21:C21)</f>
        <v>10</v>
      </c>
      <c r="E21" s="57">
        <f t="shared" ref="E21:E30" si="2">D21/R7</f>
        <v>-18.996439368255363</v>
      </c>
      <c r="F21" s="8">
        <f t="shared" ref="F21:F30" si="3">U7/E21</f>
        <v>14.859886109126052</v>
      </c>
      <c r="G21" s="256">
        <f>E21*U7</f>
        <v>5362.4084716659327</v>
      </c>
    </row>
    <row r="22" spans="1:7">
      <c r="A22" s="97">
        <v>2</v>
      </c>
      <c r="B22" s="93">
        <f>C21</f>
        <v>10</v>
      </c>
      <c r="C22" s="1">
        <f t="shared" si="1"/>
        <v>100</v>
      </c>
      <c r="D22" s="9">
        <f>SUM($C$21:C22)</f>
        <v>110</v>
      </c>
      <c r="E22" s="9">
        <f t="shared" si="2"/>
        <v>-260.69581893875642</v>
      </c>
      <c r="F22" s="9">
        <f t="shared" si="3"/>
        <v>3.4131875883304685</v>
      </c>
      <c r="G22" s="257">
        <f t="shared" ref="G22:G30" si="4">E22*U8</f>
        <v>231968.11300773406</v>
      </c>
    </row>
    <row r="23" spans="1:7">
      <c r="A23" s="97">
        <v>3</v>
      </c>
      <c r="B23" s="93">
        <f t="shared" ref="B23:B30" si="5">C22</f>
        <v>100</v>
      </c>
      <c r="C23" s="1">
        <f t="shared" si="1"/>
        <v>1000</v>
      </c>
      <c r="D23" s="9">
        <f>SUM($C$21:C23)</f>
        <v>1110</v>
      </c>
      <c r="E23" s="9">
        <f t="shared" si="2"/>
        <v>-2828.8768482184846</v>
      </c>
      <c r="F23" s="9">
        <f t="shared" si="3"/>
        <v>0.65286226909668588</v>
      </c>
      <c r="G23" s="257">
        <f t="shared" si="4"/>
        <v>5224559.1795738554</v>
      </c>
    </row>
    <row r="24" spans="1:7">
      <c r="A24" s="97">
        <v>4</v>
      </c>
      <c r="B24" s="93">
        <f t="shared" si="5"/>
        <v>1000</v>
      </c>
      <c r="C24" s="1">
        <f t="shared" si="1"/>
        <v>10000</v>
      </c>
      <c r="D24" s="9">
        <f>SUM($C$21:C24)</f>
        <v>11110</v>
      </c>
      <c r="E24" s="9">
        <f t="shared" si="2"/>
        <v>-28973.25528633588</v>
      </c>
      <c r="F24" s="9">
        <f t="shared" si="3"/>
        <v>0.10924873912770047</v>
      </c>
      <c r="G24" s="257">
        <f t="shared" si="4"/>
        <v>91708801.82752651</v>
      </c>
    </row>
    <row r="25" spans="1:7">
      <c r="A25" s="97">
        <v>5</v>
      </c>
      <c r="B25" s="93">
        <f t="shared" si="5"/>
        <v>10000</v>
      </c>
      <c r="C25" s="1">
        <f t="shared" si="1"/>
        <v>100000</v>
      </c>
      <c r="D25" s="9">
        <f>SUM($C$21:C25)</f>
        <v>111110</v>
      </c>
      <c r="E25" s="9">
        <f t="shared" si="2"/>
        <v>-291848.45258956874</v>
      </c>
      <c r="F25" s="9">
        <f t="shared" si="3"/>
        <v>1.6619009246017322E-2</v>
      </c>
      <c r="G25" s="257">
        <f t="shared" si="4"/>
        <v>1415532742.4307938</v>
      </c>
    </row>
    <row r="26" spans="1:7">
      <c r="A26" s="97">
        <v>6</v>
      </c>
      <c r="B26" s="93">
        <f t="shared" si="5"/>
        <v>100000</v>
      </c>
      <c r="C26" s="1">
        <f t="shared" si="1"/>
        <v>1000000</v>
      </c>
      <c r="D26" s="9">
        <f>SUM($C$21:C26)</f>
        <v>1111110</v>
      </c>
      <c r="E26" s="9">
        <f t="shared" si="2"/>
        <v>-2925039.094583489</v>
      </c>
      <c r="F26" s="9">
        <f t="shared" si="3"/>
        <v>2.3602333434782638E-3</v>
      </c>
      <c r="G26" s="257">
        <f t="shared" si="4"/>
        <v>20193811196.089645</v>
      </c>
    </row>
    <row r="27" spans="1:7">
      <c r="A27" s="97">
        <v>7</v>
      </c>
      <c r="B27" s="93">
        <f t="shared" si="5"/>
        <v>1000000</v>
      </c>
      <c r="C27" s="1">
        <f t="shared" si="1"/>
        <v>10000000</v>
      </c>
      <c r="D27" s="9">
        <f>SUM($C$21:C27)</f>
        <v>11111110</v>
      </c>
      <c r="E27" s="9">
        <f t="shared" si="2"/>
        <v>-29270715.025481015</v>
      </c>
      <c r="F27" s="9">
        <f t="shared" si="3"/>
        <v>3.1863661420075326E-4</v>
      </c>
      <c r="G27" s="257">
        <f t="shared" si="4"/>
        <v>272999808054.58386</v>
      </c>
    </row>
    <row r="28" spans="1:7">
      <c r="A28" s="97">
        <v>8</v>
      </c>
      <c r="B28" s="93">
        <f t="shared" si="5"/>
        <v>10000000</v>
      </c>
      <c r="C28" s="1">
        <f t="shared" si="1"/>
        <v>100000000</v>
      </c>
      <c r="D28" s="9">
        <f>SUM($C$21:C28)</f>
        <v>111111110</v>
      </c>
      <c r="E28" s="9">
        <f t="shared" si="2"/>
        <v>-292770193.94816744</v>
      </c>
      <c r="F28" s="9">
        <f t="shared" si="3"/>
        <v>4.1395503341664734E-5</v>
      </c>
      <c r="G28" s="257">
        <f t="shared" si="4"/>
        <v>3548190171317.7822</v>
      </c>
    </row>
    <row r="29" spans="1:7">
      <c r="A29" s="97">
        <v>9</v>
      </c>
      <c r="B29" s="93">
        <f t="shared" si="5"/>
        <v>100000000</v>
      </c>
      <c r="C29" s="1">
        <f t="shared" si="1"/>
        <v>1000000000</v>
      </c>
      <c r="D29" s="9">
        <f>SUM($C$21:C29)</f>
        <v>1111111110</v>
      </c>
      <c r="E29" s="9">
        <f t="shared" si="2"/>
        <v>-2927897523.530498</v>
      </c>
      <c r="F29" s="9">
        <f t="shared" si="3"/>
        <v>5.2193855849687047E-6</v>
      </c>
      <c r="G29" s="257">
        <f t="shared" si="4"/>
        <v>44743620876894.945</v>
      </c>
    </row>
    <row r="30" spans="1:7" ht="17" thickBot="1">
      <c r="A30" s="129">
        <v>10</v>
      </c>
      <c r="B30" s="94">
        <f t="shared" si="5"/>
        <v>1000000000</v>
      </c>
      <c r="C30" s="109">
        <f t="shared" si="1"/>
        <v>10000000000</v>
      </c>
      <c r="D30" s="10">
        <f>SUM($C$21:C30)</f>
        <v>11111111110</v>
      </c>
      <c r="E30" s="10">
        <f t="shared" si="2"/>
        <v>-29279582037.744434</v>
      </c>
      <c r="F30" s="10">
        <f t="shared" si="3"/>
        <v>6.4256823200964417E-7</v>
      </c>
      <c r="G30" s="258">
        <f t="shared" si="4"/>
        <v>550869841253277.81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10</v>
      </c>
      <c r="D33" s="57">
        <f>SUM($C$33:C33)</f>
        <v>10</v>
      </c>
      <c r="E33" s="9">
        <f t="shared" ref="E33:E42" si="7">D33/R7</f>
        <v>-18.996439368255363</v>
      </c>
      <c r="F33" s="8">
        <f t="shared" ref="F33:F42" si="8">U7/E33</f>
        <v>14.859886109126052</v>
      </c>
      <c r="G33" s="259">
        <f>E33*U7</f>
        <v>5362.4084716659327</v>
      </c>
    </row>
    <row r="34" spans="1:7">
      <c r="A34" s="97">
        <v>2</v>
      </c>
      <c r="B34" s="93">
        <f t="shared" ref="B34:B42" si="9">B33*($O$2+1)</f>
        <v>11</v>
      </c>
      <c r="C34" s="1">
        <f t="shared" si="6"/>
        <v>110</v>
      </c>
      <c r="D34" s="9">
        <f>SUM($C$33:C34)</f>
        <v>120</v>
      </c>
      <c r="E34" s="9">
        <f t="shared" si="7"/>
        <v>-284.3954388422797</v>
      </c>
      <c r="F34" s="9">
        <f t="shared" si="8"/>
        <v>3.12875528930293</v>
      </c>
      <c r="G34" s="257">
        <f t="shared" ref="G34:G42" si="10">E34*U8</f>
        <v>253056.12328116441</v>
      </c>
    </row>
    <row r="35" spans="1:7">
      <c r="A35" s="97">
        <v>3</v>
      </c>
      <c r="B35" s="93">
        <f t="shared" si="9"/>
        <v>121</v>
      </c>
      <c r="C35" s="1">
        <f t="shared" si="6"/>
        <v>1210</v>
      </c>
      <c r="D35" s="9">
        <f>SUM($C$33:C35)</f>
        <v>1330</v>
      </c>
      <c r="E35" s="9">
        <f t="shared" si="7"/>
        <v>-3389.5551424599862</v>
      </c>
      <c r="F35" s="9">
        <f t="shared" si="8"/>
        <v>0.5448700140581364</v>
      </c>
      <c r="G35" s="257">
        <f t="shared" si="10"/>
        <v>6260057.3953452501</v>
      </c>
    </row>
    <row r="36" spans="1:7">
      <c r="A36" s="97">
        <v>4</v>
      </c>
      <c r="B36" s="93">
        <f t="shared" si="9"/>
        <v>1331</v>
      </c>
      <c r="C36" s="1">
        <f t="shared" si="6"/>
        <v>13310</v>
      </c>
      <c r="D36" s="9">
        <f>SUM($C$33:C36)</f>
        <v>14640</v>
      </c>
      <c r="E36" s="9">
        <f t="shared" si="7"/>
        <v>-38178.979063182473</v>
      </c>
      <c r="F36" s="9">
        <f t="shared" si="8"/>
        <v>8.2906659269723515E-2</v>
      </c>
      <c r="G36" s="257">
        <f t="shared" si="10"/>
        <v>120847602.04815374</v>
      </c>
    </row>
    <row r="37" spans="1:7">
      <c r="A37" s="97">
        <v>5</v>
      </c>
      <c r="B37" s="93">
        <f t="shared" si="9"/>
        <v>14641</v>
      </c>
      <c r="C37" s="1">
        <f t="shared" si="6"/>
        <v>146410</v>
      </c>
      <c r="D37" s="9">
        <f>SUM($C$33:C37)</f>
        <v>161050</v>
      </c>
      <c r="E37" s="9">
        <f t="shared" si="7"/>
        <v>-423023.96984564885</v>
      </c>
      <c r="F37" s="9">
        <f t="shared" si="8"/>
        <v>1.1465620101365939E-2</v>
      </c>
      <c r="G37" s="257">
        <f t="shared" si="10"/>
        <v>2051764451.1608255</v>
      </c>
    </row>
    <row r="38" spans="1:7">
      <c r="A38" s="97">
        <v>6</v>
      </c>
      <c r="B38" s="93">
        <f t="shared" si="9"/>
        <v>161051</v>
      </c>
      <c r="C38" s="1">
        <f t="shared" si="6"/>
        <v>1610510</v>
      </c>
      <c r="D38" s="9">
        <f>SUM($C$33:C38)</f>
        <v>1771560</v>
      </c>
      <c r="E38" s="9">
        <f t="shared" si="7"/>
        <v>-4663698.6962589901</v>
      </c>
      <c r="F38" s="9">
        <f t="shared" si="8"/>
        <v>1.4803217899885602E-3</v>
      </c>
      <c r="G38" s="257">
        <f t="shared" si="10"/>
        <v>32197125543.415665</v>
      </c>
    </row>
    <row r="39" spans="1:7">
      <c r="A39" s="97">
        <v>7</v>
      </c>
      <c r="B39" s="93">
        <f t="shared" si="9"/>
        <v>1771561</v>
      </c>
      <c r="C39" s="1">
        <f t="shared" si="6"/>
        <v>17715610</v>
      </c>
      <c r="D39" s="9">
        <f>SUM($C$33:C39)</f>
        <v>19487170</v>
      </c>
      <c r="E39" s="9">
        <f t="shared" si="7"/>
        <v>-51336311.108710364</v>
      </c>
      <c r="F39" s="9">
        <f t="shared" si="8"/>
        <v>1.8167884153584806E-4</v>
      </c>
      <c r="G39" s="257">
        <f t="shared" si="10"/>
        <v>478799478137.38177</v>
      </c>
    </row>
    <row r="40" spans="1:7">
      <c r="A40" s="97">
        <v>8</v>
      </c>
      <c r="B40" s="93">
        <f t="shared" si="9"/>
        <v>19487171</v>
      </c>
      <c r="C40" s="1">
        <f t="shared" si="6"/>
        <v>194871710</v>
      </c>
      <c r="D40" s="9">
        <f>SUM($C$33:C40)</f>
        <v>214358880</v>
      </c>
      <c r="E40" s="9">
        <f t="shared" si="7"/>
        <v>-564821023.49721777</v>
      </c>
      <c r="F40" s="9">
        <f t="shared" si="8"/>
        <v>2.1457008570398756E-5</v>
      </c>
      <c r="G40" s="257">
        <f t="shared" si="10"/>
        <v>6845274708808.9385</v>
      </c>
    </row>
    <row r="41" spans="1:7">
      <c r="A41" s="97">
        <v>9</v>
      </c>
      <c r="B41" s="93">
        <f t="shared" si="9"/>
        <v>214358881</v>
      </c>
      <c r="C41" s="1">
        <f t="shared" si="6"/>
        <v>2143588810</v>
      </c>
      <c r="D41" s="9">
        <f>SUM($C$33:C41)</f>
        <v>2357947690</v>
      </c>
      <c r="E41" s="9">
        <f t="shared" si="7"/>
        <v>-6213446288.1623592</v>
      </c>
      <c r="F41" s="9">
        <f t="shared" si="8"/>
        <v>2.4594766607534777E-6</v>
      </c>
      <c r="G41" s="257">
        <f t="shared" si="10"/>
        <v>94952805834972</v>
      </c>
    </row>
    <row r="42" spans="1:7" ht="17" thickBot="1">
      <c r="A42" s="129">
        <v>10</v>
      </c>
      <c r="B42" s="94">
        <f t="shared" si="9"/>
        <v>2357947691</v>
      </c>
      <c r="C42" s="109">
        <f t="shared" si="6"/>
        <v>23579476910</v>
      </c>
      <c r="D42" s="10">
        <f>SUM($C$33:C42)</f>
        <v>25937424600</v>
      </c>
      <c r="E42" s="9">
        <f t="shared" si="7"/>
        <v>-68349325634.95089</v>
      </c>
      <c r="F42" s="10">
        <f t="shared" si="8"/>
        <v>2.7526429981854926E-7</v>
      </c>
      <c r="G42" s="258">
        <f t="shared" si="10"/>
        <v>1285933047601471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10</v>
      </c>
      <c r="D45" s="57">
        <f>SUM(C45:C45)</f>
        <v>10</v>
      </c>
      <c r="E45" s="57">
        <f t="shared" ref="E45:E54" si="12">D45/R7</f>
        <v>-18.996439368255363</v>
      </c>
      <c r="F45" s="8">
        <f t="shared" ref="F45:F54" si="13">U7/E45</f>
        <v>14.859886109126052</v>
      </c>
      <c r="G45" s="256">
        <f>E45*U7</f>
        <v>5362.4084716659327</v>
      </c>
    </row>
    <row r="46" spans="1:7">
      <c r="A46" s="97">
        <v>2</v>
      </c>
      <c r="B46" s="93">
        <f t="shared" ref="B46:B54" si="14">B45*$O$2*2</f>
        <v>20</v>
      </c>
      <c r="C46" s="1">
        <f t="shared" si="11"/>
        <v>200</v>
      </c>
      <c r="D46" s="9">
        <f>SUM($C$45:C46)</f>
        <v>210</v>
      </c>
      <c r="E46" s="9">
        <f t="shared" si="12"/>
        <v>-497.69201797398949</v>
      </c>
      <c r="F46" s="9">
        <f t="shared" si="13"/>
        <v>1.78786016531596</v>
      </c>
      <c r="G46" s="257">
        <f t="shared" ref="G46:G54" si="15">E46*U8</f>
        <v>442848.21574203775</v>
      </c>
    </row>
    <row r="47" spans="1:7">
      <c r="A47" s="97">
        <v>3</v>
      </c>
      <c r="B47" s="93">
        <f t="shared" si="14"/>
        <v>400</v>
      </c>
      <c r="C47" s="1">
        <f t="shared" si="11"/>
        <v>4000</v>
      </c>
      <c r="D47" s="9">
        <f>SUM($C$45:C47)</f>
        <v>4210</v>
      </c>
      <c r="E47" s="9">
        <f t="shared" si="12"/>
        <v>-10729.343721621461</v>
      </c>
      <c r="F47" s="9">
        <f t="shared" si="13"/>
        <v>0.17213233223214283</v>
      </c>
      <c r="G47" s="257">
        <f t="shared" si="15"/>
        <v>19815670.401807148</v>
      </c>
    </row>
    <row r="48" spans="1:7">
      <c r="A48" s="97">
        <v>4</v>
      </c>
      <c r="B48" s="93">
        <f t="shared" si="14"/>
        <v>8000</v>
      </c>
      <c r="C48" s="1">
        <f t="shared" si="11"/>
        <v>80000</v>
      </c>
      <c r="D48" s="9">
        <f>SUM($C$45:C48)</f>
        <v>84210</v>
      </c>
      <c r="E48" s="9">
        <f t="shared" si="12"/>
        <v>-219607.36522613361</v>
      </c>
      <c r="F48" s="9">
        <f t="shared" si="13"/>
        <v>1.4413412797871419E-2</v>
      </c>
      <c r="G48" s="257">
        <f t="shared" si="15"/>
        <v>695121350.30567122</v>
      </c>
    </row>
    <row r="49" spans="1:7">
      <c r="A49" s="97">
        <v>5</v>
      </c>
      <c r="B49" s="93">
        <f t="shared" si="14"/>
        <v>160000</v>
      </c>
      <c r="C49" s="1">
        <f t="shared" si="11"/>
        <v>1600000</v>
      </c>
      <c r="D49" s="9">
        <f>SUM($C$45:C49)</f>
        <v>1684210</v>
      </c>
      <c r="E49" s="9">
        <f t="shared" si="12"/>
        <v>-4423850.9795326935</v>
      </c>
      <c r="F49" s="9">
        <f t="shared" si="13"/>
        <v>1.0963823497811939E-3</v>
      </c>
      <c r="G49" s="257">
        <f t="shared" si="15"/>
        <v>21456704168.205986</v>
      </c>
    </row>
    <row r="50" spans="1:7">
      <c r="A50" s="97">
        <v>6</v>
      </c>
      <c r="B50" s="93">
        <f t="shared" si="14"/>
        <v>3200000</v>
      </c>
      <c r="C50" s="1">
        <f t="shared" si="11"/>
        <v>32000000</v>
      </c>
      <c r="D50" s="9">
        <f>SUM($C$45:C50)</f>
        <v>33684210</v>
      </c>
      <c r="E50" s="9">
        <f t="shared" si="12"/>
        <v>-88674956.68310079</v>
      </c>
      <c r="F50" s="9">
        <f t="shared" si="13"/>
        <v>7.7854842677685881E-5</v>
      </c>
      <c r="G50" s="257">
        <f t="shared" si="15"/>
        <v>612191931518.42297</v>
      </c>
    </row>
    <row r="51" spans="1:7">
      <c r="A51" s="97">
        <v>7</v>
      </c>
      <c r="B51" s="93">
        <f t="shared" si="14"/>
        <v>64000000</v>
      </c>
      <c r="C51" s="1">
        <f t="shared" si="11"/>
        <v>640000000</v>
      </c>
      <c r="D51" s="9">
        <f>SUM($C$45:C51)</f>
        <v>673684210</v>
      </c>
      <c r="E51" s="9">
        <f t="shared" si="12"/>
        <v>-1774729844.9998522</v>
      </c>
      <c r="F51" s="9">
        <f t="shared" si="13"/>
        <v>5.2552908586237042E-6</v>
      </c>
      <c r="G51" s="257">
        <f t="shared" si="15"/>
        <v>16552411056987.463</v>
      </c>
    </row>
    <row r="52" spans="1:7">
      <c r="A52" s="97">
        <v>8</v>
      </c>
      <c r="B52" s="93">
        <f t="shared" si="14"/>
        <v>1280000000</v>
      </c>
      <c r="C52" s="1">
        <f t="shared" si="11"/>
        <v>12800000000</v>
      </c>
      <c r="D52" s="9">
        <f>SUM($C$45:C52)</f>
        <v>13473684210</v>
      </c>
      <c r="E52" s="9">
        <f t="shared" si="12"/>
        <v>-35502238609.244934</v>
      </c>
      <c r="F52" s="9">
        <f t="shared" si="13"/>
        <v>3.4136916478177417E-7</v>
      </c>
      <c r="G52" s="257">
        <f t="shared" si="15"/>
        <v>430264749270901.88</v>
      </c>
    </row>
    <row r="53" spans="1:7">
      <c r="A53" s="97">
        <v>9</v>
      </c>
      <c r="B53" s="93">
        <f t="shared" si="14"/>
        <v>25600000000</v>
      </c>
      <c r="C53" s="1">
        <f t="shared" si="11"/>
        <v>256000000000</v>
      </c>
      <c r="D53" s="9">
        <f>SUM($C$45:C53)</f>
        <v>269473684210</v>
      </c>
      <c r="E53" s="9">
        <f t="shared" si="12"/>
        <v>-710092200099.68091</v>
      </c>
      <c r="F53" s="9">
        <f t="shared" si="13"/>
        <v>2.1520904083209797E-8</v>
      </c>
      <c r="G53" s="257">
        <f t="shared" si="15"/>
        <v>1.0851505537184624E+16</v>
      </c>
    </row>
    <row r="54" spans="1:7" ht="17" thickBot="1">
      <c r="A54" s="129">
        <v>10</v>
      </c>
      <c r="B54" s="94">
        <f t="shared" si="14"/>
        <v>512000000000</v>
      </c>
      <c r="C54" s="109">
        <f t="shared" si="11"/>
        <v>5120000000000</v>
      </c>
      <c r="D54" s="10">
        <f>SUM($C$45:C54)</f>
        <v>5389473684210</v>
      </c>
      <c r="E54" s="10">
        <f t="shared" si="12"/>
        <v>-14202138320358.443</v>
      </c>
      <c r="F54" s="10">
        <f t="shared" si="13"/>
        <v>1.3247391934639272E-9</v>
      </c>
      <c r="G54" s="258">
        <f t="shared" si="15"/>
        <v>2.6720086618407338E+17</v>
      </c>
    </row>
  </sheetData>
  <mergeCells count="1">
    <mergeCell ref="A18:F18"/>
  </mergeCells>
  <conditionalFormatting sqref="F45:F54">
    <cfRule type="cellIs" dxfId="169" priority="33" operator="equal">
      <formula>MAX($F$45:$F$54)</formula>
    </cfRule>
  </conditionalFormatting>
  <conditionalFormatting sqref="F21:F30">
    <cfRule type="cellIs" dxfId="168" priority="32" operator="equal">
      <formula>MAX($F$21:$F$30)</formula>
    </cfRule>
  </conditionalFormatting>
  <conditionalFormatting sqref="E33:E42">
    <cfRule type="cellIs" dxfId="167" priority="30" stopIfTrue="1" operator="lessThan">
      <formula>0</formula>
    </cfRule>
    <cfRule type="cellIs" dxfId="166" priority="31" operator="equal">
      <formula>MIN($E$33:$E$42)</formula>
    </cfRule>
  </conditionalFormatting>
  <conditionalFormatting sqref="E21:E30">
    <cfRule type="cellIs" dxfId="165" priority="28" stopIfTrue="1" operator="lessThan">
      <formula>0</formula>
    </cfRule>
    <cfRule type="cellIs" dxfId="164" priority="29" operator="equal">
      <formula>MIN($E$21:$E$30)</formula>
    </cfRule>
  </conditionalFormatting>
  <conditionalFormatting sqref="E45:E54">
    <cfRule type="cellIs" dxfId="163" priority="26" stopIfTrue="1" operator="lessThan">
      <formula>0</formula>
    </cfRule>
    <cfRule type="cellIs" dxfId="162" priority="27" operator="equal">
      <formula>MIN($E$45:$E$54)</formula>
    </cfRule>
  </conditionalFormatting>
  <conditionalFormatting sqref="F33:F42">
    <cfRule type="cellIs" dxfId="161" priority="24" operator="lessThanOrEqual">
      <formula>0</formula>
    </cfRule>
    <cfRule type="cellIs" dxfId="160" priority="25" operator="equal">
      <formula>MAX($F$33:$F$42)</formula>
    </cfRule>
  </conditionalFormatting>
  <conditionalFormatting sqref="R7:R16">
    <cfRule type="cellIs" dxfId="159" priority="22" operator="lessThanOrEqual">
      <formula>0</formula>
    </cfRule>
    <cfRule type="cellIs" dxfId="158" priority="23" operator="greaterThan">
      <formula>0</formula>
    </cfRule>
  </conditionalFormatting>
  <conditionalFormatting sqref="U7:U16">
    <cfRule type="cellIs" dxfId="157" priority="7" operator="lessThanOrEqual">
      <formula>0</formula>
    </cfRule>
    <cfRule type="cellIs" dxfId="156" priority="8" operator="greaterThan">
      <formula>0</formula>
    </cfRule>
  </conditionalFormatting>
  <conditionalFormatting sqref="S7:T16">
    <cfRule type="cellIs" dxfId="155" priority="1" operator="lessThanOrEqual">
      <formula>0</formula>
    </cfRule>
    <cfRule type="cellIs" dxfId="15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166F-4FCC-BD4D-8A94-40AC9759472F}">
  <sheetPr>
    <pageSetUpPr fitToPage="1"/>
  </sheetPr>
  <dimension ref="A1:W54"/>
  <sheetViews>
    <sheetView zoomScale="90" zoomScaleNormal="90" workbookViewId="0">
      <selection activeCell="O18" sqref="O18:V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0.99999999999999778</v>
      </c>
    </row>
    <row r="2" spans="1:23">
      <c r="A2" t="s">
        <v>39</v>
      </c>
      <c r="B2" s="133" t="s">
        <v>124</v>
      </c>
      <c r="C2" s="139">
        <f>Analysis!B60</f>
        <v>0.24474637351165371</v>
      </c>
      <c r="D2" s="133" t="s">
        <v>125</v>
      </c>
      <c r="E2" s="139">
        <f>Analysis!M60</f>
        <v>0.75525362648834404</v>
      </c>
      <c r="F2" s="133" t="s">
        <v>46</v>
      </c>
      <c r="G2" s="139">
        <f>Analysis!S60</f>
        <v>634.78823294668859</v>
      </c>
      <c r="H2" t="s">
        <v>153</v>
      </c>
      <c r="I2" s="153">
        <f>Analysis!T60</f>
        <v>-635.62688176762231</v>
      </c>
      <c r="J2" t="s">
        <v>47</v>
      </c>
      <c r="K2" s="153">
        <f>G2*C2+I2*E2</f>
        <v>-324.69738958690175</v>
      </c>
      <c r="L2" t="s">
        <v>46</v>
      </c>
      <c r="M2" s="160">
        <v>3</v>
      </c>
      <c r="N2" t="s">
        <v>153</v>
      </c>
      <c r="O2" s="160">
        <v>10</v>
      </c>
    </row>
    <row r="4" spans="1:23">
      <c r="A4" t="s">
        <v>122</v>
      </c>
      <c r="B4">
        <f>$C$2</f>
        <v>0.24474637351165371</v>
      </c>
      <c r="C4" t="s">
        <v>123</v>
      </c>
      <c r="D4">
        <f>$E$2</f>
        <v>0.75525362648834404</v>
      </c>
      <c r="E4" t="s">
        <v>46</v>
      </c>
      <c r="F4">
        <f>G2</f>
        <v>634.78823294668859</v>
      </c>
      <c r="G4" t="s">
        <v>153</v>
      </c>
      <c r="H4">
        <f>I2</f>
        <v>-635.62688176762231</v>
      </c>
      <c r="I4" t="s">
        <v>47</v>
      </c>
      <c r="J4">
        <f>B4*F4+D4*H4</f>
        <v>-324.69738958690175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0.24474637351165371</v>
      </c>
      <c r="C7" s="95">
        <v>1</v>
      </c>
      <c r="D7" s="22">
        <f>C7*D4</f>
        <v>0.75525362648834404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0.99999999999999778</v>
      </c>
      <c r="R7" s="265">
        <f>B7-D7</f>
        <v>-0.51050725297669031</v>
      </c>
      <c r="S7" s="266">
        <f>IF(Rules!B20=Rules!D20,SUM(C7)*B4*F4,SUM(C7)*B4*F4*POWER(O2,A7-1))</f>
        <v>155.36211796157289</v>
      </c>
      <c r="T7" s="252">
        <f>IF(Rules!B20=Rules!D20,SUM(C7)*D4*H4,SUM(C7)*D4*H4*POWER(O2,A7-1))</f>
        <v>-480.05950754847464</v>
      </c>
      <c r="U7" s="263">
        <f>S7+T7</f>
        <v>-324.69738958690175</v>
      </c>
      <c r="V7" s="282">
        <f>S7/B4</f>
        <v>634.78823294668859</v>
      </c>
      <c r="W7" s="57">
        <f>T7/D4</f>
        <v>-635.62688176762231</v>
      </c>
    </row>
    <row r="8" spans="1:23">
      <c r="A8" s="98">
        <v>2</v>
      </c>
      <c r="B8" s="97">
        <f>C8*B4</f>
        <v>0.30024541284157025</v>
      </c>
      <c r="C8" s="97">
        <f>1/(1-B4*D4)</f>
        <v>1.2267614368850859</v>
      </c>
      <c r="D8" s="128">
        <f>C8*D4</f>
        <v>0.92651602404351285</v>
      </c>
      <c r="E8" s="1">
        <f>D8*D4</f>
        <v>0.69975458715842487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0.99999999999999512</v>
      </c>
      <c r="R8" s="267">
        <f>B8-E8</f>
        <v>-0.39950917431685462</v>
      </c>
      <c r="S8" s="268">
        <f>IF(Rules!B20=Rules!D20,SUM(C8:D8)*B4*F4,SUM(C8:D8)*B4*F4*POWER(O2,A8-1))</f>
        <v>334.53774688878508</v>
      </c>
      <c r="T8" s="253">
        <f>IF(Rules!B20=Rules!D20,SUM(C8:D8)*D4*H4,SUM(C8:D8)*D4*H4*POWER(O2,A8-1))</f>
        <v>-1033.7013175086129</v>
      </c>
      <c r="U8" s="264">
        <f>S8+T8+U7</f>
        <v>-1023.8609602067296</v>
      </c>
      <c r="V8" s="93">
        <f>S8/B4</f>
        <v>1366.8751944667974</v>
      </c>
      <c r="W8" s="9">
        <f>T8/D4</f>
        <v>-1368.6810380705483</v>
      </c>
    </row>
    <row r="9" spans="1:23">
      <c r="A9" s="98">
        <v>3</v>
      </c>
      <c r="B9" s="97">
        <f>C9*B4</f>
        <v>0.31652116848093748</v>
      </c>
      <c r="C9" s="97">
        <f>1/(1-D4*B4/(1-D4*B4))</f>
        <v>1.293261934546565</v>
      </c>
      <c r="D9" s="128">
        <f>C9*D4*C8</f>
        <v>1.1982279056429053</v>
      </c>
      <c r="E9" s="1">
        <f>D9*(D4)</f>
        <v>0.90496597109633747</v>
      </c>
      <c r="F9" s="1">
        <f>E9*D4</f>
        <v>0.68347883151905486</v>
      </c>
      <c r="G9" s="1"/>
      <c r="H9" s="1"/>
      <c r="I9" s="1"/>
      <c r="J9" s="1"/>
      <c r="K9" s="1"/>
      <c r="L9" s="1"/>
      <c r="M9" s="235"/>
      <c r="N9" s="97">
        <f>B9+F9</f>
        <v>0.99999999999999234</v>
      </c>
      <c r="R9" s="267">
        <f>B9-F9</f>
        <v>-0.36695766303811739</v>
      </c>
      <c r="S9" s="268">
        <f>IF(Rules!B20=Rules!D20,SUM(C9:E9)*B4*F4,SUM(C9:E9)*B4*F4*POWER(O2,A9-1))</f>
        <v>527.68056840425538</v>
      </c>
      <c r="T9" s="253">
        <f>IF(Rules!B20=Rules!D20,SUM(C9:E9)*D4*H4,SUM(C9:E9)*D4*H4*POWER(O2,A9-1))</f>
        <v>-1630.5009041760197</v>
      </c>
      <c r="U9" s="264">
        <f t="shared" ref="U9:U16" si="0">S9+T9+U8</f>
        <v>-2126.6812959784938</v>
      </c>
      <c r="V9" s="93">
        <f>S9/B4</f>
        <v>2156.0301827276294</v>
      </c>
      <c r="W9" s="9">
        <f>T9/D4</f>
        <v>-2158.8786163891177</v>
      </c>
    </row>
    <row r="10" spans="1:23">
      <c r="A10" s="98">
        <v>4</v>
      </c>
      <c r="B10" s="97">
        <f>C10*B4</f>
        <v>0.32163425056941303</v>
      </c>
      <c r="C10" s="97">
        <f>1/(1-D4*B4/(1-D4*B4/(1-D4*B4)))</f>
        <v>1.3141532842941115</v>
      </c>
      <c r="D10" s="128">
        <f>C10*D4*C9</f>
        <v>1.2835870856290872</v>
      </c>
      <c r="E10" s="1">
        <f>D10*D4*C8</f>
        <v>1.189264003090662</v>
      </c>
      <c r="F10" s="1">
        <f>E10*D4</f>
        <v>0.89819595118626772</v>
      </c>
      <c r="G10" s="1">
        <f>F10*D4</f>
        <v>0.67836574943057637</v>
      </c>
      <c r="H10" s="1"/>
      <c r="I10" s="1"/>
      <c r="J10" s="1"/>
      <c r="K10" s="1"/>
      <c r="L10" s="1"/>
      <c r="M10" s="235"/>
      <c r="N10" s="97">
        <f>B10+G10</f>
        <v>0.99999999999998934</v>
      </c>
      <c r="R10" s="267">
        <f>B10-G10</f>
        <v>-0.35673149886116334</v>
      </c>
      <c r="S10" s="268">
        <f>IF(Rules!B20=Rules!D20,SUM(C10:F10)*B4*F4,SUM(C10:F10)*B4*F4*POWER(O2,A10-1))</f>
        <v>727.90264544197987</v>
      </c>
      <c r="T10" s="253">
        <f>IF(Rules!B20=Rules!D20,SUM(C10:F10)*D4*H4,SUM(C10:F10)*D4*H4*POWER(O2,A10-1))</f>
        <v>-2249.1749604014672</v>
      </c>
      <c r="U10" s="264">
        <f t="shared" si="0"/>
        <v>-3647.953610937981</v>
      </c>
      <c r="V10" s="93">
        <f>S10/B4</f>
        <v>2974.1100348002519</v>
      </c>
      <c r="W10" s="9">
        <f>T10/D4</f>
        <v>-2978.0392725279803</v>
      </c>
    </row>
    <row r="11" spans="1:23">
      <c r="A11" s="98">
        <v>5</v>
      </c>
      <c r="B11" s="97">
        <f>C11*B4</f>
        <v>0.32327481572073297</v>
      </c>
      <c r="C11" s="97">
        <f>1/(1-D4*B4/(1-D4*B4/(1-D4*B4/(1-D4*B4))))</f>
        <v>1.3208564077266709</v>
      </c>
      <c r="D11" s="128">
        <f>C11*D4*C10</f>
        <v>1.3109751254859479</v>
      </c>
      <c r="E11" s="1">
        <f>D11*D4*C9</f>
        <v>1.2804828483601232</v>
      </c>
      <c r="F11" s="1">
        <f>E11*D4*C8</f>
        <v>1.1863878775185337</v>
      </c>
      <c r="G11" s="1">
        <f>F11*D4</f>
        <v>0.89602374691768194</v>
      </c>
      <c r="H11" s="1">
        <f>G11*D4</f>
        <v>0.67672518427925343</v>
      </c>
      <c r="I11" s="1"/>
      <c r="J11" s="1"/>
      <c r="K11" s="1"/>
      <c r="L11" s="1"/>
      <c r="M11" s="235"/>
      <c r="N11" s="97">
        <f>B11+H11</f>
        <v>0.99999999999998646</v>
      </c>
      <c r="R11" s="267">
        <f>B11-H11</f>
        <v>-0.35345036855852047</v>
      </c>
      <c r="S11" s="268">
        <f>IF(Rules!B20=Rules!D20,SUM(C11:G11)*B4*F4,SUM(C11:G11)*B4*F4*POWER(O2,A11-1))</f>
        <v>931.35332889287236</v>
      </c>
      <c r="T11" s="253">
        <f>IF(Rules!B20=Rules!D20,SUM(C11:G11)*D4*H4,SUM(C11:G11)*D4*H4*POWER(O2,A11-1))</f>
        <v>-2877.8252143326945</v>
      </c>
      <c r="U11" s="264">
        <f t="shared" si="0"/>
        <v>-5594.425496377803</v>
      </c>
      <c r="V11" s="93">
        <f>S11/B4</f>
        <v>3805.3815283539861</v>
      </c>
      <c r="W11" s="9">
        <f>T11/D4</f>
        <v>-3810.4089982507467</v>
      </c>
    </row>
    <row r="12" spans="1:23">
      <c r="A12" s="98">
        <v>6</v>
      </c>
      <c r="B12" s="97">
        <f>C12*B4</f>
        <v>0.3238047538021987</v>
      </c>
      <c r="C12" s="97">
        <f>1/(1-D4*B4/(1-D4*B4/(1-D4*B4/(1-D4*B4/(1-D4*B4)))))</f>
        <v>1.3230216617970871</v>
      </c>
      <c r="D12" s="128">
        <f>C12*D4*C11</f>
        <v>1.3198220556338758</v>
      </c>
      <c r="E12" s="1">
        <f>D12*D4*C10</f>
        <v>1.3099485113462757</v>
      </c>
      <c r="F12" s="1">
        <f>E12*D4*C9</f>
        <v>1.2794801124788859</v>
      </c>
      <c r="G12" s="1">
        <f>F12*D4*C8</f>
        <v>1.1854588266566841</v>
      </c>
      <c r="H12" s="1">
        <f>G12*D4</f>
        <v>0.89532207788507789</v>
      </c>
      <c r="I12" s="1">
        <f>H12*D4</f>
        <v>0.67619524619778471</v>
      </c>
      <c r="J12" s="1"/>
      <c r="K12" s="1"/>
      <c r="L12" s="1"/>
      <c r="M12" s="235"/>
      <c r="N12" s="97">
        <f>B12+I12</f>
        <v>0.99999999999998335</v>
      </c>
      <c r="R12" s="267">
        <f>B12-I12</f>
        <v>-0.35239049239558601</v>
      </c>
      <c r="S12" s="268">
        <f>IF(Rules!B20=Rules!D20,SUM(C12:H12)*B4*F4,SUM(C12:H12)*B4*F4*POWER(O2,A12-1))</f>
        <v>1136.1714410329148</v>
      </c>
      <c r="T12" s="253">
        <f>IF(Rules!B20=Rules!D20,SUM(C12:H12)*D4*H4,SUM(C12:H12)*D4*H4*POWER(O2,A12-1))</f>
        <v>-3510.7007398535075</v>
      </c>
      <c r="U12" s="264">
        <f t="shared" si="0"/>
        <v>-7968.9547951983959</v>
      </c>
      <c r="V12" s="93">
        <f>S12/B4</f>
        <v>4642.2401473450864</v>
      </c>
      <c r="W12" s="9">
        <f>T12/D4</f>
        <v>-4648.3732308271001</v>
      </c>
    </row>
    <row r="13" spans="1:23">
      <c r="A13" s="98">
        <v>7</v>
      </c>
      <c r="B13" s="97">
        <f>C13*B4</f>
        <v>0.32397630673761502</v>
      </c>
      <c r="C13" s="97">
        <f>1/(1-D4*B4/(1-D4*B4/(1-D4*B4/(1-D4*B4/(1-D4*B4/(1-D4*B4))))))</f>
        <v>1.3237226034819622</v>
      </c>
      <c r="D13" s="128">
        <f>C13*D4*C12</f>
        <v>1.3226860068941861</v>
      </c>
      <c r="E13" s="1">
        <f>D13*D4*C11</f>
        <v>1.3194872124814752</v>
      </c>
      <c r="F13" s="1">
        <f>E13*D4*C10</f>
        <v>1.3096161731442055</v>
      </c>
      <c r="G13" s="1">
        <f>F13*D4*C9</f>
        <v>1.279155504208803</v>
      </c>
      <c r="H13" s="1">
        <f>G13*D4*C8</f>
        <v>1.1851580718929151</v>
      </c>
      <c r="I13" s="1">
        <f>H13*D4</f>
        <v>0.89509493175905774</v>
      </c>
      <c r="J13" s="1">
        <f>I13*D4</f>
        <v>0.67602369326236522</v>
      </c>
      <c r="K13" s="1"/>
      <c r="L13" s="1"/>
      <c r="M13" s="235"/>
      <c r="N13" s="97">
        <f>B13+J13</f>
        <v>0.99999999999998024</v>
      </c>
      <c r="R13" s="267">
        <f>B13-J13</f>
        <v>-0.35204738652475021</v>
      </c>
      <c r="S13" s="268">
        <f>IF(Rules!B20=Rules!D20,SUM(C13:I13)*B4*F4,SUM(C13:I13)*B4*F4*POWER(O2,A13-1))</f>
        <v>1341.5395379099068</v>
      </c>
      <c r="T13" s="253">
        <f>IF(Rules!B20=Rules!D20,SUM(C13:I13)*D4*H4,SUM(C13:I13)*D4*H4*POWER(O2,A13-1))</f>
        <v>-4145.2756848045092</v>
      </c>
      <c r="U13" s="264">
        <f t="shared" si="0"/>
        <v>-10772.690942092999</v>
      </c>
      <c r="V13" s="93">
        <f>S13/B4</f>
        <v>5481.3459282820741</v>
      </c>
      <c r="W13" s="9">
        <f>T13/D4</f>
        <v>-5488.5875941814948</v>
      </c>
    </row>
    <row r="14" spans="1:23">
      <c r="A14" s="98">
        <v>8</v>
      </c>
      <c r="B14" s="97">
        <f>C14*B4</f>
        <v>0.32403188125499882</v>
      </c>
      <c r="C14" s="97">
        <f>1/(1-D4*B4/(1-D4*B4/(1-D4*B4/(1-D4*B4/(1-D4*B4/(1-D4*B4/(1-D4*B4)))))))</f>
        <v>1.3239496733117881</v>
      </c>
      <c r="D14" s="128">
        <f>C14*D4*C13</f>
        <v>1.3236137829693446</v>
      </c>
      <c r="E14" s="1">
        <f>D14*D4*C12</f>
        <v>1.3225772715980419</v>
      </c>
      <c r="F14" s="1">
        <f>E14*D4*C11</f>
        <v>1.3193787401516406</v>
      </c>
      <c r="G14" s="1">
        <f>F14*D4*C10</f>
        <v>1.3095085122922123</v>
      </c>
      <c r="H14" s="1">
        <f>G14*D4*C9</f>
        <v>1.279050347465752</v>
      </c>
      <c r="I14" s="1">
        <f>H14*D4*C8</f>
        <v>1.1850606424854422</v>
      </c>
      <c r="J14" s="1">
        <f>I14*D4</f>
        <v>0.89502134784573717</v>
      </c>
      <c r="K14" s="1">
        <f>J14*D4</f>
        <v>0.67596811874497864</v>
      </c>
      <c r="L14" s="1"/>
      <c r="M14" s="235"/>
      <c r="N14" s="97">
        <f>B14+K14</f>
        <v>0.99999999999997746</v>
      </c>
      <c r="R14" s="267">
        <f>B14-K14</f>
        <v>-0.35193623748997982</v>
      </c>
      <c r="S14" s="268">
        <f>IF(Rules!B20=Rules!D20,SUM(C14:J14)*B4*F4,SUM(C14:J14)*B4*F4*POWER(O2,A14-1))</f>
        <v>1547.1208780240074</v>
      </c>
      <c r="T14" s="253">
        <f>IF(Rules!B20=Rules!D20,SUM(C14:J14)*D4*H4,SUM(C14:J14)*D4*H4*POWER(O2,A14-1))</f>
        <v>-4780.5095384054293</v>
      </c>
      <c r="U14" s="264">
        <f t="shared" si="0"/>
        <v>-14006.07960247442</v>
      </c>
      <c r="V14" s="93">
        <f>S14/B4</f>
        <v>6321.3229917392036</v>
      </c>
      <c r="W14" s="9">
        <f>T14/D4</f>
        <v>-6329.6743911486637</v>
      </c>
    </row>
    <row r="15" spans="1:23">
      <c r="A15" s="98">
        <v>9</v>
      </c>
      <c r="B15" s="97">
        <f>C15*B4</f>
        <v>0.32404988869069512</v>
      </c>
      <c r="C15" s="97">
        <f>1/(1-D4*B4/(1-D4*B4/(1-D4*B4/(1-D4*B4/(1-D4*B4/(1-D4*B4/(1-D4*B4/(1-D4*B4))))))))</f>
        <v>1.3240232492158472</v>
      </c>
      <c r="D15" s="128">
        <f>C15*D4*C14</f>
        <v>1.3239144039877622</v>
      </c>
      <c r="E15" s="1">
        <f>D15*D4*C13</f>
        <v>1.3235785225932608</v>
      </c>
      <c r="F15" s="1">
        <f>E15*D4*C12</f>
        <v>1.3225420388340767</v>
      </c>
      <c r="G15" s="1">
        <f>F15*D4*C11</f>
        <v>1.3193435925948733</v>
      </c>
      <c r="H15" s="1">
        <f>G15*D4*C10</f>
        <v>1.309473627673132</v>
      </c>
      <c r="I15" s="1">
        <f>H15*D4*C9</f>
        <v>1.2790162742361875</v>
      </c>
      <c r="J15" s="1">
        <f>I15*D4*C8</f>
        <v>1.1850290730922597</v>
      </c>
      <c r="K15" s="1">
        <f>J15*D4</f>
        <v>0.8949975049470501</v>
      </c>
      <c r="L15" s="1">
        <f>K15*D4</f>
        <v>0.67595011130927918</v>
      </c>
      <c r="M15" s="235"/>
      <c r="N15" s="97">
        <f>B15+L15</f>
        <v>0.99999999999997424</v>
      </c>
      <c r="R15" s="267">
        <f>B15-L15</f>
        <v>-0.35190022261858406</v>
      </c>
      <c r="S15" s="268">
        <f>IF(Rules!B20=Rules!D20,SUM(C15:K15)*B4*F4,SUM(C15:K15)*B4*F4*POWER(O2,A15-1))</f>
        <v>1752.782719764823</v>
      </c>
      <c r="T15" s="253">
        <f>IF(Rules!B20=Rules!D20,SUM(C15:K15)*D4*H4,SUM(C15:K15)*D4*H4*POWER(O2,A15-1))</f>
        <v>-5415.9921371430955</v>
      </c>
      <c r="U15" s="264">
        <f t="shared" si="0"/>
        <v>-17669.289019852691</v>
      </c>
      <c r="V15" s="93">
        <f>S15/B4</f>
        <v>7161.6289737644001</v>
      </c>
      <c r="W15" s="9">
        <f>T15/D4</f>
        <v>-7171.0905412338079</v>
      </c>
    </row>
    <row r="16" spans="1:23" ht="17" thickBot="1">
      <c r="A16" s="99">
        <v>10</v>
      </c>
      <c r="B16" s="129">
        <f>C16*B4</f>
        <v>0.32405572394785376</v>
      </c>
      <c r="C16" s="129">
        <f>1/(1-D4*B4/(1-D4*B4/(1-D4*B4/(1-D4*B4/(1-D4*B4/(1-D4*B4/(1-D4*B4/(1-D4*B4/(1-D4*B4)))))))))</f>
        <v>1.3240470912735454</v>
      </c>
      <c r="D16" s="137">
        <f>C16*D4*C15</f>
        <v>1.324011819354356</v>
      </c>
      <c r="E16" s="109">
        <f>D16*D4*C14</f>
        <v>1.3239029750658964</v>
      </c>
      <c r="F16" s="109">
        <f>E16*D4*C13</f>
        <v>1.3235670965709498</v>
      </c>
      <c r="G16" s="109">
        <f>F16*D4*C12</f>
        <v>1.3225306217593926</v>
      </c>
      <c r="H16" s="109">
        <f>G16*D4*C11</f>
        <v>1.3193322031313339</v>
      </c>
      <c r="I16" s="109">
        <f>H16*D4*C10</f>
        <v>1.3094623234137852</v>
      </c>
      <c r="J16" s="109">
        <f>I16*D4*C9</f>
        <v>1.2790052329052533</v>
      </c>
      <c r="K16" s="109">
        <f>J16*D4*C8</f>
        <v>1.1850188431222224</v>
      </c>
      <c r="L16" s="109">
        <f>K16*D4</f>
        <v>0.89498977872508056</v>
      </c>
      <c r="M16" s="237">
        <f>L16*D4</f>
        <v>0.67594427605211771</v>
      </c>
      <c r="N16" s="129">
        <f>B16+M16</f>
        <v>0.99999999999997147</v>
      </c>
      <c r="R16" s="269">
        <f>B16-M16</f>
        <v>-0.35188855210426395</v>
      </c>
      <c r="S16" s="270">
        <f>IF(Rules!B20=Rules!D20,SUM(C16:L16)*B4*F4,SUM(C16:L16)*B4*F4*POWER(O2,A16-1))</f>
        <v>1958.4743489435832</v>
      </c>
      <c r="T16" s="254">
        <f>IF(Rules!B20=Rules!D20,SUM(C16:L16)*D4*H4,SUM(C16:L16)*D4*H4*POWER(O2,A16-1))</f>
        <v>-6051.5667772546722</v>
      </c>
      <c r="U16" s="264">
        <f t="shared" si="0"/>
        <v>-21762.381448163782</v>
      </c>
      <c r="V16" s="94">
        <f>S16/B4</f>
        <v>8002.0566631616693</v>
      </c>
      <c r="W16" s="10">
        <f>T16/D4</f>
        <v>-8012.6285594844039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10</v>
      </c>
      <c r="D21" s="57">
        <f>SUM($C$21:C21)</f>
        <v>10</v>
      </c>
      <c r="E21" s="57">
        <f t="shared" ref="E21:E30" si="2">D21/R7</f>
        <v>-19.58836028614974</v>
      </c>
      <c r="F21" s="8">
        <f t="shared" ref="F21:F30" si="3">U7/E21</f>
        <v>16.576037240671145</v>
      </c>
      <c r="G21" s="256">
        <f>E21*U7</f>
        <v>6360.289451200556</v>
      </c>
    </row>
    <row r="22" spans="1:7">
      <c r="A22" s="97">
        <v>2</v>
      </c>
      <c r="B22" s="93">
        <f>C21</f>
        <v>10</v>
      </c>
      <c r="C22" s="1">
        <f t="shared" si="1"/>
        <v>100</v>
      </c>
      <c r="D22" s="9">
        <f>SUM($C$21:C22)</f>
        <v>110</v>
      </c>
      <c r="E22" s="9">
        <f t="shared" si="2"/>
        <v>-275.33785722967633</v>
      </c>
      <c r="F22" s="9">
        <f t="shared" si="3"/>
        <v>3.7185622438859318</v>
      </c>
      <c r="G22" s="257">
        <f t="shared" ref="G22:G30" si="4">E22*U8</f>
        <v>281907.68288443983</v>
      </c>
    </row>
    <row r="23" spans="1:7">
      <c r="A23" s="97">
        <v>3</v>
      </c>
      <c r="B23" s="93">
        <f t="shared" ref="B23:B30" si="5">C22</f>
        <v>100</v>
      </c>
      <c r="C23" s="1">
        <f t="shared" si="1"/>
        <v>1000</v>
      </c>
      <c r="D23" s="9">
        <f>SUM($C$21:C23)</f>
        <v>1110</v>
      </c>
      <c r="E23" s="9">
        <f t="shared" si="2"/>
        <v>-3024.8721087061745</v>
      </c>
      <c r="F23" s="9">
        <f t="shared" si="3"/>
        <v>0.70306486342265129</v>
      </c>
      <c r="G23" s="257">
        <f t="shared" si="4"/>
        <v>6432938.9363124464</v>
      </c>
    </row>
    <row r="24" spans="1:7">
      <c r="A24" s="97">
        <v>4</v>
      </c>
      <c r="B24" s="93">
        <f t="shared" si="5"/>
        <v>1000</v>
      </c>
      <c r="C24" s="1">
        <f t="shared" si="1"/>
        <v>10000</v>
      </c>
      <c r="D24" s="9">
        <f>SUM($C$21:C24)</f>
        <v>11110</v>
      </c>
      <c r="E24" s="9">
        <f t="shared" si="2"/>
        <v>-31143.871610630915</v>
      </c>
      <c r="F24" s="9">
        <f t="shared" si="3"/>
        <v>0.11713230957748867</v>
      </c>
      <c r="G24" s="257">
        <f t="shared" si="4"/>
        <v>113611398.90058991</v>
      </c>
    </row>
    <row r="25" spans="1:7">
      <c r="A25" s="97">
        <v>5</v>
      </c>
      <c r="B25" s="93">
        <f t="shared" si="5"/>
        <v>10000</v>
      </c>
      <c r="C25" s="1">
        <f t="shared" si="1"/>
        <v>100000</v>
      </c>
      <c r="D25" s="9">
        <f>SUM($C$21:C25)</f>
        <v>111110</v>
      </c>
      <c r="E25" s="9">
        <f t="shared" si="2"/>
        <v>-314358.13874842122</v>
      </c>
      <c r="F25" s="9">
        <f t="shared" si="3"/>
        <v>1.7796343745548723E-2</v>
      </c>
      <c r="G25" s="257">
        <f t="shared" si="4"/>
        <v>1758653186.4080386</v>
      </c>
    </row>
    <row r="26" spans="1:7">
      <c r="A26" s="97">
        <v>6</v>
      </c>
      <c r="B26" s="93">
        <f t="shared" si="5"/>
        <v>100000</v>
      </c>
      <c r="C26" s="1">
        <f t="shared" si="1"/>
        <v>1000000</v>
      </c>
      <c r="D26" s="9">
        <f>SUM($C$21:C26)</f>
        <v>1111110</v>
      </c>
      <c r="E26" s="9">
        <f t="shared" si="2"/>
        <v>-3153064.6370353596</v>
      </c>
      <c r="F26" s="9">
        <f t="shared" si="3"/>
        <v>2.5273680411103572E-3</v>
      </c>
      <c r="G26" s="257">
        <f t="shared" si="4"/>
        <v>25126629558.873421</v>
      </c>
    </row>
    <row r="27" spans="1:7">
      <c r="A27" s="97">
        <v>7</v>
      </c>
      <c r="B27" s="93">
        <f t="shared" si="5"/>
        <v>1000000</v>
      </c>
      <c r="C27" s="1">
        <f t="shared" si="1"/>
        <v>10000000</v>
      </c>
      <c r="D27" s="9">
        <f>SUM($C$21:C27)</f>
        <v>11111110</v>
      </c>
      <c r="E27" s="9">
        <f t="shared" si="2"/>
        <v>-31561404.587273788</v>
      </c>
      <c r="F27" s="9">
        <f t="shared" si="3"/>
        <v>3.4132482641272471E-4</v>
      </c>
      <c r="G27" s="257">
        <f t="shared" si="4"/>
        <v>340001257317.05676</v>
      </c>
    </row>
    <row r="28" spans="1:7">
      <c r="A28" s="97">
        <v>8</v>
      </c>
      <c r="B28" s="93">
        <f t="shared" si="5"/>
        <v>10000000</v>
      </c>
      <c r="C28" s="1">
        <f t="shared" si="1"/>
        <v>100000000</v>
      </c>
      <c r="D28" s="9">
        <f>SUM($C$21:C28)</f>
        <v>111111110</v>
      </c>
      <c r="E28" s="9">
        <f t="shared" si="2"/>
        <v>-315713751.99225831</v>
      </c>
      <c r="F28" s="9">
        <f t="shared" si="3"/>
        <v>4.4363223059152219E-5</v>
      </c>
      <c r="G28" s="257">
        <f t="shared" si="4"/>
        <v>4421911941999.4365</v>
      </c>
    </row>
    <row r="29" spans="1:7">
      <c r="A29" s="97">
        <v>9</v>
      </c>
      <c r="B29" s="93">
        <f t="shared" si="5"/>
        <v>100000000</v>
      </c>
      <c r="C29" s="1">
        <f t="shared" si="1"/>
        <v>1000000000</v>
      </c>
      <c r="D29" s="9">
        <f>SUM($C$21:C29)</f>
        <v>1111111110</v>
      </c>
      <c r="E29" s="9">
        <f t="shared" si="2"/>
        <v>-3157460662.3773179</v>
      </c>
      <c r="F29" s="9">
        <f t="shared" si="3"/>
        <v>5.5960440712344822E-6</v>
      </c>
      <c r="G29" s="257">
        <f t="shared" si="4"/>
        <v>55790085012360.352</v>
      </c>
    </row>
    <row r="30" spans="1:7" ht="17" thickBot="1">
      <c r="A30" s="129">
        <v>10</v>
      </c>
      <c r="B30" s="94">
        <f t="shared" si="5"/>
        <v>1000000000</v>
      </c>
      <c r="C30" s="109">
        <f t="shared" si="1"/>
        <v>10000000000</v>
      </c>
      <c r="D30" s="10">
        <f>SUM($C$21:C30)</f>
        <v>11111111110</v>
      </c>
      <c r="E30" s="10">
        <f t="shared" si="2"/>
        <v>-31575653835.728642</v>
      </c>
      <c r="F30" s="10">
        <f t="shared" si="3"/>
        <v>6.8921396090107569E-7</v>
      </c>
      <c r="G30" s="258">
        <f t="shared" si="4"/>
        <v>687161423248302.5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10</v>
      </c>
      <c r="D33" s="57">
        <f>SUM($C$33:C33)</f>
        <v>10</v>
      </c>
      <c r="E33" s="9">
        <f t="shared" ref="E33:E42" si="7">D33/R7</f>
        <v>-19.58836028614974</v>
      </c>
      <c r="F33" s="8">
        <f t="shared" ref="F33:F42" si="8">U7/E33</f>
        <v>16.576037240671145</v>
      </c>
      <c r="G33" s="259">
        <f>E33*U7</f>
        <v>6360.289451200556</v>
      </c>
    </row>
    <row r="34" spans="1:7">
      <c r="A34" s="97">
        <v>2</v>
      </c>
      <c r="B34" s="93">
        <f t="shared" ref="B34:B42" si="9">B33*($O$2+1)</f>
        <v>11</v>
      </c>
      <c r="C34" s="1">
        <f t="shared" si="6"/>
        <v>110</v>
      </c>
      <c r="D34" s="9">
        <f>SUM($C$33:C34)</f>
        <v>120</v>
      </c>
      <c r="E34" s="9">
        <f t="shared" si="7"/>
        <v>-300.36857152328326</v>
      </c>
      <c r="F34" s="9">
        <f t="shared" si="8"/>
        <v>3.4086820568954379</v>
      </c>
      <c r="G34" s="257">
        <f t="shared" ref="G34:G42" si="10">E34*U8</f>
        <v>307535.65405575256</v>
      </c>
    </row>
    <row r="35" spans="1:7">
      <c r="A35" s="97">
        <v>3</v>
      </c>
      <c r="B35" s="93">
        <f t="shared" si="9"/>
        <v>121</v>
      </c>
      <c r="C35" s="1">
        <f t="shared" si="6"/>
        <v>1210</v>
      </c>
      <c r="D35" s="9">
        <f>SUM($C$33:C35)</f>
        <v>1330</v>
      </c>
      <c r="E35" s="9">
        <f t="shared" si="7"/>
        <v>-3624.3963104317227</v>
      </c>
      <c r="F35" s="9">
        <f t="shared" si="8"/>
        <v>0.58676841984897965</v>
      </c>
      <c r="G35" s="257">
        <f t="shared" si="10"/>
        <v>7707935.8426086074</v>
      </c>
    </row>
    <row r="36" spans="1:7">
      <c r="A36" s="97">
        <v>4</v>
      </c>
      <c r="B36" s="93">
        <f t="shared" si="9"/>
        <v>1331</v>
      </c>
      <c r="C36" s="1">
        <f t="shared" si="6"/>
        <v>13310</v>
      </c>
      <c r="D36" s="9">
        <f>SUM($C$33:C36)</f>
        <v>14640</v>
      </c>
      <c r="E36" s="9">
        <f t="shared" si="7"/>
        <v>-41039.269161083401</v>
      </c>
      <c r="F36" s="9">
        <f t="shared" si="8"/>
        <v>8.8889341489473986E-2</v>
      </c>
      <c r="G36" s="257">
        <f t="shared" si="10"/>
        <v>149709350.12642992</v>
      </c>
    </row>
    <row r="37" spans="1:7">
      <c r="A37" s="97">
        <v>5</v>
      </c>
      <c r="B37" s="93">
        <f t="shared" si="9"/>
        <v>14641</v>
      </c>
      <c r="C37" s="1">
        <f t="shared" si="6"/>
        <v>146410</v>
      </c>
      <c r="D37" s="9">
        <f>SUM($C$33:C37)</f>
        <v>161050</v>
      </c>
      <c r="E37" s="9">
        <f t="shared" si="7"/>
        <v>-455650.96071850637</v>
      </c>
      <c r="F37" s="9">
        <f t="shared" si="8"/>
        <v>1.2277874905730632E-2</v>
      </c>
      <c r="G37" s="257">
        <f t="shared" si="10"/>
        <v>2549105352.0926528</v>
      </c>
    </row>
    <row r="38" spans="1:7">
      <c r="A38" s="97">
        <v>6</v>
      </c>
      <c r="B38" s="93">
        <f t="shared" si="9"/>
        <v>161051</v>
      </c>
      <c r="C38" s="1">
        <f t="shared" si="6"/>
        <v>1610510</v>
      </c>
      <c r="D38" s="9">
        <f>SUM($C$33:C38)</f>
        <v>1771560</v>
      </c>
      <c r="E38" s="9">
        <f t="shared" si="7"/>
        <v>-5027263.8968116222</v>
      </c>
      <c r="F38" s="9">
        <f t="shared" si="8"/>
        <v>1.5851474994683381E-3</v>
      </c>
      <c r="G38" s="257">
        <f t="shared" si="10"/>
        <v>40062038737.224747</v>
      </c>
    </row>
    <row r="39" spans="1:7">
      <c r="A39" s="97">
        <v>7</v>
      </c>
      <c r="B39" s="93">
        <f t="shared" si="9"/>
        <v>1771561</v>
      </c>
      <c r="C39" s="1">
        <f t="shared" si="6"/>
        <v>17715610</v>
      </c>
      <c r="D39" s="9">
        <f>SUM($C$33:C39)</f>
        <v>19487170</v>
      </c>
      <c r="E39" s="9">
        <f t="shared" si="7"/>
        <v>-55353826.632171236</v>
      </c>
      <c r="F39" s="9">
        <f t="shared" si="8"/>
        <v>1.9461510788907211E-4</v>
      </c>
      <c r="G39" s="257">
        <f t="shared" si="10"/>
        <v>596309666770.57727</v>
      </c>
    </row>
    <row r="40" spans="1:7">
      <c r="A40" s="97">
        <v>8</v>
      </c>
      <c r="B40" s="93">
        <f t="shared" si="9"/>
        <v>19487171</v>
      </c>
      <c r="C40" s="1">
        <f t="shared" si="6"/>
        <v>194871710</v>
      </c>
      <c r="D40" s="9">
        <f>SUM($C$33:C40)</f>
        <v>214358880</v>
      </c>
      <c r="E40" s="9">
        <f t="shared" si="7"/>
        <v>-609084422.58976853</v>
      </c>
      <c r="F40" s="9">
        <f t="shared" si="8"/>
        <v>2.2995300951749699E-5</v>
      </c>
      <c r="G40" s="257">
        <f t="shared" si="10"/>
        <v>8530884907419.4668</v>
      </c>
    </row>
    <row r="41" spans="1:7">
      <c r="A41" s="97">
        <v>9</v>
      </c>
      <c r="B41" s="93">
        <f t="shared" si="9"/>
        <v>214358881</v>
      </c>
      <c r="C41" s="1">
        <f t="shared" si="6"/>
        <v>2143588810</v>
      </c>
      <c r="D41" s="9">
        <f>SUM($C$33:C41)</f>
        <v>2357947690</v>
      </c>
      <c r="E41" s="9">
        <f t="shared" si="7"/>
        <v>-6700614374.3072338</v>
      </c>
      <c r="F41" s="9">
        <f t="shared" si="8"/>
        <v>2.6369655128347079E-6</v>
      </c>
      <c r="G41" s="257">
        <f t="shared" si="10"/>
        <v>118395091990213.92</v>
      </c>
    </row>
    <row r="42" spans="1:7" ht="17" thickBot="1">
      <c r="A42" s="129">
        <v>10</v>
      </c>
      <c r="B42" s="94">
        <f t="shared" si="9"/>
        <v>2357947691</v>
      </c>
      <c r="C42" s="109">
        <f t="shared" si="6"/>
        <v>23579476910</v>
      </c>
      <c r="D42" s="10">
        <f>SUM($C$33:C42)</f>
        <v>25937424600</v>
      </c>
      <c r="E42" s="9">
        <f t="shared" si="7"/>
        <v>-73709202657.763046</v>
      </c>
      <c r="F42" s="10">
        <f t="shared" si="8"/>
        <v>2.9524646398914436E-7</v>
      </c>
      <c r="G42" s="258">
        <f t="shared" si="10"/>
        <v>1604087784478247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10</v>
      </c>
      <c r="D45" s="57">
        <f>SUM(C45:C45)</f>
        <v>10</v>
      </c>
      <c r="E45" s="57">
        <f t="shared" ref="E45:E54" si="12">D45/R7</f>
        <v>-19.58836028614974</v>
      </c>
      <c r="F45" s="8">
        <f t="shared" ref="F45:F54" si="13">U7/E45</f>
        <v>16.576037240671145</v>
      </c>
      <c r="G45" s="256">
        <f>E45*U7</f>
        <v>6360.289451200556</v>
      </c>
    </row>
    <row r="46" spans="1:7">
      <c r="A46" s="97">
        <v>2</v>
      </c>
      <c r="B46" s="93">
        <f t="shared" ref="B46:B54" si="14">B45*$O$2*2</f>
        <v>20</v>
      </c>
      <c r="C46" s="1">
        <f t="shared" si="11"/>
        <v>200</v>
      </c>
      <c r="D46" s="9">
        <f>SUM($C$45:C46)</f>
        <v>210</v>
      </c>
      <c r="E46" s="9">
        <f t="shared" si="12"/>
        <v>-525.64500016574573</v>
      </c>
      <c r="F46" s="9">
        <f t="shared" si="13"/>
        <v>1.9478183182259643</v>
      </c>
      <c r="G46" s="257">
        <f t="shared" ref="G46:G54" si="15">E46*U8</f>
        <v>538187.39459756692</v>
      </c>
    </row>
    <row r="47" spans="1:7">
      <c r="A47" s="97">
        <v>3</v>
      </c>
      <c r="B47" s="93">
        <f t="shared" si="14"/>
        <v>400</v>
      </c>
      <c r="C47" s="1">
        <f t="shared" si="11"/>
        <v>4000</v>
      </c>
      <c r="D47" s="9">
        <f>SUM($C$45:C47)</f>
        <v>4210</v>
      </c>
      <c r="E47" s="9">
        <f t="shared" si="12"/>
        <v>-11472.713133020716</v>
      </c>
      <c r="F47" s="9">
        <f t="shared" si="13"/>
        <v>0.18536864570050901</v>
      </c>
      <c r="G47" s="257">
        <f t="shared" si="15"/>
        <v>24398804.434121981</v>
      </c>
    </row>
    <row r="48" spans="1:7">
      <c r="A48" s="97">
        <v>4</v>
      </c>
      <c r="B48" s="93">
        <f t="shared" si="14"/>
        <v>8000</v>
      </c>
      <c r="C48" s="1">
        <f t="shared" si="11"/>
        <v>80000</v>
      </c>
      <c r="D48" s="9">
        <f>SUM($C$45:C48)</f>
        <v>84210</v>
      </c>
      <c r="E48" s="9">
        <f t="shared" si="12"/>
        <v>-236059.89453926458</v>
      </c>
      <c r="F48" s="9">
        <f t="shared" si="13"/>
        <v>1.5453508602373815E-2</v>
      </c>
      <c r="G48" s="257">
        <f t="shared" si="15"/>
        <v>861135544.68214917</v>
      </c>
    </row>
    <row r="49" spans="1:7">
      <c r="A49" s="97">
        <v>5</v>
      </c>
      <c r="B49" s="93">
        <f t="shared" si="14"/>
        <v>160000</v>
      </c>
      <c r="C49" s="1">
        <f t="shared" si="11"/>
        <v>1600000</v>
      </c>
      <c r="D49" s="9">
        <f>SUM($C$45:C49)</f>
        <v>1684210</v>
      </c>
      <c r="E49" s="9">
        <f t="shared" si="12"/>
        <v>-4765053.7382906899</v>
      </c>
      <c r="F49" s="9">
        <f t="shared" si="13"/>
        <v>1.1740529705725048E-3</v>
      </c>
      <c r="G49" s="257">
        <f t="shared" si="15"/>
        <v>26657738125.103798</v>
      </c>
    </row>
    <row r="50" spans="1:7">
      <c r="A50" s="97">
        <v>6</v>
      </c>
      <c r="B50" s="93">
        <f t="shared" si="14"/>
        <v>3200000</v>
      </c>
      <c r="C50" s="1">
        <f t="shared" si="11"/>
        <v>32000000</v>
      </c>
      <c r="D50" s="9">
        <f>SUM($C$45:C50)</f>
        <v>33684210</v>
      </c>
      <c r="E50" s="9">
        <f t="shared" si="12"/>
        <v>-95587737.827463374</v>
      </c>
      <c r="F50" s="9">
        <f t="shared" si="13"/>
        <v>8.3367960957318849E-5</v>
      </c>
      <c r="G50" s="257">
        <f t="shared" si="15"/>
        <v>761734361722.3313</v>
      </c>
    </row>
    <row r="51" spans="1:7">
      <c r="A51" s="97">
        <v>7</v>
      </c>
      <c r="B51" s="93">
        <f t="shared" si="14"/>
        <v>64000000</v>
      </c>
      <c r="C51" s="1">
        <f t="shared" si="11"/>
        <v>640000000</v>
      </c>
      <c r="D51" s="9">
        <f>SUM($C$45:C51)</f>
        <v>673684210</v>
      </c>
      <c r="E51" s="9">
        <f t="shared" si="12"/>
        <v>-1913617983.789911</v>
      </c>
      <c r="F51" s="9">
        <f t="shared" si="13"/>
        <v>5.6294887659645307E-6</v>
      </c>
      <c r="G51" s="257">
        <f t="shared" si="15"/>
        <v>20614815120599.84</v>
      </c>
    </row>
    <row r="52" spans="1:7">
      <c r="A52" s="97">
        <v>8</v>
      </c>
      <c r="B52" s="93">
        <f t="shared" si="14"/>
        <v>1280000000</v>
      </c>
      <c r="C52" s="1">
        <f t="shared" si="11"/>
        <v>12800000000</v>
      </c>
      <c r="D52" s="9">
        <f>SUM($C$45:C52)</f>
        <v>13473684210</v>
      </c>
      <c r="E52" s="9">
        <f t="shared" si="12"/>
        <v>-38284446938.72599</v>
      </c>
      <c r="F52" s="9">
        <f t="shared" si="13"/>
        <v>3.6584254762491563E-7</v>
      </c>
      <c r="G52" s="257">
        <f t="shared" si="15"/>
        <v>536215011360504.31</v>
      </c>
    </row>
    <row r="53" spans="1:7">
      <c r="A53" s="97">
        <v>9</v>
      </c>
      <c r="B53" s="93">
        <f t="shared" si="14"/>
        <v>25600000000</v>
      </c>
      <c r="C53" s="1">
        <f t="shared" si="11"/>
        <v>256000000000</v>
      </c>
      <c r="D53" s="9">
        <f>SUM($C$45:C53)</f>
        <v>269473684210</v>
      </c>
      <c r="E53" s="9">
        <f t="shared" si="12"/>
        <v>-765767302460.83374</v>
      </c>
      <c r="F53" s="9">
        <f t="shared" si="13"/>
        <v>2.3073966416523003E-8</v>
      </c>
      <c r="G53" s="257">
        <f t="shared" si="15"/>
        <v>1.3530563789133424E+16</v>
      </c>
    </row>
    <row r="54" spans="1:7" ht="17" thickBot="1">
      <c r="A54" s="129">
        <v>10</v>
      </c>
      <c r="B54" s="94">
        <f t="shared" si="14"/>
        <v>512000000000</v>
      </c>
      <c r="C54" s="109">
        <f t="shared" si="11"/>
        <v>5120000000000</v>
      </c>
      <c r="D54" s="10">
        <f>SUM($C$45:C54)</f>
        <v>5389473684210</v>
      </c>
      <c r="E54" s="10">
        <f t="shared" si="12"/>
        <v>-15315853988376.15</v>
      </c>
      <c r="F54" s="10">
        <f t="shared" si="13"/>
        <v>1.4209055182087903E-9</v>
      </c>
      <c r="G54" s="258">
        <f t="shared" si="15"/>
        <v>3.333094566994224E+17</v>
      </c>
    </row>
  </sheetData>
  <mergeCells count="1">
    <mergeCell ref="A18:F18"/>
  </mergeCells>
  <conditionalFormatting sqref="F45:F54">
    <cfRule type="cellIs" dxfId="153" priority="33" operator="equal">
      <formula>MAX($F$45:$F$54)</formula>
    </cfRule>
  </conditionalFormatting>
  <conditionalFormatting sqref="F21:F30">
    <cfRule type="cellIs" dxfId="152" priority="32" operator="equal">
      <formula>MAX($F$21:$F$30)</formula>
    </cfRule>
  </conditionalFormatting>
  <conditionalFormatting sqref="E33:E42">
    <cfRule type="cellIs" dxfId="151" priority="30" stopIfTrue="1" operator="lessThan">
      <formula>0</formula>
    </cfRule>
    <cfRule type="cellIs" dxfId="150" priority="31" operator="equal">
      <formula>MIN($E$33:$E$42)</formula>
    </cfRule>
  </conditionalFormatting>
  <conditionalFormatting sqref="E21:E30">
    <cfRule type="cellIs" dxfId="149" priority="28" stopIfTrue="1" operator="lessThan">
      <formula>0</formula>
    </cfRule>
    <cfRule type="cellIs" dxfId="148" priority="29" operator="equal">
      <formula>MIN($E$21:$E$30)</formula>
    </cfRule>
  </conditionalFormatting>
  <conditionalFormatting sqref="E45:E54">
    <cfRule type="cellIs" dxfId="147" priority="26" stopIfTrue="1" operator="lessThan">
      <formula>0</formula>
    </cfRule>
    <cfRule type="cellIs" dxfId="146" priority="27" operator="equal">
      <formula>MIN($E$45:$E$54)</formula>
    </cfRule>
  </conditionalFormatting>
  <conditionalFormatting sqref="F33:F42">
    <cfRule type="cellIs" dxfId="145" priority="24" operator="lessThanOrEqual">
      <formula>0</formula>
    </cfRule>
    <cfRule type="cellIs" dxfId="144" priority="25" operator="equal">
      <formula>MAX($F$33:$F$42)</formula>
    </cfRule>
  </conditionalFormatting>
  <conditionalFormatting sqref="R7:R16">
    <cfRule type="cellIs" dxfId="143" priority="22" operator="lessThanOrEqual">
      <formula>0</formula>
    </cfRule>
    <cfRule type="cellIs" dxfId="142" priority="23" operator="greaterThan">
      <formula>0</formula>
    </cfRule>
  </conditionalFormatting>
  <conditionalFormatting sqref="U7:U16">
    <cfRule type="cellIs" dxfId="141" priority="7" operator="lessThanOrEqual">
      <formula>0</formula>
    </cfRule>
    <cfRule type="cellIs" dxfId="140" priority="8" operator="greaterThan">
      <formula>0</formula>
    </cfRule>
  </conditionalFormatting>
  <conditionalFormatting sqref="S7:T16">
    <cfRule type="cellIs" dxfId="139" priority="1" operator="lessThanOrEqual">
      <formula>0</formula>
    </cfRule>
    <cfRule type="cellIs" dxfId="13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E7A5-26C0-9E46-979E-A9A5CAEAC09C}">
  <sheetPr>
    <pageSetUpPr fitToPage="1"/>
  </sheetPr>
  <dimension ref="A1:W54"/>
  <sheetViews>
    <sheetView zoomScale="90" zoomScaleNormal="90" workbookViewId="0">
      <selection activeCell="O18" sqref="O18:V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0.99999999999999756</v>
      </c>
    </row>
    <row r="2" spans="1:23">
      <c r="A2" t="s">
        <v>39</v>
      </c>
      <c r="B2" s="133" t="s">
        <v>124</v>
      </c>
      <c r="C2" s="139">
        <f>Analysis!B61</f>
        <v>0.2503471810807813</v>
      </c>
      <c r="D2" s="133" t="s">
        <v>125</v>
      </c>
      <c r="E2" s="139">
        <f>Analysis!N61</f>
        <v>0.7496528189192162</v>
      </c>
      <c r="F2" s="133" t="s">
        <v>46</v>
      </c>
      <c r="G2" s="139">
        <f>Analysis!S61</f>
        <v>736.1771597792964</v>
      </c>
      <c r="H2" t="s">
        <v>153</v>
      </c>
      <c r="I2" s="153">
        <f>Analysis!T61</f>
        <v>-737.14975831689264</v>
      </c>
      <c r="J2" t="s">
        <v>47</v>
      </c>
      <c r="K2" s="153">
        <f>G2*C2+I2*E2</f>
        <v>-368.30651756107471</v>
      </c>
      <c r="L2" t="s">
        <v>46</v>
      </c>
      <c r="M2" s="160">
        <v>3</v>
      </c>
      <c r="N2" t="s">
        <v>153</v>
      </c>
      <c r="O2" s="160">
        <v>10</v>
      </c>
    </row>
    <row r="4" spans="1:23">
      <c r="A4" t="s">
        <v>122</v>
      </c>
      <c r="B4">
        <f>$C$2</f>
        <v>0.2503471810807813</v>
      </c>
      <c r="C4" t="s">
        <v>123</v>
      </c>
      <c r="D4">
        <f>$E$2</f>
        <v>0.7496528189192162</v>
      </c>
      <c r="E4" t="s">
        <v>46</v>
      </c>
      <c r="F4">
        <f>G2</f>
        <v>736.1771597792964</v>
      </c>
      <c r="G4" t="s">
        <v>153</v>
      </c>
      <c r="H4">
        <f>I2</f>
        <v>-737.14975831689264</v>
      </c>
      <c r="I4" t="s">
        <v>47</v>
      </c>
      <c r="J4">
        <f>B4*F4+D4*H4</f>
        <v>-368.30651756107471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0.2503471810807813</v>
      </c>
      <c r="C7" s="95">
        <v>1</v>
      </c>
      <c r="D7" s="22">
        <f>C7*D4</f>
        <v>0.7496528189192162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0.99999999999999756</v>
      </c>
      <c r="R7" s="265">
        <f>B7-D7</f>
        <v>-0.4993056378384349</v>
      </c>
      <c r="S7" s="266">
        <f>IF(Rules!B20=Rules!D20,SUM(C7)*B4*F4,SUM(C7)*B4*F4*POWER(O2,A7-1))</f>
        <v>184.29987672680278</v>
      </c>
      <c r="T7" s="252">
        <f>IF(Rules!B20=Rules!D20,SUM(C7)*D4*H4,SUM(C7)*D4*H4*POWER(O2,A7-1))</f>
        <v>-552.60639428787749</v>
      </c>
      <c r="U7" s="263">
        <f>S7+T7</f>
        <v>-368.30651756107471</v>
      </c>
      <c r="V7" s="282">
        <f>S7/B4</f>
        <v>736.1771597792964</v>
      </c>
      <c r="W7" s="57">
        <f>T7/D4</f>
        <v>-737.14975831689264</v>
      </c>
    </row>
    <row r="8" spans="1:23">
      <c r="A8" s="98">
        <v>2</v>
      </c>
      <c r="B8" s="97">
        <f>C8*B4</f>
        <v>0.30818540554441087</v>
      </c>
      <c r="C8" s="97">
        <f>1/(1-B4*D4)</f>
        <v>1.2310320580161296</v>
      </c>
      <c r="D8" s="128">
        <f>C8*D4</f>
        <v>0.9228466524717156</v>
      </c>
      <c r="E8" s="1">
        <f>D8*D4</f>
        <v>0.69181459445558391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0.99999999999999478</v>
      </c>
      <c r="R8" s="267">
        <f>B8-E8</f>
        <v>-0.38362918891117304</v>
      </c>
      <c r="S8" s="268">
        <f>IF(Rules!B20=Rules!D20,SUM(C8:D8)*B4*F4,SUM(C8:D8)*B4*F4*POWER(O2,A8-1))</f>
        <v>396.95958082739486</v>
      </c>
      <c r="T8" s="253">
        <f>IF(Rules!B20=Rules!D20,SUM(C8:D8)*D4*H4,SUM(C8:D8)*D4*H4*POWER(O2,A8-1))</f>
        <v>-1190.2471479361113</v>
      </c>
      <c r="U8" s="264">
        <f>S8+T8+U7</f>
        <v>-1161.5940846697913</v>
      </c>
      <c r="V8" s="93">
        <f>S8/B4</f>
        <v>1585.6363115960355</v>
      </c>
      <c r="W8" s="9">
        <f>T8/D4</f>
        <v>-1587.7311708800155</v>
      </c>
    </row>
    <row r="9" spans="1:23">
      <c r="A9" s="98">
        <v>3</v>
      </c>
      <c r="B9" s="97">
        <f>C9*B4</f>
        <v>0.32556257213390111</v>
      </c>
      <c r="C9" s="97">
        <f>1/(1-D4*B4/(1-D4*B4))</f>
        <v>1.3004443298638522</v>
      </c>
      <c r="D9" s="128">
        <f>C9*D4*C8</f>
        <v>1.2001106965406794</v>
      </c>
      <c r="E9" s="1">
        <f>D9*(D4)</f>
        <v>0.89966636667682431</v>
      </c>
      <c r="F9" s="1">
        <f>E9*D4</f>
        <v>0.67443742786609051</v>
      </c>
      <c r="G9" s="1"/>
      <c r="H9" s="1"/>
      <c r="I9" s="1"/>
      <c r="J9" s="1"/>
      <c r="K9" s="1"/>
      <c r="L9" s="1"/>
      <c r="M9" s="235"/>
      <c r="N9" s="97">
        <f>B9+F9</f>
        <v>0.99999999999999156</v>
      </c>
      <c r="R9" s="267">
        <f>B9-F9</f>
        <v>-0.3488748557321894</v>
      </c>
      <c r="S9" s="268">
        <f>IF(Rules!B20=Rules!D20,SUM(C9:E9)*B4*F4,SUM(C9:E9)*B4*F4*POWER(O2,A9-1))</f>
        <v>626.66038358873152</v>
      </c>
      <c r="T9" s="253">
        <f>IF(Rules!B20=Rules!D20,SUM(C9:E9)*D4*H4,SUM(C9:E9)*D4*H4*POWER(O2,A9-1))</f>
        <v>-1878.9840838111918</v>
      </c>
      <c r="U9" s="264">
        <f t="shared" ref="U9:U16" si="0">S9+T9+U8</f>
        <v>-2413.9177848922518</v>
      </c>
      <c r="V9" s="93">
        <f>S9/B4</f>
        <v>2503.1653277794353</v>
      </c>
      <c r="W9" s="9">
        <f>T9/D4</f>
        <v>-2506.4723781338494</v>
      </c>
    </row>
    <row r="10" spans="1:23">
      <c r="A10" s="98">
        <v>4</v>
      </c>
      <c r="B10" s="97">
        <f>C10*B4</f>
        <v>0.33117286658865192</v>
      </c>
      <c r="C10" s="97">
        <f>1/(1-D4*B4/(1-D4*B4/(1-D4*B4)))</f>
        <v>1.3228543862924105</v>
      </c>
      <c r="D10" s="128">
        <f>C10*D4*C9</f>
        <v>1.2896266093295166</v>
      </c>
      <c r="E10" s="1">
        <f>D10*D4*C8</f>
        <v>1.1901275993581935</v>
      </c>
      <c r="F10" s="1">
        <f>E10*D4</f>
        <v>0.8921825097324293</v>
      </c>
      <c r="G10" s="1">
        <f>F10*D4</f>
        <v>0.66882713341133671</v>
      </c>
      <c r="H10" s="1"/>
      <c r="I10" s="1"/>
      <c r="J10" s="1"/>
      <c r="K10" s="1"/>
      <c r="L10" s="1"/>
      <c r="M10" s="235"/>
      <c r="N10" s="97">
        <f>B10+G10</f>
        <v>0.99999999999998868</v>
      </c>
      <c r="R10" s="267">
        <f>B10-G10</f>
        <v>-0.33765426682268479</v>
      </c>
      <c r="S10" s="268">
        <f>IF(Rules!B20=Rules!D20,SUM(C10:F10)*B4*F4,SUM(C10:F10)*B4*F4*POWER(O2,A10-1))</f>
        <v>865.24942185661325</v>
      </c>
      <c r="T10" s="253">
        <f>IF(Rules!B20=Rules!D20,SUM(C10:F10)*D4*H4,SUM(C10:F10)*D4*H4*POWER(O2,A10-1))</f>
        <v>-2594.3715843100035</v>
      </c>
      <c r="U10" s="264">
        <f t="shared" si="0"/>
        <v>-4143.0399473456418</v>
      </c>
      <c r="V10" s="93">
        <f>S10/B4</f>
        <v>3456.1979812243903</v>
      </c>
      <c r="W10" s="9">
        <f>T10/D4</f>
        <v>-3460.7641281871538</v>
      </c>
    </row>
    <row r="11" spans="1:23">
      <c r="A11" s="98">
        <v>5</v>
      </c>
      <c r="B11" s="97">
        <f>C11*B4</f>
        <v>0.33302569679115079</v>
      </c>
      <c r="C11" s="97">
        <f>1/(1-D4*B4/(1-D4*B4/(1-D4*B4/(1-D4*B4))))</f>
        <v>1.3302554290942505</v>
      </c>
      <c r="D11" s="128">
        <f>C11*D4*C10</f>
        <v>1.3191897255183573</v>
      </c>
      <c r="E11" s="1">
        <f>D11*D4*C9</f>
        <v>1.2860539983926236</v>
      </c>
      <c r="F11" s="1">
        <f>E11*D4*C8</f>
        <v>1.186830627314498</v>
      </c>
      <c r="G11" s="1">
        <f>F11*D4</f>
        <v>0.88971092534597507</v>
      </c>
      <c r="H11" s="1">
        <f>G11*D4</f>
        <v>0.66697430320883455</v>
      </c>
      <c r="I11" s="1"/>
      <c r="J11" s="1"/>
      <c r="K11" s="1"/>
      <c r="L11" s="1"/>
      <c r="M11" s="235"/>
      <c r="N11" s="97">
        <f>B11+H11</f>
        <v>0.99999999999998535</v>
      </c>
      <c r="R11" s="267">
        <f>B11-H11</f>
        <v>-0.33394860641768376</v>
      </c>
      <c r="S11" s="268">
        <f>IF(Rules!B20=Rules!D20,SUM(C11:G11)*B4*F4,SUM(C11:G11)*B4*F4*POWER(O2,A11-1))</f>
        <v>1108.0183609307096</v>
      </c>
      <c r="T11" s="253">
        <f>IF(Rules!B20=Rules!D20,SUM(C11:G11)*D4*H4,SUM(C11:G11)*D4*H4*POWER(O2,A11-1))</f>
        <v>-3322.292136669872</v>
      </c>
      <c r="U11" s="264">
        <f t="shared" si="0"/>
        <v>-6357.3137230848042</v>
      </c>
      <c r="V11" s="93">
        <f>S11/B4</f>
        <v>4425.9270511744944</v>
      </c>
      <c r="W11" s="9">
        <f>T11/D4</f>
        <v>-4431.7743531727956</v>
      </c>
    </row>
    <row r="12" spans="1:23">
      <c r="A12" s="98">
        <v>6</v>
      </c>
      <c r="B12" s="97">
        <f>C12*B4</f>
        <v>0.33364216654374068</v>
      </c>
      <c r="C12" s="97">
        <f>1/(1-D4*B4/(1-D4*B4/(1-D4*B4/(1-D4*B4/(1-D4*B4)))))</f>
        <v>1.3327178884274395</v>
      </c>
      <c r="D12" s="128">
        <f>C12*D4*C11</f>
        <v>1.3290259031120435</v>
      </c>
      <c r="E12" s="1">
        <f>D12*D4*C10</f>
        <v>1.3179704273238071</v>
      </c>
      <c r="F12" s="1">
        <f>E12*D4*C9</f>
        <v>1.2848653268255235</v>
      </c>
      <c r="G12" s="1">
        <f>F12*D4*C8</f>
        <v>1.1857336657379112</v>
      </c>
      <c r="H12" s="1">
        <f>G12*D4</f>
        <v>0.88888858500784074</v>
      </c>
      <c r="I12" s="1">
        <f>H12*D4</f>
        <v>0.66635783345624111</v>
      </c>
      <c r="J12" s="1"/>
      <c r="K12" s="1"/>
      <c r="L12" s="1"/>
      <c r="M12" s="235"/>
      <c r="N12" s="97">
        <f>B12+I12</f>
        <v>0.99999999999998179</v>
      </c>
      <c r="R12" s="267">
        <f>B12-I12</f>
        <v>-0.33271566691250043</v>
      </c>
      <c r="S12" s="268">
        <f>IF(Rules!B20=Rules!D20,SUM(C12:H12)*B4*F4,SUM(C12:H12)*B4*F4*POWER(O2,A12-1))</f>
        <v>1352.6139863560202</v>
      </c>
      <c r="T12" s="253">
        <f>IF(Rules!B20=Rules!D20,SUM(C12:H12)*D4*H4,SUM(C12:H12)*D4*H4*POWER(O2,A12-1))</f>
        <v>-4055.6898416788194</v>
      </c>
      <c r="U12" s="264">
        <f t="shared" si="0"/>
        <v>-9060.389578407603</v>
      </c>
      <c r="V12" s="93">
        <f>S12/B4</f>
        <v>5402.952733546309</v>
      </c>
      <c r="W12" s="9">
        <f>T12/D4</f>
        <v>-5410.0908304806453</v>
      </c>
    </row>
    <row r="13" spans="1:23">
      <c r="A13" s="98">
        <v>7</v>
      </c>
      <c r="B13" s="97">
        <f>C13*B4</f>
        <v>0.33384778338120236</v>
      </c>
      <c r="C13" s="97">
        <f>1/(1-D4*B4/(1-D4*B4/(1-D4*B4/(1-D4*B4/(1-D4*B4/(1-D4*B4))))))</f>
        <v>1.3335392151808465</v>
      </c>
      <c r="D13" s="128">
        <f>C13*D4*C12</f>
        <v>1.332306654067021</v>
      </c>
      <c r="E13" s="1">
        <f>D13*D4*C11</f>
        <v>1.3286158079808894</v>
      </c>
      <c r="F13" s="1">
        <f>E13*D4*C10</f>
        <v>1.3175637435609211</v>
      </c>
      <c r="G13" s="1">
        <f>F13*D4*C9</f>
        <v>1.284468858243921</v>
      </c>
      <c r="H13" s="1">
        <f>G13*D4*C8</f>
        <v>1.185367786034569</v>
      </c>
      <c r="I13" s="1">
        <f>H13*D4</f>
        <v>0.88861430225684501</v>
      </c>
      <c r="J13" s="1">
        <f>I13*D4</f>
        <v>0.66615221661877633</v>
      </c>
      <c r="K13" s="1"/>
      <c r="L13" s="1"/>
      <c r="M13" s="235"/>
      <c r="N13" s="97">
        <f>B13+J13</f>
        <v>0.99999999999997868</v>
      </c>
      <c r="R13" s="267">
        <f>B13-J13</f>
        <v>-0.33230443323757397</v>
      </c>
      <c r="S13" s="268">
        <f>IF(Rules!B20=Rules!D20,SUM(C13:I13)*B4*F4,SUM(C13:I13)*B4*F4*POWER(O2,A13-1))</f>
        <v>1597.9677256606569</v>
      </c>
      <c r="T13" s="253">
        <f>IF(Rules!B20=Rules!D20,SUM(C13:I13)*D4*H4,SUM(C13:I13)*D4*H4*POWER(O2,A13-1))</f>
        <v>-4791.360682105731</v>
      </c>
      <c r="U13" s="264">
        <f t="shared" si="0"/>
        <v>-12253.782534852677</v>
      </c>
      <c r="V13" s="93">
        <f>S13/B4</f>
        <v>6383.0066660308403</v>
      </c>
      <c r="W13" s="9">
        <f>T13/D4</f>
        <v>-6391.4395586659639</v>
      </c>
    </row>
    <row r="14" spans="1:23">
      <c r="A14" s="98">
        <v>8</v>
      </c>
      <c r="B14" s="97">
        <f>C14*B4</f>
        <v>0.33391642103373753</v>
      </c>
      <c r="C14" s="97">
        <f>1/(1-D4*B4/(1-D4*B4/(1-D4*B4/(1-D4*B4/(1-D4*B4/(1-D4*B4/(1-D4*B4)))))))</f>
        <v>1.3338133850446288</v>
      </c>
      <c r="D14" s="128">
        <f>C14*D4*C13</f>
        <v>1.3334018126487905</v>
      </c>
      <c r="E14" s="1">
        <f>D14*D4*C12</f>
        <v>1.3321693785331186</v>
      </c>
      <c r="F14" s="1">
        <f>E14*D4*C11</f>
        <v>1.3284789127369643</v>
      </c>
      <c r="G14" s="1">
        <f>F14*D4*C10</f>
        <v>1.3174279870773853</v>
      </c>
      <c r="H14" s="1">
        <f>G14*D4*C9</f>
        <v>1.2843365117246284</v>
      </c>
      <c r="I14" s="1">
        <f>H14*D4*C8</f>
        <v>1.1852456504922737</v>
      </c>
      <c r="J14" s="1">
        <f>I14*D4</f>
        <v>0.88852274300327305</v>
      </c>
      <c r="K14" s="1">
        <f>J14*D4</f>
        <v>0.66608357896623793</v>
      </c>
      <c r="L14" s="1"/>
      <c r="M14" s="235"/>
      <c r="N14" s="97">
        <f>B14+K14</f>
        <v>0.99999999999997546</v>
      </c>
      <c r="R14" s="267">
        <f>B14-K14</f>
        <v>-0.3321671579325004</v>
      </c>
      <c r="S14" s="268">
        <f>IF(Rules!B20=Rules!D20,SUM(C14:J14)*B4*F4,SUM(C14:J14)*B4*F4*POWER(O2,A14-1))</f>
        <v>1843.6247199157592</v>
      </c>
      <c r="T14" s="253">
        <f>IF(Rules!B20=Rules!D20,SUM(C14:J14)*D4*H4,SUM(C14:J14)*D4*H4*POWER(O2,A14-1))</f>
        <v>-5527.9408048810783</v>
      </c>
      <c r="U14" s="264">
        <f t="shared" si="0"/>
        <v>-15938.098619817996</v>
      </c>
      <c r="V14" s="93">
        <f>S14/B4</f>
        <v>7364.2719361032623</v>
      </c>
      <c r="W14" s="9">
        <f>T14/D4</f>
        <v>-7374.0012247946715</v>
      </c>
    </row>
    <row r="15" spans="1:23">
      <c r="A15" s="98">
        <v>9</v>
      </c>
      <c r="B15" s="97">
        <f>C15*B4</f>
        <v>0.33393933948442034</v>
      </c>
      <c r="C15" s="97">
        <f>1/(1-D4*B4/(1-D4*B4/(1-D4*B4/(1-D4*B4/(1-D4*B4/(1-D4*B4/(1-D4*B4/(1-D4*B4))))))))</f>
        <v>1.333904931714273</v>
      </c>
      <c r="D15" s="128">
        <f>C15*D4*C14</f>
        <v>1.3337674915002524</v>
      </c>
      <c r="E15" s="1">
        <f>D15*D4*C13</f>
        <v>1.3333559332657026</v>
      </c>
      <c r="F15" s="1">
        <f>E15*D4*C12</f>
        <v>1.3321235415553403</v>
      </c>
      <c r="G15" s="1">
        <f>F15*D4*C11</f>
        <v>1.3284332027398846</v>
      </c>
      <c r="H15" s="1">
        <f>G15*D4*C10</f>
        <v>1.3173826573180156</v>
      </c>
      <c r="I15" s="1">
        <f>H15*D4*C9</f>
        <v>1.2842923205691366</v>
      </c>
      <c r="J15" s="1">
        <f>I15*D4*C8</f>
        <v>1.1852048688323591</v>
      </c>
      <c r="K15" s="1">
        <f>J15*D4</f>
        <v>0.88849217091695787</v>
      </c>
      <c r="L15" s="1">
        <f>K15*D4</f>
        <v>0.66606066051555146</v>
      </c>
      <c r="M15" s="235"/>
      <c r="N15" s="97">
        <f>B15+L15</f>
        <v>0.9999999999999718</v>
      </c>
      <c r="R15" s="267">
        <f>B15-L15</f>
        <v>-0.33212132103113112</v>
      </c>
      <c r="S15" s="268">
        <f>IF(Rules!B20=Rules!D20,SUM(C15:K15)*B4*F4,SUM(C15:K15)*B4*F4*POWER(O2,A15-1))</f>
        <v>2089.3997993803669</v>
      </c>
      <c r="T15" s="253">
        <f>IF(Rules!B20=Rules!D20,SUM(C15:K15)*D4*H4,SUM(C15:K15)*D4*H4*POWER(O2,A15-1))</f>
        <v>-6264.8749954018986</v>
      </c>
      <c r="U15" s="264">
        <f t="shared" si="0"/>
        <v>-20113.573815839529</v>
      </c>
      <c r="V15" s="93">
        <f>S15/B4</f>
        <v>8346.0088919721657</v>
      </c>
      <c r="W15" s="9">
        <f>T15/D4</f>
        <v>-8357.0351998863243</v>
      </c>
    </row>
    <row r="16" spans="1:23" ht="17" thickBot="1">
      <c r="A16" s="99">
        <v>10</v>
      </c>
      <c r="B16" s="129">
        <f>C16*B4</f>
        <v>0.33394699276876333</v>
      </c>
      <c r="C16" s="129">
        <f>1/(1-D4*B4/(1-D4*B4/(1-D4*B4/(1-D4*B4/(1-D4*B4/(1-D4*B4/(1-D4*B4/(1-D4*B4/(1-D4*B4)))))))))</f>
        <v>1.3339355023973938</v>
      </c>
      <c r="D16" s="137">
        <f>C16*D4*C15</f>
        <v>1.3338896046512316</v>
      </c>
      <c r="E16" s="109">
        <f>D16*D4*C14</f>
        <v>1.33375216601645</v>
      </c>
      <c r="F16" s="109">
        <f>E16*D4*C13</f>
        <v>1.3333406125108571</v>
      </c>
      <c r="G16" s="109">
        <f>F16*D4*C12</f>
        <v>1.3321082349611333</v>
      </c>
      <c r="H16" s="109">
        <f>G16*D4*C11</f>
        <v>1.3284179385490411</v>
      </c>
      <c r="I16" s="109">
        <f>H16*D4*C10</f>
        <v>1.3173675201020429</v>
      </c>
      <c r="J16" s="109">
        <f>I16*D4*C9</f>
        <v>1.284277563573422</v>
      </c>
      <c r="K16" s="109">
        <f>J16*D4*C8</f>
        <v>1.1851912503882636</v>
      </c>
      <c r="L16" s="109">
        <f>K16*D4</f>
        <v>0.88848196181195238</v>
      </c>
      <c r="M16" s="237">
        <f>L16*D4</f>
        <v>0.66605300723120553</v>
      </c>
      <c r="N16" s="129">
        <f>B16+M16</f>
        <v>0.99999999999996891</v>
      </c>
      <c r="R16" s="269">
        <f>B16-M16</f>
        <v>-0.3321060144624422</v>
      </c>
      <c r="S16" s="270">
        <f>IF(Rules!B20=Rules!D20,SUM(C16:L16)*B4*F4,SUM(C16:L16)*B4*F4*POWER(O2,A16-1))</f>
        <v>2335.2199400540708</v>
      </c>
      <c r="T16" s="254">
        <f>IF(Rules!B20=Rules!D20,SUM(C16:L16)*D4*H4,SUM(C16:L16)*D4*H4*POWER(O2,A16-1))</f>
        <v>-7001.9442978540092</v>
      </c>
      <c r="U16" s="264">
        <f t="shared" si="0"/>
        <v>-24780.298173639465</v>
      </c>
      <c r="V16" s="94">
        <f>S16/B4</f>
        <v>9327.9258427141976</v>
      </c>
      <c r="W16" s="10">
        <f>T16/D4</f>
        <v>-9340.2494076508628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10</v>
      </c>
      <c r="D21" s="57">
        <f>SUM($C$21:C21)</f>
        <v>10</v>
      </c>
      <c r="E21" s="57">
        <f t="shared" ref="E21:E30" si="2">D21/R7</f>
        <v>-20.027813111206637</v>
      </c>
      <c r="F21" s="8">
        <f t="shared" ref="F21:F30" si="3">U7/E21</f>
        <v>18.389752067088516</v>
      </c>
      <c r="G21" s="256">
        <f>E21*U7</f>
        <v>7376.3741013525496</v>
      </c>
    </row>
    <row r="22" spans="1:7">
      <c r="A22" s="97">
        <v>2</v>
      </c>
      <c r="B22" s="93">
        <f>C21</f>
        <v>10</v>
      </c>
      <c r="C22" s="1">
        <f t="shared" si="1"/>
        <v>100</v>
      </c>
      <c r="D22" s="9">
        <f>SUM($C$21:C22)</f>
        <v>110</v>
      </c>
      <c r="E22" s="9">
        <f t="shared" si="2"/>
        <v>-286.73522031054267</v>
      </c>
      <c r="F22" s="9">
        <f t="shared" si="3"/>
        <v>4.0511036049626226</v>
      </c>
      <c r="G22" s="257">
        <f t="shared" ref="G22:G30" si="4">E22*U8</f>
        <v>333069.93577921577</v>
      </c>
    </row>
    <row r="23" spans="1:7">
      <c r="A23" s="97">
        <v>3</v>
      </c>
      <c r="B23" s="93">
        <f t="shared" ref="B23:B30" si="5">C22</f>
        <v>100</v>
      </c>
      <c r="C23" s="1">
        <f t="shared" si="1"/>
        <v>1000</v>
      </c>
      <c r="D23" s="9">
        <f>SUM($C$21:C23)</f>
        <v>1110</v>
      </c>
      <c r="E23" s="9">
        <f t="shared" si="2"/>
        <v>-3181.6566363615534</v>
      </c>
      <c r="F23" s="9">
        <f t="shared" si="3"/>
        <v>0.75869839545373929</v>
      </c>
      <c r="G23" s="257">
        <f t="shared" si="4"/>
        <v>7680257.5399336135</v>
      </c>
    </row>
    <row r="24" spans="1:7">
      <c r="A24" s="97">
        <v>4</v>
      </c>
      <c r="B24" s="93">
        <f t="shared" si="5"/>
        <v>1000</v>
      </c>
      <c r="C24" s="1">
        <f t="shared" si="1"/>
        <v>10000</v>
      </c>
      <c r="D24" s="9">
        <f>SUM($C$21:C24)</f>
        <v>11110</v>
      </c>
      <c r="E24" s="9">
        <f t="shared" si="2"/>
        <v>-32903.47876999963</v>
      </c>
      <c r="F24" s="9">
        <f t="shared" si="3"/>
        <v>0.12591495192061991</v>
      </c>
      <c r="G24" s="257">
        <f t="shared" si="4"/>
        <v>136320426.9507477</v>
      </c>
    </row>
    <row r="25" spans="1:7">
      <c r="A25" s="97">
        <v>5</v>
      </c>
      <c r="B25" s="93">
        <f t="shared" si="5"/>
        <v>10000</v>
      </c>
      <c r="C25" s="1">
        <f t="shared" si="1"/>
        <v>100000</v>
      </c>
      <c r="D25" s="9">
        <f>SUM($C$21:C25)</f>
        <v>111110</v>
      </c>
      <c r="E25" s="9">
        <f t="shared" si="2"/>
        <v>-332715.8666475463</v>
      </c>
      <c r="F25" s="9">
        <f t="shared" si="3"/>
        <v>1.9107335598813672E-2</v>
      </c>
      <c r="G25" s="257">
        <f t="shared" si="4"/>
        <v>2115179144.9264998</v>
      </c>
    </row>
    <row r="26" spans="1:7">
      <c r="A26" s="97">
        <v>6</v>
      </c>
      <c r="B26" s="93">
        <f t="shared" si="5"/>
        <v>100000</v>
      </c>
      <c r="C26" s="1">
        <f t="shared" si="1"/>
        <v>1000000</v>
      </c>
      <c r="D26" s="9">
        <f>SUM($C$21:C26)</f>
        <v>1111110</v>
      </c>
      <c r="E26" s="9">
        <f t="shared" si="2"/>
        <v>-3339518.1246220255</v>
      </c>
      <c r="F26" s="9">
        <f t="shared" si="3"/>
        <v>2.713082918043177E-3</v>
      </c>
      <c r="G26" s="257">
        <f t="shared" si="4"/>
        <v>30257335213.228703</v>
      </c>
    </row>
    <row r="27" spans="1:7">
      <c r="A27" s="97">
        <v>7</v>
      </c>
      <c r="B27" s="93">
        <f t="shared" si="5"/>
        <v>1000000</v>
      </c>
      <c r="C27" s="1">
        <f t="shared" si="1"/>
        <v>10000000</v>
      </c>
      <c r="D27" s="9">
        <f>SUM($C$21:C27)</f>
        <v>11111110</v>
      </c>
      <c r="E27" s="9">
        <f t="shared" si="2"/>
        <v>-33436538.573219541</v>
      </c>
      <c r="F27" s="9">
        <f t="shared" si="3"/>
        <v>3.664788000713431E-4</v>
      </c>
      <c r="G27" s="257">
        <f t="shared" si="4"/>
        <v>409724072394.44543</v>
      </c>
    </row>
    <row r="28" spans="1:7">
      <c r="A28" s="97">
        <v>8</v>
      </c>
      <c r="B28" s="93">
        <f t="shared" si="5"/>
        <v>10000000</v>
      </c>
      <c r="C28" s="1">
        <f t="shared" si="1"/>
        <v>100000000</v>
      </c>
      <c r="D28" s="9">
        <f>SUM($C$21:C28)</f>
        <v>111111110</v>
      </c>
      <c r="E28" s="9">
        <f t="shared" si="2"/>
        <v>-334503599.60805899</v>
      </c>
      <c r="F28" s="9">
        <f t="shared" si="3"/>
        <v>4.7647016769005821E-5</v>
      </c>
      <c r="G28" s="257">
        <f t="shared" si="4"/>
        <v>5331351359237.3564</v>
      </c>
    </row>
    <row r="29" spans="1:7">
      <c r="A29" s="97">
        <v>9</v>
      </c>
      <c r="B29" s="93">
        <f t="shared" si="5"/>
        <v>100000000</v>
      </c>
      <c r="C29" s="1">
        <f t="shared" si="1"/>
        <v>1000000000</v>
      </c>
      <c r="D29" s="9">
        <f>SUM($C$21:C29)</f>
        <v>1111111110</v>
      </c>
      <c r="E29" s="9">
        <f t="shared" si="2"/>
        <v>-3345497683.046524</v>
      </c>
      <c r="F29" s="9">
        <f t="shared" si="3"/>
        <v>6.012132041748546E-6</v>
      </c>
      <c r="G29" s="257">
        <f t="shared" si="4"/>
        <v>67289914598676.375</v>
      </c>
    </row>
    <row r="30" spans="1:7" ht="17" thickBot="1">
      <c r="A30" s="129">
        <v>10</v>
      </c>
      <c r="B30" s="94">
        <f t="shared" si="5"/>
        <v>1000000000</v>
      </c>
      <c r="C30" s="109">
        <f t="shared" si="1"/>
        <v>10000000000</v>
      </c>
      <c r="D30" s="10">
        <f>SUM($C$21:C30)</f>
        <v>11111111110</v>
      </c>
      <c r="E30" s="10">
        <f t="shared" si="2"/>
        <v>-33456518780.561119</v>
      </c>
      <c r="F30" s="10">
        <f t="shared" si="3"/>
        <v>7.4067174580151758E-7</v>
      </c>
      <c r="G30" s="258">
        <f t="shared" si="4"/>
        <v>829062511234273.12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10</v>
      </c>
      <c r="D33" s="57">
        <f>SUM($C$33:C33)</f>
        <v>10</v>
      </c>
      <c r="E33" s="9">
        <f t="shared" ref="E33:E42" si="7">D33/R7</f>
        <v>-20.027813111206637</v>
      </c>
      <c r="F33" s="8">
        <f t="shared" ref="F33:F42" si="8">U7/E33</f>
        <v>18.389752067088516</v>
      </c>
      <c r="G33" s="259">
        <f>E33*U7</f>
        <v>7376.3741013525496</v>
      </c>
    </row>
    <row r="34" spans="1:7">
      <c r="A34" s="97">
        <v>2</v>
      </c>
      <c r="B34" s="93">
        <f t="shared" ref="B34:B42" si="9">B33*($O$2+1)</f>
        <v>11</v>
      </c>
      <c r="C34" s="1">
        <f t="shared" si="6"/>
        <v>110</v>
      </c>
      <c r="D34" s="9">
        <f>SUM($C$33:C34)</f>
        <v>120</v>
      </c>
      <c r="E34" s="9">
        <f t="shared" si="7"/>
        <v>-312.80205852059203</v>
      </c>
      <c r="F34" s="9">
        <f t="shared" si="8"/>
        <v>3.7135116378824042</v>
      </c>
      <c r="G34" s="257">
        <f t="shared" ref="G34:G42" si="10">E34*U8</f>
        <v>363349.02085005358</v>
      </c>
    </row>
    <row r="35" spans="1:7">
      <c r="A35" s="97">
        <v>3</v>
      </c>
      <c r="B35" s="93">
        <f t="shared" si="9"/>
        <v>121</v>
      </c>
      <c r="C35" s="1">
        <f t="shared" si="6"/>
        <v>1210</v>
      </c>
      <c r="D35" s="9">
        <f>SUM($C$33:C35)</f>
        <v>1330</v>
      </c>
      <c r="E35" s="9">
        <f t="shared" si="7"/>
        <v>-3812.2552489737532</v>
      </c>
      <c r="F35" s="9">
        <f t="shared" si="8"/>
        <v>0.63319941274710567</v>
      </c>
      <c r="G35" s="257">
        <f t="shared" si="10"/>
        <v>9202470.7460465822</v>
      </c>
    </row>
    <row r="36" spans="1:7">
      <c r="A36" s="97">
        <v>4</v>
      </c>
      <c r="B36" s="93">
        <f t="shared" si="9"/>
        <v>1331</v>
      </c>
      <c r="C36" s="1">
        <f t="shared" si="6"/>
        <v>13310</v>
      </c>
      <c r="D36" s="9">
        <f>SUM($C$33:C36)</f>
        <v>14640</v>
      </c>
      <c r="E36" s="9">
        <f t="shared" si="7"/>
        <v>-43357.959423293847</v>
      </c>
      <c r="F36" s="9">
        <f t="shared" si="8"/>
        <v>9.5554311191126173E-2</v>
      </c>
      <c r="G36" s="257">
        <f t="shared" si="10"/>
        <v>179633757.92609781</v>
      </c>
    </row>
    <row r="37" spans="1:7">
      <c r="A37" s="97">
        <v>5</v>
      </c>
      <c r="B37" s="93">
        <f t="shared" si="9"/>
        <v>14641</v>
      </c>
      <c r="C37" s="1">
        <f t="shared" si="6"/>
        <v>146410</v>
      </c>
      <c r="D37" s="9">
        <f>SUM($C$33:C37)</f>
        <v>161050</v>
      </c>
      <c r="E37" s="9">
        <f t="shared" si="7"/>
        <v>-482259.8355106411</v>
      </c>
      <c r="F37" s="9">
        <f t="shared" si="8"/>
        <v>1.3182341250445123E-2</v>
      </c>
      <c r="G37" s="257">
        <f t="shared" si="10"/>
        <v>3065877070.384419</v>
      </c>
    </row>
    <row r="38" spans="1:7">
      <c r="A38" s="97">
        <v>6</v>
      </c>
      <c r="B38" s="93">
        <f t="shared" si="9"/>
        <v>161051</v>
      </c>
      <c r="C38" s="1">
        <f t="shared" si="6"/>
        <v>1610510</v>
      </c>
      <c r="D38" s="9">
        <f>SUM($C$33:C38)</f>
        <v>1771560</v>
      </c>
      <c r="E38" s="9">
        <f t="shared" si="7"/>
        <v>-5324546.3805162366</v>
      </c>
      <c r="F38" s="9">
        <f t="shared" si="8"/>
        <v>1.7016265670183083E-3</v>
      </c>
      <c r="G38" s="257">
        <f t="shared" si="10"/>
        <v>48242464535.777237</v>
      </c>
    </row>
    <row r="39" spans="1:7">
      <c r="A39" s="97">
        <v>7</v>
      </c>
      <c r="B39" s="93">
        <f t="shared" si="9"/>
        <v>1771561</v>
      </c>
      <c r="C39" s="1">
        <f t="shared" si="6"/>
        <v>17715610</v>
      </c>
      <c r="D39" s="9">
        <f>SUM($C$33:C39)</f>
        <v>19487170</v>
      </c>
      <c r="E39" s="9">
        <f t="shared" si="7"/>
        <v>-58642521.889161989</v>
      </c>
      <c r="F39" s="9">
        <f t="shared" si="8"/>
        <v>2.0895729140048047E-4</v>
      </c>
      <c r="G39" s="257">
        <f t="shared" si="10"/>
        <v>718592710525.12903</v>
      </c>
    </row>
    <row r="40" spans="1:7">
      <c r="A40" s="97">
        <v>8</v>
      </c>
      <c r="B40" s="93">
        <f t="shared" si="9"/>
        <v>19487171</v>
      </c>
      <c r="C40" s="1">
        <f t="shared" si="6"/>
        <v>194871710</v>
      </c>
      <c r="D40" s="9">
        <f>SUM($C$33:C40)</f>
        <v>214358880</v>
      </c>
      <c r="E40" s="9">
        <f t="shared" si="7"/>
        <v>-645334359.16491127</v>
      </c>
      <c r="F40" s="9">
        <f t="shared" si="8"/>
        <v>2.4697427610150093E-5</v>
      </c>
      <c r="G40" s="257">
        <f t="shared" si="10"/>
        <v>10285402659127.404</v>
      </c>
    </row>
    <row r="41" spans="1:7">
      <c r="A41" s="97">
        <v>9</v>
      </c>
      <c r="B41" s="93">
        <f t="shared" si="9"/>
        <v>214358881</v>
      </c>
      <c r="C41" s="1">
        <f t="shared" si="6"/>
        <v>2143588810</v>
      </c>
      <c r="D41" s="9">
        <f>SUM($C$33:C41)</f>
        <v>2357947690</v>
      </c>
      <c r="E41" s="9">
        <f t="shared" si="7"/>
        <v>-7099657687.3755713</v>
      </c>
      <c r="F41" s="9">
        <f t="shared" si="8"/>
        <v>2.8330343097534079E-6</v>
      </c>
      <c r="G41" s="257">
        <f t="shared" si="10"/>
        <v>142799488962221.12</v>
      </c>
    </row>
    <row r="42" spans="1:7" ht="17" thickBot="1">
      <c r="A42" s="129">
        <v>10</v>
      </c>
      <c r="B42" s="94">
        <f t="shared" si="9"/>
        <v>2357947691</v>
      </c>
      <c r="C42" s="109">
        <f t="shared" si="6"/>
        <v>23579476910</v>
      </c>
      <c r="D42" s="10">
        <f>SUM($C$33:C42)</f>
        <v>25937424600</v>
      </c>
      <c r="E42" s="9">
        <f t="shared" si="7"/>
        <v>-78099834000.245895</v>
      </c>
      <c r="F42" s="10">
        <f t="shared" si="8"/>
        <v>3.1729002360698289E-7</v>
      </c>
      <c r="G42" s="258">
        <f t="shared" si="10"/>
        <v>1935337173837838.8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10</v>
      </c>
      <c r="D45" s="57">
        <f>SUM(C45:C45)</f>
        <v>10</v>
      </c>
      <c r="E45" s="57">
        <f t="shared" ref="E45:E54" si="12">D45/R7</f>
        <v>-20.027813111206637</v>
      </c>
      <c r="F45" s="8">
        <f t="shared" ref="F45:F54" si="13">U7/E45</f>
        <v>18.389752067088516</v>
      </c>
      <c r="G45" s="256">
        <f>E45*U7</f>
        <v>7376.3741013525496</v>
      </c>
    </row>
    <row r="46" spans="1:7">
      <c r="A46" s="97">
        <v>2</v>
      </c>
      <c r="B46" s="93">
        <f t="shared" ref="B46:B54" si="14">B45*$O$2*2</f>
        <v>20</v>
      </c>
      <c r="C46" s="1">
        <f t="shared" si="11"/>
        <v>200</v>
      </c>
      <c r="D46" s="9">
        <f>SUM($C$45:C46)</f>
        <v>210</v>
      </c>
      <c r="E46" s="9">
        <f t="shared" si="12"/>
        <v>-547.40360241103599</v>
      </c>
      <c r="F46" s="9">
        <f t="shared" si="13"/>
        <v>2.1220066502185166</v>
      </c>
      <c r="G46" s="257">
        <f t="shared" ref="G46:G54" si="15">E46*U8</f>
        <v>635860.78648759366</v>
      </c>
    </row>
    <row r="47" spans="1:7">
      <c r="A47" s="97">
        <v>3</v>
      </c>
      <c r="B47" s="93">
        <f t="shared" si="14"/>
        <v>400</v>
      </c>
      <c r="C47" s="1">
        <f t="shared" si="11"/>
        <v>4000</v>
      </c>
      <c r="D47" s="9">
        <f>SUM($C$45:C47)</f>
        <v>4210</v>
      </c>
      <c r="E47" s="9">
        <f t="shared" si="12"/>
        <v>-12067.36435953346</v>
      </c>
      <c r="F47" s="9">
        <f t="shared" si="13"/>
        <v>0.20003686911013077</v>
      </c>
      <c r="G47" s="257">
        <f t="shared" si="15"/>
        <v>29129625.444252715</v>
      </c>
    </row>
    <row r="48" spans="1:7">
      <c r="A48" s="97">
        <v>4</v>
      </c>
      <c r="B48" s="93">
        <f t="shared" si="14"/>
        <v>8000</v>
      </c>
      <c r="C48" s="1">
        <f t="shared" si="11"/>
        <v>80000</v>
      </c>
      <c r="D48" s="9">
        <f>SUM($C$45:C48)</f>
        <v>84210</v>
      </c>
      <c r="E48" s="9">
        <f t="shared" si="12"/>
        <v>-249397.11496144635</v>
      </c>
      <c r="F48" s="9">
        <f t="shared" si="13"/>
        <v>1.6612220826957454E-2</v>
      </c>
      <c r="G48" s="257">
        <f t="shared" si="15"/>
        <v>1033262210.0380256</v>
      </c>
    </row>
    <row r="49" spans="1:7">
      <c r="A49" s="97">
        <v>5</v>
      </c>
      <c r="B49" s="93">
        <f t="shared" si="14"/>
        <v>160000</v>
      </c>
      <c r="C49" s="1">
        <f t="shared" si="11"/>
        <v>1600000</v>
      </c>
      <c r="D49" s="9">
        <f>SUM($C$45:C49)</f>
        <v>1684210</v>
      </c>
      <c r="E49" s="9">
        <f t="shared" si="12"/>
        <v>-5043320.941107587</v>
      </c>
      <c r="F49" s="9">
        <f t="shared" si="13"/>
        <v>1.2605411785847295E-3</v>
      </c>
      <c r="G49" s="257">
        <f t="shared" si="15"/>
        <v>32061973428.824234</v>
      </c>
    </row>
    <row r="50" spans="1:7">
      <c r="A50" s="97">
        <v>6</v>
      </c>
      <c r="B50" s="93">
        <f t="shared" si="14"/>
        <v>3200000</v>
      </c>
      <c r="C50" s="1">
        <f t="shared" si="11"/>
        <v>32000000</v>
      </c>
      <c r="D50" s="9">
        <f>SUM($C$45:C50)</f>
        <v>33684210</v>
      </c>
      <c r="E50" s="9">
        <f t="shared" si="12"/>
        <v>-101240228.06794511</v>
      </c>
      <c r="F50" s="9">
        <f t="shared" si="13"/>
        <v>8.9493966492518428E-5</v>
      </c>
      <c r="G50" s="257">
        <f t="shared" si="15"/>
        <v>917275907302.4187</v>
      </c>
    </row>
    <row r="51" spans="1:7">
      <c r="A51" s="97">
        <v>7</v>
      </c>
      <c r="B51" s="93">
        <f t="shared" si="14"/>
        <v>64000000</v>
      </c>
      <c r="C51" s="1">
        <f t="shared" si="11"/>
        <v>640000000</v>
      </c>
      <c r="D51" s="9">
        <f>SUM($C$45:C51)</f>
        <v>673684210</v>
      </c>
      <c r="E51" s="9">
        <f t="shared" si="12"/>
        <v>-2027310329.376087</v>
      </c>
      <c r="F51" s="9">
        <f t="shared" si="13"/>
        <v>6.0443546097966303E-6</v>
      </c>
      <c r="G51" s="257">
        <f t="shared" si="15"/>
        <v>24842219906835.121</v>
      </c>
    </row>
    <row r="52" spans="1:7">
      <c r="A52" s="97">
        <v>8</v>
      </c>
      <c r="B52" s="93">
        <f t="shared" si="14"/>
        <v>1280000000</v>
      </c>
      <c r="C52" s="1">
        <f t="shared" si="11"/>
        <v>12800000000</v>
      </c>
      <c r="D52" s="9">
        <f>SUM($C$45:C52)</f>
        <v>13473684210</v>
      </c>
      <c r="E52" s="9">
        <f t="shared" si="12"/>
        <v>-40562963219.675026</v>
      </c>
      <c r="F52" s="9">
        <f t="shared" si="13"/>
        <v>3.9292244339997422E-7</v>
      </c>
      <c r="G52" s="257">
        <f t="shared" si="15"/>
        <v>646496508107230.62</v>
      </c>
    </row>
    <row r="53" spans="1:7">
      <c r="A53" s="97">
        <v>9</v>
      </c>
      <c r="B53" s="93">
        <f t="shared" si="14"/>
        <v>25600000000</v>
      </c>
      <c r="C53" s="1">
        <f t="shared" si="11"/>
        <v>256000000000</v>
      </c>
      <c r="D53" s="9">
        <f>SUM($C$45:C53)</f>
        <v>269473684210</v>
      </c>
      <c r="E53" s="9">
        <f t="shared" si="12"/>
        <v>-811371228361.2804</v>
      </c>
      <c r="F53" s="9">
        <f t="shared" si="13"/>
        <v>2.4789606918232415E-8</v>
      </c>
      <c r="G53" s="257">
        <f t="shared" si="15"/>
        <v>1.6319575093693004E+16</v>
      </c>
    </row>
    <row r="54" spans="1:7" ht="17" thickBot="1">
      <c r="A54" s="129">
        <v>10</v>
      </c>
      <c r="B54" s="94">
        <f t="shared" si="14"/>
        <v>512000000000</v>
      </c>
      <c r="C54" s="109">
        <f t="shared" si="11"/>
        <v>5120000000000</v>
      </c>
      <c r="D54" s="10">
        <f>SUM($C$45:C54)</f>
        <v>5389473684210</v>
      </c>
      <c r="E54" s="10">
        <f t="shared" si="12"/>
        <v>-16228172479602.879</v>
      </c>
      <c r="F54" s="10">
        <f t="shared" si="13"/>
        <v>1.5269925313392939E-9</v>
      </c>
      <c r="G54" s="258">
        <f t="shared" si="15"/>
        <v>4.0213895285780947E+17</v>
      </c>
    </row>
  </sheetData>
  <mergeCells count="1">
    <mergeCell ref="A18:F18"/>
  </mergeCells>
  <conditionalFormatting sqref="F45:F54">
    <cfRule type="cellIs" dxfId="137" priority="33" operator="equal">
      <formula>MAX($F$45:$F$54)</formula>
    </cfRule>
  </conditionalFormatting>
  <conditionalFormatting sqref="F21:F30">
    <cfRule type="cellIs" dxfId="136" priority="32" operator="equal">
      <formula>MAX($F$21:$F$30)</formula>
    </cfRule>
  </conditionalFormatting>
  <conditionalFormatting sqref="E33:E42">
    <cfRule type="cellIs" dxfId="135" priority="30" stopIfTrue="1" operator="lessThan">
      <formula>0</formula>
    </cfRule>
    <cfRule type="cellIs" dxfId="134" priority="31" operator="equal">
      <formula>MIN($E$33:$E$42)</formula>
    </cfRule>
  </conditionalFormatting>
  <conditionalFormatting sqref="E21:E30">
    <cfRule type="cellIs" dxfId="133" priority="28" stopIfTrue="1" operator="lessThan">
      <formula>0</formula>
    </cfRule>
    <cfRule type="cellIs" dxfId="132" priority="29" operator="equal">
      <formula>MIN($E$21:$E$30)</formula>
    </cfRule>
  </conditionalFormatting>
  <conditionalFormatting sqref="E45:E54">
    <cfRule type="cellIs" dxfId="131" priority="26" stopIfTrue="1" operator="lessThan">
      <formula>0</formula>
    </cfRule>
    <cfRule type="cellIs" dxfId="130" priority="27" operator="equal">
      <formula>MIN($E$45:$E$54)</formula>
    </cfRule>
  </conditionalFormatting>
  <conditionalFormatting sqref="F33:F42">
    <cfRule type="cellIs" dxfId="129" priority="24" operator="lessThanOrEqual">
      <formula>0</formula>
    </cfRule>
    <cfRule type="cellIs" dxfId="128" priority="25" operator="equal">
      <formula>MAX($F$33:$F$42)</formula>
    </cfRule>
  </conditionalFormatting>
  <conditionalFormatting sqref="R7:R16">
    <cfRule type="cellIs" dxfId="127" priority="22" operator="lessThanOrEqual">
      <formula>0</formula>
    </cfRule>
    <cfRule type="cellIs" dxfId="126" priority="23" operator="greaterThan">
      <formula>0</formula>
    </cfRule>
  </conditionalFormatting>
  <conditionalFormatting sqref="U7:U16">
    <cfRule type="cellIs" dxfId="125" priority="7" operator="lessThanOrEqual">
      <formula>0</formula>
    </cfRule>
    <cfRule type="cellIs" dxfId="124" priority="8" operator="greaterThan">
      <formula>0</formula>
    </cfRule>
  </conditionalFormatting>
  <conditionalFormatting sqref="S7:T16">
    <cfRule type="cellIs" dxfId="123" priority="1" operator="lessThanOrEqual">
      <formula>0</formula>
    </cfRule>
    <cfRule type="cellIs" dxfId="12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54"/>
  <sheetViews>
    <sheetView topLeftCell="A17" workbookViewId="0">
      <selection activeCell="B38" sqref="B38"/>
    </sheetView>
  </sheetViews>
  <sheetFormatPr baseColWidth="10" defaultColWidth="8.83203125" defaultRowHeight="16"/>
  <cols>
    <col min="14" max="24" width="4" style="31" customWidth="1"/>
  </cols>
  <sheetData>
    <row r="1" spans="1:24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>
      <c r="A2">
        <v>2</v>
      </c>
      <c r="B2">
        <f>MAX(Hit!B2,Stand!B2)</f>
        <v>-0.34456837192534162</v>
      </c>
      <c r="C2">
        <f>MAX(Hit!C2,Stand!C2)</f>
        <v>-7.6036139649632559E-2</v>
      </c>
      <c r="D2">
        <f>MAX(Hit!D2,Stand!D2)</f>
        <v>-4.9887284329707869E-2</v>
      </c>
      <c r="E2">
        <f>MAX(Hit!E2,Stand!E2)</f>
        <v>-2.016020969670709E-2</v>
      </c>
      <c r="F2">
        <f>MAX(Hit!F2,Stand!F2)</f>
        <v>1.4664203829548531E-2</v>
      </c>
      <c r="G2">
        <f>MAX(Hit!G2,Stand!G2)</f>
        <v>5.10276420282465E-2</v>
      </c>
      <c r="H2">
        <f>MAX(Hit!H2,Stand!H2)</f>
        <v>-2.7257021375862247E-2</v>
      </c>
      <c r="I2">
        <f>MAX(Hit!I2,Stand!I2)</f>
        <v>-0.10316172777512723</v>
      </c>
      <c r="J2">
        <f>MAX(Hit!J2,Stand!J2)</f>
        <v>-0.19004714305350842</v>
      </c>
      <c r="K2">
        <f>MAX(Hit!K2,Stand!K2)</f>
        <v>-0.29096372773977425</v>
      </c>
      <c r="N2" s="31">
        <v>2</v>
      </c>
      <c r="O2" s="31" t="str">
        <f>IF(B2=Stand!B2,"S","H")</f>
        <v>H</v>
      </c>
      <c r="P2" s="31" t="str">
        <f>IF(C2=Stand!C2,"S","H")</f>
        <v>H</v>
      </c>
      <c r="Q2" s="31" t="str">
        <f>IF(D2=Stand!D2,"S","H")</f>
        <v>H</v>
      </c>
      <c r="R2" s="31" t="str">
        <f>IF(E2=Stand!E2,"S","H")</f>
        <v>H</v>
      </c>
      <c r="S2" s="31" t="str">
        <f>IF(F2=Stand!F2,"S","H")</f>
        <v>H</v>
      </c>
      <c r="T2" s="31" t="str">
        <f>IF(G2=Stand!G2,"S","H")</f>
        <v>H</v>
      </c>
      <c r="U2" s="31" t="str">
        <f>IF(H2=Stand!H2,"S","H")</f>
        <v>H</v>
      </c>
      <c r="V2" s="31" t="str">
        <f>IF(I2=Stand!I2,"S","H")</f>
        <v>H</v>
      </c>
      <c r="W2" s="31" t="str">
        <f>IF(J2=Stand!J2,"S","H")</f>
        <v>H</v>
      </c>
      <c r="X2" s="31" t="str">
        <f>IF(K2=Stand!K2,"S","H")</f>
        <v>H</v>
      </c>
    </row>
    <row r="3" spans="1:24">
      <c r="A3">
        <v>3</v>
      </c>
      <c r="B3">
        <f>MAX(Hit!B3,Stand!B3)</f>
        <v>-0.36474464099475529</v>
      </c>
      <c r="C3">
        <f>MAX(Hit!C3,Stand!C3)</f>
        <v>-9.8794923007326521E-2</v>
      </c>
      <c r="D3">
        <f>MAX(Hit!D3,Stand!D3)</f>
        <v>-6.7321319741442009E-2</v>
      </c>
      <c r="E3">
        <f>MAX(Hit!E3,Stand!E3)</f>
        <v>-3.4079494605979782E-2</v>
      </c>
      <c r="F3">
        <f>MAX(Hit!F3,Stand!F3)</f>
        <v>1.2204515413239724E-3</v>
      </c>
      <c r="G3">
        <f>MAX(Hit!G3,Stand!G3)</f>
        <v>3.8127730665612251E-2</v>
      </c>
      <c r="H3">
        <f>MAX(Hit!H3,Stand!H3)</f>
        <v>-5.7437588540356667E-2</v>
      </c>
      <c r="I3">
        <f>MAX(Hit!I3,Stand!I3)</f>
        <v>-0.13094188065020099</v>
      </c>
      <c r="J3">
        <f>MAX(Hit!J3,Stand!J3)</f>
        <v>-0.21507662281362433</v>
      </c>
      <c r="K3">
        <f>MAX(Hit!K3,Stand!K3)</f>
        <v>-0.31277980128259808</v>
      </c>
      <c r="N3" s="31">
        <v>3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>
      <c r="A4">
        <v>4</v>
      </c>
      <c r="B4">
        <f>MAX(Hit!B4,Stand!B4)</f>
        <v>-0.38538530661686615</v>
      </c>
      <c r="C4">
        <f>MAX(Hit!C4,Stand!C4)</f>
        <v>-0.11285543771123717</v>
      </c>
      <c r="D4">
        <f>MAX(Hit!D4,Stand!D4)</f>
        <v>-8.0761552533335321E-2</v>
      </c>
      <c r="E4">
        <f>MAX(Hit!E4,Stand!E4)</f>
        <v>-4.6961607783156195E-2</v>
      </c>
      <c r="F4">
        <f>MAX(Hit!F4,Stand!F4)</f>
        <v>-1.122157243811568E-2</v>
      </c>
      <c r="G4">
        <f>MAX(Hit!G4,Stand!G4)</f>
        <v>2.6189020344519497E-2</v>
      </c>
      <c r="H4">
        <f>MAX(Hit!H4,Stand!H4)</f>
        <v>-8.8279201058463722E-2</v>
      </c>
      <c r="I4">
        <f>MAX(Hit!I4,Stand!I4)</f>
        <v>-0.15933415266020512</v>
      </c>
      <c r="J4">
        <f>MAX(Hit!J4,Stand!J4)</f>
        <v>-0.24066617915336547</v>
      </c>
      <c r="K4">
        <f>MAX(Hit!K4,Stand!K4)</f>
        <v>-0.33509986436351097</v>
      </c>
      <c r="N4" s="31">
        <v>4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>
      <c r="A5">
        <v>5</v>
      </c>
      <c r="B5">
        <f>MAX(Hit!B5,Stand!B5)</f>
        <v>-0.40632230211141912</v>
      </c>
      <c r="C5">
        <f>MAX(Hit!C5,Stand!C5)</f>
        <v>-0.12585466591223504</v>
      </c>
      <c r="D5">
        <f>MAX(Hit!D5,Stand!D5)</f>
        <v>-9.3185805313397596E-2</v>
      </c>
      <c r="E5">
        <f>MAX(Hit!E5,Stand!E5)</f>
        <v>-5.8868938477504656E-2</v>
      </c>
      <c r="F5">
        <f>MAX(Hit!F5,Stand!F5)</f>
        <v>-2.2722050599694302E-2</v>
      </c>
      <c r="G5">
        <f>MAX(Hit!G5,Stand!G5)</f>
        <v>1.5153619459709739E-2</v>
      </c>
      <c r="H5">
        <f>MAX(Hit!H5,Stand!H5)</f>
        <v>-0.11944744188414852</v>
      </c>
      <c r="I5">
        <f>MAX(Hit!I5,Stand!I5)</f>
        <v>-0.18809330390318518</v>
      </c>
      <c r="J5">
        <f>MAX(Hit!J5,Stand!J5)</f>
        <v>-0.26661505335795899</v>
      </c>
      <c r="K5">
        <f>MAX(Hit!K5,Stand!K5)</f>
        <v>-0.3577434525808979</v>
      </c>
      <c r="N5" s="31">
        <v>5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>
      <c r="A6">
        <v>6</v>
      </c>
      <c r="B6">
        <f>MAX(Hit!B6,Stand!B6)</f>
        <v>-0.41968690347101079</v>
      </c>
      <c r="C6">
        <f>MAX(Hit!C6,Stand!C6)</f>
        <v>-0.1380730292913315</v>
      </c>
      <c r="D6">
        <f>MAX(Hit!D6,Stand!D6)</f>
        <v>-0.10487404133749784</v>
      </c>
      <c r="E6">
        <f>MAX(Hit!E6,Stand!E6)</f>
        <v>-7.0077773347286057E-2</v>
      </c>
      <c r="F6">
        <f>MAX(Hit!F6,Stand!F6)</f>
        <v>-3.3548869940164566E-2</v>
      </c>
      <c r="G6">
        <f>MAX(Hit!G6,Stand!G6)</f>
        <v>4.7665085393153788E-3</v>
      </c>
      <c r="H6">
        <f>MAX(Hit!H6,Stand!H6)</f>
        <v>-0.15193270723669944</v>
      </c>
      <c r="I6">
        <f>MAX(Hit!I6,Stand!I6)</f>
        <v>-0.21724188132078476</v>
      </c>
      <c r="J6">
        <f>MAX(Hit!J6,Stand!J6)</f>
        <v>-0.29264070019772598</v>
      </c>
      <c r="K6">
        <f>MAX(Hit!K6,Stand!K6)</f>
        <v>-0.38050766229289529</v>
      </c>
      <c r="N6" s="31">
        <v>6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>
      <c r="A7">
        <v>7</v>
      </c>
      <c r="B7">
        <f>MAX(Hit!B7,Stand!B7)</f>
        <v>-0.39971038372569095</v>
      </c>
      <c r="C7">
        <f>MAX(Hit!C7,Stand!C7)</f>
        <v>-0.10957748444769842</v>
      </c>
      <c r="D7">
        <f>MAX(Hit!D7,Stand!D7)</f>
        <v>-7.6937567884950209E-2</v>
      </c>
      <c r="E7">
        <f>MAX(Hit!E7,Stand!E7)</f>
        <v>-4.2826367717071351E-2</v>
      </c>
      <c r="F7">
        <f>MAX(Hit!F7,Stand!F7)</f>
        <v>-7.17726676462546E-3</v>
      </c>
      <c r="G7">
        <f>MAX(Hit!G7,Stand!G7)</f>
        <v>3.0408566151961865E-2</v>
      </c>
      <c r="H7">
        <f>MAX(Hit!H7,Stand!H7)</f>
        <v>-6.8807799580427764E-2</v>
      </c>
      <c r="I7">
        <f>MAX(Hit!I7,Stand!I7)</f>
        <v>-0.21060476872434966</v>
      </c>
      <c r="J7">
        <f>MAX(Hit!J7,Stand!J7)</f>
        <v>-0.28536544048687662</v>
      </c>
      <c r="K7">
        <f>MAX(Hit!K7,Stand!K7)</f>
        <v>-0.36507789921394679</v>
      </c>
      <c r="N7" s="31">
        <v>7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>
      <c r="A8">
        <v>8</v>
      </c>
      <c r="B8">
        <f>MAX(Hit!B8,Stand!B8)</f>
        <v>-0.33034033459070061</v>
      </c>
      <c r="C8">
        <f>MAX(Hit!C8,Stand!C8)</f>
        <v>-2.4506830289917444E-2</v>
      </c>
      <c r="D8">
        <f>MAX(Hit!D8,Stand!D8)</f>
        <v>5.5679308753931881E-3</v>
      </c>
      <c r="E8">
        <f>MAX(Hit!E8,Stand!E8)</f>
        <v>3.7010775094514566E-2</v>
      </c>
      <c r="F8">
        <f>MAX(Hit!F8,Stand!F8)</f>
        <v>6.9950633154329159E-2</v>
      </c>
      <c r="G8">
        <f>MAX(Hit!G8,Stand!G8)</f>
        <v>0.10385811332306308</v>
      </c>
      <c r="H8">
        <f>MAX(Hit!H8,Stand!H8)</f>
        <v>8.2207439363742862E-2</v>
      </c>
      <c r="I8">
        <f>MAX(Hit!I8,Stand!I8)</f>
        <v>-5.989827565865629E-2</v>
      </c>
      <c r="J8">
        <f>MAX(Hit!J8,Stand!J8)</f>
        <v>-0.2101863319982176</v>
      </c>
      <c r="K8">
        <f>MAX(Hit!K8,Stand!K8)</f>
        <v>-0.30177738614031369</v>
      </c>
      <c r="N8" s="31">
        <v>8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>
      <c r="A9">
        <v>9</v>
      </c>
      <c r="B9">
        <f>MAX(Hit!B9,Stand!B9)</f>
        <v>-0.25192476177072076</v>
      </c>
      <c r="C9">
        <f>MAX(Hit!C9,Stand!C9)</f>
        <v>7.2232808963193215E-2</v>
      </c>
      <c r="D9">
        <f>MAX(Hit!D9,Stand!D9)</f>
        <v>9.9273160738143268E-2</v>
      </c>
      <c r="E9">
        <f>MAX(Hit!E9,Stand!E9)</f>
        <v>0.12758849558767743</v>
      </c>
      <c r="F9">
        <f>MAX(Hit!F9,Stand!F9)</f>
        <v>0.15736144838115299</v>
      </c>
      <c r="G9">
        <f>MAX(Hit!G9,Stand!G9)</f>
        <v>0.18730353674754288</v>
      </c>
      <c r="H9">
        <f>MAX(Hit!H9,Stand!H9)</f>
        <v>0.17186785993695267</v>
      </c>
      <c r="I9">
        <f>MAX(Hit!I9,Stand!I9)</f>
        <v>9.8376217435392585E-2</v>
      </c>
      <c r="J9">
        <f>MAX(Hit!J9,Stand!J9)</f>
        <v>-5.217805346265169E-2</v>
      </c>
      <c r="K9">
        <f>MAX(Hit!K9,Stand!K9)</f>
        <v>-0.21343169035706566</v>
      </c>
      <c r="N9" s="31">
        <v>9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>
      <c r="A10">
        <v>10</v>
      </c>
      <c r="B10">
        <f>MAX(Hit!B10,Stand!B10)</f>
        <v>-0.14666789263035868</v>
      </c>
      <c r="C10">
        <f>MAX(Hit!C10,Stand!C10)</f>
        <v>0.18097612414551942</v>
      </c>
      <c r="D10">
        <f>MAX(Hit!D10,Stand!D10)</f>
        <v>0.20471674407811152</v>
      </c>
      <c r="E10">
        <f>MAX(Hit!E10,Stand!E10)</f>
        <v>0.22962110185909174</v>
      </c>
      <c r="F10">
        <f>MAX(Hit!F10,Stand!F10)</f>
        <v>0.25584976707588913</v>
      </c>
      <c r="G10">
        <f>MAX(Hit!G10,Stand!G10)</f>
        <v>0.28248084776420312</v>
      </c>
      <c r="H10">
        <f>MAX(Hit!H10,Stand!H10)</f>
        <v>0.25690874433608657</v>
      </c>
      <c r="I10">
        <f>MAX(Hit!I10,Stand!I10)</f>
        <v>0.19795370833197609</v>
      </c>
      <c r="J10">
        <f>MAX(Hit!J10,Stand!J10)</f>
        <v>0.1165295910692839</v>
      </c>
      <c r="K10">
        <f>MAX(Hit!K10,Stand!K10)</f>
        <v>-4.4990260383613007E-2</v>
      </c>
      <c r="N10" s="31">
        <v>10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H</v>
      </c>
      <c r="S10" s="31" t="str">
        <f>IF(F10=Stand!F10,"S","H")</f>
        <v>H</v>
      </c>
      <c r="T10" s="31" t="str">
        <f>IF(G10=Stand!G10,"S","H")</f>
        <v>H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>
      <c r="A11">
        <v>11</v>
      </c>
      <c r="B11">
        <f>MAX(Hit!B11,Stand!B11)</f>
        <v>-4.1986836980868178E-2</v>
      </c>
      <c r="C11">
        <f>MAX(Hit!C11,Stand!C11)</f>
        <v>0.23758326541256777</v>
      </c>
      <c r="D11">
        <f>MAX(Hit!D11,Stand!D11)</f>
        <v>0.25963465813171721</v>
      </c>
      <c r="E11">
        <f>MAX(Hit!E11,Stand!E11)</f>
        <v>0.28280326185276489</v>
      </c>
      <c r="F11">
        <f>MAX(Hit!F11,Stand!F11)</f>
        <v>0.30724502104225837</v>
      </c>
      <c r="G11">
        <f>MAX(Hit!G11,Stand!G11)</f>
        <v>0.33233170459446271</v>
      </c>
      <c r="H11">
        <f>MAX(Hit!H11,Stand!H11)</f>
        <v>0.29214699112701309</v>
      </c>
      <c r="I11">
        <f>MAX(Hit!I11,Stand!I11)</f>
        <v>0.22998214532399175</v>
      </c>
      <c r="J11">
        <f>MAX(Hit!J11,Stand!J11)</f>
        <v>0.15825711845512572</v>
      </c>
      <c r="K11">
        <f>MAX(Hit!K11,Stand!K11)</f>
        <v>5.9690795265877464E-2</v>
      </c>
      <c r="N11" s="31">
        <v>11</v>
      </c>
      <c r="O11" s="31" t="str">
        <f>IF(B11=Stand!B11,"S","H")</f>
        <v>H</v>
      </c>
      <c r="P11" s="31" t="str">
        <f>IF(C11=Stand!C11,"S","H")</f>
        <v>H</v>
      </c>
      <c r="Q11" s="31" t="str">
        <f>IF(D11=Stand!D11,"S","H")</f>
        <v>H</v>
      </c>
      <c r="R11" s="31" t="str">
        <f>IF(E11=Stand!E11,"S","H")</f>
        <v>H</v>
      </c>
      <c r="S11" s="31" t="str">
        <f>IF(F11=Stand!F11,"S","H")</f>
        <v>H</v>
      </c>
      <c r="T11" s="31" t="str">
        <f>IF(G11=Stand!G11,"S","H")</f>
        <v>H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>
      <c r="A12">
        <v>12</v>
      </c>
      <c r="B12">
        <f>MAX(Hit!B12,Stand!B12)</f>
        <v>-0.46566058377683939</v>
      </c>
      <c r="C12">
        <f>MAX(Hit!C12,Stand!C12)</f>
        <v>-0.25375147059276615</v>
      </c>
      <c r="D12">
        <f>MAX(Hit!D12,Stand!D12)</f>
        <v>-0.23401617638713501</v>
      </c>
      <c r="E12">
        <f>MAX(Hit!E12,Stand!E12)</f>
        <v>-0.20584968608305471</v>
      </c>
      <c r="F12">
        <f>MAX(Hit!F12,Stand!F12)</f>
        <v>-0.16468249424828357</v>
      </c>
      <c r="G12">
        <f>MAX(Hit!G12,Stand!G12)</f>
        <v>-0.12106685019651225</v>
      </c>
      <c r="H12">
        <f>MAX(Hit!H12,Stand!H12)</f>
        <v>-0.21284771451731424</v>
      </c>
      <c r="I12">
        <f>MAX(Hit!I12,Stand!I12)</f>
        <v>-0.27157480502428616</v>
      </c>
      <c r="J12">
        <f>MAX(Hit!J12,Stand!J12)</f>
        <v>-0.3400132806089356</v>
      </c>
      <c r="K12">
        <f>MAX(Hit!K12,Stand!K12)</f>
        <v>-0.42069618899826788</v>
      </c>
      <c r="N12" s="31">
        <v>12</v>
      </c>
      <c r="O12" s="31" t="str">
        <f>IF(B12=Stand!B12,"S","H")</f>
        <v>H</v>
      </c>
      <c r="P12" s="31" t="str">
        <f>IF(C12=Stand!C12,"S","H")</f>
        <v>H</v>
      </c>
      <c r="Q12" s="31" t="str">
        <f>IF(D12=Stand!D12,"S","H")</f>
        <v>H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>
      <c r="A13">
        <v>13</v>
      </c>
      <c r="B13">
        <f>MAX(Hit!B13,Stand!B13)</f>
        <v>-0.50382768493563657</v>
      </c>
      <c r="C13">
        <f>MAX(Hit!C13,Stand!C13)</f>
        <v>-0.28654430084029509</v>
      </c>
      <c r="D13">
        <f>MAX(Hit!D13,Stand!D13)</f>
        <v>-0.24663577379217239</v>
      </c>
      <c r="E13">
        <f>MAX(Hit!E13,Stand!E13)</f>
        <v>-0.20584968608305471</v>
      </c>
      <c r="F13">
        <f>MAX(Hit!F13,Stand!F13)</f>
        <v>-0.16468249424828357</v>
      </c>
      <c r="G13">
        <f>MAX(Hit!G13,Stand!G13)</f>
        <v>-0.12106685019651225</v>
      </c>
      <c r="H13">
        <f>MAX(Hit!H13,Stand!H13)</f>
        <v>-0.26907287776607752</v>
      </c>
      <c r="I13">
        <f>MAX(Hit!I13,Stand!I13)</f>
        <v>-0.32360517609397998</v>
      </c>
      <c r="J13">
        <f>MAX(Hit!J13,Stand!J13)</f>
        <v>-0.38715518913686875</v>
      </c>
      <c r="K13">
        <f>MAX(Hit!K13,Stand!K13)</f>
        <v>-0.46207503264124877</v>
      </c>
      <c r="N13" s="31">
        <v>13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>
      <c r="A14">
        <v>14</v>
      </c>
      <c r="B14">
        <f>MAX(Hit!B14,Stand!B14)</f>
        <v>-0.53926856458309114</v>
      </c>
      <c r="C14">
        <f>MAX(Hit!C14,Stand!C14)</f>
        <v>-0.28654430084029509</v>
      </c>
      <c r="D14">
        <f>MAX(Hit!D14,Stand!D14)</f>
        <v>-0.24663577379217239</v>
      </c>
      <c r="E14">
        <f>MAX(Hit!E14,Stand!E14)</f>
        <v>-0.20584968608305471</v>
      </c>
      <c r="F14">
        <f>MAX(Hit!F14,Stand!F14)</f>
        <v>-0.16468249424828357</v>
      </c>
      <c r="G14">
        <f>MAX(Hit!G14,Stand!G14)</f>
        <v>-0.12106685019651225</v>
      </c>
      <c r="H14">
        <f>MAX(Hit!H14,Stand!H14)</f>
        <v>-0.3212819579256434</v>
      </c>
      <c r="I14">
        <f>MAX(Hit!I14,Stand!I14)</f>
        <v>-0.37191909208726714</v>
      </c>
      <c r="J14">
        <f>MAX(Hit!J14,Stand!J14)</f>
        <v>-0.43092981848423528</v>
      </c>
      <c r="K14">
        <f>MAX(Hit!K14,Stand!K14)</f>
        <v>-0.50049824459544523</v>
      </c>
      <c r="N14" s="31">
        <v>14</v>
      </c>
      <c r="O14" s="31" t="str">
        <f>IF(B14=Stand!B14,"S","H")</f>
        <v>H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>
      <c r="A15">
        <v>15</v>
      </c>
      <c r="B15">
        <f>MAX(Hit!B15,Stand!B15)</f>
        <v>-0.572177952827156</v>
      </c>
      <c r="C15">
        <f>MAX(Hit!C15,Stand!C15)</f>
        <v>-0.28654430084029509</v>
      </c>
      <c r="D15">
        <f>MAX(Hit!D15,Stand!D15)</f>
        <v>-0.24663577379217239</v>
      </c>
      <c r="E15">
        <f>MAX(Hit!E15,Stand!E15)</f>
        <v>-0.20584968608305471</v>
      </c>
      <c r="F15">
        <f>MAX(Hit!F15,Stand!F15)</f>
        <v>-0.16468249424828357</v>
      </c>
      <c r="G15">
        <f>MAX(Hit!G15,Stand!G15)</f>
        <v>-0.12106685019651225</v>
      </c>
      <c r="H15">
        <f>MAX(Hit!H15,Stand!H15)</f>
        <v>-0.36976181807381175</v>
      </c>
      <c r="I15">
        <f>MAX(Hit!I15,Stand!I15)</f>
        <v>-0.41678201408103371</v>
      </c>
      <c r="J15">
        <f>MAX(Hit!J15,Stand!J15)</f>
        <v>-0.47157768859250415</v>
      </c>
      <c r="K15">
        <f>MAX(Hit!K15,Stand!K15)</f>
        <v>-0.53617694141005634</v>
      </c>
      <c r="N15" s="31">
        <v>15</v>
      </c>
      <c r="O15" s="31" t="str">
        <f>IF(B15=Stand!B15,"S","H")</f>
        <v>H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H</v>
      </c>
      <c r="V15" s="31" t="str">
        <f>IF(I15=Stand!I15,"S","H")</f>
        <v>H</v>
      </c>
      <c r="W15" s="31" t="str">
        <f>IF(J15=Stand!J15,"S","H")</f>
        <v>H</v>
      </c>
      <c r="X15" s="31" t="str">
        <f>IF(K15=Stand!K15,"S","H")</f>
        <v>H</v>
      </c>
    </row>
    <row r="16" spans="1:24">
      <c r="A16">
        <v>16</v>
      </c>
      <c r="B16">
        <f>MAX(Hit!B16,Stand!B16)</f>
        <v>-0.57578184676460165</v>
      </c>
      <c r="C16">
        <f>MAX(Hit!C16,Stand!C16)</f>
        <v>-0.28654430084029509</v>
      </c>
      <c r="D16">
        <f>MAX(Hit!D16,Stand!D16)</f>
        <v>-0.24663577379217239</v>
      </c>
      <c r="E16">
        <f>MAX(Hit!E16,Stand!E16)</f>
        <v>-0.20584968608305471</v>
      </c>
      <c r="F16">
        <f>MAX(Hit!F16,Stand!F16)</f>
        <v>-0.16468249424828357</v>
      </c>
      <c r="G16">
        <f>MAX(Hit!G16,Stand!G16)</f>
        <v>-0.12106685019651225</v>
      </c>
      <c r="H16">
        <f>MAX(Hit!H16,Stand!H16)</f>
        <v>-0.41477883106853947</v>
      </c>
      <c r="I16">
        <f>MAX(Hit!I16,Stand!I16)</f>
        <v>-0.45844044164667419</v>
      </c>
      <c r="J16">
        <f>MAX(Hit!J16,Stand!J16)</f>
        <v>-0.50932213940732529</v>
      </c>
      <c r="K16">
        <f>MAX(Hit!K16,Stand!K16)</f>
        <v>-0.56930715988076652</v>
      </c>
      <c r="N16" s="31">
        <v>16</v>
      </c>
      <c r="O16" s="31" t="str">
        <f>IF(B16=Stand!B16,"S","H")</f>
        <v>S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H</v>
      </c>
      <c r="V16" s="31" t="str">
        <f>IF(I16=Stand!I16,"S","H")</f>
        <v>H</v>
      </c>
      <c r="W16" s="31" t="str">
        <f>IF(J16=Stand!J16,"S","H")</f>
        <v>H</v>
      </c>
      <c r="X16" s="31" t="str">
        <f>IF(K16=Stand!K16,"S","H")</f>
        <v>H</v>
      </c>
    </row>
    <row r="17" spans="1:24">
      <c r="A17">
        <v>17</v>
      </c>
      <c r="B17">
        <f>MAX(Hit!B17,Stand!B17)</f>
        <v>-0.46435750824198752</v>
      </c>
      <c r="C17">
        <f>MAX(Hit!C17,Stand!C17)</f>
        <v>-0.15641021825706786</v>
      </c>
      <c r="D17">
        <f>MAX(Hit!D17,Stand!D17)</f>
        <v>-0.12030774273351591</v>
      </c>
      <c r="E17">
        <f>MAX(Hit!E17,Stand!E17)</f>
        <v>-8.3444052932191204E-2</v>
      </c>
      <c r="F17">
        <f>MAX(Hit!F17,Stand!F17)</f>
        <v>-4.6323554721567961E-2</v>
      </c>
      <c r="G17">
        <f>MAX(Hit!G17,Stand!G17)</f>
        <v>-6.2291683630239514E-3</v>
      </c>
      <c r="H17">
        <f>MAX(Hit!H17,Stand!H17)</f>
        <v>-0.10680898948269468</v>
      </c>
      <c r="I17">
        <f>MAX(Hit!I17,Stand!I17)</f>
        <v>-0.38195097104844711</v>
      </c>
      <c r="J17">
        <f>MAX(Hit!J17,Stand!J17)</f>
        <v>-0.42315423964521737</v>
      </c>
      <c r="K17">
        <f>MAX(Hit!K17,Stand!K17)</f>
        <v>-0.46435750824198763</v>
      </c>
      <c r="N17" s="31">
        <v>17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>
      <c r="A18">
        <v>18</v>
      </c>
      <c r="B18">
        <f>MAX(Hit!B18,Stand!B18)</f>
        <v>-0.24150883119675959</v>
      </c>
      <c r="C18">
        <f>MAX(Hit!C18,Stand!C18)</f>
        <v>0.11027005064085793</v>
      </c>
      <c r="D18">
        <f>MAX(Hit!D18,Stand!D18)</f>
        <v>0.13797729703756356</v>
      </c>
      <c r="E18">
        <f>MAX(Hit!E18,Stand!E18)</f>
        <v>0.16626900252257676</v>
      </c>
      <c r="F18">
        <f>MAX(Hit!F18,Stand!F18)</f>
        <v>0.19494598568825822</v>
      </c>
      <c r="G18">
        <f>MAX(Hit!G18,Stand!G18)</f>
        <v>0.22344619530395254</v>
      </c>
      <c r="H18">
        <f>MAX(Hit!H18,Stand!H18)</f>
        <v>0.3995541673365518</v>
      </c>
      <c r="I18">
        <f>MAX(Hit!I18,Stand!I18)</f>
        <v>0.10595134861912359</v>
      </c>
      <c r="J18">
        <f>MAX(Hit!J18,Stand!J18)</f>
        <v>-0.18316335667343331</v>
      </c>
      <c r="K18">
        <f>MAX(Hit!K18,Stand!K18)</f>
        <v>-0.24150883119675959</v>
      </c>
      <c r="N18" s="31">
        <v>18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>
      <c r="A19">
        <v>19</v>
      </c>
      <c r="B19">
        <f>MAX(Hit!B19,Stand!B19)</f>
        <v>-1.8660154151531549E-2</v>
      </c>
      <c r="C19">
        <f>MAX(Hit!C19,Stand!C19)</f>
        <v>0.37811050632056864</v>
      </c>
      <c r="D19">
        <f>MAX(Hit!D19,Stand!D19)</f>
        <v>0.39698952530936887</v>
      </c>
      <c r="E19">
        <f>MAX(Hit!E19,Stand!E19)</f>
        <v>0.41633218577399039</v>
      </c>
      <c r="F19">
        <f>MAX(Hit!F19,Stand!F19)</f>
        <v>0.43621552609808445</v>
      </c>
      <c r="G19">
        <f>MAX(Hit!G19,Stand!G19)</f>
        <v>0.45312155897092921</v>
      </c>
      <c r="H19">
        <f>MAX(Hit!H19,Stand!H19)</f>
        <v>0.6159764957534315</v>
      </c>
      <c r="I19">
        <f>MAX(Hit!I19,Stand!I19)</f>
        <v>0.5938536682866945</v>
      </c>
      <c r="J19">
        <f>MAX(Hit!J19,Stand!J19)</f>
        <v>0.28759675706758142</v>
      </c>
      <c r="K19">
        <f>MAX(Hit!K19,Stand!K19)</f>
        <v>-1.8660154151531536E-2</v>
      </c>
      <c r="N19" s="31">
        <v>19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>
      <c r="A20">
        <v>20</v>
      </c>
      <c r="B20">
        <f>MAX(Hit!B20,Stand!B20)</f>
        <v>0.20418852289369649</v>
      </c>
      <c r="C20">
        <f>MAX(Hit!C20,Stand!C20)</f>
        <v>0.63507006739682603</v>
      </c>
      <c r="D20">
        <f>MAX(Hit!D20,Stand!D20)</f>
        <v>0.64584804747844671</v>
      </c>
      <c r="E20">
        <f>MAX(Hit!E20,Stand!E20)</f>
        <v>0.65694191851596806</v>
      </c>
      <c r="F20">
        <f>MAX(Hit!F20,Stand!F20)</f>
        <v>0.66838174379512039</v>
      </c>
      <c r="G20">
        <f>MAX(Hit!G20,Stand!G20)</f>
        <v>0.67824526128151064</v>
      </c>
      <c r="H20">
        <f>MAX(Hit!H20,Stand!H20)</f>
        <v>0.77322722653717491</v>
      </c>
      <c r="I20">
        <f>MAX(Hit!I20,Stand!I20)</f>
        <v>0.79181515955189841</v>
      </c>
      <c r="J20">
        <f>MAX(Hit!J20,Stand!J20)</f>
        <v>0.75835687080859626</v>
      </c>
      <c r="K20">
        <f>MAX(Hit!K20,Stand!K20)</f>
        <v>0.43495775366292722</v>
      </c>
      <c r="N20" s="31">
        <v>20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>
      <c r="A21">
        <v>21</v>
      </c>
      <c r="B21">
        <f>MAX(Hit!B21,Stand!B21)</f>
        <v>0.65780643070815525</v>
      </c>
      <c r="C21">
        <f>MAX(Hit!C21,Stand!C21)</f>
        <v>0.88036767955403561</v>
      </c>
      <c r="D21">
        <f>MAX(Hit!D21,Stand!D21)</f>
        <v>0.88382567504407128</v>
      </c>
      <c r="E21">
        <f>MAX(Hit!E21,Stand!E21)</f>
        <v>0.8873979451552183</v>
      </c>
      <c r="F21">
        <f>MAX(Hit!F21,Stand!F21)</f>
        <v>0.89109451098272041</v>
      </c>
      <c r="G21">
        <f>MAX(Hit!G21,Stand!G21)</f>
        <v>0.89426564087930194</v>
      </c>
      <c r="H21">
        <f>MAX(Hit!H21,Stand!H21)</f>
        <v>0.92592629596452325</v>
      </c>
      <c r="I21">
        <f>MAX(Hit!I21,Stand!I21)</f>
        <v>0.93060505318396614</v>
      </c>
      <c r="J21">
        <f>MAX(Hit!J21,Stand!J21)</f>
        <v>0.93917615614724415</v>
      </c>
      <c r="K21">
        <f>MAX(Hit!K21,Stand!K21)</f>
        <v>0.88857566147738598</v>
      </c>
      <c r="N21" s="31">
        <v>21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>
      <c r="A22">
        <v>22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22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>
      <c r="A23">
        <v>23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23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>
      <c r="A24">
        <v>24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24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>
      <c r="A25">
        <v>25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25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>
      <c r="A26">
        <v>26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26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>
      <c r="A27">
        <v>27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27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>
      <c r="A28">
        <v>28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28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>
      <c r="A29">
        <v>29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29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0" spans="1:24">
      <c r="A30">
        <v>30</v>
      </c>
      <c r="B30">
        <f>MAX(Hit!B30,Stand!B30)</f>
        <v>-1</v>
      </c>
      <c r="C30">
        <f>MAX(Hit!C30,Stand!C30)</f>
        <v>-1</v>
      </c>
      <c r="D30">
        <f>MAX(Hit!D30,Stand!D30)</f>
        <v>-1</v>
      </c>
      <c r="E30">
        <f>MAX(Hit!E30,Stand!E30)</f>
        <v>-1</v>
      </c>
      <c r="F30">
        <f>MAX(Hit!F30,Stand!F30)</f>
        <v>-1</v>
      </c>
      <c r="G30">
        <f>MAX(Hit!G30,Stand!G30)</f>
        <v>-1</v>
      </c>
      <c r="H30">
        <f>MAX(Hit!H30,Stand!H30)</f>
        <v>-1</v>
      </c>
      <c r="I30">
        <f>MAX(Hit!I30,Stand!I30)</f>
        <v>-1</v>
      </c>
      <c r="J30">
        <f>MAX(Hit!J30,Stand!J30)</f>
        <v>-1</v>
      </c>
      <c r="K30">
        <f>MAX(Hit!K30,Stand!K30)</f>
        <v>-1</v>
      </c>
      <c r="N30" s="31">
        <v>30</v>
      </c>
      <c r="O30" s="31" t="str">
        <f>IF(B30=Stand!B30,"S","H")</f>
        <v>S</v>
      </c>
      <c r="P30" s="31" t="str">
        <f>IF(C30=Stand!C30,"S","H")</f>
        <v>S</v>
      </c>
      <c r="Q30" s="31" t="str">
        <f>IF(D30=Stand!D30,"S","H")</f>
        <v>S</v>
      </c>
      <c r="R30" s="31" t="str">
        <f>IF(E30=Stand!E30,"S","H")</f>
        <v>S</v>
      </c>
      <c r="S30" s="31" t="str">
        <f>IF(F30=Stand!F30,"S","H")</f>
        <v>S</v>
      </c>
      <c r="T30" s="31" t="str">
        <f>IF(G30=Stand!G30,"S","H")</f>
        <v>S</v>
      </c>
      <c r="U30" s="31" t="str">
        <f>IF(H30=Stand!H30,"S","H")</f>
        <v>S</v>
      </c>
      <c r="V30" s="31" t="str">
        <f>IF(I30=Stand!I30,"S","H")</f>
        <v>S</v>
      </c>
      <c r="W30" s="31" t="str">
        <f>IF(J30=Stand!J30,"S","H")</f>
        <v>S</v>
      </c>
      <c r="X30" s="31" t="str">
        <f>IF(K30=Stand!K30,"S","H")</f>
        <v>S</v>
      </c>
    </row>
    <row r="31" spans="1:24">
      <c r="A31">
        <v>31</v>
      </c>
      <c r="B31">
        <f>MAX(Hit!B31,Stand!B31)</f>
        <v>-1</v>
      </c>
      <c r="C31">
        <f>MAX(Hit!C31,Stand!C31)</f>
        <v>-1</v>
      </c>
      <c r="D31">
        <f>MAX(Hit!D31,Stand!D31)</f>
        <v>-1</v>
      </c>
      <c r="E31">
        <f>MAX(Hit!E31,Stand!E31)</f>
        <v>-1</v>
      </c>
      <c r="F31">
        <f>MAX(Hit!F31,Stand!F31)</f>
        <v>-1</v>
      </c>
      <c r="G31">
        <f>MAX(Hit!G31,Stand!G31)</f>
        <v>-1</v>
      </c>
      <c r="H31">
        <f>MAX(Hit!H31,Stand!H31)</f>
        <v>-1</v>
      </c>
      <c r="I31">
        <f>MAX(Hit!I31,Stand!I31)</f>
        <v>-1</v>
      </c>
      <c r="J31">
        <f>MAX(Hit!J31,Stand!J31)</f>
        <v>-1</v>
      </c>
      <c r="K31">
        <f>MAX(Hit!K31,Stand!K31)</f>
        <v>-1</v>
      </c>
      <c r="N31" s="31">
        <v>31</v>
      </c>
      <c r="O31" s="31" t="str">
        <f>IF(B31=Stand!B31,"S","H")</f>
        <v>S</v>
      </c>
      <c r="P31" s="31" t="str">
        <f>IF(C31=Stand!C31,"S","H")</f>
        <v>S</v>
      </c>
      <c r="Q31" s="31" t="str">
        <f>IF(D31=Stand!D31,"S","H")</f>
        <v>S</v>
      </c>
      <c r="R31" s="31" t="str">
        <f>IF(E31=Stand!E31,"S","H")</f>
        <v>S</v>
      </c>
      <c r="S31" s="31" t="str">
        <f>IF(F31=Stand!F31,"S","H")</f>
        <v>S</v>
      </c>
      <c r="T31" s="31" t="str">
        <f>IF(G31=Stand!G31,"S","H")</f>
        <v>S</v>
      </c>
      <c r="U31" s="31" t="str">
        <f>IF(H31=Stand!H31,"S","H")</f>
        <v>S</v>
      </c>
      <c r="V31" s="31" t="str">
        <f>IF(I31=Stand!I31,"S","H")</f>
        <v>S</v>
      </c>
      <c r="W31" s="31" t="str">
        <f>IF(J31=Stand!J31,"S","H")</f>
        <v>S</v>
      </c>
      <c r="X31" s="31" t="str">
        <f>IF(K31=Stand!K31,"S","H")</f>
        <v>S</v>
      </c>
    </row>
    <row r="33" spans="1:24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>
      <c r="A34">
        <v>11</v>
      </c>
      <c r="B34">
        <f>MAX(Hit!B34,Stand!B34)</f>
        <v>7.4082476325384949E-2</v>
      </c>
      <c r="C34">
        <f>MAX(Hit!C34,Stand!C34)</f>
        <v>0.36718433729443645</v>
      </c>
      <c r="D34">
        <f>MAX(Hit!D34,Stand!D34)</f>
        <v>0.38546672777840169</v>
      </c>
      <c r="E34">
        <f>MAX(Hit!E34,Stand!E34)</f>
        <v>0.40466216034858221</v>
      </c>
      <c r="F34">
        <f>MAX(Hit!F34,Stand!F34)</f>
        <v>0.42492736008576909</v>
      </c>
      <c r="G34">
        <f>MAX(Hit!G34,Stand!G34)</f>
        <v>0.44516685699434155</v>
      </c>
      <c r="H34">
        <f>MAX(Hit!H34,Stand!H34)</f>
        <v>0.45736852128859351</v>
      </c>
      <c r="I34">
        <f>MAX(Hit!I34,Stand!I34)</f>
        <v>0.40074805174057659</v>
      </c>
      <c r="J34">
        <f>MAX(Hit!J34,Stand!J34)</f>
        <v>0.32142328174266549</v>
      </c>
      <c r="K34">
        <f>MAX(Hit!K34,Stand!K34)</f>
        <v>0.19656557835630536</v>
      </c>
      <c r="N34" s="31">
        <v>11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>
      <c r="A35">
        <v>12</v>
      </c>
      <c r="B35">
        <f>MAX(Hit!B35,Stand!B35)</f>
        <v>-0.20521353107155851</v>
      </c>
      <c r="C35">
        <f>MAX(Hit!C35,Stand!C35)</f>
        <v>7.9806247413893E-2</v>
      </c>
      <c r="D35">
        <f>MAX(Hit!D35,Stand!D35)</f>
        <v>0.10168040931703339</v>
      </c>
      <c r="E35">
        <f>MAX(Hit!E35,Stand!E35)</f>
        <v>0.12678682176669251</v>
      </c>
      <c r="F35">
        <f>MAX(Hit!F35,Stand!F35)</f>
        <v>0.15657444079812161</v>
      </c>
      <c r="G35">
        <f>MAX(Hit!G35,Stand!G35)</f>
        <v>0.18715034410732034</v>
      </c>
      <c r="H35">
        <f>MAX(Hit!H35,Stand!H35)</f>
        <v>0.16547293077063496</v>
      </c>
      <c r="I35">
        <f>MAX(Hit!I35,Stand!I35)</f>
        <v>9.5115020927032307E-2</v>
      </c>
      <c r="J35">
        <f>MAX(Hit!J35,Stand!J35)</f>
        <v>6.5790841226897296E-5</v>
      </c>
      <c r="K35">
        <f>MAX(Hit!K35,Stand!K35)</f>
        <v>-0.12808280155666141</v>
      </c>
      <c r="N35" s="31">
        <v>12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>
      <c r="A36">
        <v>13</v>
      </c>
      <c r="B36">
        <f>MAX(Hit!B36,Stand!B36)</f>
        <v>-0.23472177802444921</v>
      </c>
      <c r="C36">
        <f>MAX(Hit!C36,Stand!C36)</f>
        <v>4.6611316056980476E-2</v>
      </c>
      <c r="D36">
        <f>MAX(Hit!D36,Stand!D36)</f>
        <v>7.4096482508153511E-2</v>
      </c>
      <c r="E36">
        <f>MAX(Hit!E36,Stand!E36)</f>
        <v>0.10302707120599627</v>
      </c>
      <c r="F36">
        <f>MAX(Hit!F36,Stand!F36)</f>
        <v>0.13362751686623553</v>
      </c>
      <c r="G36">
        <f>MAX(Hit!G36,Stand!G36)</f>
        <v>0.16513483022847522</v>
      </c>
      <c r="H36">
        <f>MAX(Hit!H36,Stand!H36)</f>
        <v>0.12238569517899196</v>
      </c>
      <c r="I36">
        <f>MAX(Hit!I36,Stand!I36)</f>
        <v>5.4057070196311334E-2</v>
      </c>
      <c r="J36">
        <f>MAX(Hit!J36,Stand!J36)</f>
        <v>-3.7694688127479885E-2</v>
      </c>
      <c r="K36">
        <f>MAX(Hit!K36,Stand!K36)</f>
        <v>-0.16080628455762785</v>
      </c>
      <c r="N36" s="31">
        <v>13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>
      <c r="A37">
        <v>14</v>
      </c>
      <c r="B37">
        <f>MAX(Hit!B37,Stand!B37)</f>
        <v>-0.26406959413166387</v>
      </c>
      <c r="C37">
        <f>MAX(Hit!C37,Stand!C37)</f>
        <v>2.2814486278603666E-2</v>
      </c>
      <c r="D37">
        <f>MAX(Hit!D37,Stand!D37)</f>
        <v>5.1187035629558814E-2</v>
      </c>
      <c r="E37">
        <f>MAX(Hit!E37,Stand!E37)</f>
        <v>8.0964445685349773E-2</v>
      </c>
      <c r="F37">
        <f>MAX(Hit!F37,Stand!F37)</f>
        <v>0.11231965892948416</v>
      </c>
      <c r="G37">
        <f>MAX(Hit!G37,Stand!G37)</f>
        <v>0.1446918530552618</v>
      </c>
      <c r="H37">
        <f>MAX(Hit!H37,Stand!H37)</f>
        <v>7.9507488494468148E-2</v>
      </c>
      <c r="I37">
        <f>MAX(Hit!I37,Stand!I37)</f>
        <v>1.3277219463208478E-2</v>
      </c>
      <c r="J37">
        <f>MAX(Hit!J37,Stand!J37)</f>
        <v>-7.516318944168382E-2</v>
      </c>
      <c r="K37">
        <f>MAX(Hit!K37,Stand!K37)</f>
        <v>-0.1933035414076569</v>
      </c>
      <c r="N37" s="31">
        <v>14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>
      <c r="A38">
        <v>15</v>
      </c>
      <c r="B38">
        <f>MAX(Hit!B38,Stand!B38)</f>
        <v>-0.29312934580507005</v>
      </c>
      <c r="C38">
        <f>MAX(Hit!C38,Stand!C38)</f>
        <v>7.1743005582518391E-4</v>
      </c>
      <c r="D38">
        <f>MAX(Hit!D38,Stand!D38)</f>
        <v>2.9913977813720842E-2</v>
      </c>
      <c r="E38">
        <f>MAX(Hit!E38,Stand!E38)</f>
        <v>6.047772198760662E-2</v>
      </c>
      <c r="F38">
        <f>MAX(Hit!F38,Stand!F38)</f>
        <v>9.2533790845357913E-2</v>
      </c>
      <c r="G38">
        <f>MAX(Hit!G38,Stand!G38)</f>
        <v>0.12570908853727794</v>
      </c>
      <c r="H38">
        <f>MAX(Hit!H38,Stand!H38)</f>
        <v>3.7028282279269235E-2</v>
      </c>
      <c r="I38">
        <f>MAX(Hit!I38,Stand!I38)</f>
        <v>-2.7054780502901672E-2</v>
      </c>
      <c r="J38">
        <f>MAX(Hit!J38,Stand!J38)</f>
        <v>-0.11218876868994289</v>
      </c>
      <c r="K38">
        <f>MAX(Hit!K38,Stand!K38)</f>
        <v>-0.22543993358238781</v>
      </c>
      <c r="N38" s="31">
        <v>15</v>
      </c>
      <c r="O38" s="31" t="str">
        <f>IF(B38=Stand!B38,"S","H")</f>
        <v>H</v>
      </c>
      <c r="P38" s="31" t="str">
        <f>IF(C38=Stand!C38,"S","H")</f>
        <v>H</v>
      </c>
      <c r="Q38" s="31" t="str">
        <f>IF(D38=Stand!D38,"S","H")</f>
        <v>H</v>
      </c>
      <c r="R38" s="31" t="str">
        <f>IF(E38=Stand!E38,"S","H")</f>
        <v>H</v>
      </c>
      <c r="S38" s="31" t="str">
        <f>IF(F38=Stand!F38,"S","H")</f>
        <v>H</v>
      </c>
      <c r="T38" s="31" t="str">
        <f>IF(G38=Stand!G38,"S","H")</f>
        <v>H</v>
      </c>
      <c r="U38" s="31" t="str">
        <f>IF(H38=Stand!H38,"S","H")</f>
        <v>H</v>
      </c>
      <c r="V38" s="31" t="str">
        <f>IF(I38=Stand!I38,"S","H")</f>
        <v>H</v>
      </c>
      <c r="W38" s="31" t="str">
        <f>IF(J38=Stand!J38,"S","H")</f>
        <v>H</v>
      </c>
      <c r="X38" s="31" t="str">
        <f>IF(K38=Stand!K38,"S","H")</f>
        <v>H</v>
      </c>
    </row>
    <row r="39" spans="1:24">
      <c r="A39">
        <v>16</v>
      </c>
      <c r="B39">
        <f>MAX(Hit!B39,Stand!B39)</f>
        <v>-0.31409107314591783</v>
      </c>
      <c r="C39">
        <f>MAX(Hit!C39,Stand!C39)</f>
        <v>-1.9801265008183407E-2</v>
      </c>
      <c r="D39">
        <f>MAX(Hit!D39,Stand!D39)</f>
        <v>1.0160424127585613E-2</v>
      </c>
      <c r="E39">
        <f>MAX(Hit!E39,Stand!E39)</f>
        <v>4.1454335696845056E-2</v>
      </c>
      <c r="F39">
        <f>MAX(Hit!F39,Stand!F39)</f>
        <v>7.4161199052954929E-2</v>
      </c>
      <c r="G39">
        <f>MAX(Hit!G39,Stand!G39)</f>
        <v>0.10808223577057864</v>
      </c>
      <c r="H39">
        <f>MAX(Hit!H39,Stand!H39)</f>
        <v>-4.8901571730158942E-3</v>
      </c>
      <c r="I39">
        <f>MAX(Hit!I39,Stand!I39)</f>
        <v>-6.6794847920094103E-2</v>
      </c>
      <c r="J39">
        <f>MAX(Hit!J39,Stand!J39)</f>
        <v>-0.14864353463007471</v>
      </c>
      <c r="K39">
        <f>MAX(Hit!K39,Stand!K39)</f>
        <v>-0.25710121084742421</v>
      </c>
      <c r="N39" s="31">
        <v>16</v>
      </c>
      <c r="O39" s="31" t="str">
        <f>IF(B39=Stand!B39,"S","H")</f>
        <v>H</v>
      </c>
      <c r="P39" s="31" t="str">
        <f>IF(C39=Stand!C39,"S","H")</f>
        <v>H</v>
      </c>
      <c r="Q39" s="31" t="str">
        <f>IF(D39=Stand!D39,"S","H")</f>
        <v>H</v>
      </c>
      <c r="R39" s="31" t="str">
        <f>IF(E39=Stand!E39,"S","H")</f>
        <v>H</v>
      </c>
      <c r="S39" s="31" t="str">
        <f>IF(F39=Stand!F39,"S","H")</f>
        <v>H</v>
      </c>
      <c r="T39" s="31" t="str">
        <f>IF(G39=Stand!G39,"S","H")</f>
        <v>H</v>
      </c>
      <c r="U39" s="31" t="str">
        <f>IF(H39=Stand!H39,"S","H")</f>
        <v>H</v>
      </c>
      <c r="V39" s="31" t="str">
        <f>IF(I39=Stand!I39,"S","H")</f>
        <v>H</v>
      </c>
      <c r="W39" s="31" t="str">
        <f>IF(J39=Stand!J39,"S","H")</f>
        <v>H</v>
      </c>
      <c r="X39" s="31" t="str">
        <f>IF(K39=Stand!K39,"S","H")</f>
        <v>H</v>
      </c>
    </row>
    <row r="40" spans="1:24">
      <c r="A40">
        <v>17</v>
      </c>
      <c r="B40">
        <f>MAX(Hit!B40,Stand!B40)</f>
        <v>-0.30094774596936263</v>
      </c>
      <c r="C40">
        <f>MAX(Hit!C40,Stand!C40)</f>
        <v>-1.673172543840738E-3</v>
      </c>
      <c r="D40">
        <f>MAX(Hit!D40,Stand!D40)</f>
        <v>2.7911561721504739E-2</v>
      </c>
      <c r="E40">
        <f>MAX(Hit!E40,Stand!E40)</f>
        <v>5.876280075567035E-2</v>
      </c>
      <c r="F40">
        <f>MAX(Hit!F40,Stand!F40)</f>
        <v>9.0917775110499491E-2</v>
      </c>
      <c r="G40">
        <f>MAX(Hit!G40,Stand!G40)</f>
        <v>0.12452521015392595</v>
      </c>
      <c r="H40">
        <f>MAX(Hit!H40,Stand!H40)</f>
        <v>5.3823463716116654E-2</v>
      </c>
      <c r="I40">
        <f>MAX(Hit!I40,Stand!I40)</f>
        <v>-7.2915398729642075E-2</v>
      </c>
      <c r="J40">
        <f>MAX(Hit!J40,Stand!J40)</f>
        <v>-0.14978689218213323</v>
      </c>
      <c r="K40">
        <f>MAX(Hit!K40,Stand!K40)</f>
        <v>-0.24941602102444038</v>
      </c>
      <c r="N40" s="31">
        <v>17</v>
      </c>
      <c r="O40" s="31" t="str">
        <f>IF(B40=Stand!B40,"S","H")</f>
        <v>H</v>
      </c>
      <c r="P40" s="31" t="str">
        <f>IF(C40=Stand!C40,"S","H")</f>
        <v>H</v>
      </c>
      <c r="Q40" s="31" t="str">
        <f>IF(D40=Stand!D40,"S","H")</f>
        <v>H</v>
      </c>
      <c r="R40" s="31" t="str">
        <f>IF(E40=Stand!E40,"S","H")</f>
        <v>H</v>
      </c>
      <c r="S40" s="31" t="str">
        <f>IF(F40=Stand!F40,"S","H")</f>
        <v>H</v>
      </c>
      <c r="T40" s="31" t="str">
        <f>IF(G40=Stand!G40,"S","H")</f>
        <v>H</v>
      </c>
      <c r="U40" s="31" t="str">
        <f>IF(H40=Stand!H40,"S","H")</f>
        <v>H</v>
      </c>
      <c r="V40" s="31" t="str">
        <f>IF(I40=Stand!I40,"S","H")</f>
        <v>H</v>
      </c>
      <c r="W40" s="31" t="str">
        <f>IF(J40=Stand!J40,"S","H")</f>
        <v>H</v>
      </c>
      <c r="X40" s="31" t="str">
        <f>IF(K40=Stand!K40,"S","H")</f>
        <v>H</v>
      </c>
    </row>
    <row r="41" spans="1:24">
      <c r="A41">
        <v>18</v>
      </c>
      <c r="B41">
        <f>MAX(Hit!B41,Stand!B41)</f>
        <v>-0.24150883119675959</v>
      </c>
      <c r="C41">
        <f>MAX(Hit!C41,Stand!C41)</f>
        <v>0.11027005064085793</v>
      </c>
      <c r="D41">
        <f>MAX(Hit!D41,Stand!D41)</f>
        <v>0.13797729703756356</v>
      </c>
      <c r="E41">
        <f>MAX(Hit!E41,Stand!E41)</f>
        <v>0.16626900252257676</v>
      </c>
      <c r="F41">
        <f>MAX(Hit!F41,Stand!F41)</f>
        <v>0.19494598568825822</v>
      </c>
      <c r="G41">
        <f>MAX(Hit!G41,Stand!G41)</f>
        <v>0.22344619530395254</v>
      </c>
      <c r="H41">
        <f>MAX(Hit!H41,Stand!H41)</f>
        <v>0.3995541673365518</v>
      </c>
      <c r="I41">
        <f>MAX(Hit!I41,Stand!I41)</f>
        <v>0.10595134861912359</v>
      </c>
      <c r="J41">
        <f>MAX(Hit!J41,Stand!J41)</f>
        <v>-0.10074430758041522</v>
      </c>
      <c r="K41">
        <f>MAX(Hit!K41,Stand!K41)</f>
        <v>-0.20109793381277147</v>
      </c>
      <c r="N41" s="31">
        <v>18</v>
      </c>
      <c r="O41" s="31" t="str">
        <f>IF(B41=Stand!B41,"S","H")</f>
        <v>S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H</v>
      </c>
      <c r="X41" s="31" t="str">
        <f>IF(K41=Stand!K41,"S","H")</f>
        <v>H</v>
      </c>
    </row>
    <row r="42" spans="1:24">
      <c r="A42">
        <v>19</v>
      </c>
      <c r="B42">
        <f>MAX(Hit!B42,Stand!B42)</f>
        <v>-1.8660154151531549E-2</v>
      </c>
      <c r="C42">
        <f>MAX(Hit!C42,Stand!C42)</f>
        <v>0.37811050632056864</v>
      </c>
      <c r="D42">
        <f>MAX(Hit!D42,Stand!D42)</f>
        <v>0.39698952530936887</v>
      </c>
      <c r="E42">
        <f>MAX(Hit!E42,Stand!E42)</f>
        <v>0.41633218577399039</v>
      </c>
      <c r="F42">
        <f>MAX(Hit!F42,Stand!F42)</f>
        <v>0.43621552609808445</v>
      </c>
      <c r="G42">
        <f>MAX(Hit!G42,Stand!G42)</f>
        <v>0.45312155897092921</v>
      </c>
      <c r="H42">
        <f>MAX(Hit!H42,Stand!H42)</f>
        <v>0.6159764957534315</v>
      </c>
      <c r="I42">
        <f>MAX(Hit!I42,Stand!I42)</f>
        <v>0.5938536682866945</v>
      </c>
      <c r="J42">
        <f>MAX(Hit!J42,Stand!J42)</f>
        <v>0.28759675706758142</v>
      </c>
      <c r="K42">
        <f>MAX(Hit!K42,Stand!K42)</f>
        <v>-1.8660154151531536E-2</v>
      </c>
      <c r="N42" s="31">
        <v>19</v>
      </c>
      <c r="O42" s="31" t="str">
        <f>IF(B42=Stand!B42,"S","H")</f>
        <v>S</v>
      </c>
      <c r="P42" s="31" t="str">
        <f>IF(C42=Stand!C42,"S","H")</f>
        <v>S</v>
      </c>
      <c r="Q42" s="31" t="str">
        <f>IF(D42=Stand!D42,"S","H")</f>
        <v>S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S</v>
      </c>
      <c r="V42" s="31" t="str">
        <f>IF(I42=Stand!I42,"S","H")</f>
        <v>S</v>
      </c>
      <c r="W42" s="31" t="str">
        <f>IF(J42=Stand!J42,"S","H")</f>
        <v>S</v>
      </c>
      <c r="X42" s="31" t="str">
        <f>IF(K42=Stand!K42,"S","H")</f>
        <v>S</v>
      </c>
    </row>
    <row r="43" spans="1:24">
      <c r="A43">
        <v>20</v>
      </c>
      <c r="B43">
        <f>MAX(Hit!B43,Stand!B43)</f>
        <v>0.20418852289369649</v>
      </c>
      <c r="C43">
        <f>MAX(Hit!C43,Stand!C43)</f>
        <v>0.63507006739682603</v>
      </c>
      <c r="D43">
        <f>MAX(Hit!D43,Stand!D43)</f>
        <v>0.64584804747844671</v>
      </c>
      <c r="E43">
        <f>MAX(Hit!E43,Stand!E43)</f>
        <v>0.65694191851596806</v>
      </c>
      <c r="F43">
        <f>MAX(Hit!F43,Stand!F43)</f>
        <v>0.66838174379512039</v>
      </c>
      <c r="G43">
        <f>MAX(Hit!G43,Stand!G43)</f>
        <v>0.67824526128151064</v>
      </c>
      <c r="H43">
        <f>MAX(Hit!H43,Stand!H43)</f>
        <v>0.77322722653717491</v>
      </c>
      <c r="I43">
        <f>MAX(Hit!I43,Stand!I43)</f>
        <v>0.79181515955189841</v>
      </c>
      <c r="J43">
        <f>MAX(Hit!J43,Stand!J43)</f>
        <v>0.75835687080859626</v>
      </c>
      <c r="K43">
        <f>MAX(Hit!K43,Stand!K43)</f>
        <v>0.43495775366292722</v>
      </c>
      <c r="N43" s="31">
        <v>20</v>
      </c>
      <c r="O43" s="31" t="str">
        <f>IF(B43=Stand!B43,"S","H")</f>
        <v>S</v>
      </c>
      <c r="P43" s="31" t="str">
        <f>IF(C43=Stand!C43,"S","H")</f>
        <v>S</v>
      </c>
      <c r="Q43" s="31" t="str">
        <f>IF(D43=Stand!D43,"S","H")</f>
        <v>S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S</v>
      </c>
      <c r="V43" s="31" t="str">
        <f>IF(I43=Stand!I43,"S","H")</f>
        <v>S</v>
      </c>
      <c r="W43" s="31" t="str">
        <f>IF(J43=Stand!J43,"S","H")</f>
        <v>S</v>
      </c>
      <c r="X43" s="31" t="str">
        <f>IF(K43=Stand!K43,"S","H")</f>
        <v>S</v>
      </c>
    </row>
    <row r="44" spans="1:24">
      <c r="A44">
        <v>21</v>
      </c>
      <c r="B44">
        <f>MAX(Hit!B44,Stand!B44)</f>
        <v>0.65780643070815525</v>
      </c>
      <c r="C44">
        <f>MAX(Hit!C44,Stand!C44)</f>
        <v>0.88036767955403561</v>
      </c>
      <c r="D44">
        <f>MAX(Hit!D44,Stand!D44)</f>
        <v>0.88382567504407128</v>
      </c>
      <c r="E44">
        <f>MAX(Hit!E44,Stand!E44)</f>
        <v>0.8873979451552183</v>
      </c>
      <c r="F44">
        <f>MAX(Hit!F44,Stand!F44)</f>
        <v>0.89109451098272041</v>
      </c>
      <c r="G44">
        <f>MAX(Hit!G44,Stand!G44)</f>
        <v>0.89426564087930194</v>
      </c>
      <c r="H44">
        <f>MAX(Hit!H44,Stand!H44)</f>
        <v>0.92592629596452325</v>
      </c>
      <c r="I44">
        <f>MAX(Hit!I44,Stand!I44)</f>
        <v>0.93060505318396614</v>
      </c>
      <c r="J44">
        <f>MAX(Hit!J44,Stand!J44)</f>
        <v>0.93917615614724415</v>
      </c>
      <c r="K44">
        <f>MAX(Hit!K44,Stand!K44)</f>
        <v>0.88857566147738598</v>
      </c>
      <c r="N44" s="31">
        <v>21</v>
      </c>
      <c r="O44" s="31" t="str">
        <f>IF(B44=Stand!B44,"S","H")</f>
        <v>S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S</v>
      </c>
      <c r="V44" s="31" t="str">
        <f>IF(I44=Stand!I44,"S","H")</f>
        <v>S</v>
      </c>
      <c r="W44" s="31" t="str">
        <f>IF(J44=Stand!J44,"S","H")</f>
        <v>S</v>
      </c>
      <c r="X44" s="31" t="str">
        <f>IF(K44=Stand!K44,"S","H")</f>
        <v>S</v>
      </c>
    </row>
    <row r="45" spans="1:24">
      <c r="A45">
        <v>22</v>
      </c>
      <c r="B45">
        <f>MAX(Hit!B45,Stand!B45)</f>
        <v>-0.46566058377683939</v>
      </c>
      <c r="C45">
        <f>MAX(Hit!C45,Stand!C45)</f>
        <v>-0.25375147059276615</v>
      </c>
      <c r="D45">
        <f>MAX(Hit!D45,Stand!D45)</f>
        <v>-0.23401617638713501</v>
      </c>
      <c r="E45">
        <f>MAX(Hit!E45,Stand!E45)</f>
        <v>-0.20584968608305471</v>
      </c>
      <c r="F45">
        <f>MAX(Hit!F45,Stand!F45)</f>
        <v>-0.16468249424828357</v>
      </c>
      <c r="G45">
        <f>MAX(Hit!G45,Stand!G45)</f>
        <v>-0.12106685019651225</v>
      </c>
      <c r="H45">
        <f>MAX(Hit!H45,Stand!H45)</f>
        <v>-0.21284771451731424</v>
      </c>
      <c r="I45">
        <f>MAX(Hit!I45,Stand!I45)</f>
        <v>-0.27157480502428616</v>
      </c>
      <c r="J45">
        <f>MAX(Hit!J45,Stand!J45)</f>
        <v>-0.3400132806089356</v>
      </c>
      <c r="K45">
        <f>MAX(Hit!K45,Stand!K45)</f>
        <v>-0.42069618899826788</v>
      </c>
      <c r="N45" s="31">
        <v>22</v>
      </c>
      <c r="O45" s="31" t="str">
        <f>IF(B45=Stand!B45,"S","H")</f>
        <v>H</v>
      </c>
      <c r="P45" s="31" t="str">
        <f>IF(C45=Stand!C45,"S","H")</f>
        <v>H</v>
      </c>
      <c r="Q45" s="31" t="str">
        <f>IF(D45=Stand!D45,"S","H")</f>
        <v>H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>
      <c r="A46">
        <v>23</v>
      </c>
      <c r="B46">
        <f>MAX(Hit!B46,Stand!B46)</f>
        <v>-0.50382768493563657</v>
      </c>
      <c r="C46">
        <f>MAX(Hit!C46,Stand!C46)</f>
        <v>-0.28654430084029509</v>
      </c>
      <c r="D46">
        <f>MAX(Hit!D46,Stand!D46)</f>
        <v>-0.24663577379217239</v>
      </c>
      <c r="E46">
        <f>MAX(Hit!E46,Stand!E46)</f>
        <v>-0.20584968608305471</v>
      </c>
      <c r="F46">
        <f>MAX(Hit!F46,Stand!F46)</f>
        <v>-0.16468249424828357</v>
      </c>
      <c r="G46">
        <f>MAX(Hit!G46,Stand!G46)</f>
        <v>-0.12106685019651225</v>
      </c>
      <c r="H46">
        <f>MAX(Hit!H46,Stand!H46)</f>
        <v>-0.26907287776607752</v>
      </c>
      <c r="I46">
        <f>MAX(Hit!I46,Stand!I46)</f>
        <v>-0.32360517609397998</v>
      </c>
      <c r="J46">
        <f>MAX(Hit!J46,Stand!J46)</f>
        <v>-0.38715518913686875</v>
      </c>
      <c r="K46">
        <f>MAX(Hit!K46,Stand!K46)</f>
        <v>-0.46207503264124877</v>
      </c>
      <c r="N46" s="31">
        <v>23</v>
      </c>
      <c r="O46" s="31" t="str">
        <f>IF(B46=Stand!B46,"S","H")</f>
        <v>H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>
      <c r="A47">
        <v>24</v>
      </c>
      <c r="B47">
        <f>MAX(Hit!B47,Stand!B47)</f>
        <v>-0.53926856458309114</v>
      </c>
      <c r="C47">
        <f>MAX(Hit!C47,Stand!C47)</f>
        <v>-0.28654430084029509</v>
      </c>
      <c r="D47">
        <f>MAX(Hit!D47,Stand!D47)</f>
        <v>-0.24663577379217239</v>
      </c>
      <c r="E47">
        <f>MAX(Hit!E47,Stand!E47)</f>
        <v>-0.20584968608305471</v>
      </c>
      <c r="F47">
        <f>MAX(Hit!F47,Stand!F47)</f>
        <v>-0.16468249424828357</v>
      </c>
      <c r="G47">
        <f>MAX(Hit!G47,Stand!G47)</f>
        <v>-0.12106685019651225</v>
      </c>
      <c r="H47">
        <f>MAX(Hit!H47,Stand!H47)</f>
        <v>-0.3212819579256434</v>
      </c>
      <c r="I47">
        <f>MAX(Hit!I47,Stand!I47)</f>
        <v>-0.37191909208726714</v>
      </c>
      <c r="J47">
        <f>MAX(Hit!J47,Stand!J47)</f>
        <v>-0.43092981848423528</v>
      </c>
      <c r="K47">
        <f>MAX(Hit!K47,Stand!K47)</f>
        <v>-0.50049824459544523</v>
      </c>
      <c r="N47" s="31">
        <v>24</v>
      </c>
      <c r="O47" s="31" t="str">
        <f>IF(B47=Stand!B47,"S","H")</f>
        <v>H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H</v>
      </c>
      <c r="V47" s="31" t="str">
        <f>IF(I47=Stand!I47,"S","H")</f>
        <v>H</v>
      </c>
      <c r="W47" s="31" t="str">
        <f>IF(J47=Stand!J47,"S","H")</f>
        <v>H</v>
      </c>
      <c r="X47" s="31" t="str">
        <f>IF(K47=Stand!K47,"S","H")</f>
        <v>H</v>
      </c>
    </row>
    <row r="48" spans="1:24">
      <c r="A48">
        <v>25</v>
      </c>
      <c r="B48">
        <f>MAX(Hit!B48,Stand!B48)</f>
        <v>-0.572177952827156</v>
      </c>
      <c r="C48">
        <f>MAX(Hit!C48,Stand!C48)</f>
        <v>-0.28654430084029509</v>
      </c>
      <c r="D48">
        <f>MAX(Hit!D48,Stand!D48)</f>
        <v>-0.24663577379217239</v>
      </c>
      <c r="E48">
        <f>MAX(Hit!E48,Stand!E48)</f>
        <v>-0.20584968608305471</v>
      </c>
      <c r="F48">
        <f>MAX(Hit!F48,Stand!F48)</f>
        <v>-0.16468249424828357</v>
      </c>
      <c r="G48">
        <f>MAX(Hit!G48,Stand!G48)</f>
        <v>-0.12106685019651225</v>
      </c>
      <c r="H48">
        <f>MAX(Hit!H48,Stand!H48)</f>
        <v>-0.36976181807381175</v>
      </c>
      <c r="I48">
        <f>MAX(Hit!I48,Stand!I48)</f>
        <v>-0.41678201408103371</v>
      </c>
      <c r="J48">
        <f>MAX(Hit!J48,Stand!J48)</f>
        <v>-0.47157768859250415</v>
      </c>
      <c r="K48">
        <f>MAX(Hit!K48,Stand!K48)</f>
        <v>-0.53617694141005634</v>
      </c>
      <c r="N48" s="31">
        <v>25</v>
      </c>
      <c r="O48" s="31" t="str">
        <f>IF(B48=Stand!B48,"S","H")</f>
        <v>H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H</v>
      </c>
      <c r="V48" s="31" t="str">
        <f>IF(I48=Stand!I48,"S","H")</f>
        <v>H</v>
      </c>
      <c r="W48" s="31" t="str">
        <f>IF(J48=Stand!J48,"S","H")</f>
        <v>H</v>
      </c>
      <c r="X48" s="31" t="str">
        <f>IF(K48=Stand!K48,"S","H")</f>
        <v>H</v>
      </c>
    </row>
    <row r="49" spans="1:24">
      <c r="A49">
        <v>26</v>
      </c>
      <c r="B49">
        <f>MAX(Hit!B49,Stand!B49)</f>
        <v>-0.57578184676460165</v>
      </c>
      <c r="C49">
        <f>MAX(Hit!C49,Stand!C49)</f>
        <v>-0.28654430084029509</v>
      </c>
      <c r="D49">
        <f>MAX(Hit!D49,Stand!D49)</f>
        <v>-0.24663577379217239</v>
      </c>
      <c r="E49">
        <f>MAX(Hit!E49,Stand!E49)</f>
        <v>-0.20584968608305471</v>
      </c>
      <c r="F49">
        <f>MAX(Hit!F49,Stand!F49)</f>
        <v>-0.16468249424828357</v>
      </c>
      <c r="G49">
        <f>MAX(Hit!G49,Stand!G49)</f>
        <v>-0.12106685019651225</v>
      </c>
      <c r="H49">
        <f>MAX(Hit!H49,Stand!H49)</f>
        <v>-0.41477883106853947</v>
      </c>
      <c r="I49">
        <f>MAX(Hit!I49,Stand!I49)</f>
        <v>-0.45844044164667419</v>
      </c>
      <c r="J49">
        <f>MAX(Hit!J49,Stand!J49)</f>
        <v>-0.50932213940732529</v>
      </c>
      <c r="K49">
        <f>MAX(Hit!K49,Stand!K49)</f>
        <v>-0.56930715988076652</v>
      </c>
      <c r="N49" s="31">
        <v>26</v>
      </c>
      <c r="O49" s="31" t="str">
        <f>IF(B49=Stand!B49,"S","H")</f>
        <v>S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H</v>
      </c>
      <c r="V49" s="31" t="str">
        <f>IF(I49=Stand!I49,"S","H")</f>
        <v>H</v>
      </c>
      <c r="W49" s="31" t="str">
        <f>IF(J49=Stand!J49,"S","H")</f>
        <v>H</v>
      </c>
      <c r="X49" s="31" t="str">
        <f>IF(K49=Stand!K49,"S","H")</f>
        <v>H</v>
      </c>
    </row>
    <row r="50" spans="1:24">
      <c r="A50">
        <v>27</v>
      </c>
      <c r="B50">
        <f>MAX(Hit!B50,Stand!B50)</f>
        <v>-0.46435750824198752</v>
      </c>
      <c r="C50">
        <f>MAX(Hit!C50,Stand!C50)</f>
        <v>-0.15641021825706786</v>
      </c>
      <c r="D50">
        <f>MAX(Hit!D50,Stand!D50)</f>
        <v>-0.12030774273351591</v>
      </c>
      <c r="E50">
        <f>MAX(Hit!E50,Stand!E50)</f>
        <v>-8.3444052932191204E-2</v>
      </c>
      <c r="F50">
        <f>MAX(Hit!F50,Stand!F50)</f>
        <v>-4.6323554721567961E-2</v>
      </c>
      <c r="G50">
        <f>MAX(Hit!G50,Stand!G50)</f>
        <v>-6.2291683630239514E-3</v>
      </c>
      <c r="H50">
        <f>MAX(Hit!H50,Stand!H50)</f>
        <v>-0.10680898948269468</v>
      </c>
      <c r="I50">
        <f>MAX(Hit!I50,Stand!I50)</f>
        <v>-0.38195097104844711</v>
      </c>
      <c r="J50">
        <f>MAX(Hit!J50,Stand!J50)</f>
        <v>-0.42315423964521737</v>
      </c>
      <c r="K50">
        <f>MAX(Hit!K50,Stand!K50)</f>
        <v>-0.46435750824198763</v>
      </c>
      <c r="N50" s="31">
        <v>27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>
      <c r="A51">
        <v>28</v>
      </c>
      <c r="B51">
        <f>MAX(Hit!B51,Stand!B51)</f>
        <v>-0.24150883119675959</v>
      </c>
      <c r="C51">
        <f>MAX(Hit!C51,Stand!C51)</f>
        <v>0.11027005064085793</v>
      </c>
      <c r="D51">
        <f>MAX(Hit!D51,Stand!D51)</f>
        <v>0.13797729703756356</v>
      </c>
      <c r="E51">
        <f>MAX(Hit!E51,Stand!E51)</f>
        <v>0.16626900252257676</v>
      </c>
      <c r="F51">
        <f>MAX(Hit!F51,Stand!F51)</f>
        <v>0.19494598568825822</v>
      </c>
      <c r="G51">
        <f>MAX(Hit!G51,Stand!G51)</f>
        <v>0.22344619530395254</v>
      </c>
      <c r="H51">
        <f>MAX(Hit!H51,Stand!H51)</f>
        <v>0.3995541673365518</v>
      </c>
      <c r="I51">
        <f>MAX(Hit!I51,Stand!I51)</f>
        <v>0.10595134861912359</v>
      </c>
      <c r="J51">
        <f>MAX(Hit!J51,Stand!J51)</f>
        <v>-0.18316335667343331</v>
      </c>
      <c r="K51">
        <f>MAX(Hit!K51,Stand!K51)</f>
        <v>-0.24150883119675959</v>
      </c>
      <c r="N51" s="31">
        <v>28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>
      <c r="A52">
        <v>29</v>
      </c>
      <c r="B52">
        <f>MAX(Hit!B52,Stand!B52)</f>
        <v>-1.8660154151531549E-2</v>
      </c>
      <c r="C52">
        <f>MAX(Hit!C52,Stand!C52)</f>
        <v>0.37811050632056864</v>
      </c>
      <c r="D52">
        <f>MAX(Hit!D52,Stand!D52)</f>
        <v>0.39698952530936887</v>
      </c>
      <c r="E52">
        <f>MAX(Hit!E52,Stand!E52)</f>
        <v>0.41633218577399039</v>
      </c>
      <c r="F52">
        <f>MAX(Hit!F52,Stand!F52)</f>
        <v>0.43621552609808445</v>
      </c>
      <c r="G52">
        <f>MAX(Hit!G52,Stand!G52)</f>
        <v>0.45312155897092921</v>
      </c>
      <c r="H52">
        <f>MAX(Hit!H52,Stand!H52)</f>
        <v>0.6159764957534315</v>
      </c>
      <c r="I52">
        <f>MAX(Hit!I52,Stand!I52)</f>
        <v>0.5938536682866945</v>
      </c>
      <c r="J52">
        <f>MAX(Hit!J52,Stand!J52)</f>
        <v>0.28759675706758142</v>
      </c>
      <c r="K52">
        <f>MAX(Hit!K52,Stand!K52)</f>
        <v>-1.8660154151531536E-2</v>
      </c>
      <c r="N52" s="31">
        <v>29</v>
      </c>
      <c r="O52" s="31" t="str">
        <f>IF(B52=Stand!B52,"S","H")</f>
        <v>S</v>
      </c>
      <c r="P52" s="31" t="str">
        <f>IF(C52=Stand!C52,"S","H")</f>
        <v>S</v>
      </c>
      <c r="Q52" s="31" t="str">
        <f>IF(D52=Stand!D52,"S","H")</f>
        <v>S</v>
      </c>
      <c r="R52" s="31" t="str">
        <f>IF(E52=Stand!E52,"S","H")</f>
        <v>S</v>
      </c>
      <c r="S52" s="31" t="str">
        <f>IF(F52=Stand!F52,"S","H")</f>
        <v>S</v>
      </c>
      <c r="T52" s="31" t="str">
        <f>IF(G52=Stand!G52,"S","H")</f>
        <v>S</v>
      </c>
      <c r="U52" s="31" t="str">
        <f>IF(H52=Stand!H52,"S","H")</f>
        <v>S</v>
      </c>
      <c r="V52" s="31" t="str">
        <f>IF(I52=Stand!I52,"S","H")</f>
        <v>S</v>
      </c>
      <c r="W52" s="31" t="str">
        <f>IF(J52=Stand!J52,"S","H")</f>
        <v>S</v>
      </c>
      <c r="X52" s="31" t="str">
        <f>IF(K52=Stand!K52,"S","H")</f>
        <v>S</v>
      </c>
    </row>
    <row r="53" spans="1:24">
      <c r="A53">
        <v>30</v>
      </c>
      <c r="B53">
        <f>MAX(Hit!B53,Stand!B53)</f>
        <v>0.20418852289369649</v>
      </c>
      <c r="C53">
        <f>MAX(Hit!C53,Stand!C53)</f>
        <v>0.63507006739682603</v>
      </c>
      <c r="D53">
        <f>MAX(Hit!D53,Stand!D53)</f>
        <v>0.64584804747844671</v>
      </c>
      <c r="E53">
        <f>MAX(Hit!E53,Stand!E53)</f>
        <v>0.65694191851596806</v>
      </c>
      <c r="F53">
        <f>MAX(Hit!F53,Stand!F53)</f>
        <v>0.66838174379512039</v>
      </c>
      <c r="G53">
        <f>MAX(Hit!G53,Stand!G53)</f>
        <v>0.67824526128151064</v>
      </c>
      <c r="H53">
        <f>MAX(Hit!H53,Stand!H53)</f>
        <v>0.77322722653717491</v>
      </c>
      <c r="I53">
        <f>MAX(Hit!I53,Stand!I53)</f>
        <v>0.79181515955189841</v>
      </c>
      <c r="J53">
        <f>MAX(Hit!J53,Stand!J53)</f>
        <v>0.75835687080859626</v>
      </c>
      <c r="K53">
        <f>MAX(Hit!K53,Stand!K53)</f>
        <v>0.43495775366292722</v>
      </c>
      <c r="N53" s="31">
        <v>30</v>
      </c>
      <c r="O53" s="31" t="str">
        <f>IF(B53=Stand!B53,"S","H")</f>
        <v>S</v>
      </c>
      <c r="P53" s="31" t="str">
        <f>IF(C53=Stand!C53,"S","H")</f>
        <v>S</v>
      </c>
      <c r="Q53" s="31" t="str">
        <f>IF(D53=Stand!D53,"S","H")</f>
        <v>S</v>
      </c>
      <c r="R53" s="31" t="str">
        <f>IF(E53=Stand!E53,"S","H")</f>
        <v>S</v>
      </c>
      <c r="S53" s="31" t="str">
        <f>IF(F53=Stand!F53,"S","H")</f>
        <v>S</v>
      </c>
      <c r="T53" s="31" t="str">
        <f>IF(G53=Stand!G53,"S","H")</f>
        <v>S</v>
      </c>
      <c r="U53" s="31" t="str">
        <f>IF(H53=Stand!H53,"S","H")</f>
        <v>S</v>
      </c>
      <c r="V53" s="31" t="str">
        <f>IF(I53=Stand!I53,"S","H")</f>
        <v>S</v>
      </c>
      <c r="W53" s="31" t="str">
        <f>IF(J53=Stand!J53,"S","H")</f>
        <v>S</v>
      </c>
      <c r="X53" s="31" t="str">
        <f>IF(K53=Stand!K53,"S","H")</f>
        <v>S</v>
      </c>
    </row>
    <row r="54" spans="1:24">
      <c r="A54">
        <v>31</v>
      </c>
      <c r="B54">
        <f>MAX(Hit!B54,Stand!B54)</f>
        <v>0.65780643070815525</v>
      </c>
      <c r="C54">
        <f>MAX(Hit!C54,Stand!C54)</f>
        <v>0.88036767955403561</v>
      </c>
      <c r="D54">
        <f>MAX(Hit!D54,Stand!D54)</f>
        <v>0.88382567504407128</v>
      </c>
      <c r="E54">
        <f>MAX(Hit!E54,Stand!E54)</f>
        <v>0.8873979451552183</v>
      </c>
      <c r="F54">
        <f>MAX(Hit!F54,Stand!F54)</f>
        <v>0.89109451098272041</v>
      </c>
      <c r="G54">
        <f>MAX(Hit!G54,Stand!G54)</f>
        <v>0.89426564087930194</v>
      </c>
      <c r="H54">
        <f>MAX(Hit!H54,Stand!H54)</f>
        <v>0.92592629596452325</v>
      </c>
      <c r="I54">
        <f>MAX(Hit!I54,Stand!I54)</f>
        <v>0.93060505318396614</v>
      </c>
      <c r="J54">
        <f>MAX(Hit!J54,Stand!J54)</f>
        <v>0.93917615614724415</v>
      </c>
      <c r="K54">
        <f>MAX(Hit!K54,Stand!K54)</f>
        <v>0.88857566147738598</v>
      </c>
      <c r="N54" s="31">
        <v>31</v>
      </c>
      <c r="O54" s="31" t="str">
        <f>IF(B54=Stand!B54,"S","H")</f>
        <v>S</v>
      </c>
      <c r="P54" s="31" t="str">
        <f>IF(C54=Stand!C54,"S","H")</f>
        <v>S</v>
      </c>
      <c r="Q54" s="31" t="str">
        <f>IF(D54=Stand!D54,"S","H")</f>
        <v>S</v>
      </c>
      <c r="R54" s="31" t="str">
        <f>IF(E54=Stand!E54,"S","H")</f>
        <v>S</v>
      </c>
      <c r="S54" s="31" t="str">
        <f>IF(F54=Stand!F54,"S","H")</f>
        <v>S</v>
      </c>
      <c r="T54" s="31" t="str">
        <f>IF(G54=Stand!G54,"S","H")</f>
        <v>S</v>
      </c>
      <c r="U54" s="31" t="str">
        <f>IF(H54=Stand!H54,"S","H")</f>
        <v>S</v>
      </c>
      <c r="V54" s="31" t="str">
        <f>IF(I54=Stand!I54,"S","H")</f>
        <v>S</v>
      </c>
      <c r="W54" s="31" t="str">
        <f>IF(J54=Stand!J54,"S","H")</f>
        <v>S</v>
      </c>
      <c r="X54" s="31" t="str">
        <f>IF(K54=Stand!K54,"S","H")</f>
        <v>S</v>
      </c>
    </row>
  </sheetData>
  <sheetProtection sheet="1" objects="1" scenarios="1"/>
  <phoneticPr fontId="16" type="noConversion"/>
  <conditionalFormatting sqref="O2:X31">
    <cfRule type="containsText" dxfId="721" priority="5" operator="containsText" text="S">
      <formula>NOT(ISERROR(SEARCH("S",O2)))</formula>
    </cfRule>
    <cfRule type="containsText" dxfId="720" priority="6" operator="containsText" text="H">
      <formula>NOT(ISERROR(SEARCH("H",O2)))</formula>
    </cfRule>
  </conditionalFormatting>
  <conditionalFormatting sqref="O35:X54">
    <cfRule type="containsText" dxfId="719" priority="3" operator="containsText" text="S">
      <formula>NOT(ISERROR(SEARCH("S",O35)))</formula>
    </cfRule>
    <cfRule type="containsText" dxfId="718" priority="4" operator="containsText" text="H">
      <formula>NOT(ISERROR(SEARCH("H",O35)))</formula>
    </cfRule>
  </conditionalFormatting>
  <conditionalFormatting sqref="O34:X34">
    <cfRule type="containsText" dxfId="717" priority="1" operator="containsText" text="S">
      <formula>NOT(ISERROR(SEARCH("S",O34)))</formula>
    </cfRule>
    <cfRule type="containsText" dxfId="716" priority="2" operator="containsText" text="H">
      <formula>NOT(ISERROR(SEARCH("H",O34)))</formula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A89A-3C8D-D649-B3D3-617CB65D7BD5}">
  <sheetPr>
    <pageSetUpPr fitToPage="1"/>
  </sheetPr>
  <dimension ref="A1:W54"/>
  <sheetViews>
    <sheetView zoomScale="90" zoomScaleNormal="90" workbookViewId="0">
      <selection activeCell="O18" sqref="O18:V54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0.99999999999999689</v>
      </c>
    </row>
    <row r="2" spans="1:23">
      <c r="A2" t="s">
        <v>39</v>
      </c>
      <c r="B2" s="133" t="s">
        <v>124</v>
      </c>
      <c r="C2" s="139">
        <f>Analysis!B62</f>
        <v>0.2543116473981118</v>
      </c>
      <c r="D2" s="133" t="s">
        <v>125</v>
      </c>
      <c r="E2" s="139">
        <f>Analysis!O62</f>
        <v>0.74568835260188504</v>
      </c>
      <c r="F2" s="133" t="s">
        <v>46</v>
      </c>
      <c r="G2" s="139">
        <f>Analysis!S62</f>
        <v>839.05010484721311</v>
      </c>
      <c r="H2" t="s">
        <v>153</v>
      </c>
      <c r="I2" s="153">
        <f>Analysis!T62</f>
        <v>-840.15861370829896</v>
      </c>
      <c r="J2" t="s">
        <v>47</v>
      </c>
      <c r="K2" s="153">
        <f>G2*C2+I2*E2</f>
        <v>-413.1162781671718</v>
      </c>
      <c r="L2" t="s">
        <v>46</v>
      </c>
      <c r="M2" s="160">
        <v>3</v>
      </c>
      <c r="N2" t="s">
        <v>153</v>
      </c>
      <c r="O2" s="160">
        <v>10</v>
      </c>
    </row>
    <row r="4" spans="1:23">
      <c r="A4" t="s">
        <v>122</v>
      </c>
      <c r="B4">
        <f>$C$2</f>
        <v>0.2543116473981118</v>
      </c>
      <c r="C4" t="s">
        <v>123</v>
      </c>
      <c r="D4">
        <f>$E$2</f>
        <v>0.74568835260188504</v>
      </c>
      <c r="E4" t="s">
        <v>46</v>
      </c>
      <c r="F4">
        <f>G2</f>
        <v>839.05010484721311</v>
      </c>
      <c r="G4" t="s">
        <v>153</v>
      </c>
      <c r="H4">
        <f>I2</f>
        <v>-840.15861370829896</v>
      </c>
      <c r="I4" t="s">
        <v>47</v>
      </c>
      <c r="J4">
        <f>B4*F4+D4*H4</f>
        <v>-413.1162781671718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0.2543116473981118</v>
      </c>
      <c r="C7" s="95">
        <v>1</v>
      </c>
      <c r="D7" s="22">
        <f>C7*D4</f>
        <v>0.74568835260188504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0.99999999999999689</v>
      </c>
      <c r="R7" s="265">
        <f>B7-D7</f>
        <v>-0.49137670520377325</v>
      </c>
      <c r="S7" s="266">
        <f>IF(Rules!B20=Rules!D20,SUM(C7)*B4*F4,SUM(C7)*B4*F4*POWER(O2,A7-1))</f>
        <v>213.38021441325319</v>
      </c>
      <c r="T7" s="252">
        <f>IF(Rules!B20=Rules!D20,SUM(C7)*D4*H4,SUM(C7)*D4*H4*POWER(O2,A7-1))</f>
        <v>-626.49649258042496</v>
      </c>
      <c r="U7" s="263">
        <f>S7+T7</f>
        <v>-413.1162781671718</v>
      </c>
      <c r="V7" s="282">
        <f>S7/B4</f>
        <v>839.05010484721311</v>
      </c>
      <c r="W7" s="57">
        <f>T7/D4</f>
        <v>-840.15861370829896</v>
      </c>
    </row>
    <row r="8" spans="1:23">
      <c r="A8" s="98">
        <v>2</v>
      </c>
      <c r="B8" s="97">
        <f>C8*B4</f>
        <v>0.31382444736915455</v>
      </c>
      <c r="C8" s="97">
        <f>1/(1-B4*D4)</f>
        <v>1.2340152351649019</v>
      </c>
      <c r="D8" s="128">
        <f>C8*D4</f>
        <v>0.92019078779574337</v>
      </c>
      <c r="E8" s="1">
        <f>D8*D4</f>
        <v>0.68617555263083863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0.99999999999999312</v>
      </c>
      <c r="R8" s="267">
        <f>B8-E8</f>
        <v>-0.37235110526168408</v>
      </c>
      <c r="S8" s="268">
        <f>IF(Rules!B20=Rules!D20,SUM(C8:D8)*B4*F4,SUM(C8:D8)*B4*F4*POWER(O2,A8-1))</f>
        <v>459.66494306966393</v>
      </c>
      <c r="T8" s="253">
        <f>IF(Rules!B20=Rules!D20,SUM(C8:D8)*D4*H4,SUM(C8:D8)*D4*H4*POWER(O2,A8-1))</f>
        <v>-1349.6025176804706</v>
      </c>
      <c r="U8" s="264">
        <f>S8+T8+U7</f>
        <v>-1303.0538527779786</v>
      </c>
      <c r="V8" s="93">
        <f>S8/B4</f>
        <v>1807.4867894276274</v>
      </c>
      <c r="W8" s="9">
        <f>T8/D4</f>
        <v>-1809.8747458926837</v>
      </c>
    </row>
    <row r="9" spans="1:23">
      <c r="A9" s="98">
        <v>3</v>
      </c>
      <c r="B9" s="97">
        <f>C9*B4</f>
        <v>0.33200614303714016</v>
      </c>
      <c r="C9" s="97">
        <f>1/(1-D4*B4/(1-D4*B4))</f>
        <v>1.3055089943143723</v>
      </c>
      <c r="D9" s="128">
        <f>C9*D4*C8</f>
        <v>1.2013173499525711</v>
      </c>
      <c r="E9" s="1">
        <f>D9*(D4)</f>
        <v>0.89580835563819494</v>
      </c>
      <c r="F9" s="1">
        <f>E9*D4</f>
        <v>0.66799385696284919</v>
      </c>
      <c r="G9" s="1"/>
      <c r="H9" s="1"/>
      <c r="I9" s="1"/>
      <c r="J9" s="1"/>
      <c r="K9" s="1"/>
      <c r="L9" s="1"/>
      <c r="M9" s="235"/>
      <c r="N9" s="97">
        <f>B9+F9</f>
        <v>0.99999999999998934</v>
      </c>
      <c r="R9" s="267">
        <f>B9-F9</f>
        <v>-0.33598771392570903</v>
      </c>
      <c r="S9" s="268">
        <f>IF(Rules!B20=Rules!D20,SUM(C9:E9)*B4*F4,SUM(C9:E9)*B4*F4*POWER(O2,A9-1))</f>
        <v>726.05492183573381</v>
      </c>
      <c r="T9" s="253">
        <f>IF(Rules!B20=Rules!D20,SUM(C9:E9)*D4*H4,SUM(C9:E9)*D4*H4*POWER(O2,A9-1))</f>
        <v>-2131.7387050230159</v>
      </c>
      <c r="U9" s="264">
        <f t="shared" ref="U9:U16" si="0">S9+T9+U8</f>
        <v>-2708.7376359652608</v>
      </c>
      <c r="V9" s="93">
        <f>S9/B4</f>
        <v>2854.9810017121717</v>
      </c>
      <c r="W9" s="9">
        <f>T9/D4</f>
        <v>-2858.7528524280547</v>
      </c>
    </row>
    <row r="10" spans="1:23">
      <c r="A10" s="98">
        <v>4</v>
      </c>
      <c r="B10" s="97">
        <f>C10*B4</f>
        <v>0.33798851699874982</v>
      </c>
      <c r="C10" s="97">
        <f>1/(1-D4*B4/(1-D4*B4/(1-D4*B4)))</f>
        <v>1.3290327849972448</v>
      </c>
      <c r="D10" s="128">
        <f>C10*D4*C9</f>
        <v>1.2938172056357329</v>
      </c>
      <c r="E10" s="1">
        <f>D10*D4*C8</f>
        <v>1.1905586737176324</v>
      </c>
      <c r="F10" s="1">
        <f>E10*D4</f>
        <v>0.88778573608038647</v>
      </c>
      <c r="G10" s="1">
        <f>F10*D4</f>
        <v>0.66201148300123525</v>
      </c>
      <c r="H10" s="1"/>
      <c r="I10" s="1"/>
      <c r="J10" s="1"/>
      <c r="K10" s="1"/>
      <c r="L10" s="1"/>
      <c r="M10" s="235"/>
      <c r="N10" s="97">
        <f>B10+G10</f>
        <v>0.99999999999998512</v>
      </c>
      <c r="R10" s="267">
        <f>B10-G10</f>
        <v>-0.32402296600248542</v>
      </c>
      <c r="S10" s="268">
        <f>IF(Rules!B20=Rules!D20,SUM(C10:F10)*B4*F4,SUM(C10:F10)*B4*F4*POWER(O2,A10-1))</f>
        <v>1003.1418691623512</v>
      </c>
      <c r="T10" s="253">
        <f>IF(Rules!B20=Rules!D20,SUM(C10:F10)*D4*H4,SUM(C10:F10)*D4*H4*POWER(O2,A10-1))</f>
        <v>-2945.2818028087527</v>
      </c>
      <c r="U10" s="264">
        <f t="shared" si="0"/>
        <v>-4650.8775696116627</v>
      </c>
      <c r="V10" s="93">
        <f>S10/B4</f>
        <v>3944.5376545887584</v>
      </c>
      <c r="W10" s="9">
        <f>T10/D4</f>
        <v>-3949.7489702393232</v>
      </c>
    </row>
    <row r="11" spans="1:23">
      <c r="A11" s="98">
        <v>5</v>
      </c>
      <c r="B11" s="97">
        <f>C11*B4</f>
        <v>0.34000433381712369</v>
      </c>
      <c r="C11" s="97">
        <f>1/(1-D4*B4/(1-D4*B4/(1-D4*B4/(1-D4*B4))))</f>
        <v>1.3369593461241058</v>
      </c>
      <c r="D11" s="128">
        <f>C11*D4*C10</f>
        <v>1.3249858965233052</v>
      </c>
      <c r="E11" s="1">
        <f>D11*D4*C9</f>
        <v>1.2898775481675517</v>
      </c>
      <c r="F11" s="1">
        <f>E11*D4*C8</f>
        <v>1.1869334372083415</v>
      </c>
      <c r="G11" s="1">
        <f>F11*D4</f>
        <v>0.88508243943998122</v>
      </c>
      <c r="H11" s="1">
        <f>G11*D4</f>
        <v>0.65999566618285732</v>
      </c>
      <c r="I11" s="1"/>
      <c r="J11" s="1"/>
      <c r="K11" s="1"/>
      <c r="L11" s="1"/>
      <c r="M11" s="235"/>
      <c r="N11" s="97">
        <f>B11+H11</f>
        <v>0.99999999999998102</v>
      </c>
      <c r="R11" s="267">
        <f>B11-H11</f>
        <v>-0.31999133236573363</v>
      </c>
      <c r="S11" s="268">
        <f>IF(Rules!B20=Rules!D20,SUM(C11:G11)*B4*F4,SUM(C11:G11)*B4*F4*POWER(O2,A11-1))</f>
        <v>1285.3679864541612</v>
      </c>
      <c r="T11" s="253">
        <f>IF(Rules!B20=Rules!D20,SUM(C11:G11)*D4*H4,SUM(C11:G11)*D4*H4*POWER(O2,A11-1))</f>
        <v>-3773.9137970360885</v>
      </c>
      <c r="U11" s="264">
        <f t="shared" si="0"/>
        <v>-7139.4233801935898</v>
      </c>
      <c r="V11" s="93">
        <f>S11/B4</f>
        <v>5054.302465517766</v>
      </c>
      <c r="W11" s="9">
        <f>T11/D4</f>
        <v>-5060.9799440584002</v>
      </c>
    </row>
    <row r="12" spans="1:23">
      <c r="A12" s="98">
        <v>6</v>
      </c>
      <c r="B12" s="97">
        <f>C12*B4</f>
        <v>0.3406890092558662</v>
      </c>
      <c r="C12" s="97">
        <f>1/(1-D4*B4/(1-D4*B4/(1-D4*B4/(1-D4*B4/(1-D4*B4)))))</f>
        <v>1.3396516154155342</v>
      </c>
      <c r="D12" s="128">
        <f>C12*D4*C11</f>
        <v>1.3355723927336567</v>
      </c>
      <c r="E12" s="1">
        <f>D12*D4*C10</f>
        <v>1.3236113643157195</v>
      </c>
      <c r="F12" s="1">
        <f>E12*D4*C9</f>
        <v>1.2885394371442946</v>
      </c>
      <c r="G12" s="1">
        <f>F12*D4*C8</f>
        <v>1.1857021197716924</v>
      </c>
      <c r="H12" s="1">
        <f>G12*D4</f>
        <v>0.88416426036911622</v>
      </c>
      <c r="I12" s="1">
        <f>H12*D4</f>
        <v>0.65931099074411037</v>
      </c>
      <c r="J12" s="1"/>
      <c r="K12" s="1"/>
      <c r="L12" s="1"/>
      <c r="M12" s="235"/>
      <c r="N12" s="97">
        <f>B12+I12</f>
        <v>0.99999999999997657</v>
      </c>
      <c r="R12" s="267">
        <f>B12-I12</f>
        <v>-0.31862198148824417</v>
      </c>
      <c r="S12" s="268">
        <f>IF(Rules!B20=Rules!D20,SUM(C12:H12)*B4*F4,SUM(C12:H12)*B4*F4*POWER(O2,A12-1))</f>
        <v>1569.8897025588758</v>
      </c>
      <c r="T12" s="253">
        <f>IF(Rules!B20=Rules!D20,SUM(C12:H12)*D4*H4,SUM(C12:H12)*D4*H4*POWER(O2,A12-1))</f>
        <v>-4609.2858004466161</v>
      </c>
      <c r="U12" s="264">
        <f t="shared" si="0"/>
        <v>-10178.81947808133</v>
      </c>
      <c r="V12" s="93">
        <f>S12/B4</f>
        <v>6173.0939916459829</v>
      </c>
      <c r="W12" s="9">
        <f>T12/D4</f>
        <v>-6181.2495586979676</v>
      </c>
    </row>
    <row r="13" spans="1:23">
      <c r="A13" s="98">
        <v>7</v>
      </c>
      <c r="B13" s="97">
        <f>C13*B4</f>
        <v>0.34092218815506015</v>
      </c>
      <c r="C13" s="97">
        <f>1/(1-D4*B4/(1-D4*B4/(1-D4*B4/(1-D4*B4/(1-D4*B4/(1-D4*B4))))))</f>
        <v>1.3405685175770341</v>
      </c>
      <c r="D13" s="128">
        <f>C13*D4*C12</f>
        <v>1.3391778200543512</v>
      </c>
      <c r="E13" s="1">
        <f>D13*D4*C11</f>
        <v>1.3351000400735173</v>
      </c>
      <c r="F13" s="1">
        <f>E13*D4*C10</f>
        <v>1.3231432419194147</v>
      </c>
      <c r="G13" s="1">
        <f>F13*D4*C9</f>
        <v>1.2880837186567451</v>
      </c>
      <c r="H13" s="1">
        <f>G13*D4*C8</f>
        <v>1.1852827718176211</v>
      </c>
      <c r="I13" s="1">
        <f>H13*D4</f>
        <v>0.88385155748407784</v>
      </c>
      <c r="J13" s="1">
        <f>I13*D4</f>
        <v>0.65907781184491232</v>
      </c>
      <c r="K13" s="1"/>
      <c r="L13" s="1"/>
      <c r="M13" s="235"/>
      <c r="N13" s="97">
        <f>B13+J13</f>
        <v>0.99999999999997247</v>
      </c>
      <c r="R13" s="267">
        <f>B13-J13</f>
        <v>-0.31815562368985217</v>
      </c>
      <c r="S13" s="268">
        <f>IF(Rules!B20=Rules!D20,SUM(C13:I13)*B4*F4,SUM(C13:I13)*B4*F4*POWER(O2,A13-1))</f>
        <v>1855.3852764765727</v>
      </c>
      <c r="T13" s="253">
        <f>IF(Rules!B20=Rules!D20,SUM(C13:I13)*D4*H4,SUM(C13:I13)*D4*H4*POWER(O2,A13-1))</f>
        <v>-5447.5171059990171</v>
      </c>
      <c r="U13" s="264">
        <f t="shared" si="0"/>
        <v>-13770.951307603775</v>
      </c>
      <c r="V13" s="93">
        <f>S13/B4</f>
        <v>7295.7149051536071</v>
      </c>
      <c r="W13" s="9">
        <f>T13/D4</f>
        <v>-7305.3536199021037</v>
      </c>
    </row>
    <row r="14" spans="1:23">
      <c r="A14" s="98">
        <v>8</v>
      </c>
      <c r="B14" s="97">
        <f>C14*B4</f>
        <v>0.34100167442822454</v>
      </c>
      <c r="C14" s="97">
        <f>1/(1-D4*B4/(1-D4*B4/(1-D4*B4/(1-D4*B4/(1-D4*B4/(1-D4*B4/(1-D4*B4)))))))</f>
        <v>1.3408810721689202</v>
      </c>
      <c r="D14" s="128">
        <f>C14*D4*C13</f>
        <v>1.3404068419850563</v>
      </c>
      <c r="E14" s="1">
        <f>D14*D4*C12</f>
        <v>1.3390163121836365</v>
      </c>
      <c r="F14" s="1">
        <f>E14*D4*C11</f>
        <v>1.3349390239922814</v>
      </c>
      <c r="G14" s="1">
        <f>F14*D4*C10</f>
        <v>1.3229836678550502</v>
      </c>
      <c r="H14" s="1">
        <f>G14*D4*C9</f>
        <v>1.2879283728500965</v>
      </c>
      <c r="I14" s="1">
        <f>H14*D4*C8</f>
        <v>1.1851398240374202</v>
      </c>
      <c r="J14" s="1">
        <f>I14*D4</f>
        <v>0.88374496298935179</v>
      </c>
      <c r="K14" s="1">
        <f>J14*D4</f>
        <v>0.65899832557174365</v>
      </c>
      <c r="L14" s="1"/>
      <c r="M14" s="235"/>
      <c r="N14" s="97">
        <f>B14+K14</f>
        <v>0.99999999999996825</v>
      </c>
      <c r="R14" s="267">
        <f>B14-K14</f>
        <v>-0.3179966511435191</v>
      </c>
      <c r="S14" s="268">
        <f>IF(Rules!B20=Rules!D20,SUM(C14:J14)*B4*F4,SUM(C14:J14)*B4*F4*POWER(O2,A14-1))</f>
        <v>2141.2790035024186</v>
      </c>
      <c r="T14" s="253">
        <f>IF(Rules!B20=Rules!D20,SUM(C14:J14)*D4*H4,SUM(C14:J14)*D4*H4*POWER(O2,A14-1))</f>
        <v>-6286.9174118097199</v>
      </c>
      <c r="U14" s="264">
        <f t="shared" si="0"/>
        <v>-17916.589715911075</v>
      </c>
      <c r="V14" s="93">
        <f>S14/B4</f>
        <v>8419.901429643749</v>
      </c>
      <c r="W14" s="9">
        <f>T14/D4</f>
        <v>-8431.0253604916325</v>
      </c>
    </row>
    <row r="15" spans="1:23">
      <c r="A15" s="98">
        <v>9</v>
      </c>
      <c r="B15" s="97">
        <f>C15*B4</f>
        <v>0.34102877826567246</v>
      </c>
      <c r="C15" s="97">
        <f>1/(1-D4*B4/(1-D4*B4/(1-D4*B4/(1-D4*B4/(1-D4*B4/(1-D4*B4/(1-D4*B4/(1-D4*B4))))))))</f>
        <v>1.3409876494245245</v>
      </c>
      <c r="D15" s="128">
        <f>C15*D4*C14</f>
        <v>1.3408259232842989</v>
      </c>
      <c r="E15" s="1">
        <f>D15*D4*C13</f>
        <v>1.3403517126049731</v>
      </c>
      <c r="F15" s="1">
        <f>E15*D4*C12</f>
        <v>1.3389612399944326</v>
      </c>
      <c r="G15" s="1">
        <f>F15*D4*C11</f>
        <v>1.3348841194972161</v>
      </c>
      <c r="H15" s="1">
        <f>G15*D4*C10</f>
        <v>1.3229292550699283</v>
      </c>
      <c r="I15" s="1">
        <f>H15*D4*C9</f>
        <v>1.2878754018486345</v>
      </c>
      <c r="J15" s="1">
        <f>I15*D4*C8</f>
        <v>1.1850910806098547</v>
      </c>
      <c r="K15" s="1">
        <f>J15*D4</f>
        <v>0.88370861558315028</v>
      </c>
      <c r="L15" s="1">
        <f>K15*D4</f>
        <v>0.6589712217342919</v>
      </c>
      <c r="M15" s="235"/>
      <c r="N15" s="97">
        <f>B15+L15</f>
        <v>0.99999999999996436</v>
      </c>
      <c r="R15" s="267">
        <f>B15-L15</f>
        <v>-0.31794244346861944</v>
      </c>
      <c r="S15" s="268">
        <f>IF(Rules!B20=Rules!D20,SUM(C15:K15)*B4*F4,SUM(C15:K15)*B4*F4*POWER(O2,A15-1))</f>
        <v>2427.3311673381509</v>
      </c>
      <c r="T15" s="253">
        <f>IF(Rules!B20=Rules!D20,SUM(C15:K15)*D4*H4,SUM(C15:K15)*D4*H4*POWER(O2,A15-1))</f>
        <v>-7126.7828971402869</v>
      </c>
      <c r="U15" s="264">
        <f t="shared" si="0"/>
        <v>-22616.041445713214</v>
      </c>
      <c r="V15" s="93">
        <f>S15/B4</f>
        <v>9544.7109567037987</v>
      </c>
      <c r="W15" s="9">
        <f>T15/D4</f>
        <v>-9557.3209267292914</v>
      </c>
    </row>
    <row r="16" spans="1:23" ht="17" thickBot="1">
      <c r="A16" s="99">
        <v>10</v>
      </c>
      <c r="B16" s="129">
        <f>C16*B4</f>
        <v>0.34103802132459393</v>
      </c>
      <c r="C16" s="129">
        <f>1/(1-D4*B4/(1-D4*B4/(1-D4*B4/(1-D4*B4/(1-D4*B4/(1-D4*B4/(1-D4*B4/(1-D4*B4/(1-D4*B4)))))))))</f>
        <v>1.3410239948259879</v>
      </c>
      <c r="D16" s="137">
        <f>C16*D4*C15</f>
        <v>1.3409688400631234</v>
      </c>
      <c r="E16" s="109">
        <f>D16*D4*C14</f>
        <v>1.3408071161913495</v>
      </c>
      <c r="F16" s="109">
        <f>E16*D4*C13</f>
        <v>1.340332912163539</v>
      </c>
      <c r="G16" s="109">
        <f>F16*D4*C12</f>
        <v>1.3389424590564607</v>
      </c>
      <c r="H16" s="109">
        <f>G16*D4*C11</f>
        <v>1.3348653957469689</v>
      </c>
      <c r="I16" s="109">
        <f>H16*D4*C10</f>
        <v>1.3229106990045705</v>
      </c>
      <c r="J16" s="109">
        <f>I16*D4*C9</f>
        <v>1.2878573374661002</v>
      </c>
      <c r="K16" s="109">
        <f>J16*D4*C8</f>
        <v>1.1850744579314594</v>
      </c>
      <c r="L16" s="109">
        <f>K16*D4</f>
        <v>0.88369622024548189</v>
      </c>
      <c r="M16" s="237">
        <f>L16*D4</f>
        <v>0.65896197867536599</v>
      </c>
      <c r="N16" s="129">
        <f>B16+M16</f>
        <v>0.99999999999995992</v>
      </c>
      <c r="R16" s="269">
        <f>B16-M16</f>
        <v>-0.31792395735077206</v>
      </c>
      <c r="S16" s="270">
        <f>IF(Rules!B20=Rules!D20,SUM(C16:L16)*B4*F4,SUM(C16:L16)*B4*F4*POWER(O2,A16-1))</f>
        <v>2713.4451079301921</v>
      </c>
      <c r="T16" s="254">
        <f>IF(Rules!B20=Rules!D20,SUM(C16:L16)*D4*H4,SUM(C16:L16)*D4*H4*POWER(O2,A16-1))</f>
        <v>-7966.8297625545556</v>
      </c>
      <c r="U16" s="264">
        <f t="shared" si="0"/>
        <v>-27869.42610033758</v>
      </c>
      <c r="V16" s="94">
        <f>S16/B4</f>
        <v>10669.763401290204</v>
      </c>
      <c r="W16" s="10">
        <f>T16/D4</f>
        <v>-10683.859731423161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10</v>
      </c>
      <c r="D21" s="57">
        <f>SUM($C$21:C21)</f>
        <v>10</v>
      </c>
      <c r="E21" s="57">
        <f t="shared" ref="E21:E30" si="2">D21/R7</f>
        <v>-20.35098508760812</v>
      </c>
      <c r="F21" s="8">
        <f t="shared" ref="F21:F30" si="3">U7/E21</f>
        <v>20.299571563183036</v>
      </c>
      <c r="G21" s="256">
        <f>E21*U7</f>
        <v>8407.3232164282817</v>
      </c>
    </row>
    <row r="22" spans="1:7">
      <c r="A22" s="97">
        <v>2</v>
      </c>
      <c r="B22" s="93">
        <f>C21</f>
        <v>10</v>
      </c>
      <c r="C22" s="1">
        <f t="shared" si="1"/>
        <v>100</v>
      </c>
      <c r="D22" s="9">
        <f>SUM($C$21:C22)</f>
        <v>110</v>
      </c>
      <c r="E22" s="9">
        <f t="shared" si="2"/>
        <v>-295.42009798169732</v>
      </c>
      <c r="F22" s="9">
        <f t="shared" si="3"/>
        <v>4.4108503845216003</v>
      </c>
      <c r="G22" s="257">
        <f t="shared" ref="G22:G30" si="4">E22*U8</f>
        <v>384948.29686309863</v>
      </c>
    </row>
    <row r="23" spans="1:7">
      <c r="A23" s="97">
        <v>3</v>
      </c>
      <c r="B23" s="93">
        <f t="shared" ref="B23:B30" si="5">C22</f>
        <v>100</v>
      </c>
      <c r="C23" s="1">
        <f t="shared" si="1"/>
        <v>1000</v>
      </c>
      <c r="D23" s="9">
        <f>SUM($C$21:C23)</f>
        <v>1110</v>
      </c>
      <c r="E23" s="9">
        <f t="shared" si="2"/>
        <v>-3303.692230381479</v>
      </c>
      <c r="F23" s="9">
        <f t="shared" si="3"/>
        <v>0.81991222156080845</v>
      </c>
      <c r="G23" s="257">
        <f t="shared" si="4"/>
        <v>8948835.4820803273</v>
      </c>
    </row>
    <row r="24" spans="1:7">
      <c r="A24" s="97">
        <v>4</v>
      </c>
      <c r="B24" s="93">
        <f t="shared" si="5"/>
        <v>1000</v>
      </c>
      <c r="C24" s="1">
        <f t="shared" si="1"/>
        <v>10000</v>
      </c>
      <c r="D24" s="9">
        <f>SUM($C$21:C24)</f>
        <v>11110</v>
      </c>
      <c r="E24" s="9">
        <f t="shared" si="2"/>
        <v>-34287.693051716524</v>
      </c>
      <c r="F24" s="9">
        <f t="shared" si="3"/>
        <v>0.13564276729252944</v>
      </c>
      <c r="G24" s="257">
        <f t="shared" si="4"/>
        <v>159467862.52795804</v>
      </c>
    </row>
    <row r="25" spans="1:7">
      <c r="A25" s="97">
        <v>5</v>
      </c>
      <c r="B25" s="93">
        <f t="shared" si="5"/>
        <v>10000</v>
      </c>
      <c r="C25" s="1">
        <f t="shared" si="1"/>
        <v>100000</v>
      </c>
      <c r="D25" s="9">
        <f>SUM($C$21:C25)</f>
        <v>111110</v>
      </c>
      <c r="E25" s="9">
        <f t="shared" si="2"/>
        <v>-347228.15514579933</v>
      </c>
      <c r="F25" s="9">
        <f t="shared" si="3"/>
        <v>2.0561188009641046E-2</v>
      </c>
      <c r="G25" s="257">
        <f t="shared" si="4"/>
        <v>2479008809.1094069</v>
      </c>
    </row>
    <row r="26" spans="1:7">
      <c r="A26" s="97">
        <v>6</v>
      </c>
      <c r="B26" s="93">
        <f t="shared" si="5"/>
        <v>100000</v>
      </c>
      <c r="C26" s="1">
        <f t="shared" si="1"/>
        <v>1000000</v>
      </c>
      <c r="D26" s="9">
        <f>SUM($C$21:C26)</f>
        <v>1111110</v>
      </c>
      <c r="E26" s="9">
        <f t="shared" si="2"/>
        <v>-3487235.8611610588</v>
      </c>
      <c r="F26" s="9">
        <f t="shared" si="3"/>
        <v>2.9188789870646546E-3</v>
      </c>
      <c r="G26" s="257">
        <f t="shared" si="4"/>
        <v>35495944308.249908</v>
      </c>
    </row>
    <row r="27" spans="1:7">
      <c r="A27" s="97">
        <v>7</v>
      </c>
      <c r="B27" s="93">
        <f t="shared" si="5"/>
        <v>1000000</v>
      </c>
      <c r="C27" s="1">
        <f t="shared" si="1"/>
        <v>10000000</v>
      </c>
      <c r="D27" s="9">
        <f>SUM($C$21:C27)</f>
        <v>11111110</v>
      </c>
      <c r="E27" s="9">
        <f t="shared" si="2"/>
        <v>-34923506.525320604</v>
      </c>
      <c r="F27" s="9">
        <f t="shared" si="3"/>
        <v>3.9431754361834818E-4</v>
      </c>
      <c r="G27" s="257">
        <f t="shared" si="4"/>
        <v>480929907850.97272</v>
      </c>
    </row>
    <row r="28" spans="1:7">
      <c r="A28" s="97">
        <v>8</v>
      </c>
      <c r="B28" s="93">
        <f t="shared" si="5"/>
        <v>10000000</v>
      </c>
      <c r="C28" s="1">
        <f t="shared" si="1"/>
        <v>100000000</v>
      </c>
      <c r="D28" s="9">
        <f>SUM($C$21:C28)</f>
        <v>111111110</v>
      </c>
      <c r="E28" s="9">
        <f t="shared" si="2"/>
        <v>-349409685.92104149</v>
      </c>
      <c r="F28" s="9">
        <f t="shared" si="3"/>
        <v>5.1276740278916626E-5</v>
      </c>
      <c r="G28" s="257">
        <f t="shared" si="4"/>
        <v>6260229985412.6504</v>
      </c>
    </row>
    <row r="29" spans="1:7">
      <c r="A29" s="97">
        <v>9</v>
      </c>
      <c r="B29" s="93">
        <f t="shared" si="5"/>
        <v>100000000</v>
      </c>
      <c r="C29" s="1">
        <f t="shared" si="1"/>
        <v>1000000000</v>
      </c>
      <c r="D29" s="9">
        <f>SUM($C$21:C29)</f>
        <v>1111111110</v>
      </c>
      <c r="E29" s="9">
        <f t="shared" si="2"/>
        <v>-3494692617.5638623</v>
      </c>
      <c r="F29" s="9">
        <f t="shared" si="3"/>
        <v>6.4715395374254049E-6</v>
      </c>
      <c r="G29" s="257">
        <f t="shared" si="4"/>
        <v>79036113078852.312</v>
      </c>
    </row>
    <row r="30" spans="1:7" ht="17" thickBot="1">
      <c r="A30" s="129">
        <v>10</v>
      </c>
      <c r="B30" s="94">
        <f t="shared" si="5"/>
        <v>1000000000</v>
      </c>
      <c r="C30" s="109">
        <f t="shared" si="1"/>
        <v>10000000000</v>
      </c>
      <c r="D30" s="10">
        <f>SUM($C$21:C30)</f>
        <v>11111111110</v>
      </c>
      <c r="E30" s="10">
        <f t="shared" si="2"/>
        <v>-34948958243.309998</v>
      </c>
      <c r="F30" s="10">
        <f t="shared" si="3"/>
        <v>7.9743224122202273E-7</v>
      </c>
      <c r="G30" s="258">
        <f t="shared" si="4"/>
        <v>974007409045711.88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10</v>
      </c>
      <c r="D33" s="57">
        <f>SUM($C$33:C33)</f>
        <v>10</v>
      </c>
      <c r="E33" s="9">
        <f t="shared" ref="E33:E42" si="7">D33/R7</f>
        <v>-20.35098508760812</v>
      </c>
      <c r="F33" s="8">
        <f t="shared" ref="F33:F42" si="8">U7/E33</f>
        <v>20.299571563183036</v>
      </c>
      <c r="G33" s="259">
        <f>E33*U7</f>
        <v>8407.3232164282817</v>
      </c>
    </row>
    <row r="34" spans="1:7">
      <c r="A34" s="97">
        <v>2</v>
      </c>
      <c r="B34" s="93">
        <f t="shared" ref="B34:B42" si="9">B33*($O$2+1)</f>
        <v>11</v>
      </c>
      <c r="C34" s="1">
        <f t="shared" si="6"/>
        <v>110</v>
      </c>
      <c r="D34" s="9">
        <f>SUM($C$33:C34)</f>
        <v>120</v>
      </c>
      <c r="E34" s="9">
        <f t="shared" si="7"/>
        <v>-322.27647052548798</v>
      </c>
      <c r="F34" s="9">
        <f t="shared" si="8"/>
        <v>4.043279519144801</v>
      </c>
      <c r="G34" s="257">
        <f t="shared" ref="G34:G42" si="10">E34*U8</f>
        <v>419943.59657792578</v>
      </c>
    </row>
    <row r="35" spans="1:7">
      <c r="A35" s="97">
        <v>3</v>
      </c>
      <c r="B35" s="93">
        <f t="shared" si="9"/>
        <v>121</v>
      </c>
      <c r="C35" s="1">
        <f t="shared" si="6"/>
        <v>1210</v>
      </c>
      <c r="D35" s="9">
        <f>SUM($C$33:C35)</f>
        <v>1330</v>
      </c>
      <c r="E35" s="9">
        <f t="shared" si="7"/>
        <v>-3958.4780778444751</v>
      </c>
      <c r="F35" s="9">
        <f t="shared" si="8"/>
        <v>0.68428764355826865</v>
      </c>
      <c r="G35" s="257">
        <f t="shared" si="10"/>
        <v>10722478.550600752</v>
      </c>
    </row>
    <row r="36" spans="1:7">
      <c r="A36" s="97">
        <v>4</v>
      </c>
      <c r="B36" s="93">
        <f t="shared" si="9"/>
        <v>1331</v>
      </c>
      <c r="C36" s="1">
        <f t="shared" si="6"/>
        <v>13310</v>
      </c>
      <c r="D36" s="9">
        <f>SUM($C$33:C36)</f>
        <v>14640</v>
      </c>
      <c r="E36" s="9">
        <f t="shared" si="7"/>
        <v>-45181.982563198013</v>
      </c>
      <c r="F36" s="9">
        <f t="shared" si="8"/>
        <v>0.10293655359426243</v>
      </c>
      <c r="G36" s="257">
        <f t="shared" si="10"/>
        <v>210135869.2537629</v>
      </c>
    </row>
    <row r="37" spans="1:7">
      <c r="A37" s="97">
        <v>5</v>
      </c>
      <c r="B37" s="93">
        <f t="shared" si="9"/>
        <v>14641</v>
      </c>
      <c r="C37" s="1">
        <f t="shared" si="6"/>
        <v>146410</v>
      </c>
      <c r="D37" s="9">
        <f>SUM($C$33:C37)</f>
        <v>161050</v>
      </c>
      <c r="E37" s="9">
        <f t="shared" si="7"/>
        <v>-503294.8824249031</v>
      </c>
      <c r="F37" s="9">
        <f t="shared" si="8"/>
        <v>1.418536851754869E-2</v>
      </c>
      <c r="G37" s="257">
        <f t="shared" si="10"/>
        <v>3593235250.7161369</v>
      </c>
    </row>
    <row r="38" spans="1:7">
      <c r="A38" s="97">
        <v>6</v>
      </c>
      <c r="B38" s="93">
        <f t="shared" si="9"/>
        <v>161051</v>
      </c>
      <c r="C38" s="1">
        <f t="shared" si="6"/>
        <v>1610510</v>
      </c>
      <c r="D38" s="9">
        <f>SUM($C$33:C38)</f>
        <v>1771560</v>
      </c>
      <c r="E38" s="9">
        <f t="shared" si="7"/>
        <v>-5560068.3660470024</v>
      </c>
      <c r="F38" s="9">
        <f t="shared" si="8"/>
        <v>1.8307004173256389E-3</v>
      </c>
      <c r="G38" s="257">
        <f t="shared" si="10"/>
        <v>56594932183.783066</v>
      </c>
    </row>
    <row r="39" spans="1:7">
      <c r="A39" s="97">
        <v>7</v>
      </c>
      <c r="B39" s="93">
        <f t="shared" si="9"/>
        <v>1771561</v>
      </c>
      <c r="C39" s="1">
        <f t="shared" si="6"/>
        <v>17715610</v>
      </c>
      <c r="D39" s="9">
        <f>SUM($C$33:C39)</f>
        <v>19487170</v>
      </c>
      <c r="E39" s="9">
        <f t="shared" si="7"/>
        <v>-61250433.903996266</v>
      </c>
      <c r="F39" s="9">
        <f t="shared" si="8"/>
        <v>2.248302653527046E-4</v>
      </c>
      <c r="G39" s="257">
        <f t="shared" si="10"/>
        <v>843476742861.53601</v>
      </c>
    </row>
    <row r="40" spans="1:7">
      <c r="A40" s="97">
        <v>8</v>
      </c>
      <c r="B40" s="93">
        <f t="shared" si="9"/>
        <v>19487171</v>
      </c>
      <c r="C40" s="1">
        <f t="shared" si="6"/>
        <v>194871710</v>
      </c>
      <c r="D40" s="9">
        <f>SUM($C$33:C40)</f>
        <v>214358880</v>
      </c>
      <c r="E40" s="9">
        <f t="shared" si="7"/>
        <v>-674091627.15759218</v>
      </c>
      <c r="F40" s="9">
        <f t="shared" si="8"/>
        <v>2.6578864050661846E-5</v>
      </c>
      <c r="G40" s="257">
        <f t="shared" si="10"/>
        <v>12077423114713.479</v>
      </c>
    </row>
    <row r="41" spans="1:7">
      <c r="A41" s="97">
        <v>9</v>
      </c>
      <c r="B41" s="93">
        <f t="shared" si="9"/>
        <v>214358881</v>
      </c>
      <c r="C41" s="1">
        <f t="shared" si="6"/>
        <v>2143588810</v>
      </c>
      <c r="D41" s="9">
        <f>SUM($C$33:C41)</f>
        <v>2357947690</v>
      </c>
      <c r="E41" s="9">
        <f t="shared" si="7"/>
        <v>-7416272153.7765589</v>
      </c>
      <c r="F41" s="9">
        <f t="shared" si="8"/>
        <v>3.0495161149387615E-6</v>
      </c>
      <c r="G41" s="257">
        <f t="shared" si="10"/>
        <v>167726718402499.47</v>
      </c>
    </row>
    <row r="42" spans="1:7" ht="17" thickBot="1">
      <c r="A42" s="129">
        <v>10</v>
      </c>
      <c r="B42" s="94">
        <f t="shared" si="9"/>
        <v>2357947691</v>
      </c>
      <c r="C42" s="109">
        <f t="shared" si="6"/>
        <v>23579476910</v>
      </c>
      <c r="D42" s="10">
        <f>SUM($C$33:C42)</f>
        <v>25937424600</v>
      </c>
      <c r="E42" s="9">
        <f t="shared" si="7"/>
        <v>-81583737243.754501</v>
      </c>
      <c r="F42" s="10">
        <f t="shared" si="8"/>
        <v>3.4160516595445709E-7</v>
      </c>
      <c r="G42" s="258">
        <f t="shared" si="10"/>
        <v>2273691936104175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10</v>
      </c>
      <c r="D45" s="57">
        <f>SUM(C45:C45)</f>
        <v>10</v>
      </c>
      <c r="E45" s="57">
        <f t="shared" ref="E45:E54" si="12">D45/R7</f>
        <v>-20.35098508760812</v>
      </c>
      <c r="F45" s="8">
        <f t="shared" ref="F45:F54" si="13">U7/E45</f>
        <v>20.299571563183036</v>
      </c>
      <c r="G45" s="256">
        <f>E45*U7</f>
        <v>8407.3232164282817</v>
      </c>
    </row>
    <row r="46" spans="1:7">
      <c r="A46" s="97">
        <v>2</v>
      </c>
      <c r="B46" s="93">
        <f t="shared" ref="B46:B54" si="14">B45*$O$2*2</f>
        <v>20</v>
      </c>
      <c r="C46" s="1">
        <f t="shared" si="11"/>
        <v>200</v>
      </c>
      <c r="D46" s="9">
        <f>SUM($C$45:C46)</f>
        <v>210</v>
      </c>
      <c r="E46" s="9">
        <f t="shared" si="12"/>
        <v>-563.98382341960394</v>
      </c>
      <c r="F46" s="9">
        <f t="shared" si="13"/>
        <v>2.310445439511315</v>
      </c>
      <c r="G46" s="257">
        <f t="shared" ref="G46:G54" si="15">E46*U8</f>
        <v>734901.29401137005</v>
      </c>
    </row>
    <row r="47" spans="1:7">
      <c r="A47" s="97">
        <v>3</v>
      </c>
      <c r="B47" s="93">
        <f t="shared" si="14"/>
        <v>400</v>
      </c>
      <c r="C47" s="1">
        <f t="shared" si="11"/>
        <v>4000</v>
      </c>
      <c r="D47" s="9">
        <f>SUM($C$45:C47)</f>
        <v>4210</v>
      </c>
      <c r="E47" s="9">
        <f t="shared" si="12"/>
        <v>-12530.22008099642</v>
      </c>
      <c r="F47" s="9">
        <f t="shared" si="13"/>
        <v>0.21617638145665022</v>
      </c>
      <c r="G47" s="257">
        <f t="shared" si="15"/>
        <v>33941078.720322683</v>
      </c>
    </row>
    <row r="48" spans="1:7">
      <c r="A48" s="97">
        <v>4</v>
      </c>
      <c r="B48" s="93">
        <f t="shared" si="14"/>
        <v>8000</v>
      </c>
      <c r="C48" s="1">
        <f t="shared" si="11"/>
        <v>80000</v>
      </c>
      <c r="D48" s="9">
        <f>SUM($C$45:C48)</f>
        <v>84210</v>
      </c>
      <c r="E48" s="9">
        <f t="shared" si="12"/>
        <v>-259888.98576823121</v>
      </c>
      <c r="F48" s="9">
        <f t="shared" si="13"/>
        <v>1.7895631690060584E-2</v>
      </c>
      <c r="G48" s="257">
        <f t="shared" si="15"/>
        <v>1208711854.4985912</v>
      </c>
    </row>
    <row r="49" spans="1:7">
      <c r="A49" s="97">
        <v>5</v>
      </c>
      <c r="B49" s="93">
        <f t="shared" si="14"/>
        <v>160000</v>
      </c>
      <c r="C49" s="1">
        <f t="shared" si="11"/>
        <v>1600000</v>
      </c>
      <c r="D49" s="9">
        <f>SUM($C$45:C49)</f>
        <v>1684210</v>
      </c>
      <c r="E49" s="9">
        <f t="shared" si="12"/>
        <v>-5263298.8135910966</v>
      </c>
      <c r="F49" s="9">
        <f t="shared" si="13"/>
        <v>1.3564541237441985E-3</v>
      </c>
      <c r="G49" s="257">
        <f t="shared" si="15"/>
        <v>37576918606.697456</v>
      </c>
    </row>
    <row r="50" spans="1:7">
      <c r="A50" s="97">
        <v>6</v>
      </c>
      <c r="B50" s="93">
        <f t="shared" si="14"/>
        <v>3200000</v>
      </c>
      <c r="C50" s="1">
        <f t="shared" si="11"/>
        <v>32000000</v>
      </c>
      <c r="D50" s="9">
        <f>SUM($C$45:C50)</f>
        <v>33684210</v>
      </c>
      <c r="E50" s="9">
        <f t="shared" si="12"/>
        <v>-105718412.27860422</v>
      </c>
      <c r="F50" s="9">
        <f t="shared" si="13"/>
        <v>9.6282371809147636E-5</v>
      </c>
      <c r="G50" s="257">
        <f t="shared" si="15"/>
        <v>1076088634093.2892</v>
      </c>
    </row>
    <row r="51" spans="1:7">
      <c r="A51" s="97">
        <v>7</v>
      </c>
      <c r="B51" s="93">
        <f t="shared" si="14"/>
        <v>64000000</v>
      </c>
      <c r="C51" s="1">
        <f t="shared" si="11"/>
        <v>640000000</v>
      </c>
      <c r="D51" s="9">
        <f>SUM($C$45:C51)</f>
        <v>673684210</v>
      </c>
      <c r="E51" s="9">
        <f t="shared" si="12"/>
        <v>-2117467553.1013966</v>
      </c>
      <c r="F51" s="9">
        <f t="shared" si="13"/>
        <v>6.5035005081583615E-6</v>
      </c>
      <c r="G51" s="257">
        <f t="shared" si="15"/>
        <v>29159542569190.242</v>
      </c>
    </row>
    <row r="52" spans="1:7">
      <c r="A52" s="97">
        <v>8</v>
      </c>
      <c r="B52" s="93">
        <f t="shared" si="14"/>
        <v>1280000000</v>
      </c>
      <c r="C52" s="1">
        <f t="shared" si="11"/>
        <v>12800000000</v>
      </c>
      <c r="D52" s="9">
        <f>SUM($C$45:C52)</f>
        <v>13473684210</v>
      </c>
      <c r="E52" s="9">
        <f t="shared" si="12"/>
        <v>-42370522335.843781</v>
      </c>
      <c r="F52" s="9">
        <f t="shared" si="13"/>
        <v>4.228550588519498E-7</v>
      </c>
      <c r="G52" s="257">
        <f t="shared" si="15"/>
        <v>759135264740159.25</v>
      </c>
    </row>
    <row r="53" spans="1:7">
      <c r="A53" s="97">
        <v>9</v>
      </c>
      <c r="B53" s="93">
        <f t="shared" si="14"/>
        <v>25600000000</v>
      </c>
      <c r="C53" s="1">
        <f t="shared" si="11"/>
        <v>256000000000</v>
      </c>
      <c r="D53" s="9">
        <f>SUM($C$45:C53)</f>
        <v>269473684210</v>
      </c>
      <c r="E53" s="9">
        <f t="shared" si="12"/>
        <v>-847554926200.33521</v>
      </c>
      <c r="F53" s="9">
        <f t="shared" si="13"/>
        <v>2.6683865253551126E-8</v>
      </c>
      <c r="G53" s="257">
        <f t="shared" si="15"/>
        <v>1.9168337338465184E+16</v>
      </c>
    </row>
    <row r="54" spans="1:7" ht="17" thickBot="1">
      <c r="A54" s="129">
        <v>10</v>
      </c>
      <c r="B54" s="94">
        <f t="shared" si="14"/>
        <v>512000000000</v>
      </c>
      <c r="C54" s="109">
        <f t="shared" si="11"/>
        <v>5120000000000</v>
      </c>
      <c r="D54" s="10">
        <f>SUM($C$45:C54)</f>
        <v>5389473684210</v>
      </c>
      <c r="E54" s="10">
        <f t="shared" si="12"/>
        <v>-16952084168553.811</v>
      </c>
      <c r="F54" s="10">
        <f t="shared" si="13"/>
        <v>1.6440117818690097E-9</v>
      </c>
      <c r="G54" s="258">
        <f t="shared" si="15"/>
        <v>4.7244485698221306E+17</v>
      </c>
    </row>
  </sheetData>
  <mergeCells count="1">
    <mergeCell ref="A18:F18"/>
  </mergeCells>
  <conditionalFormatting sqref="F45:F54">
    <cfRule type="cellIs" dxfId="121" priority="33" operator="equal">
      <formula>MAX($F$45:$F$54)</formula>
    </cfRule>
  </conditionalFormatting>
  <conditionalFormatting sqref="F21:F30">
    <cfRule type="cellIs" dxfId="120" priority="32" operator="equal">
      <formula>MAX($F$21:$F$30)</formula>
    </cfRule>
  </conditionalFormatting>
  <conditionalFormatting sqref="E33:E42">
    <cfRule type="cellIs" dxfId="119" priority="30" stopIfTrue="1" operator="lessThan">
      <formula>0</formula>
    </cfRule>
    <cfRule type="cellIs" dxfId="118" priority="31" operator="equal">
      <formula>MIN($E$33:$E$42)</formula>
    </cfRule>
  </conditionalFormatting>
  <conditionalFormatting sqref="E21:E30">
    <cfRule type="cellIs" dxfId="117" priority="28" stopIfTrue="1" operator="lessThan">
      <formula>0</formula>
    </cfRule>
    <cfRule type="cellIs" dxfId="116" priority="29" operator="equal">
      <formula>MIN($E$21:$E$30)</formula>
    </cfRule>
  </conditionalFormatting>
  <conditionalFormatting sqref="E45:E54">
    <cfRule type="cellIs" dxfId="115" priority="26" stopIfTrue="1" operator="lessThan">
      <formula>0</formula>
    </cfRule>
    <cfRule type="cellIs" dxfId="114" priority="27" operator="equal">
      <formula>MIN($E$45:$E$54)</formula>
    </cfRule>
  </conditionalFormatting>
  <conditionalFormatting sqref="F33:F42">
    <cfRule type="cellIs" dxfId="113" priority="24" operator="lessThanOrEqual">
      <formula>0</formula>
    </cfRule>
    <cfRule type="cellIs" dxfId="112" priority="25" operator="equal">
      <formula>MAX($F$33:$F$42)</formula>
    </cfRule>
  </conditionalFormatting>
  <conditionalFormatting sqref="R7:R16">
    <cfRule type="cellIs" dxfId="111" priority="22" operator="lessThanOrEqual">
      <formula>0</formula>
    </cfRule>
    <cfRule type="cellIs" dxfId="110" priority="23" operator="greaterThan">
      <formula>0</formula>
    </cfRule>
  </conditionalFormatting>
  <conditionalFormatting sqref="U7:U16">
    <cfRule type="cellIs" dxfId="109" priority="7" operator="lessThanOrEqual">
      <formula>0</formula>
    </cfRule>
    <cfRule type="cellIs" dxfId="108" priority="8" operator="greaterThan">
      <formula>0</formula>
    </cfRule>
  </conditionalFormatting>
  <conditionalFormatting sqref="S7:T16">
    <cfRule type="cellIs" dxfId="107" priority="1" operator="lessThanOrEqual">
      <formula>0</formula>
    </cfRule>
    <cfRule type="cellIs" dxfId="10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5717-D1C9-6346-84AE-5198E2AB8EAE}">
  <sheetPr>
    <pageSetUpPr fitToPage="1"/>
  </sheetPr>
  <dimension ref="A1:W54"/>
  <sheetViews>
    <sheetView zoomScale="90" zoomScaleNormal="90" workbookViewId="0">
      <selection activeCell="O18" sqref="O18:U55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94</v>
      </c>
      <c r="D1">
        <f>C2+E2</f>
        <v>0.99999999999999656</v>
      </c>
    </row>
    <row r="2" spans="1:23">
      <c r="A2" t="s">
        <v>39</v>
      </c>
      <c r="B2" s="133" t="s">
        <v>124</v>
      </c>
      <c r="C2" s="139">
        <f>Analysis!B63</f>
        <v>0.25712813604106566</v>
      </c>
      <c r="D2" s="133" t="s">
        <v>125</v>
      </c>
      <c r="E2" s="139">
        <f>Analysis!P63</f>
        <v>0.7428718639589309</v>
      </c>
      <c r="F2" s="133" t="s">
        <v>46</v>
      </c>
      <c r="G2" s="139">
        <f>Analysis!S63</f>
        <v>943.12295173609868</v>
      </c>
      <c r="H2" t="s">
        <v>153</v>
      </c>
      <c r="I2" s="153">
        <f>Analysis!T63</f>
        <v>-944.36895616784034</v>
      </c>
      <c r="J2" t="s">
        <v>47</v>
      </c>
      <c r="K2" s="153">
        <f>G2*C2+I2*E2</f>
        <v>-459.04168009590239</v>
      </c>
      <c r="L2" t="s">
        <v>46</v>
      </c>
      <c r="M2" s="160">
        <v>3</v>
      </c>
      <c r="N2" t="s">
        <v>153</v>
      </c>
      <c r="O2" s="160">
        <v>10</v>
      </c>
    </row>
    <row r="4" spans="1:23">
      <c r="A4" t="s">
        <v>122</v>
      </c>
      <c r="B4">
        <f>$C$2</f>
        <v>0.25712813604106566</v>
      </c>
      <c r="C4" t="s">
        <v>123</v>
      </c>
      <c r="D4">
        <f>$E$2</f>
        <v>0.7428718639589309</v>
      </c>
      <c r="E4" t="s">
        <v>46</v>
      </c>
      <c r="F4">
        <f>G2</f>
        <v>943.12295173609868</v>
      </c>
      <c r="G4" t="s">
        <v>153</v>
      </c>
      <c r="H4">
        <f>I2</f>
        <v>-944.36895616784034</v>
      </c>
      <c r="I4" t="s">
        <v>47</v>
      </c>
      <c r="J4">
        <f>B4*F4+D4*H4</f>
        <v>-459.04168009590239</v>
      </c>
    </row>
    <row r="5" spans="1:23" ht="17" thickBot="1"/>
    <row r="6" spans="1:23" ht="17" thickBot="1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133</v>
      </c>
      <c r="R6" s="166" t="s">
        <v>48</v>
      </c>
      <c r="S6" s="148" t="s">
        <v>129</v>
      </c>
      <c r="T6" s="149" t="s">
        <v>134</v>
      </c>
      <c r="U6" s="241" t="s">
        <v>47</v>
      </c>
      <c r="V6" s="159" t="s">
        <v>46</v>
      </c>
      <c r="W6" s="152" t="s">
        <v>200</v>
      </c>
    </row>
    <row r="7" spans="1:23">
      <c r="A7" s="100">
        <v>1</v>
      </c>
      <c r="B7" s="95">
        <f>C7*B4</f>
        <v>0.25712813604106566</v>
      </c>
      <c r="C7" s="95">
        <v>1</v>
      </c>
      <c r="D7" s="22">
        <f>C7*D4</f>
        <v>0.7428718639589309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0.99999999999999656</v>
      </c>
      <c r="R7" s="265">
        <f>B7-D7</f>
        <v>-0.48574372791786524</v>
      </c>
      <c r="S7" s="266">
        <f>IF(Rules!B20=Rules!D20,SUM(C7)*B4*F4,SUM(C7)*B4*F4*POWER(O2,A7-1))</f>
        <v>242.50344663745099</v>
      </c>
      <c r="T7" s="252">
        <f>IF(Rules!B20=Rules!D20,SUM(C7)*D4*H4,SUM(C7)*D4*H4*POWER(O2,A7-1))</f>
        <v>-701.54512673335341</v>
      </c>
      <c r="U7" s="263">
        <f>S7+T7</f>
        <v>-459.04168009590239</v>
      </c>
      <c r="V7" s="282">
        <f>S7/B4</f>
        <v>943.12295173609868</v>
      </c>
      <c r="W7" s="57">
        <f>T7/D4</f>
        <v>-944.36895616784022</v>
      </c>
    </row>
    <row r="8" spans="1:23">
      <c r="A8" s="98">
        <v>2</v>
      </c>
      <c r="B8" s="97">
        <f>C8*B4</f>
        <v>0.31783974025225226</v>
      </c>
      <c r="C8" s="97">
        <f>1/(1-B4*D4)</f>
        <v>1.2361142002814129</v>
      </c>
      <c r="D8" s="128">
        <f>C8*D4</f>
        <v>0.91827446002915647</v>
      </c>
      <c r="E8" s="1">
        <f>D8*D4</f>
        <v>0.68216025974774031</v>
      </c>
      <c r="F8" s="1"/>
      <c r="G8" s="1"/>
      <c r="H8" s="1"/>
      <c r="I8" s="1"/>
      <c r="J8" s="1"/>
      <c r="K8" s="1"/>
      <c r="L8" s="1"/>
      <c r="M8" s="235"/>
      <c r="N8" s="97">
        <f>B8+E8</f>
        <v>0.99999999999999256</v>
      </c>
      <c r="R8" s="267">
        <f>B8-E8</f>
        <v>-0.36432051949548805</v>
      </c>
      <c r="S8" s="268">
        <f>IF(Rules!B20=Rules!D20,SUM(C8:D8)*B4*F4,SUM(C8:D8)*B4*F4*POWER(O2,A8-1))</f>
        <v>522.44667552195358</v>
      </c>
      <c r="T8" s="253">
        <f>IF(Rules!B20=Rules!D20,SUM(C8:D8)*D4*H4,SUM(C8:D8)*D4*H4*POWER(O2,A8-1))</f>
        <v>-1511.400865730478</v>
      </c>
      <c r="U8" s="264">
        <f>S8+T8+U7</f>
        <v>-1447.9958703044267</v>
      </c>
      <c r="V8" s="93">
        <f>S8/B4</f>
        <v>2031.8533924988831</v>
      </c>
      <c r="W8" s="9">
        <f>T8/D4</f>
        <v>-2034.5377703173244</v>
      </c>
    </row>
    <row r="9" spans="1:23">
      <c r="A9" s="98">
        <v>3</v>
      </c>
      <c r="B9" s="97">
        <f>C9*B4</f>
        <v>0.33660546659695839</v>
      </c>
      <c r="C9" s="97">
        <f>1/(1-D4*B4/(1-D4*B4))</f>
        <v>1.3090962030821842</v>
      </c>
      <c r="D9" s="128">
        <f>C9*D4*C8</f>
        <v>1.2021096090115118</v>
      </c>
      <c r="E9" s="1">
        <f>D9*(D4)</f>
        <v>0.89301340592932343</v>
      </c>
      <c r="F9" s="1">
        <f>E9*D4</f>
        <v>0.6633945334030299</v>
      </c>
      <c r="G9" s="1"/>
      <c r="H9" s="1"/>
      <c r="I9" s="1"/>
      <c r="J9" s="1"/>
      <c r="K9" s="1"/>
      <c r="L9" s="1"/>
      <c r="M9" s="235"/>
      <c r="N9" s="97">
        <f>B9+F9</f>
        <v>0.99999999999998823</v>
      </c>
      <c r="R9" s="267">
        <f>B9-F9</f>
        <v>-0.3267890668060715</v>
      </c>
      <c r="S9" s="268">
        <f>IF(Rules!B20=Rules!D20,SUM(C9:E9)*B4*F4,SUM(C9:E9)*B4*F4*POWER(O2,A9-1))</f>
        <v>825.53489348003029</v>
      </c>
      <c r="T9" s="253">
        <f>IF(Rules!B20=Rules!D20,SUM(C9:E9)*D4*H4,SUM(C9:E9)*D4*H4*POWER(O2,A9-1))</f>
        <v>-2388.2134027360762</v>
      </c>
      <c r="U9" s="264">
        <f t="shared" ref="U9:U16" si="0">S9+T9+U8</f>
        <v>-3010.6743795604725</v>
      </c>
      <c r="V9" s="93">
        <f>S9/B4</f>
        <v>3210.5972772586233</v>
      </c>
      <c r="W9" s="9">
        <f>T9/D4</f>
        <v>-3214.8389494909002</v>
      </c>
    </row>
    <row r="10" spans="1:23">
      <c r="A10" s="98">
        <v>4</v>
      </c>
      <c r="B10" s="97">
        <f>C10*B4</f>
        <v>0.34286253472158229</v>
      </c>
      <c r="C10" s="97">
        <f>1/(1-D4*B4/(1-D4*B4/(1-D4*B4)))</f>
        <v>1.3334306389045814</v>
      </c>
      <c r="D10" s="128">
        <f>C10*D4*C9</f>
        <v>1.2967489440802755</v>
      </c>
      <c r="E10" s="1">
        <f>D10*D4*C8</f>
        <v>1.1907714364186939</v>
      </c>
      <c r="F10" s="1">
        <f>E10*D4</f>
        <v>0.8845905965214087</v>
      </c>
      <c r="G10" s="1">
        <f>F10*D4</f>
        <v>0.65713746527840144</v>
      </c>
      <c r="H10" s="1"/>
      <c r="I10" s="1"/>
      <c r="J10" s="1"/>
      <c r="K10" s="1"/>
      <c r="L10" s="1"/>
      <c r="M10" s="235"/>
      <c r="N10" s="97">
        <f>B10+G10</f>
        <v>0.99999999999998379</v>
      </c>
      <c r="R10" s="267">
        <f>B10-G10</f>
        <v>-0.31427493055681915</v>
      </c>
      <c r="S10" s="268">
        <f>IF(Rules!B20=Rules!D20,SUM(C10:F10)*B4*F4,SUM(C10:F10)*B4*F4*POWER(O2,A10-1))</f>
        <v>1141.1100601577632</v>
      </c>
      <c r="T10" s="253">
        <f>IF(Rules!B20=Rules!D20,SUM(C10:F10)*D4*H4,SUM(C10:F10)*D4*H4*POWER(O2,A10-1))</f>
        <v>-3301.1497892931443</v>
      </c>
      <c r="U10" s="264">
        <f t="shared" si="0"/>
        <v>-5170.7141086958536</v>
      </c>
      <c r="V10" s="93">
        <f>S10/B4</f>
        <v>4437.9042983281988</v>
      </c>
      <c r="W10" s="9">
        <f>T10/D4</f>
        <v>-4443.7674240353863</v>
      </c>
    </row>
    <row r="11" spans="1:23">
      <c r="A11" s="98">
        <v>5</v>
      </c>
      <c r="B11" s="97">
        <f>C11*B4</f>
        <v>0.34500086807992048</v>
      </c>
      <c r="C11" s="97">
        <f>1/(1-D4*B4/(1-D4*B4/(1-D4*B4/(1-D4*B4))))</f>
        <v>1.3417468558354142</v>
      </c>
      <c r="D11" s="128">
        <f>C11*D4*C10</f>
        <v>1.3290916392783798</v>
      </c>
      <c r="E11" s="1">
        <f>D11*D4*C9</f>
        <v>1.2925293071381818</v>
      </c>
      <c r="F11" s="1">
        <f>E11*D4*C8</f>
        <v>1.1868966515841737</v>
      </c>
      <c r="G11" s="1">
        <f>F11*D4</f>
        <v>0.88171212788894893</v>
      </c>
      <c r="H11" s="1">
        <f>G11*D4</f>
        <v>0.65499913192005876</v>
      </c>
      <c r="I11" s="1"/>
      <c r="J11" s="1"/>
      <c r="K11" s="1"/>
      <c r="L11" s="1"/>
      <c r="M11" s="235"/>
      <c r="N11" s="97">
        <f>B11+H11</f>
        <v>0.99999999999997924</v>
      </c>
      <c r="R11" s="267">
        <f>B11-H11</f>
        <v>-0.30999826384013829</v>
      </c>
      <c r="S11" s="268">
        <f>IF(Rules!B20=Rules!D20,SUM(C11:G11)*B4*F4,SUM(C11:G11)*B4*F4*POWER(O2,A11-1))</f>
        <v>1462.7751111047262</v>
      </c>
      <c r="T11" s="253">
        <f>IF(Rules!B20=Rules!D20,SUM(C11:G11)*D4*H4,SUM(C11:G11)*D4*H4*POWER(O2,A11-1))</f>
        <v>-4231.7037754789544</v>
      </c>
      <c r="U11" s="264">
        <f t="shared" si="0"/>
        <v>-7939.6427730700816</v>
      </c>
      <c r="V11" s="93">
        <f>S11/B4</f>
        <v>5688.8955585595968</v>
      </c>
      <c r="W11" s="9">
        <f>T11/D4</f>
        <v>-5696.4114281125885</v>
      </c>
    </row>
    <row r="12" spans="1:23">
      <c r="A12" s="98">
        <v>6</v>
      </c>
      <c r="B12" s="97">
        <f>C12*B4</f>
        <v>0.34573776497630654</v>
      </c>
      <c r="C12" s="97">
        <f>1/(1-D4*B4/(1-D4*B4/(1-D4*B4/(1-D4*B4/(1-D4*B4)))))</f>
        <v>1.3446127300556838</v>
      </c>
      <c r="D12" s="128">
        <f>C12*D4*C11</f>
        <v>1.3402373437679573</v>
      </c>
      <c r="E12" s="1">
        <f>D12*D4*C10</f>
        <v>1.3275963647714779</v>
      </c>
      <c r="F12" s="1">
        <f>E12*D4*C9</f>
        <v>1.2910751665317173</v>
      </c>
      <c r="G12" s="1">
        <f>F12*D4*C8</f>
        <v>1.1855613514039658</v>
      </c>
      <c r="H12" s="1">
        <f>G12*D4</f>
        <v>0.88072017095513311</v>
      </c>
      <c r="I12" s="1">
        <f>H12*D4</f>
        <v>0.65426223502366798</v>
      </c>
      <c r="J12" s="1"/>
      <c r="K12" s="1"/>
      <c r="L12" s="1"/>
      <c r="M12" s="235"/>
      <c r="N12" s="97">
        <f>B12+I12</f>
        <v>0.99999999999997446</v>
      </c>
      <c r="R12" s="267">
        <f>B12-I12</f>
        <v>-0.30852447004736144</v>
      </c>
      <c r="S12" s="268">
        <f>IF(Rules!B20=Rules!D20,SUM(C12:H12)*B4*F4,SUM(C12:H12)*B4*F4*POWER(O2,A12-1))</f>
        <v>1787.2026594548049</v>
      </c>
      <c r="T12" s="253">
        <f>IF(Rules!B20=Rules!D20,SUM(C12:H12)*D4*H4,SUM(C12:H12)*D4*H4*POWER(O2,A12-1))</f>
        <v>-5170.249469071985</v>
      </c>
      <c r="U12" s="264">
        <f t="shared" si="0"/>
        <v>-11322.689582687261</v>
      </c>
      <c r="V12" s="93">
        <f>S12/B4</f>
        <v>6950.6304793084673</v>
      </c>
      <c r="W12" s="9">
        <f>T12/D4</f>
        <v>-6959.8132866663773</v>
      </c>
    </row>
    <row r="13" spans="1:23">
      <c r="A13" s="98">
        <v>7</v>
      </c>
      <c r="B13" s="97">
        <f>C13*B4</f>
        <v>0.34599243889094627</v>
      </c>
      <c r="C13" s="97">
        <f>1/(1-D4*B4/(1-D4*B4/(1-D4*B4/(1-D4*B4/(1-D4*B4/(1-D4*B4))))))</f>
        <v>1.3456031853149208</v>
      </c>
      <c r="D13" s="128">
        <f>C13*D4*C12</f>
        <v>1.3440893347421341</v>
      </c>
      <c r="E13" s="1">
        <f>D13*D4*C11</f>
        <v>1.3397156515891666</v>
      </c>
      <c r="F13" s="1">
        <f>E13*D4*C10</f>
        <v>1.3270795931389658</v>
      </c>
      <c r="G13" s="1">
        <f>F13*D4*C9</f>
        <v>1.2905726109062208</v>
      </c>
      <c r="H13" s="1">
        <f>G13*D4*C8</f>
        <v>1.1850998674083286</v>
      </c>
      <c r="I13" s="1">
        <f>H13*D4</f>
        <v>0.8803773474791069</v>
      </c>
      <c r="J13" s="1">
        <f>I13*D4</f>
        <v>0.65400756110902358</v>
      </c>
      <c r="K13" s="1"/>
      <c r="L13" s="1"/>
      <c r="M13" s="235"/>
      <c r="N13" s="97">
        <f>B13+J13</f>
        <v>0.9999999999999698</v>
      </c>
      <c r="R13" s="267">
        <f>B13-J13</f>
        <v>-0.30801512221807731</v>
      </c>
      <c r="S13" s="268">
        <f>IF(Rules!B20=Rules!D20,SUM(C13:I13)*B4*F4,SUM(C13:I13)*B4*F4*POWER(O2,A13-1))</f>
        <v>2112.8203946737221</v>
      </c>
      <c r="T13" s="253">
        <f>IF(Rules!B20=Rules!D20,SUM(C13:I13)*D4*H4,SUM(C13:I13)*D4*H4*POWER(O2,A13-1))</f>
        <v>-6112.2382881517406</v>
      </c>
      <c r="U13" s="264">
        <f t="shared" si="0"/>
        <v>-15322.107476165278</v>
      </c>
      <c r="V13" s="93">
        <f>S13/B4</f>
        <v>8216.994169538435</v>
      </c>
      <c r="W13" s="9">
        <f>T13/D4</f>
        <v>-8227.8500299880125</v>
      </c>
    </row>
    <row r="14" spans="1:23">
      <c r="A14" s="98">
        <v>8</v>
      </c>
      <c r="B14" s="97">
        <f>C14*B4</f>
        <v>0.34608054226951701</v>
      </c>
      <c r="C14" s="97">
        <f>1/(1-D4*B4/(1-D4*B4/(1-D4*B4/(1-D4*B4/(1-D4*B4/(1-D4*B4/(1-D4*B4)))))))</f>
        <v>1.3459458291808442</v>
      </c>
      <c r="D14" s="128">
        <f>C14*D4*C13</f>
        <v>1.3454219149536928</v>
      </c>
      <c r="E14" s="1">
        <f>D14*D4*C12</f>
        <v>1.3439082683163925</v>
      </c>
      <c r="F14" s="1">
        <f>E14*D4*C11</f>
        <v>1.3395351743557915</v>
      </c>
      <c r="G14" s="1">
        <f>F14*D4*C10</f>
        <v>1.3269008181480535</v>
      </c>
      <c r="H14" s="1">
        <f>G14*D4*C9</f>
        <v>1.2903987538836432</v>
      </c>
      <c r="I14" s="1">
        <f>H14*D4*C8</f>
        <v>1.1849402189447988</v>
      </c>
      <c r="J14" s="1">
        <f>I14*D4</f>
        <v>0.88025874912742641</v>
      </c>
      <c r="K14" s="1">
        <f>J14*D4</f>
        <v>0.65391945773044824</v>
      </c>
      <c r="L14" s="1"/>
      <c r="M14" s="235"/>
      <c r="N14" s="97">
        <f>B14+K14</f>
        <v>0.99999999999996525</v>
      </c>
      <c r="R14" s="267">
        <f>B14-K14</f>
        <v>-0.30783891546093123</v>
      </c>
      <c r="S14" s="268">
        <f>IF(Rules!B20=Rules!D20,SUM(C14:J14)*B4*F4,SUM(C14:J14)*B4*F4*POWER(O2,A14-1))</f>
        <v>2438.9322726761916</v>
      </c>
      <c r="T14" s="253">
        <f>IF(Rules!B20=Rules!D20,SUM(C14:J14)*D4*H4,SUM(C14:J14)*D4*H4*POWER(O2,A14-1))</f>
        <v>-7055.6566269621153</v>
      </c>
      <c r="U14" s="264">
        <f t="shared" si="0"/>
        <v>-19938.831830451199</v>
      </c>
      <c r="V14" s="93">
        <f>S14/B4</f>
        <v>9485.2796361681412</v>
      </c>
      <c r="W14" s="9">
        <f>T14/D4</f>
        <v>-9497.8110886592713</v>
      </c>
    </row>
    <row r="15" spans="1:23">
      <c r="A15" s="98">
        <v>9</v>
      </c>
      <c r="B15" s="97">
        <f>C15*B4</f>
        <v>0.34611103171289109</v>
      </c>
      <c r="C15" s="97">
        <f>1/(1-D4*B4/(1-D4*B4/(1-D4*B4/(1-D4*B4/(1-D4*B4/(1-D4*B4/(1-D4*B4/(1-D4*B4))))))))</f>
        <v>1.3460644060267837</v>
      </c>
      <c r="D15" s="128">
        <f>C15*D4*C14</f>
        <v>1.3458830735330889</v>
      </c>
      <c r="E15" s="1">
        <f>D15*D4*C13</f>
        <v>1.3453591837337977</v>
      </c>
      <c r="F15" s="1">
        <f>E15*D4*C12</f>
        <v>1.3438456076713106</v>
      </c>
      <c r="G15" s="1">
        <f>F15*D4*C11</f>
        <v>1.3394727176092158</v>
      </c>
      <c r="H15" s="1">
        <f>G15*D4*C10</f>
        <v>1.3268389504870044</v>
      </c>
      <c r="I15" s="1">
        <f>H15*D4*C9</f>
        <v>1.2903385881563849</v>
      </c>
      <c r="J15" s="1">
        <f>I15*D4*C8</f>
        <v>1.1848849702940885</v>
      </c>
      <c r="K15" s="1">
        <f>J15*D4</f>
        <v>0.88021770645929198</v>
      </c>
      <c r="L15" s="1">
        <f>K15*D4</f>
        <v>0.65388896828706933</v>
      </c>
      <c r="M15" s="235"/>
      <c r="N15" s="97">
        <f>B15+L15</f>
        <v>0.99999999999996048</v>
      </c>
      <c r="R15" s="267">
        <f>B15-L15</f>
        <v>-0.30777793657417823</v>
      </c>
      <c r="S15" s="268">
        <f>IF(Rules!B20=Rules!D20,SUM(C15:K15)*B4*F4,SUM(C15:K15)*B4*F4*POWER(O2,A15-1))</f>
        <v>2765.2438136430851</v>
      </c>
      <c r="T15" s="253">
        <f>IF(Rules!B20=Rules!D20,SUM(C15:K15)*D4*H4,SUM(C15:K15)*D4*H4*POWER(O2,A15-1))</f>
        <v>-7999.6525764482285</v>
      </c>
      <c r="U15" s="264">
        <f t="shared" si="0"/>
        <v>-25173.240593256342</v>
      </c>
      <c r="V15" s="93">
        <f>S15/B4</f>
        <v>10754.341614336017</v>
      </c>
      <c r="W15" s="9">
        <f>T15/D4</f>
        <v>-10768.549684754898</v>
      </c>
    </row>
    <row r="16" spans="1:23" ht="17" thickBot="1">
      <c r="A16" s="99">
        <v>10</v>
      </c>
      <c r="B16" s="129">
        <f>C16*B4</f>
        <v>0.34612158427529199</v>
      </c>
      <c r="C16" s="129">
        <f>1/(1-D4*B4/(1-D4*B4/(1-D4*B4/(1-D4*B4/(1-D4*B4/(1-D4*B4/(1-D4*B4/(1-D4*B4/(1-D4*B4)))))))))</f>
        <v>1.346105446118947</v>
      </c>
      <c r="D16" s="137">
        <f>C16*D4*C15</f>
        <v>1.3460426830289425</v>
      </c>
      <c r="E16" s="109">
        <f>D16*D4*C14</f>
        <v>1.3458613534616199</v>
      </c>
      <c r="F16" s="109">
        <f>E16*D4*C13</f>
        <v>1.3453374721169442</v>
      </c>
      <c r="G16" s="109">
        <f>F16*D4*C12</f>
        <v>1.343823920480784</v>
      </c>
      <c r="H16" s="109">
        <f>G16*D4*C11</f>
        <v>1.3394511009890728</v>
      </c>
      <c r="I16" s="109">
        <f>H16*D4*C10</f>
        <v>1.3268175377525706</v>
      </c>
      <c r="J16" s="109">
        <f>I16*D4*C9</f>
        <v>1.2903177644705053</v>
      </c>
      <c r="K16" s="109">
        <f>J16*D4*C8</f>
        <v>1.1848658484351815</v>
      </c>
      <c r="L16" s="109">
        <f>K16*D4</f>
        <v>0.88020350136832337</v>
      </c>
      <c r="M16" s="237">
        <f>L16*D4</f>
        <v>0.65387841572466376</v>
      </c>
      <c r="N16" s="129">
        <f>B16+M16</f>
        <v>0.99999999999995581</v>
      </c>
      <c r="R16" s="269">
        <f>B16-M16</f>
        <v>-0.30775683144937177</v>
      </c>
      <c r="S16" s="270">
        <f>IF(Rules!B20=Rules!D20,SUM(C16:L16)*B4*F4,SUM(C16:L16)*B4*F4*POWER(O2,A16-1))</f>
        <v>3091.6343979273638</v>
      </c>
      <c r="T16" s="254">
        <f>IF(Rules!B20=Rules!D20,SUM(C16:L16)*D4*H4,SUM(C16:L16)*D4*H4*POWER(O2,A16-1))</f>
        <v>-8943.8771925981782</v>
      </c>
      <c r="U16" s="264">
        <f t="shared" si="0"/>
        <v>-31025.483387927154</v>
      </c>
      <c r="V16" s="94">
        <f>S16/B4</f>
        <v>12023.711000781346</v>
      </c>
      <c r="W16" s="10">
        <f>T16/D4</f>
        <v>-12039.596095259618</v>
      </c>
    </row>
    <row r="18" spans="1:7">
      <c r="A18" s="384" t="s">
        <v>187</v>
      </c>
      <c r="B18" s="384"/>
      <c r="C18" s="384"/>
      <c r="D18" s="384"/>
      <c r="E18" s="384"/>
      <c r="F18" s="384"/>
    </row>
    <row r="19" spans="1:7" ht="17" thickBot="1"/>
    <row r="20" spans="1:7" ht="17" thickBot="1">
      <c r="A20" s="29" t="s">
        <v>132</v>
      </c>
      <c r="B20" s="19" t="s">
        <v>137</v>
      </c>
      <c r="C20" s="19" t="s">
        <v>136</v>
      </c>
      <c r="D20" s="19" t="s">
        <v>135</v>
      </c>
      <c r="E20" s="151" t="s">
        <v>148</v>
      </c>
      <c r="F20" s="152" t="s">
        <v>149</v>
      </c>
      <c r="G20" s="150" t="s">
        <v>46</v>
      </c>
    </row>
    <row r="21" spans="1:7">
      <c r="A21" s="95">
        <v>1</v>
      </c>
      <c r="B21" s="107">
        <v>1</v>
      </c>
      <c r="C21" s="108">
        <f t="shared" ref="C21:C30" si="1">B21*$O$2</f>
        <v>10</v>
      </c>
      <c r="D21" s="57">
        <f>SUM($C$21:C21)</f>
        <v>10</v>
      </c>
      <c r="E21" s="57">
        <f t="shared" ref="E21:E30" si="2">D21/R7</f>
        <v>-20.586987387083479</v>
      </c>
      <c r="F21" s="8">
        <f t="shared" ref="F21:F30" si="3">U7/E21</f>
        <v>22.297661695946374</v>
      </c>
      <c r="G21" s="256">
        <f>E21*U7</f>
        <v>9450.2852782799509</v>
      </c>
    </row>
    <row r="22" spans="1:7">
      <c r="A22" s="97">
        <v>2</v>
      </c>
      <c r="B22" s="93">
        <f>C21</f>
        <v>10</v>
      </c>
      <c r="C22" s="1">
        <f t="shared" si="1"/>
        <v>100</v>
      </c>
      <c r="D22" s="9">
        <f>SUM($C$21:C22)</f>
        <v>110</v>
      </c>
      <c r="E22" s="9">
        <f t="shared" si="2"/>
        <v>-301.93193661539647</v>
      </c>
      <c r="F22" s="9">
        <f t="shared" si="3"/>
        <v>4.7957691608784545</v>
      </c>
      <c r="G22" s="257">
        <f t="shared" ref="G22:G30" si="4">E22*U8</f>
        <v>437196.197332112</v>
      </c>
    </row>
    <row r="23" spans="1:7">
      <c r="A23" s="97">
        <v>3</v>
      </c>
      <c r="B23" s="93">
        <f t="shared" ref="B23:B30" si="5">C22</f>
        <v>100</v>
      </c>
      <c r="C23" s="1">
        <f t="shared" si="1"/>
        <v>1000</v>
      </c>
      <c r="D23" s="9">
        <f>SUM($C$21:C23)</f>
        <v>1110</v>
      </c>
      <c r="E23" s="9">
        <f t="shared" si="2"/>
        <v>-3396.6864646016884</v>
      </c>
      <c r="F23" s="9">
        <f t="shared" si="3"/>
        <v>0.88635628013830192</v>
      </c>
      <c r="G23" s="257">
        <f t="shared" si="4"/>
        <v>10226316.914376143</v>
      </c>
    </row>
    <row r="24" spans="1:7">
      <c r="A24" s="97">
        <v>4</v>
      </c>
      <c r="B24" s="93">
        <f t="shared" si="5"/>
        <v>1000</v>
      </c>
      <c r="C24" s="1">
        <f t="shared" si="1"/>
        <v>10000</v>
      </c>
      <c r="D24" s="9">
        <f>SUM($C$21:C24)</f>
        <v>11110</v>
      </c>
      <c r="E24" s="9">
        <f t="shared" si="2"/>
        <v>-35351.212966035084</v>
      </c>
      <c r="F24" s="9">
        <f t="shared" si="3"/>
        <v>0.14626695026458636</v>
      </c>
      <c r="G24" s="257">
        <f t="shared" si="4"/>
        <v>182791015.6429894</v>
      </c>
    </row>
    <row r="25" spans="1:7">
      <c r="A25" s="97">
        <v>5</v>
      </c>
      <c r="B25" s="93">
        <f t="shared" si="5"/>
        <v>10000</v>
      </c>
      <c r="C25" s="1">
        <f t="shared" si="1"/>
        <v>100000</v>
      </c>
      <c r="D25" s="9">
        <f>SUM($C$21:C25)</f>
        <v>111110</v>
      </c>
      <c r="E25" s="9">
        <f t="shared" si="2"/>
        <v>-358421.36218316969</v>
      </c>
      <c r="F25" s="9">
        <f t="shared" si="3"/>
        <v>2.2151700793471573E-2</v>
      </c>
      <c r="G25" s="257">
        <f t="shared" si="4"/>
        <v>2845737577.9715376</v>
      </c>
    </row>
    <row r="26" spans="1:7">
      <c r="A26" s="97">
        <v>6</v>
      </c>
      <c r="B26" s="93">
        <f t="shared" si="5"/>
        <v>100000</v>
      </c>
      <c r="C26" s="1">
        <f t="shared" si="1"/>
        <v>1000000</v>
      </c>
      <c r="D26" s="9">
        <f>SUM($C$21:C26)</f>
        <v>1111110</v>
      </c>
      <c r="E26" s="9">
        <f t="shared" si="2"/>
        <v>-3601367.5019988981</v>
      </c>
      <c r="F26" s="9">
        <f t="shared" si="3"/>
        <v>3.1439972667056974E-3</v>
      </c>
      <c r="G26" s="257">
        <f t="shared" si="4"/>
        <v>40777166298.311363</v>
      </c>
    </row>
    <row r="27" spans="1:7">
      <c r="A27" s="97">
        <v>7</v>
      </c>
      <c r="B27" s="93">
        <f t="shared" si="5"/>
        <v>1000000</v>
      </c>
      <c r="C27" s="1">
        <f t="shared" si="1"/>
        <v>10000000</v>
      </c>
      <c r="D27" s="9">
        <f>SUM($C$21:C27)</f>
        <v>11111110</v>
      </c>
      <c r="E27" s="9">
        <f t="shared" si="2"/>
        <v>-36073261.338556096</v>
      </c>
      <c r="F27" s="9">
        <f t="shared" si="3"/>
        <v>4.2474971509683232E-4</v>
      </c>
      <c r="G27" s="257">
        <f t="shared" si="4"/>
        <v>552718387245.1543</v>
      </c>
    </row>
    <row r="28" spans="1:7">
      <c r="A28" s="97">
        <v>8</v>
      </c>
      <c r="B28" s="93">
        <f t="shared" si="5"/>
        <v>10000000</v>
      </c>
      <c r="C28" s="1">
        <f t="shared" si="1"/>
        <v>100000000</v>
      </c>
      <c r="D28" s="9">
        <f>SUM($C$21:C28)</f>
        <v>111111110</v>
      </c>
      <c r="E28" s="9">
        <f t="shared" si="2"/>
        <v>-360939128.93901634</v>
      </c>
      <c r="F28" s="9">
        <f t="shared" si="3"/>
        <v>5.524153584861128E-5</v>
      </c>
      <c r="G28" s="257">
        <f t="shared" si="4"/>
        <v>7196704592944.5889</v>
      </c>
    </row>
    <row r="29" spans="1:7">
      <c r="A29" s="97">
        <v>9</v>
      </c>
      <c r="B29" s="93">
        <f t="shared" si="5"/>
        <v>100000000</v>
      </c>
      <c r="C29" s="1">
        <f t="shared" si="1"/>
        <v>1000000000</v>
      </c>
      <c r="D29" s="9">
        <f>SUM($C$21:C29)</f>
        <v>1111111110</v>
      </c>
      <c r="E29" s="9">
        <f t="shared" si="2"/>
        <v>-3610106437.0226831</v>
      </c>
      <c r="F29" s="9">
        <f t="shared" si="3"/>
        <v>6.9729912489829932E-6</v>
      </c>
      <c r="G29" s="257">
        <f t="shared" si="4"/>
        <v>90878077906435.422</v>
      </c>
    </row>
    <row r="30" spans="1:7" ht="17" thickBot="1">
      <c r="A30" s="129">
        <v>10</v>
      </c>
      <c r="B30" s="94">
        <f t="shared" si="5"/>
        <v>1000000000</v>
      </c>
      <c r="C30" s="109">
        <f t="shared" si="1"/>
        <v>10000000000</v>
      </c>
      <c r="D30" s="10">
        <f>SUM($C$21:C30)</f>
        <v>11111111110</v>
      </c>
      <c r="E30" s="10">
        <f t="shared" si="2"/>
        <v>-36103540115.332443</v>
      </c>
      <c r="F30" s="10">
        <f t="shared" si="3"/>
        <v>8.5934740163475714E-7</v>
      </c>
      <c r="G30" s="258">
        <f t="shared" si="4"/>
        <v>1120129784093608.2</v>
      </c>
    </row>
    <row r="31" spans="1:7" ht="17" thickBot="1"/>
    <row r="32" spans="1:7" ht="17" thickBot="1">
      <c r="A32" s="115" t="s">
        <v>132</v>
      </c>
      <c r="B32" s="116" t="s">
        <v>137</v>
      </c>
      <c r="C32" s="116" t="s">
        <v>136</v>
      </c>
      <c r="D32" s="154" t="s">
        <v>135</v>
      </c>
      <c r="E32" s="151" t="s">
        <v>148</v>
      </c>
      <c r="F32" s="152" t="s">
        <v>149</v>
      </c>
      <c r="G32" s="260" t="s">
        <v>46</v>
      </c>
    </row>
    <row r="33" spans="1:7">
      <c r="A33" s="95">
        <v>1</v>
      </c>
      <c r="B33" s="107">
        <v>1</v>
      </c>
      <c r="C33" s="108">
        <f t="shared" ref="C33:C42" si="6">B33*$O$2</f>
        <v>10</v>
      </c>
      <c r="D33" s="57">
        <f>SUM($C$33:C33)</f>
        <v>10</v>
      </c>
      <c r="E33" s="9">
        <f t="shared" ref="E33:E42" si="7">D33/R7</f>
        <v>-20.586987387083479</v>
      </c>
      <c r="F33" s="8">
        <f t="shared" ref="F33:F42" si="8">U7/E33</f>
        <v>22.297661695946374</v>
      </c>
      <c r="G33" s="259">
        <f>E33*U7</f>
        <v>9450.2852782799509</v>
      </c>
    </row>
    <row r="34" spans="1:7">
      <c r="A34" s="97">
        <v>2</v>
      </c>
      <c r="B34" s="93">
        <f t="shared" ref="B34:B42" si="9">B33*($O$2+1)</f>
        <v>11</v>
      </c>
      <c r="C34" s="1">
        <f t="shared" si="6"/>
        <v>110</v>
      </c>
      <c r="D34" s="9">
        <f>SUM($C$33:C34)</f>
        <v>120</v>
      </c>
      <c r="E34" s="9">
        <f t="shared" si="7"/>
        <v>-329.38029448952341</v>
      </c>
      <c r="F34" s="9">
        <f t="shared" si="8"/>
        <v>4.39612173080525</v>
      </c>
      <c r="G34" s="257">
        <f t="shared" ref="G34:G42" si="10">E34*U8</f>
        <v>476941.30618048582</v>
      </c>
    </row>
    <row r="35" spans="1:7">
      <c r="A35" s="97">
        <v>3</v>
      </c>
      <c r="B35" s="93">
        <f t="shared" si="9"/>
        <v>121</v>
      </c>
      <c r="C35" s="1">
        <f t="shared" si="6"/>
        <v>1210</v>
      </c>
      <c r="D35" s="9">
        <f>SUM($C$33:C35)</f>
        <v>1330</v>
      </c>
      <c r="E35" s="9">
        <f t="shared" si="7"/>
        <v>-4069.9036017299509</v>
      </c>
      <c r="F35" s="9">
        <f t="shared" si="8"/>
        <v>0.73974095560414677</v>
      </c>
      <c r="G35" s="257">
        <f t="shared" si="10"/>
        <v>12253154.501009252</v>
      </c>
    </row>
    <row r="36" spans="1:7">
      <c r="A36" s="97">
        <v>4</v>
      </c>
      <c r="B36" s="93">
        <f t="shared" si="9"/>
        <v>1331</v>
      </c>
      <c r="C36" s="1">
        <f t="shared" si="6"/>
        <v>13310</v>
      </c>
      <c r="D36" s="9">
        <f>SUM($C$33:C36)</f>
        <v>14640</v>
      </c>
      <c r="E36" s="9">
        <f t="shared" si="7"/>
        <v>-46583.416545702392</v>
      </c>
      <c r="F36" s="9">
        <f t="shared" si="8"/>
        <v>0.11099903124587121</v>
      </c>
      <c r="G36" s="257">
        <f t="shared" si="10"/>
        <v>240869529.16411921</v>
      </c>
    </row>
    <row r="37" spans="1:7">
      <c r="A37" s="97">
        <v>5</v>
      </c>
      <c r="B37" s="93">
        <f t="shared" si="9"/>
        <v>14641</v>
      </c>
      <c r="C37" s="1">
        <f t="shared" si="6"/>
        <v>146410</v>
      </c>
      <c r="D37" s="9">
        <f>SUM($C$33:C37)</f>
        <v>161050</v>
      </c>
      <c r="E37" s="9">
        <f t="shared" si="7"/>
        <v>-519519.0386067814</v>
      </c>
      <c r="F37" s="9">
        <f t="shared" si="8"/>
        <v>1.5282679137923789E-2</v>
      </c>
      <c r="G37" s="257">
        <f t="shared" si="10"/>
        <v>4124795580.3466487</v>
      </c>
    </row>
    <row r="38" spans="1:7">
      <c r="A38" s="97">
        <v>6</v>
      </c>
      <c r="B38" s="93">
        <f t="shared" si="9"/>
        <v>161051</v>
      </c>
      <c r="C38" s="1">
        <f t="shared" si="6"/>
        <v>1610510</v>
      </c>
      <c r="D38" s="9">
        <f>SUM($C$33:C38)</f>
        <v>1771560</v>
      </c>
      <c r="E38" s="9">
        <f t="shared" si="7"/>
        <v>-5742040.4926975444</v>
      </c>
      <c r="F38" s="9">
        <f t="shared" si="8"/>
        <v>1.9718930225390992E-3</v>
      </c>
      <c r="G38" s="257">
        <f t="shared" si="10"/>
        <v>65015342070.034912</v>
      </c>
    </row>
    <row r="39" spans="1:7">
      <c r="A39" s="97">
        <v>7</v>
      </c>
      <c r="B39" s="93">
        <f t="shared" si="9"/>
        <v>1771561</v>
      </c>
      <c r="C39" s="1">
        <f t="shared" si="6"/>
        <v>17715610</v>
      </c>
      <c r="D39" s="9">
        <f>SUM($C$33:C39)</f>
        <v>19487170</v>
      </c>
      <c r="E39" s="9">
        <f t="shared" si="7"/>
        <v>-63266926.180990942</v>
      </c>
      <c r="F39" s="9">
        <f t="shared" si="8"/>
        <v>2.4218194878525534E-4</v>
      </c>
      <c r="G39" s="257">
        <f t="shared" si="10"/>
        <v>969382642631.75806</v>
      </c>
    </row>
    <row r="40" spans="1:7">
      <c r="A40" s="97">
        <v>8</v>
      </c>
      <c r="B40" s="93">
        <f t="shared" si="9"/>
        <v>19487171</v>
      </c>
      <c r="C40" s="1">
        <f t="shared" si="6"/>
        <v>194871710</v>
      </c>
      <c r="D40" s="9">
        <f>SUM($C$33:C40)</f>
        <v>214358880</v>
      </c>
      <c r="E40" s="9">
        <f t="shared" si="7"/>
        <v>-696334573.81123388</v>
      </c>
      <c r="F40" s="9">
        <f t="shared" si="8"/>
        <v>2.8633982255570618E-5</v>
      </c>
      <c r="G40" s="257">
        <f t="shared" si="10"/>
        <v>13884097964951.1</v>
      </c>
    </row>
    <row r="41" spans="1:7">
      <c r="A41" s="97">
        <v>9</v>
      </c>
      <c r="B41" s="93">
        <f t="shared" si="9"/>
        <v>214358881</v>
      </c>
      <c r="C41" s="1">
        <f t="shared" si="6"/>
        <v>2143588810</v>
      </c>
      <c r="D41" s="9">
        <f>SUM($C$33:C41)</f>
        <v>2357947690</v>
      </c>
      <c r="E41" s="9">
        <f t="shared" si="7"/>
        <v>-7661197928.1097879</v>
      </c>
      <c r="F41" s="9">
        <f t="shared" si="8"/>
        <v>3.28580997769199E-6</v>
      </c>
      <c r="G41" s="257">
        <f t="shared" si="10"/>
        <v>192857178676864.69</v>
      </c>
    </row>
    <row r="42" spans="1:7" ht="17" thickBot="1">
      <c r="A42" s="129">
        <v>10</v>
      </c>
      <c r="B42" s="94">
        <f t="shared" si="9"/>
        <v>2357947691</v>
      </c>
      <c r="C42" s="109">
        <f t="shared" si="6"/>
        <v>23579476910</v>
      </c>
      <c r="D42" s="10">
        <f>SUM($C$33:C42)</f>
        <v>25937424600</v>
      </c>
      <c r="E42" s="9">
        <f t="shared" si="7"/>
        <v>-84278956466.533859</v>
      </c>
      <c r="F42" s="10">
        <f t="shared" si="8"/>
        <v>3.6812847107625251E-7</v>
      </c>
      <c r="G42" s="258">
        <f t="shared" si="10"/>
        <v>2614795363804282</v>
      </c>
    </row>
    <row r="43" spans="1:7" ht="17" thickBot="1"/>
    <row r="44" spans="1:7" ht="17" thickBot="1">
      <c r="A44" s="115" t="s">
        <v>132</v>
      </c>
      <c r="B44" s="116" t="s">
        <v>137</v>
      </c>
      <c r="C44" s="116" t="s">
        <v>136</v>
      </c>
      <c r="D44" s="154" t="s">
        <v>135</v>
      </c>
      <c r="E44" s="151" t="s">
        <v>148</v>
      </c>
      <c r="F44" s="152" t="s">
        <v>149</v>
      </c>
      <c r="G44" s="260" t="s">
        <v>46</v>
      </c>
    </row>
    <row r="45" spans="1:7">
      <c r="A45" s="95">
        <v>1</v>
      </c>
      <c r="B45" s="107">
        <v>1</v>
      </c>
      <c r="C45" s="108">
        <f t="shared" ref="C45:C54" si="11">B45*$O$2</f>
        <v>10</v>
      </c>
      <c r="D45" s="57">
        <f>SUM(C45:C45)</f>
        <v>10</v>
      </c>
      <c r="E45" s="57">
        <f t="shared" ref="E45:E54" si="12">D45/R7</f>
        <v>-20.586987387083479</v>
      </c>
      <c r="F45" s="8">
        <f t="shared" ref="F45:F54" si="13">U7/E45</f>
        <v>22.297661695946374</v>
      </c>
      <c r="G45" s="256">
        <f>E45*U7</f>
        <v>9450.2852782799509</v>
      </c>
    </row>
    <row r="46" spans="1:7">
      <c r="A46" s="97">
        <v>2</v>
      </c>
      <c r="B46" s="93">
        <f t="shared" ref="B46:B54" si="14">B45*$O$2*2</f>
        <v>20</v>
      </c>
      <c r="C46" s="1">
        <f t="shared" si="11"/>
        <v>200</v>
      </c>
      <c r="D46" s="9">
        <f>SUM($C$45:C46)</f>
        <v>210</v>
      </c>
      <c r="E46" s="9">
        <f t="shared" si="12"/>
        <v>-576.41551535666588</v>
      </c>
      <c r="F46" s="9">
        <f t="shared" si="13"/>
        <v>2.5120695604601435</v>
      </c>
      <c r="G46" s="257">
        <f t="shared" ref="G46:G54" si="15">E46*U8</f>
        <v>834647.28581585002</v>
      </c>
    </row>
    <row r="47" spans="1:7">
      <c r="A47" s="97">
        <v>3</v>
      </c>
      <c r="B47" s="93">
        <f t="shared" si="14"/>
        <v>400</v>
      </c>
      <c r="C47" s="1">
        <f t="shared" si="11"/>
        <v>4000</v>
      </c>
      <c r="D47" s="9">
        <f>SUM($C$45:C47)</f>
        <v>4210</v>
      </c>
      <c r="E47" s="9">
        <f t="shared" si="12"/>
        <v>-12882.927942318116</v>
      </c>
      <c r="F47" s="9">
        <f t="shared" si="13"/>
        <v>0.23369488621223636</v>
      </c>
      <c r="G47" s="257">
        <f t="shared" si="15"/>
        <v>38786301.089660868</v>
      </c>
    </row>
    <row r="48" spans="1:7">
      <c r="A48" s="97">
        <v>4</v>
      </c>
      <c r="B48" s="93">
        <f t="shared" si="14"/>
        <v>8000</v>
      </c>
      <c r="C48" s="1">
        <f t="shared" si="11"/>
        <v>80000</v>
      </c>
      <c r="D48" s="9">
        <f>SUM($C$45:C48)</f>
        <v>84210</v>
      </c>
      <c r="E48" s="9">
        <f t="shared" si="12"/>
        <v>-267950.10295857914</v>
      </c>
      <c r="F48" s="9">
        <f t="shared" si="13"/>
        <v>1.9297302190233397E-2</v>
      </c>
      <c r="G48" s="257">
        <f t="shared" si="15"/>
        <v>1385493377.7944317</v>
      </c>
    </row>
    <row r="49" spans="1:7">
      <c r="A49" s="97">
        <v>5</v>
      </c>
      <c r="B49" s="93">
        <f t="shared" si="14"/>
        <v>160000</v>
      </c>
      <c r="C49" s="1">
        <f t="shared" si="11"/>
        <v>1600000</v>
      </c>
      <c r="D49" s="9">
        <f>SUM($C$45:C49)</f>
        <v>1684210</v>
      </c>
      <c r="E49" s="9">
        <f t="shared" si="12"/>
        <v>-5432965.9112817589</v>
      </c>
      <c r="F49" s="9">
        <f t="shared" si="13"/>
        <v>1.4613827700599249E-3</v>
      </c>
      <c r="G49" s="257">
        <f t="shared" si="15"/>
        <v>43135808533.84433</v>
      </c>
    </row>
    <row r="50" spans="1:7">
      <c r="A50" s="97">
        <v>6</v>
      </c>
      <c r="B50" s="93">
        <f t="shared" si="14"/>
        <v>3200000</v>
      </c>
      <c r="C50" s="1">
        <f t="shared" si="11"/>
        <v>32000000</v>
      </c>
      <c r="D50" s="9">
        <f>SUM($C$45:C50)</f>
        <v>33684210</v>
      </c>
      <c r="E50" s="9">
        <f t="shared" si="12"/>
        <v>-109178406.48046216</v>
      </c>
      <c r="F50" s="9">
        <f t="shared" si="13"/>
        <v>1.0370814108478028E-4</v>
      </c>
      <c r="G50" s="257">
        <f t="shared" si="15"/>
        <v>1236193205710.7241</v>
      </c>
    </row>
    <row r="51" spans="1:7">
      <c r="A51" s="97">
        <v>7</v>
      </c>
      <c r="B51" s="93">
        <f t="shared" si="14"/>
        <v>64000000</v>
      </c>
      <c r="C51" s="1">
        <f t="shared" si="11"/>
        <v>640000000</v>
      </c>
      <c r="D51" s="9">
        <f>SUM($C$45:C51)</f>
        <v>673684210</v>
      </c>
      <c r="E51" s="9">
        <f t="shared" si="12"/>
        <v>-2187179009.7468848</v>
      </c>
      <c r="F51" s="9">
        <f t="shared" si="13"/>
        <v>7.0054199532293686E-6</v>
      </c>
      <c r="G51" s="257">
        <f t="shared" si="15"/>
        <v>33512191856954.512</v>
      </c>
    </row>
    <row r="52" spans="1:7">
      <c r="A52" s="97">
        <v>8</v>
      </c>
      <c r="B52" s="93">
        <f t="shared" si="14"/>
        <v>1280000000</v>
      </c>
      <c r="C52" s="1">
        <f t="shared" si="11"/>
        <v>12800000000</v>
      </c>
      <c r="D52" s="9">
        <f>SUM($C$45:C52)</f>
        <v>13473684210</v>
      </c>
      <c r="E52" s="9">
        <f t="shared" si="12"/>
        <v>-43768619018.897194</v>
      </c>
      <c r="F52" s="9">
        <f t="shared" si="13"/>
        <v>4.5555085532496621E-7</v>
      </c>
      <c r="G52" s="257">
        <f t="shared" si="15"/>
        <v>872695134068879.12</v>
      </c>
    </row>
    <row r="53" spans="1:7">
      <c r="A53" s="97">
        <v>9</v>
      </c>
      <c r="B53" s="93">
        <f t="shared" si="14"/>
        <v>25600000000</v>
      </c>
      <c r="C53" s="1">
        <f t="shared" si="11"/>
        <v>256000000000</v>
      </c>
      <c r="D53" s="9">
        <f>SUM($C$45:C53)</f>
        <v>269473684210</v>
      </c>
      <c r="E53" s="9">
        <f t="shared" si="12"/>
        <v>-875545814652.81079</v>
      </c>
      <c r="F53" s="9">
        <f t="shared" si="13"/>
        <v>2.8751482985774474E-8</v>
      </c>
      <c r="G53" s="257">
        <f t="shared" si="15"/>
        <v>2.2040325442673828E+16</v>
      </c>
    </row>
    <row r="54" spans="1:7" ht="17" thickBot="1">
      <c r="A54" s="129">
        <v>10</v>
      </c>
      <c r="B54" s="94">
        <f t="shared" si="14"/>
        <v>512000000000</v>
      </c>
      <c r="C54" s="109">
        <f t="shared" si="11"/>
        <v>5120000000000</v>
      </c>
      <c r="D54" s="10">
        <f>SUM($C$45:C54)</f>
        <v>5389473684210</v>
      </c>
      <c r="E54" s="10">
        <f t="shared" si="12"/>
        <v>-17512117144007.598</v>
      </c>
      <c r="F54" s="10">
        <f t="shared" si="13"/>
        <v>1.7716580544085522E-9</v>
      </c>
      <c r="G54" s="258">
        <f t="shared" si="15"/>
        <v>5.4332189953884205E+17</v>
      </c>
    </row>
  </sheetData>
  <mergeCells count="1">
    <mergeCell ref="A18:F18"/>
  </mergeCells>
  <conditionalFormatting sqref="F45:F54">
    <cfRule type="cellIs" dxfId="105" priority="33" operator="equal">
      <formula>MAX($F$45:$F$54)</formula>
    </cfRule>
  </conditionalFormatting>
  <conditionalFormatting sqref="F21:F30">
    <cfRule type="cellIs" dxfId="104" priority="32" operator="equal">
      <formula>MAX($F$21:$F$30)</formula>
    </cfRule>
  </conditionalFormatting>
  <conditionalFormatting sqref="E33:E42">
    <cfRule type="cellIs" dxfId="103" priority="30" stopIfTrue="1" operator="lessThan">
      <formula>0</formula>
    </cfRule>
    <cfRule type="cellIs" dxfId="102" priority="31" operator="equal">
      <formula>MIN($E$33:$E$42)</formula>
    </cfRule>
  </conditionalFormatting>
  <conditionalFormatting sqref="E21:E30">
    <cfRule type="cellIs" dxfId="101" priority="28" stopIfTrue="1" operator="lessThan">
      <formula>0</formula>
    </cfRule>
    <cfRule type="cellIs" dxfId="100" priority="29" operator="equal">
      <formula>MIN($E$21:$E$30)</formula>
    </cfRule>
  </conditionalFormatting>
  <conditionalFormatting sqref="E45:E54">
    <cfRule type="cellIs" dxfId="99" priority="26" stopIfTrue="1" operator="lessThan">
      <formula>0</formula>
    </cfRule>
    <cfRule type="cellIs" dxfId="98" priority="27" operator="equal">
      <formula>MIN($E$45:$E$54)</formula>
    </cfRule>
  </conditionalFormatting>
  <conditionalFormatting sqref="F33:F42">
    <cfRule type="cellIs" dxfId="97" priority="24" operator="lessThanOrEqual">
      <formula>0</formula>
    </cfRule>
    <cfRule type="cellIs" dxfId="96" priority="25" operator="equal">
      <formula>MAX($F$33:$F$42)</formula>
    </cfRule>
  </conditionalFormatting>
  <conditionalFormatting sqref="R7:R16">
    <cfRule type="cellIs" dxfId="95" priority="22" operator="lessThanOrEqual">
      <formula>0</formula>
    </cfRule>
    <cfRule type="cellIs" dxfId="94" priority="23" operator="greaterThan">
      <formula>0</formula>
    </cfRule>
  </conditionalFormatting>
  <conditionalFormatting sqref="U7:U16">
    <cfRule type="cellIs" dxfId="93" priority="7" operator="lessThanOrEqual">
      <formula>0</formula>
    </cfRule>
    <cfRule type="cellIs" dxfId="92" priority="8" operator="greaterThan">
      <formula>0</formula>
    </cfRule>
  </conditionalFormatting>
  <conditionalFormatting sqref="S7:T16">
    <cfRule type="cellIs" dxfId="91" priority="1" operator="lessThanOrEqual">
      <formula>0</formula>
    </cfRule>
    <cfRule type="cellIs" dxfId="9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AA71"/>
  <sheetViews>
    <sheetView workbookViewId="0">
      <selection activeCell="D66" sqref="D66"/>
    </sheetView>
  </sheetViews>
  <sheetFormatPr baseColWidth="10" defaultColWidth="8.83203125" defaultRowHeight="16"/>
  <cols>
    <col min="1" max="1" width="6.6640625" style="272" customWidth="1"/>
    <col min="2" max="10" width="6.6640625" customWidth="1"/>
    <col min="11" max="11" width="6.6640625" style="272" customWidth="1"/>
    <col min="12" max="19" width="6.6640625" customWidth="1"/>
    <col min="20" max="20" width="6.6640625" style="272" customWidth="1"/>
    <col min="21" max="27" width="6.6640625" customWidth="1"/>
  </cols>
  <sheetData>
    <row r="1" spans="1:27">
      <c r="B1" s="385" t="s">
        <v>47</v>
      </c>
      <c r="C1" s="385"/>
      <c r="D1" s="385"/>
      <c r="E1" s="385"/>
      <c r="F1" s="385"/>
      <c r="G1" s="385"/>
      <c r="H1" s="385"/>
      <c r="I1" s="385"/>
      <c r="J1" s="385"/>
      <c r="L1" s="385" t="s">
        <v>47</v>
      </c>
      <c r="M1" s="385"/>
      <c r="N1" s="385"/>
      <c r="O1" s="385"/>
      <c r="P1" s="385"/>
      <c r="Q1" s="385"/>
      <c r="R1" s="385"/>
      <c r="S1" s="385"/>
      <c r="U1" s="385" t="s">
        <v>47</v>
      </c>
      <c r="V1" s="385"/>
      <c r="W1" s="385"/>
      <c r="X1" s="385"/>
      <c r="Y1" s="385"/>
      <c r="Z1" s="385"/>
      <c r="AA1" s="385"/>
    </row>
    <row r="2" spans="1:27">
      <c r="A2" s="272" t="s">
        <v>56</v>
      </c>
      <c r="B2" s="49" t="s">
        <v>139</v>
      </c>
      <c r="C2" s="49" t="s">
        <v>140</v>
      </c>
      <c r="D2" s="49" t="s">
        <v>141</v>
      </c>
      <c r="E2" s="49" t="s">
        <v>142</v>
      </c>
      <c r="F2" s="49" t="s">
        <v>143</v>
      </c>
      <c r="G2" s="49" t="s">
        <v>144</v>
      </c>
      <c r="H2" s="49" t="s">
        <v>145</v>
      </c>
      <c r="I2" s="49" t="s">
        <v>146</v>
      </c>
      <c r="J2" s="49" t="s">
        <v>147</v>
      </c>
      <c r="K2" s="272" t="s">
        <v>56</v>
      </c>
      <c r="L2" s="49" t="s">
        <v>156</v>
      </c>
      <c r="M2" s="49" t="s">
        <v>157</v>
      </c>
      <c r="N2" s="49" t="s">
        <v>158</v>
      </c>
      <c r="O2" s="49" t="s">
        <v>159</v>
      </c>
      <c r="P2" s="49" t="s">
        <v>160</v>
      </c>
      <c r="Q2" s="49" t="s">
        <v>161</v>
      </c>
      <c r="R2" s="49" t="s">
        <v>162</v>
      </c>
      <c r="S2" s="49" t="s">
        <v>163</v>
      </c>
      <c r="T2" s="272" t="s">
        <v>56</v>
      </c>
      <c r="U2" s="49" t="s">
        <v>167</v>
      </c>
      <c r="V2" s="49" t="s">
        <v>168</v>
      </c>
      <c r="W2" s="49" t="s">
        <v>169</v>
      </c>
      <c r="X2" s="49" t="s">
        <v>170</v>
      </c>
      <c r="Y2" s="49" t="s">
        <v>171</v>
      </c>
      <c r="Z2" s="49" t="s">
        <v>172</v>
      </c>
      <c r="AA2" s="49" t="s">
        <v>173</v>
      </c>
    </row>
    <row r="3" spans="1:27">
      <c r="A3" s="272">
        <v>1</v>
      </c>
      <c r="B3" s="1">
        <f>'1x2'!U7</f>
        <v>5.2278019770882906</v>
      </c>
      <c r="C3" s="1">
        <f>'1x3'!U7</f>
        <v>18.268287517292997</v>
      </c>
      <c r="D3" s="1">
        <f>'1x4'!U7</f>
        <v>33.103975432146321</v>
      </c>
      <c r="E3" s="1">
        <f>'1x5'!U7</f>
        <v>48.99881494243035</v>
      </c>
      <c r="F3" s="1">
        <f>'1x6'!U7</f>
        <v>65.585772784097742</v>
      </c>
      <c r="G3" s="1">
        <f>'1x7'!U7</f>
        <v>82.646186576497556</v>
      </c>
      <c r="H3" s="1">
        <f>'1x8'!U7</f>
        <v>100.03606735494559</v>
      </c>
      <c r="I3" s="1">
        <f>'1x9'!U7</f>
        <v>117.65567286553613</v>
      </c>
      <c r="J3" s="1">
        <f>'1x10'!U7</f>
        <v>135.43443400536461</v>
      </c>
      <c r="K3" s="272">
        <v>1</v>
      </c>
      <c r="L3" s="1">
        <f>'2x3'!U7</f>
        <v>-29.402966041934938</v>
      </c>
      <c r="M3" s="1">
        <f>'2x4'!U7</f>
        <v>-25.418863287670092</v>
      </c>
      <c r="N3" s="1">
        <f>'2x5'!U7</f>
        <v>-20.226938345537036</v>
      </c>
      <c r="O3" s="1">
        <f>'2x6'!U7</f>
        <v>-14.670573575183084</v>
      </c>
      <c r="P3" s="1">
        <f>'2x7'!U7</f>
        <v>-9.1828911223317675</v>
      </c>
      <c r="Q3" s="1">
        <f>'2x8'!U7</f>
        <v>-3.9815062475910565</v>
      </c>
      <c r="R3" s="1">
        <f>'2x9'!U7</f>
        <v>0.83722232040031486</v>
      </c>
      <c r="S3" s="1">
        <f>'2x10'!U7</f>
        <v>5.2469069738806411</v>
      </c>
      <c r="T3" s="272">
        <v>1</v>
      </c>
      <c r="U3" s="1">
        <f>'3x4'!U7</f>
        <v>-111.88655361215598</v>
      </c>
      <c r="V3" s="1">
        <f>'3x5'!U7</f>
        <v>-128.50689874460556</v>
      </c>
      <c r="W3" s="1">
        <f>'3x6'!U7</f>
        <v>-145.25585823333381</v>
      </c>
      <c r="X3" s="1">
        <f>'3x7'!U7</f>
        <v>-162.64756345022539</v>
      </c>
      <c r="Y3" s="1">
        <f>'3x8'!U7</f>
        <v>-180.90211489815184</v>
      </c>
      <c r="Z3" s="1">
        <f>'3x9'!U7</f>
        <v>-200.07496505653273</v>
      </c>
      <c r="AA3" s="1">
        <f>'3x10'!U7</f>
        <v>-220.1309577147839</v>
      </c>
    </row>
    <row r="4" spans="1:27">
      <c r="A4" s="272">
        <v>2</v>
      </c>
      <c r="B4" s="1">
        <f>'1x2'!U8</f>
        <v>15.286783414657251</v>
      </c>
      <c r="C4" s="1">
        <f>'1x3'!U8</f>
        <v>51.4093003427543</v>
      </c>
      <c r="D4" s="1">
        <f>'1x4'!U8</f>
        <v>90.904543917036051</v>
      </c>
      <c r="E4" s="1">
        <f>'1x5'!U8</f>
        <v>132.42263194909086</v>
      </c>
      <c r="F4" s="1">
        <f>'1x6'!U8</f>
        <v>175.37220027785145</v>
      </c>
      <c r="G4" s="1">
        <f>'1x7'!U8</f>
        <v>219.39380250773456</v>
      </c>
      <c r="H4" s="1">
        <f>'1x8'!U8</f>
        <v>264.22995693617253</v>
      </c>
      <c r="I4" s="1">
        <f>'1x9'!U8</f>
        <v>309.68411157138462</v>
      </c>
      <c r="J4" s="1">
        <f>'1x10'!U8</f>
        <v>355.60369384309513</v>
      </c>
      <c r="K4" s="272">
        <v>2</v>
      </c>
      <c r="L4" s="1">
        <f>'2x3'!U8</f>
        <v>-91.294537279466766</v>
      </c>
      <c r="M4" s="1">
        <f>'2x4'!U8</f>
        <v>-78.097595124710267</v>
      </c>
      <c r="N4" s="1">
        <f>'2x5'!U8</f>
        <v>-61.635921125080841</v>
      </c>
      <c r="O4" s="1">
        <f>'2x6'!U8</f>
        <v>-44.43157016823568</v>
      </c>
      <c r="P4" s="1">
        <f>'2x7'!U8</f>
        <v>-27.687671076130613</v>
      </c>
      <c r="Q4" s="1">
        <f>'2x8'!U8</f>
        <v>-11.966154186138425</v>
      </c>
      <c r="R4" s="1">
        <f>'2x9'!U8</f>
        <v>2.5103868757769305</v>
      </c>
      <c r="S4" s="1">
        <f>'2x10'!U8</f>
        <v>15.706509060255257</v>
      </c>
      <c r="T4" s="272">
        <v>2</v>
      </c>
      <c r="U4" s="1">
        <f>'3x4'!U8</f>
        <v>-352.64765343339309</v>
      </c>
      <c r="V4" s="1">
        <f>'3x5'!U8</f>
        <v>-404.40053539342659</v>
      </c>
      <c r="W4" s="1">
        <f>'3x6'!U8</f>
        <v>-456.41641216205323</v>
      </c>
      <c r="X4" s="1">
        <f>'3x7'!U8</f>
        <v>-510.41760588629774</v>
      </c>
      <c r="Y4" s="1">
        <f>'3x8'!U8</f>
        <v>-567.14114004884664</v>
      </c>
      <c r="Z4" s="1">
        <f>'3x9'!U8</f>
        <v>-626.7782949553399</v>
      </c>
      <c r="AA4" s="1">
        <f>'3x10'!U8</f>
        <v>-689.2229850047496</v>
      </c>
    </row>
    <row r="5" spans="1:27">
      <c r="A5" s="272">
        <v>3</v>
      </c>
      <c r="B5" s="1">
        <f>'1x2'!U9</f>
        <v>29.78872863760872</v>
      </c>
      <c r="C5" s="1">
        <f>'1x3'!U9</f>
        <v>96.370317081478845</v>
      </c>
      <c r="D5" s="1">
        <f>'1x4'!U9</f>
        <v>166.39598358538626</v>
      </c>
      <c r="E5" s="1">
        <f>'1x5'!U9</f>
        <v>238.79614056998457</v>
      </c>
      <c r="F5" s="1">
        <f>'1x6'!U9</f>
        <v>313.19264204392778</v>
      </c>
      <c r="G5" s="1">
        <f>'1x7'!U9</f>
        <v>389.28080075403585</v>
      </c>
      <c r="H5" s="1">
        <f>'1x8'!U9</f>
        <v>466.77273529881228</v>
      </c>
      <c r="I5" s="1">
        <f>'1x9'!U9</f>
        <v>545.40452760763719</v>
      </c>
      <c r="J5" s="1">
        <f>'1x10'!U9</f>
        <v>624.94483411005308</v>
      </c>
      <c r="K5" s="272">
        <v>3</v>
      </c>
      <c r="L5" s="1">
        <f>'2x3'!U9</f>
        <v>-188.52490711687793</v>
      </c>
      <c r="M5" s="1">
        <f>'2x4'!U9</f>
        <v>-159.82075783930975</v>
      </c>
      <c r="N5" s="1">
        <f>'2x5'!U9</f>
        <v>-125.17083061851477</v>
      </c>
      <c r="O5" s="1">
        <f>'2x6'!U9</f>
        <v>-89.701143784272574</v>
      </c>
      <c r="P5" s="1">
        <f>'2x7'!U9</f>
        <v>-55.653187383959192</v>
      </c>
      <c r="Q5" s="1">
        <f>'2x8'!U9</f>
        <v>-23.97557633637976</v>
      </c>
      <c r="R5" s="1">
        <f>'2x9'!U9</f>
        <v>5.018213594110648</v>
      </c>
      <c r="S5" s="1">
        <f>'2x10'!U9</f>
        <v>31.344600817940091</v>
      </c>
      <c r="T5" s="272">
        <v>3</v>
      </c>
      <c r="U5" s="1">
        <f>'3x4'!U9</f>
        <v>-734.6000802472588</v>
      </c>
      <c r="V5" s="1">
        <f>'3x5'!U9</f>
        <v>-842.2753031812249</v>
      </c>
      <c r="W5" s="1">
        <f>'3x6'!U9</f>
        <v>-950.08444859067231</v>
      </c>
      <c r="X5" s="1">
        <f>'3x7'!U9</f>
        <v>-1061.8432523775357</v>
      </c>
      <c r="Y5" s="1">
        <f>'3x8'!U9</f>
        <v>-1179.2056499678229</v>
      </c>
      <c r="Z5" s="1">
        <f>'3x9'!U9</f>
        <v>-1302.6279064463079</v>
      </c>
      <c r="AA5" s="1">
        <f>'3x10'!U9</f>
        <v>-1431.9152454546115</v>
      </c>
    </row>
    <row r="6" spans="1:27">
      <c r="A6" s="272">
        <v>4</v>
      </c>
      <c r="B6" s="1">
        <f>'1x2'!U10</f>
        <v>48.356838456842276</v>
      </c>
      <c r="C6" s="1">
        <f>'1x3'!U10</f>
        <v>150.51230253268989</v>
      </c>
      <c r="D6" s="1">
        <f>'1x4'!U10</f>
        <v>254.09939661306657</v>
      </c>
      <c r="E6" s="1">
        <f>'1x5'!U10</f>
        <v>359.77675997213851</v>
      </c>
      <c r="F6" s="1">
        <f>'1x6'!U10</f>
        <v>467.88551751905885</v>
      </c>
      <c r="G6" s="1">
        <f>'1x7'!U10</f>
        <v>578.35228623456032</v>
      </c>
      <c r="H6" s="1">
        <f>'1x8'!U10</f>
        <v>690.91920680020598</v>
      </c>
      <c r="I6" s="1">
        <f>'1x9'!U10</f>
        <v>805.27047367810155</v>
      </c>
      <c r="J6" s="1">
        <f>'1x10'!U10</f>
        <v>921.09276876959689</v>
      </c>
      <c r="K6" s="272">
        <v>4</v>
      </c>
      <c r="L6" s="1">
        <f>'2x3'!U10</f>
        <v>-323.64940983822305</v>
      </c>
      <c r="M6" s="1">
        <f>'2x4'!U10</f>
        <v>-272.29730854753711</v>
      </c>
      <c r="N6" s="1">
        <f>'2x5'!U10</f>
        <v>-211.76009820733228</v>
      </c>
      <c r="O6" s="1">
        <f>'2x6'!U10</f>
        <v>-150.89508848456711</v>
      </c>
      <c r="P6" s="1">
        <f>'2x7'!U10</f>
        <v>-93.218077631576051</v>
      </c>
      <c r="Q6" s="1">
        <f>'2x8'!U10</f>
        <v>-40.031401128163026</v>
      </c>
      <c r="R6" s="1">
        <f>'2x9'!U10</f>
        <v>8.3594224221490094</v>
      </c>
      <c r="S6" s="1">
        <f>'2x10'!U10</f>
        <v>52.12698579162543</v>
      </c>
      <c r="T6" s="272">
        <v>4</v>
      </c>
      <c r="U6" s="1">
        <f>'3x4'!U10</f>
        <v>-1265.8136838531966</v>
      </c>
      <c r="V6" s="1">
        <f>'3x5'!U10</f>
        <v>-1452.4953695936752</v>
      </c>
      <c r="W6" s="1">
        <f>'3x6'!U10</f>
        <v>-1638.6584026143748</v>
      </c>
      <c r="X6" s="1">
        <f>'3x7'!U10</f>
        <v>-1831.222990574071</v>
      </c>
      <c r="Y6" s="1">
        <f>'3x8'!U10</f>
        <v>-2033.2497735066572</v>
      </c>
      <c r="Z6" s="1">
        <f>'3x9'!U10</f>
        <v>-2245.6419242236593</v>
      </c>
      <c r="AA6" s="1">
        <f>'3x10'!U10</f>
        <v>-2468.1249332815623</v>
      </c>
    </row>
    <row r="7" spans="1:27">
      <c r="A7" s="272">
        <v>5</v>
      </c>
      <c r="B7" s="1">
        <f>'1x2'!U11</f>
        <v>70.628411352502724</v>
      </c>
      <c r="C7" s="1">
        <f>'1x3'!U11</f>
        <v>211.63491356944908</v>
      </c>
      <c r="D7" s="1">
        <f>'1x4'!U11</f>
        <v>349.96189734256836</v>
      </c>
      <c r="E7" s="1">
        <f>'1x5'!U11</f>
        <v>489.69557750118133</v>
      </c>
      <c r="F7" s="1">
        <f>'1x6'!U11</f>
        <v>632.30125047534682</v>
      </c>
      <c r="G7" s="1">
        <f>'1x7'!U11</f>
        <v>778.02996004719648</v>
      </c>
      <c r="H7" s="1">
        <f>'1x8'!U11</f>
        <v>926.6688074863921</v>
      </c>
      <c r="I7" s="1">
        <f>'1x9'!U11</f>
        <v>1077.8437347719166</v>
      </c>
      <c r="J7" s="1">
        <f>'1x10'!U11</f>
        <v>1231.1472907301134</v>
      </c>
      <c r="K7" s="272">
        <v>5</v>
      </c>
      <c r="L7" s="1">
        <f>'2x3'!U11</f>
        <v>-498.89558352681763</v>
      </c>
      <c r="M7" s="1">
        <f>'2x4'!U11</f>
        <v>-417.14451033260519</v>
      </c>
      <c r="N7" s="1">
        <f>'2x5'!U11</f>
        <v>-322.31272947534546</v>
      </c>
      <c r="O7" s="1">
        <f>'2x6'!U11</f>
        <v>-228.42618736431569</v>
      </c>
      <c r="P7" s="1">
        <f>'2x7'!U11</f>
        <v>-140.52071004092645</v>
      </c>
      <c r="Q7" s="1">
        <f>'2x8'!U11</f>
        <v>-60.155251732974676</v>
      </c>
      <c r="R7" s="1">
        <f>'2x9'!U11</f>
        <v>12.532733330767087</v>
      </c>
      <c r="S7" s="1">
        <f>'2x10'!U11</f>
        <v>78.019479075140453</v>
      </c>
      <c r="T7" s="272">
        <v>5</v>
      </c>
      <c r="U7" s="1">
        <f>'3x4'!U11</f>
        <v>-1951.1610446044592</v>
      </c>
      <c r="V7" s="1">
        <f>'3x5'!U11</f>
        <v>-2241.9163011457645</v>
      </c>
      <c r="W7" s="1">
        <f>'3x6'!U11</f>
        <v>-2530.828398801536</v>
      </c>
      <c r="X7" s="1">
        <f>'3x7'!U11</f>
        <v>-2828.966607579322</v>
      </c>
      <c r="Y7" s="1">
        <f>'3x8'!U11</f>
        <v>-3141.3380494996763</v>
      </c>
      <c r="Z7" s="1">
        <f>'3x9'!U11</f>
        <v>-3469.513594844791</v>
      </c>
      <c r="AA7" s="1">
        <f>'3x10'!U11</f>
        <v>-3813.1723140495242</v>
      </c>
    </row>
    <row r="8" spans="1:27">
      <c r="A8" s="272">
        <v>6</v>
      </c>
      <c r="B8" s="1">
        <f>'1x2'!U12</f>
        <v>96.257134962873366</v>
      </c>
      <c r="C8" s="1">
        <f>'1x3'!U12</f>
        <v>277.96274704992345</v>
      </c>
      <c r="D8" s="1">
        <f>'1x4'!U12</f>
        <v>451.12461091592161</v>
      </c>
      <c r="E8" s="1">
        <f>'1x5'!U12</f>
        <v>624.9082688529777</v>
      </c>
      <c r="F8" s="1">
        <f>'1x6'!U12</f>
        <v>802.12656852827342</v>
      </c>
      <c r="G8" s="1">
        <f>'1x7'!U12</f>
        <v>983.36067303668221</v>
      </c>
      <c r="H8" s="1">
        <f>'1x8'!U12</f>
        <v>1168.4209796957084</v>
      </c>
      <c r="I8" s="1">
        <f>'1x9'!U12</f>
        <v>1356.8546574350917</v>
      </c>
      <c r="J8" s="1">
        <f>'1x10'!U12</f>
        <v>1548.1437694019198</v>
      </c>
      <c r="K8" s="272">
        <v>6</v>
      </c>
      <c r="L8" s="1">
        <f>'2x3'!U12</f>
        <v>-716.15530059264165</v>
      </c>
      <c r="M8" s="1">
        <f>'2x4'!U12</f>
        <v>-595.8753580928319</v>
      </c>
      <c r="N8" s="1">
        <f>'2x5'!U12</f>
        <v>-457.71463952380998</v>
      </c>
      <c r="O8" s="1">
        <f>'2x6'!U12</f>
        <v>-322.70357860690473</v>
      </c>
      <c r="P8" s="1">
        <f>'2x7'!U12</f>
        <v>-197.69912445702843</v>
      </c>
      <c r="Q8" s="1">
        <f>'2x8'!U12</f>
        <v>-84.368744897481776</v>
      </c>
      <c r="R8" s="1">
        <f>'2x9'!U12</f>
        <v>17.536866320328727</v>
      </c>
      <c r="S8" s="1">
        <f>'2x10'!U12</f>
        <v>108.9879098716217</v>
      </c>
      <c r="T8" s="272">
        <v>6</v>
      </c>
      <c r="U8" s="1">
        <f>'3x4'!U12</f>
        <v>-2793.4027112921867</v>
      </c>
      <c r="V8" s="1">
        <f>'3x5'!U12</f>
        <v>-3214.8190568533637</v>
      </c>
      <c r="W8" s="1">
        <f>'3x6'!U12</f>
        <v>-3632.3722806794758</v>
      </c>
      <c r="X8" s="1">
        <f>'3x7'!U12</f>
        <v>-4062.2892327071941</v>
      </c>
      <c r="Y8" s="1">
        <f>'3x8'!U12</f>
        <v>-4512.0712700645336</v>
      </c>
      <c r="Z8" s="1">
        <f>'3x9'!U12</f>
        <v>-4984.1955192317155</v>
      </c>
      <c r="AA8" s="1">
        <f>'3x10'!U12</f>
        <v>-5478.3433211176016</v>
      </c>
    </row>
    <row r="9" spans="1:27">
      <c r="A9" s="272">
        <v>7</v>
      </c>
      <c r="B9" s="1">
        <f>'1x2'!U13</f>
        <v>124.91494697681898</v>
      </c>
      <c r="C9" s="1">
        <f>'1x3'!U13</f>
        <v>348.10454641997126</v>
      </c>
      <c r="D9" s="1">
        <f>'1x4'!U13</f>
        <v>555.64952244941378</v>
      </c>
      <c r="E9" s="1">
        <f>'1x5'!U13</f>
        <v>763.17415180001387</v>
      </c>
      <c r="F9" s="1">
        <f>'1x6'!U13</f>
        <v>974.87864553324312</v>
      </c>
      <c r="G9" s="1">
        <f>'1x7'!U13</f>
        <v>1191.619109038239</v>
      </c>
      <c r="H9" s="1">
        <f>'1x8'!U13</f>
        <v>1413.1891678248169</v>
      </c>
      <c r="I9" s="1">
        <f>'1x9'!U13</f>
        <v>1639.0323650453149</v>
      </c>
      <c r="J9" s="1">
        <f>'1x10'!U13</f>
        <v>1868.5044611889277</v>
      </c>
      <c r="K9" s="272">
        <v>7</v>
      </c>
      <c r="L9" s="1">
        <f>'2x3'!U13</f>
        <v>-976.99750675254268</v>
      </c>
      <c r="M9" s="1">
        <f>'2x4'!U13</f>
        <v>-809.88971105053383</v>
      </c>
      <c r="N9" s="1">
        <f>'2x5'!U13</f>
        <v>-618.82534700650342</v>
      </c>
      <c r="O9" s="1">
        <f>'2x6'!U13</f>
        <v>-434.13214201857039</v>
      </c>
      <c r="P9" s="1">
        <f>'2x7'!U13</f>
        <v>-264.89097383818705</v>
      </c>
      <c r="Q9" s="1">
        <f>'2x8'!U13</f>
        <v>-112.69348977831103</v>
      </c>
      <c r="R9" s="1">
        <f>'2x9'!U13</f>
        <v>23.370541426048021</v>
      </c>
      <c r="S9" s="1">
        <f>'2x10'!U13</f>
        <v>144.99812404990666</v>
      </c>
      <c r="T9" s="272">
        <v>7</v>
      </c>
      <c r="U9" s="1">
        <f>'3x4'!U13</f>
        <v>-3794.0283217443184</v>
      </c>
      <c r="V9" s="1">
        <f>'3x5'!U13</f>
        <v>-4373.7573768159973</v>
      </c>
      <c r="W9" s="1">
        <f>'3x6'!U13</f>
        <v>-4946.9698301047893</v>
      </c>
      <c r="X9" s="1">
        <f>'3x7'!U13</f>
        <v>-5535.9917804377092</v>
      </c>
      <c r="Y9" s="1">
        <f>'3x8'!U13</f>
        <v>-6151.345811190251</v>
      </c>
      <c r="Z9" s="1">
        <f>'3x9'!U13</f>
        <v>-6796.6530182589504</v>
      </c>
      <c r="AA9" s="1">
        <f>'3x10'!U13</f>
        <v>-7471.6509007930499</v>
      </c>
    </row>
    <row r="10" spans="1:27">
      <c r="A10" s="272">
        <v>8</v>
      </c>
      <c r="B10" s="1">
        <f>'1x2'!U14</f>
        <v>156.29344546805098</v>
      </c>
      <c r="C10" s="1">
        <f>'1x3'!U14</f>
        <v>420.997769393211</v>
      </c>
      <c r="D10" s="1">
        <f>'1x4'!U14</f>
        <v>662.26525397581395</v>
      </c>
      <c r="E10" s="1">
        <f>'1x5'!U14</f>
        <v>903.16345576634171</v>
      </c>
      <c r="F10" s="1">
        <f>'1x6'!U14</f>
        <v>1149.1794164477644</v>
      </c>
      <c r="G10" s="1">
        <f>'1x7'!U14</f>
        <v>1401.3600268323366</v>
      </c>
      <c r="H10" s="1">
        <f>'1x8'!U14</f>
        <v>1659.4387326934261</v>
      </c>
      <c r="I10" s="1">
        <f>'1x9'!U14</f>
        <v>1922.7327286074915</v>
      </c>
      <c r="J10" s="1">
        <f>'1x10'!U14</f>
        <v>2190.4586536852712</v>
      </c>
      <c r="K10" s="272">
        <v>8</v>
      </c>
      <c r="L10" s="1">
        <f>'2x3'!U14</f>
        <v>-1282.6955915514172</v>
      </c>
      <c r="M10" s="1">
        <f>'2x4'!U14</f>
        <v>-1060.4690883463825</v>
      </c>
      <c r="N10" s="1">
        <f>'2x5'!U14</f>
        <v>-806.47506477870195</v>
      </c>
      <c r="O10" s="1">
        <f>'2x6'!U14</f>
        <v>-563.11190922387732</v>
      </c>
      <c r="P10" s="1">
        <f>'2x7'!U14</f>
        <v>-342.23346633745643</v>
      </c>
      <c r="Q10" s="1">
        <f>'2x8'!U14</f>
        <v>-145.15108677829474</v>
      </c>
      <c r="R10" s="1">
        <f>'2x9'!U14</f>
        <v>30.032478723348049</v>
      </c>
      <c r="S10" s="1">
        <f>'2x10'!U14</f>
        <v>186.01598669646478</v>
      </c>
      <c r="T10" s="272">
        <v>8</v>
      </c>
      <c r="U10" s="1">
        <f>'3x4'!U14</f>
        <v>-4953.8125037397085</v>
      </c>
      <c r="V10" s="1">
        <f>'3x5'!U14</f>
        <v>-5720.2009079814998</v>
      </c>
      <c r="W10" s="1">
        <f>'3x6'!U14</f>
        <v>-6476.8848893387194</v>
      </c>
      <c r="X10" s="1">
        <f>'3x7'!U14</f>
        <v>-7253.1638074708835</v>
      </c>
      <c r="Y10" s="1">
        <f>'3x8'!U14</f>
        <v>-8063.075117787479</v>
      </c>
      <c r="Z10" s="1">
        <f>'3x9'!U14</f>
        <v>-8911.6090482550517</v>
      </c>
      <c r="AA10" s="1">
        <f>'3x10'!U14</f>
        <v>-9798.6104149369676</v>
      </c>
    </row>
    <row r="11" spans="1:27">
      <c r="A11" s="272">
        <v>9</v>
      </c>
      <c r="B11" s="1">
        <f>'1x2'!U15</f>
        <v>190.10484872208323</v>
      </c>
      <c r="C11" s="1">
        <f>'1x3'!U15</f>
        <v>495.84889527466999</v>
      </c>
      <c r="D11" s="1">
        <f>'1x4'!U15</f>
        <v>770.15983575494556</v>
      </c>
      <c r="E11" s="1">
        <f>'1x5'!U15</f>
        <v>1044.108778171528</v>
      </c>
      <c r="F11" s="1">
        <f>'1x6'!U15</f>
        <v>1324.2852989570206</v>
      </c>
      <c r="G11" s="1">
        <f>'1x7'!U15</f>
        <v>1611.8383637329953</v>
      </c>
      <c r="H11" s="1">
        <f>'1x8'!U15</f>
        <v>1906.4030332079737</v>
      </c>
      <c r="I11" s="1">
        <f>'1x9'!U15</f>
        <v>2207.1522537372161</v>
      </c>
      <c r="J11" s="1">
        <f>'1x10'!U15</f>
        <v>2513.1542594381153</v>
      </c>
      <c r="K11" s="272">
        <v>9</v>
      </c>
      <c r="L11" s="1">
        <f>'2x3'!U15</f>
        <v>-1634.2632983814783</v>
      </c>
      <c r="M11" s="1">
        <f>'2x4'!U15</f>
        <v>-1348.7748835382051</v>
      </c>
      <c r="N11" s="1">
        <f>'2x5'!U15</f>
        <v>-1021.4622138418539</v>
      </c>
      <c r="O11" s="1">
        <f>'2x6'!U15</f>
        <v>-710.03750044799222</v>
      </c>
      <c r="P11" s="1">
        <f>'2x7'!U15</f>
        <v>-429.86330806150829</v>
      </c>
      <c r="Q11" s="1">
        <f>'2x8'!U15</f>
        <v>-181.7631263843987</v>
      </c>
      <c r="R11" s="1">
        <f>'2x9'!U15</f>
        <v>37.521398333220532</v>
      </c>
      <c r="S11" s="1">
        <f>'2x10'!U15</f>
        <v>232.00738466219013</v>
      </c>
      <c r="T11" s="272">
        <v>9</v>
      </c>
      <c r="U11" s="1">
        <f>'3x4'!U15</f>
        <v>-6273.1468597313024</v>
      </c>
      <c r="V11" s="1">
        <f>'3x5'!U15</f>
        <v>-7254.9719486743816</v>
      </c>
      <c r="W11" s="1">
        <f>'3x6'!U15</f>
        <v>-8223.4721699080292</v>
      </c>
      <c r="X11" s="1">
        <f>'3x7'!U15</f>
        <v>-9215.740323415017</v>
      </c>
      <c r="Y11" s="1">
        <f>'3x8'!U15</f>
        <v>-10249.788321245438</v>
      </c>
      <c r="Z11" s="1">
        <f>'3x9'!U15</f>
        <v>-11332.183306603103</v>
      </c>
      <c r="AA11" s="1">
        <f>'3x10'!U15</f>
        <v>-12462.921254246745</v>
      </c>
    </row>
    <row r="12" spans="1:27">
      <c r="A12" s="272">
        <v>10</v>
      </c>
      <c r="B12" s="1">
        <f>'1x2'!U16</f>
        <v>226.08252241392466</v>
      </c>
      <c r="C12" s="1">
        <f>'1x3'!U16</f>
        <v>572.0766702237845</v>
      </c>
      <c r="D12" s="1">
        <f>'1x4'!U16</f>
        <v>878.82592324772168</v>
      </c>
      <c r="E12" s="1">
        <f>'1x5'!U16</f>
        <v>1185.5769649982251</v>
      </c>
      <c r="F12" s="1">
        <f>'1x6'!U16</f>
        <v>1499.8038132926074</v>
      </c>
      <c r="G12" s="1">
        <f>'1x7'!U16</f>
        <v>1822.6783242713393</v>
      </c>
      <c r="H12" s="1">
        <f>'1x8'!U16</f>
        <v>2153.7073120476562</v>
      </c>
      <c r="I12" s="1">
        <f>'1x9'!U16</f>
        <v>2491.9066562039156</v>
      </c>
      <c r="J12" s="1">
        <f>'1x10'!U16</f>
        <v>2836.1899680837382</v>
      </c>
      <c r="K12" s="272">
        <v>10</v>
      </c>
      <c r="L12" s="1">
        <f>'2x3'!U16</f>
        <v>-2032.4939355445135</v>
      </c>
      <c r="M12" s="1">
        <f>'2x4'!U16</f>
        <v>-1675.8496018603892</v>
      </c>
      <c r="N12" s="1">
        <f>'2x5'!U16</f>
        <v>-1264.5513759426344</v>
      </c>
      <c r="O12" s="1">
        <f>'2x6'!U16</f>
        <v>-875.29759053070734</v>
      </c>
      <c r="P12" s="1">
        <f>'2x7'!U16</f>
        <v>-527.91664659104742</v>
      </c>
      <c r="Q12" s="1">
        <f>'2x8'!U16</f>
        <v>-222.55118800756239</v>
      </c>
      <c r="R12" s="1">
        <f>'2x9'!U16</f>
        <v>45.836020427585481</v>
      </c>
      <c r="S12" s="1">
        <f>'2x10'!U16</f>
        <v>282.93822910337644</v>
      </c>
      <c r="T12" s="272">
        <v>10</v>
      </c>
      <c r="U12" s="1">
        <f>'3x4'!U16</f>
        <v>-7752.2250961451064</v>
      </c>
      <c r="V12" s="1">
        <f>'3x5'!U16</f>
        <v>-8978.52052114461</v>
      </c>
      <c r="W12" s="1">
        <f>'3x6'!U16</f>
        <v>-10187.524592333695</v>
      </c>
      <c r="X12" s="1">
        <f>'3x7'!U16</f>
        <v>-11424.906872931648</v>
      </c>
      <c r="Y12" s="1">
        <f>'3x8'!U16</f>
        <v>-12713.084682530656</v>
      </c>
      <c r="Z12" s="1">
        <f>'3x9'!U16</f>
        <v>-14060.392451814154</v>
      </c>
      <c r="AA12" s="1">
        <f>'3x10'!U16</f>
        <v>-15467.012159387166</v>
      </c>
    </row>
    <row r="13" spans="1:27">
      <c r="B13" s="385" t="s">
        <v>48</v>
      </c>
      <c r="C13" s="385"/>
      <c r="D13" s="385"/>
      <c r="E13" s="385"/>
      <c r="F13" s="385"/>
      <c r="G13" s="385"/>
      <c r="H13" s="385"/>
      <c r="I13" s="385"/>
      <c r="J13" s="385"/>
      <c r="L13" s="385" t="s">
        <v>48</v>
      </c>
      <c r="M13" s="385"/>
      <c r="N13" s="385"/>
      <c r="O13" s="385"/>
      <c r="P13" s="385"/>
      <c r="Q13" s="385"/>
      <c r="R13" s="385"/>
      <c r="S13" s="385"/>
      <c r="U13" s="385" t="s">
        <v>48</v>
      </c>
      <c r="V13" s="385"/>
      <c r="W13" s="385"/>
      <c r="X13" s="385"/>
      <c r="Y13" s="385"/>
      <c r="Z13" s="385"/>
      <c r="AA13" s="385"/>
    </row>
    <row r="14" spans="1:27">
      <c r="A14" s="272" t="s">
        <v>56</v>
      </c>
      <c r="B14" s="49" t="s">
        <v>139</v>
      </c>
      <c r="C14" s="49" t="s">
        <v>140</v>
      </c>
      <c r="D14" s="49" t="s">
        <v>141</v>
      </c>
      <c r="E14" s="49" t="s">
        <v>142</v>
      </c>
      <c r="F14" s="49" t="s">
        <v>143</v>
      </c>
      <c r="G14" s="49" t="s">
        <v>144</v>
      </c>
      <c r="H14" s="49" t="s">
        <v>145</v>
      </c>
      <c r="I14" s="49" t="s">
        <v>146</v>
      </c>
      <c r="J14" s="49" t="s">
        <v>147</v>
      </c>
      <c r="K14" s="272" t="s">
        <v>56</v>
      </c>
      <c r="L14" s="49" t="s">
        <v>156</v>
      </c>
      <c r="M14" s="49" t="s">
        <v>157</v>
      </c>
      <c r="N14" s="49" t="s">
        <v>158</v>
      </c>
      <c r="O14" s="49" t="s">
        <v>159</v>
      </c>
      <c r="P14" s="49" t="s">
        <v>160</v>
      </c>
      <c r="Q14" s="49" t="s">
        <v>161</v>
      </c>
      <c r="R14" s="49" t="s">
        <v>162</v>
      </c>
      <c r="S14" s="49" t="s">
        <v>163</v>
      </c>
      <c r="T14" s="272" t="s">
        <v>56</v>
      </c>
      <c r="U14" s="49" t="s">
        <v>167</v>
      </c>
      <c r="V14" s="49" t="s">
        <v>168</v>
      </c>
      <c r="W14" s="49" t="s">
        <v>169</v>
      </c>
      <c r="X14" s="49" t="s">
        <v>170</v>
      </c>
      <c r="Y14" s="49" t="s">
        <v>171</v>
      </c>
      <c r="Z14" s="49" t="s">
        <v>172</v>
      </c>
      <c r="AA14" s="49" t="s">
        <v>173</v>
      </c>
    </row>
    <row r="15" spans="1:27">
      <c r="A15" s="272">
        <v>1</v>
      </c>
      <c r="B15" s="1">
        <f>'1x2'!R7</f>
        <v>0.10349666740520241</v>
      </c>
      <c r="C15" s="1">
        <f>'1x3'!R7</f>
        <v>0.2305813586775286</v>
      </c>
      <c r="D15" s="1">
        <f>'1x4'!R7</f>
        <v>0.30156182367343237</v>
      </c>
      <c r="E15" s="1">
        <f>'1x5'!R7</f>
        <v>0.34488901700061914</v>
      </c>
      <c r="F15" s="1">
        <f>'1x6'!R7</f>
        <v>0.37278357907724902</v>
      </c>
      <c r="G15" s="1">
        <f>'1x7'!R7</f>
        <v>0.39136301594389827</v>
      </c>
      <c r="H15" s="1">
        <f>'1x8'!R7</f>
        <v>0.40401960390265956</v>
      </c>
      <c r="I15" s="1">
        <f>'1x9'!R7</f>
        <v>0.4127741375787769</v>
      </c>
      <c r="J15" s="1">
        <f>'1x10'!R7</f>
        <v>0.41889378085346818</v>
      </c>
      <c r="K15" s="272">
        <v>1</v>
      </c>
      <c r="L15" s="1">
        <f>'2x3'!R7</f>
        <v>-0.19916114131057272</v>
      </c>
      <c r="M15" s="1">
        <f>'2x4'!R7</f>
        <v>-0.12477189919715198</v>
      </c>
      <c r="N15" s="1">
        <f>'2x5'!R7</f>
        <v>-7.6879220890103239E-2</v>
      </c>
      <c r="O15" s="1">
        <f>'2x6'!R7</f>
        <v>-4.4979849588409615E-2</v>
      </c>
      <c r="P15" s="1">
        <f>'2x7'!R7</f>
        <v>-2.3249524734818949E-2</v>
      </c>
      <c r="Q15" s="1">
        <f>'2x8'!R7</f>
        <v>-8.2187074763620527E-3</v>
      </c>
      <c r="R15" s="1">
        <f>'2x9'!R7</f>
        <v>2.2882187805746135E-3</v>
      </c>
      <c r="S15" s="1">
        <f>'2x10'!R7</f>
        <v>9.6870468034781498E-3</v>
      </c>
      <c r="T15" s="272">
        <v>1</v>
      </c>
      <c r="U15" s="1">
        <f>'3x4'!R7</f>
        <v>-0.39925061763544145</v>
      </c>
      <c r="V15" s="1">
        <f>'3x5'!R7</f>
        <v>-0.35780194434858609</v>
      </c>
      <c r="W15" s="1">
        <f>'3x6'!R7</f>
        <v>-0.32956649335002991</v>
      </c>
      <c r="X15" s="1">
        <f>'3x7'!R7</f>
        <v>-0.3100360948387863</v>
      </c>
      <c r="Y15" s="1">
        <f>'3x8'!R7</f>
        <v>-0.2963838460356974</v>
      </c>
      <c r="Z15" s="1">
        <f>'3x9'!R7</f>
        <v>-0.28677012661387641</v>
      </c>
      <c r="AA15" s="1">
        <f>'3x10'!R7</f>
        <v>-0.27996516744295941</v>
      </c>
    </row>
    <row r="16" spans="1:27">
      <c r="A16" s="272">
        <v>2</v>
      </c>
      <c r="B16" s="1">
        <f>'1x2'!R8</f>
        <v>0.4660941712331933</v>
      </c>
      <c r="C16" s="1">
        <f>'1x3'!R8</f>
        <v>0.61220274051451296</v>
      </c>
      <c r="D16" s="1">
        <f>'1x4'!R8</f>
        <v>0.68435753539413802</v>
      </c>
      <c r="E16" s="1">
        <f>'1x5'!R8</f>
        <v>0.72479801502235497</v>
      </c>
      <c r="F16" s="1">
        <f>'1x6'!R8</f>
        <v>0.7493440588093484</v>
      </c>
      <c r="G16" s="1">
        <f>'1x7'!R8</f>
        <v>0.76503673156534857</v>
      </c>
      <c r="H16" s="1">
        <f>'1x8'!R8</f>
        <v>0.77542421772383996</v>
      </c>
      <c r="I16" s="1">
        <f>'1x9'!R8</f>
        <v>0.78246522952329212</v>
      </c>
      <c r="J16" s="1">
        <f>'1x10'!R8</f>
        <v>0.78731701115972397</v>
      </c>
      <c r="K16" s="272">
        <v>2</v>
      </c>
      <c r="L16" s="1">
        <f>'2x3'!R8</f>
        <v>5.3851416495615367E-2</v>
      </c>
      <c r="M16" s="1">
        <f>'2x4'!R8</f>
        <v>0.16094625359602505</v>
      </c>
      <c r="N16" s="1">
        <f>'2x5'!R8</f>
        <v>0.22840757279362034</v>
      </c>
      <c r="O16" s="1">
        <f>'2x6'!R8</f>
        <v>0.27250203074899293</v>
      </c>
      <c r="P16" s="1">
        <f>'2x7'!R8</f>
        <v>0.30209935458474746</v>
      </c>
      <c r="Q16" s="1">
        <f>'2x8'!R8</f>
        <v>0.32234528314531474</v>
      </c>
      <c r="R16" s="1">
        <f>'2x9'!R8</f>
        <v>0.33638195929986953</v>
      </c>
      <c r="S16" s="1">
        <f>'2x10'!R8</f>
        <v>0.34620728687851782</v>
      </c>
      <c r="T16" s="272">
        <v>2</v>
      </c>
      <c r="U16" s="1">
        <f>'3x4'!R8</f>
        <v>-0.23941358279400154</v>
      </c>
      <c r="V16" s="1">
        <f>'3x5'!R8</f>
        <v>-0.17878070148092279</v>
      </c>
      <c r="W16" s="1">
        <f>'3x6'!R8</f>
        <v>-0.13732166066312856</v>
      </c>
      <c r="X16" s="1">
        <f>'3x7'!R8</f>
        <v>-0.10860900125235179</v>
      </c>
      <c r="Y16" s="1">
        <f>'3x8'!R8</f>
        <v>-8.8533884112562244E-2</v>
      </c>
      <c r="Z16" s="1">
        <f>'3x9'!R8</f>
        <v>-7.4399731144334846E-2</v>
      </c>
      <c r="AA16" s="1">
        <f>'3x10'!R8</f>
        <v>-6.439787579098466E-2</v>
      </c>
    </row>
    <row r="17" spans="1:27">
      <c r="A17" s="272">
        <v>3</v>
      </c>
      <c r="B17" s="1">
        <f>'1x2'!R9</f>
        <v>0.64355010079247721</v>
      </c>
      <c r="C17" s="1">
        <f>'1x3'!R9</f>
        <v>0.78374778745201212</v>
      </c>
      <c r="D17" s="1">
        <f>'1x4'!R9</f>
        <v>0.84384595688187025</v>
      </c>
      <c r="E17" s="1">
        <f>'1x5'!R9</f>
        <v>0.87436675628044491</v>
      </c>
      <c r="F17" s="1">
        <f>'1x6'!R9</f>
        <v>0.89167944030098123</v>
      </c>
      <c r="G17" s="1">
        <f>'1x7'!R9</f>
        <v>0.90224171711653689</v>
      </c>
      <c r="H17" s="1">
        <f>'1x8'!R9</f>
        <v>0.90900874680062171</v>
      </c>
      <c r="I17" s="1">
        <f>'1x9'!R9</f>
        <v>0.91349171301869092</v>
      </c>
      <c r="J17" s="1">
        <f>'1x10'!R9</f>
        <v>0.91653117766690384</v>
      </c>
      <c r="K17" s="272">
        <v>3</v>
      </c>
      <c r="L17" s="1">
        <f>'2x3'!R9</f>
        <v>0.1707047955765762</v>
      </c>
      <c r="M17" s="1">
        <f>'2x4'!R9</f>
        <v>0.29942544824094075</v>
      </c>
      <c r="N17" s="1">
        <f>'2x5'!R9</f>
        <v>0.3792572000335338</v>
      </c>
      <c r="O17" s="1">
        <f>'2x6'!R9</f>
        <v>0.43060194266619245</v>
      </c>
      <c r="P17" s="1">
        <f>'2x7'!R9</f>
        <v>0.46459802504139047</v>
      </c>
      <c r="Q17" s="1">
        <f>'2x8'!R9</f>
        <v>0.48760495130797554</v>
      </c>
      <c r="R17" s="1">
        <f>'2x9'!R9</f>
        <v>0.50342708027216287</v>
      </c>
      <c r="S17" s="1">
        <f>'2x10'!R9</f>
        <v>0.5144358311980638</v>
      </c>
      <c r="T17" s="272">
        <v>3</v>
      </c>
      <c r="U17" s="1">
        <f>'3x4'!R9</f>
        <v>-0.18147037061039584</v>
      </c>
      <c r="V17" s="1">
        <f>'3x5'!R9</f>
        <v>-0.10958767516065654</v>
      </c>
      <c r="W17" s="1">
        <f>'3x6'!R9</f>
        <v>-6.0034017297344422E-2</v>
      </c>
      <c r="X17" s="1">
        <f>'3x7'!R9</f>
        <v>-2.5559222669867043E-2</v>
      </c>
      <c r="Y17" s="1">
        <f>'3x8'!R9</f>
        <v>-1.3927934835714639E-3</v>
      </c>
      <c r="Z17" s="1">
        <f>'3x9'!R9</f>
        <v>1.564785078322789E-2</v>
      </c>
      <c r="AA17" s="1">
        <f>'3x10'!R9</f>
        <v>2.7717579539991155E-2</v>
      </c>
    </row>
    <row r="18" spans="1:27">
      <c r="A18" s="272">
        <v>4</v>
      </c>
      <c r="B18" s="1">
        <f>'1x2'!R10</f>
        <v>0.74703980714853535</v>
      </c>
      <c r="C18" s="1">
        <f>'1x3'!R10</f>
        <v>0.87335091053327418</v>
      </c>
      <c r="D18" s="1">
        <f>'1x4'!R10</f>
        <v>0.91957492512308503</v>
      </c>
      <c r="E18" s="1">
        <f>'1x5'!R10</f>
        <v>0.9406195594792095</v>
      </c>
      <c r="F18" s="1">
        <f>'1x6'!R10</f>
        <v>0.95170410489607082</v>
      </c>
      <c r="G18" s="1">
        <f>'1x7'!R10</f>
        <v>0.95813188654825765</v>
      </c>
      <c r="H18" s="1">
        <f>'1x8'!R10</f>
        <v>0.96210767186938828</v>
      </c>
      <c r="I18" s="1">
        <f>'1x9'!R10</f>
        <v>0.96467750058399149</v>
      </c>
      <c r="J18" s="1">
        <f>'1x10'!R10</f>
        <v>0.96638991834696308</v>
      </c>
      <c r="K18" s="272">
        <v>4</v>
      </c>
      <c r="L18" s="1">
        <f>'2x3'!R10</f>
        <v>0.23389339507279555</v>
      </c>
      <c r="M18" s="1">
        <f>'2x4'!R10</f>
        <v>0.37915750695558825</v>
      </c>
      <c r="N18" s="1">
        <f>'2x5'!R10</f>
        <v>0.46835545121159083</v>
      </c>
      <c r="O18" s="1">
        <f>'2x6'!R10</f>
        <v>0.52495196144213763</v>
      </c>
      <c r="P18" s="1">
        <f>'2x7'!R10</f>
        <v>0.56195682456263363</v>
      </c>
      <c r="Q18" s="1">
        <f>'2x8'!R10</f>
        <v>0.58674289386482936</v>
      </c>
      <c r="R18" s="1">
        <f>'2x9'!R10</f>
        <v>0.60365275344617186</v>
      </c>
      <c r="S18" s="1">
        <f>'2x10'!R10</f>
        <v>0.61534770385144277</v>
      </c>
      <c r="T18" s="272">
        <v>4</v>
      </c>
      <c r="U18" s="1">
        <f>'3x4'!R10</f>
        <v>-0.15822286946544034</v>
      </c>
      <c r="V18" s="1">
        <f>'3x5'!R10</f>
        <v>-7.96146459866649E-2</v>
      </c>
      <c r="W18" s="1">
        <f>'3x6'!R10</f>
        <v>-2.4913600593575835E-2</v>
      </c>
      <c r="X18" s="1">
        <f>'3x7'!R10</f>
        <v>1.3368428229691032E-2</v>
      </c>
      <c r="Y18" s="1">
        <f>'3x8'!R10</f>
        <v>4.0305311718138559E-2</v>
      </c>
      <c r="Z18" s="1">
        <f>'3x9'!R10</f>
        <v>5.934615217798922E-2</v>
      </c>
      <c r="AA18" s="1">
        <f>'3x10'!R10</f>
        <v>7.2854483040289908E-2</v>
      </c>
    </row>
    <row r="19" spans="1:27">
      <c r="A19" s="272">
        <v>5</v>
      </c>
      <c r="B19" s="1">
        <f>'1x2'!R11</f>
        <v>0.81363943410475259</v>
      </c>
      <c r="C19" s="1">
        <f>'1x3'!R11</f>
        <v>0.92382878773635646</v>
      </c>
      <c r="D19" s="1">
        <f>'1x4'!R11</f>
        <v>0.95775426933378782</v>
      </c>
      <c r="E19" s="1">
        <f>'1x5'!R11</f>
        <v>0.97148746229964644</v>
      </c>
      <c r="F19" s="1">
        <f>'1x6'!R11</f>
        <v>0.97817470052953914</v>
      </c>
      <c r="G19" s="1">
        <f>'1x7'!R11</f>
        <v>0.98185143149402876</v>
      </c>
      <c r="H19" s="1">
        <f>'1x8'!R11</f>
        <v>0.98404373145233714</v>
      </c>
      <c r="I19" s="1">
        <f>'1x9'!R11</f>
        <v>0.9854250402460929</v>
      </c>
      <c r="J19" s="1">
        <f>'1x10'!R11</f>
        <v>0.98632912161174202</v>
      </c>
      <c r="K19" s="272">
        <v>5</v>
      </c>
      <c r="L19" s="1">
        <f>'2x3'!R11</f>
        <v>0.27098971452570086</v>
      </c>
      <c r="M19" s="1">
        <f>'2x4'!R11</f>
        <v>0.42966602852401237</v>
      </c>
      <c r="N19" s="1">
        <f>'2x5'!R11</f>
        <v>0.52660262576497685</v>
      </c>
      <c r="O19" s="1">
        <f>'2x6'!R11</f>
        <v>0.58743011084596142</v>
      </c>
      <c r="P19" s="1">
        <f>'2x7'!R11</f>
        <v>0.62674591594402562</v>
      </c>
      <c r="Q19" s="1">
        <f>'2x8'!R11</f>
        <v>0.65281997723691909</v>
      </c>
      <c r="R19" s="1">
        <f>'2x9'!R11</f>
        <v>0.67046870274302039</v>
      </c>
      <c r="S19" s="1">
        <f>'2x10'!R11</f>
        <v>0.68260124777922948</v>
      </c>
      <c r="T19" s="272">
        <v>5</v>
      </c>
      <c r="U19" s="1">
        <f>'3x4'!R11</f>
        <v>-0.14852022946760141</v>
      </c>
      <c r="V19" s="1">
        <f>'3x5'!R11</f>
        <v>-6.5995281130557193E-2</v>
      </c>
      <c r="W19" s="1">
        <f>'3x6'!R11</f>
        <v>-8.0722404627436295E-3</v>
      </c>
      <c r="X19" s="1">
        <f>'3x7'!R11</f>
        <v>3.2705874172123228E-2</v>
      </c>
      <c r="Y19" s="1">
        <f>'3x8'!R11</f>
        <v>6.1515339072039654E-2</v>
      </c>
      <c r="Z19" s="1">
        <f>'3x9'!R11</f>
        <v>8.1936115222294992E-2</v>
      </c>
      <c r="AA19" s="1">
        <f>'3x10'!R11</f>
        <v>9.6450920118011929E-2</v>
      </c>
    </row>
    <row r="20" spans="1:27">
      <c r="A20" s="272">
        <v>6</v>
      </c>
      <c r="B20" s="1">
        <f>'1x2'!R12</f>
        <v>0.85925171912715614</v>
      </c>
      <c r="C20" s="1">
        <f>'1x3'!R12</f>
        <v>0.9534818301557062</v>
      </c>
      <c r="D20" s="1">
        <f>'1x4'!R12</f>
        <v>0.97758436644102631</v>
      </c>
      <c r="E20" s="1">
        <f>'1x5'!R12</f>
        <v>0.98620699740315543</v>
      </c>
      <c r="F20" s="1">
        <f>'1x6'!R12</f>
        <v>0.99007762635222862</v>
      </c>
      <c r="G20" s="1">
        <f>'1x7'!R12</f>
        <v>0.99209248978853937</v>
      </c>
      <c r="H20" s="1">
        <f>'1x8'!R12</f>
        <v>0.99324971894402703</v>
      </c>
      <c r="I20" s="1">
        <f>'1x9'!R12</f>
        <v>0.99396014821989842</v>
      </c>
      <c r="J20" s="1">
        <f>'1x10'!R12</f>
        <v>0.99441673845095357</v>
      </c>
      <c r="K20" s="272">
        <v>6</v>
      </c>
      <c r="L20" s="1">
        <f>'2x3'!R12</f>
        <v>0.29382576914247549</v>
      </c>
      <c r="M20" s="1">
        <f>'2x4'!R12</f>
        <v>0.4636216186855221</v>
      </c>
      <c r="N20" s="1">
        <f>'2x5'!R12</f>
        <v>0.56724568884000626</v>
      </c>
      <c r="O20" s="1">
        <f>'2x6'!R12</f>
        <v>0.63169895639930507</v>
      </c>
      <c r="P20" s="1">
        <f>'2x7'!R12</f>
        <v>0.67292398307257439</v>
      </c>
      <c r="Q20" s="1">
        <f>'2x8'!R12</f>
        <v>0.70000514486407117</v>
      </c>
      <c r="R20" s="1">
        <f>'2x9'!R12</f>
        <v>0.71819338127594712</v>
      </c>
      <c r="S20" s="1">
        <f>'2x10'!R12</f>
        <v>0.73062146844929599</v>
      </c>
      <c r="T20" s="272">
        <v>6</v>
      </c>
      <c r="U20" s="1">
        <f>'3x4'!R12</f>
        <v>-0.14440423234160427</v>
      </c>
      <c r="V20" s="1">
        <f>'3x5'!R12</f>
        <v>-5.96727292018846E-2</v>
      </c>
      <c r="W20" s="1">
        <f>'3x6'!R12</f>
        <v>2.118255587104656E-4</v>
      </c>
      <c r="X20" s="1">
        <f>'3x7'!R12</f>
        <v>4.258880409062471E-2</v>
      </c>
      <c r="Y20" s="1">
        <f>'3x8'!R12</f>
        <v>7.2639288887350217E-2</v>
      </c>
      <c r="Z20" s="1">
        <f>'3x9'!R12</f>
        <v>9.399603277493479E-2</v>
      </c>
      <c r="AA20" s="1">
        <f>'3x10'!R12</f>
        <v>0.10920449399163912</v>
      </c>
    </row>
    <row r="21" spans="1:27">
      <c r="A21" s="272">
        <v>7</v>
      </c>
      <c r="B21" s="1">
        <f>'1x2'!R13</f>
        <v>0.89183724113724416</v>
      </c>
      <c r="C21" s="1">
        <f>'1x3'!R13</f>
        <v>0.97133152031248482</v>
      </c>
      <c r="D21" s="1">
        <f>'1x4'!R13</f>
        <v>0.98804333565580715</v>
      </c>
      <c r="E21" s="1">
        <f>'1x5'!R13</f>
        <v>0.99330376413365018</v>
      </c>
      <c r="F21" s="1">
        <f>'1x6'!R13</f>
        <v>0.99547678111126647</v>
      </c>
      <c r="G21" s="1">
        <f>'1x7'!R13</f>
        <v>0.99654691579110932</v>
      </c>
      <c r="H21" s="1">
        <f>'1x8'!R13</f>
        <v>0.99713872963690764</v>
      </c>
      <c r="I21" s="1">
        <f>'1x9'!R13</f>
        <v>0.99749265604022508</v>
      </c>
      <c r="J21" s="1">
        <f>'1x10'!R13</f>
        <v>0.99771599336062466</v>
      </c>
      <c r="K21" s="272">
        <v>7</v>
      </c>
      <c r="L21" s="1">
        <f>'2x3'!R13</f>
        <v>0.30829599463977275</v>
      </c>
      <c r="M21" s="1">
        <f>'2x4'!R13</f>
        <v>0.48737046212708679</v>
      </c>
      <c r="N21" s="1">
        <f>'2x5'!R13</f>
        <v>0.59691126436522923</v>
      </c>
      <c r="O21" s="1">
        <f>'2x6'!R13</f>
        <v>0.66459025108282321</v>
      </c>
      <c r="P21" s="1">
        <f>'2x7'!R13</f>
        <v>0.70747040492600088</v>
      </c>
      <c r="Q21" s="1">
        <f>'2x8'!R13</f>
        <v>0.73538286906751638</v>
      </c>
      <c r="R21" s="1">
        <f>'2x9'!R13</f>
        <v>0.75398601560523493</v>
      </c>
      <c r="S21" s="1">
        <f>'2x10'!R13</f>
        <v>0.76662086977550548</v>
      </c>
      <c r="T21" s="272">
        <v>7</v>
      </c>
      <c r="U21" s="1">
        <f>'3x4'!R13</f>
        <v>-0.14264612256197584</v>
      </c>
      <c r="V21" s="1">
        <f>'3x5'!R13</f>
        <v>-5.6708410820087207E-2</v>
      </c>
      <c r="W21" s="1">
        <f>'3x6'!R13</f>
        <v>4.3376394591068679E-3</v>
      </c>
      <c r="X21" s="1">
        <f>'3x7'!R13</f>
        <v>4.7713145588921924E-2</v>
      </c>
      <c r="Y21" s="1">
        <f>'3x8'!R13</f>
        <v>7.8567145993869103E-2</v>
      </c>
      <c r="Z21" s="1">
        <f>'3x9'!R13</f>
        <v>0.10054509901894809</v>
      </c>
      <c r="AA21" s="1">
        <f>'3x10'!R13</f>
        <v>0.11622193431760047</v>
      </c>
    </row>
    <row r="22" spans="1:27">
      <c r="A22" s="272">
        <v>8</v>
      </c>
      <c r="B22" s="1">
        <f>'1x2'!R14</f>
        <v>0.91582474862304308</v>
      </c>
      <c r="C22" s="1">
        <f>'1x3'!R14</f>
        <v>0.98223431209403</v>
      </c>
      <c r="D22" s="1">
        <f>'1x4'!R14</f>
        <v>0.99360438679557095</v>
      </c>
      <c r="E22" s="1">
        <f>'1x5'!R14</f>
        <v>0.99674349717447674</v>
      </c>
      <c r="F22" s="1">
        <f>'1x6'!R14</f>
        <v>0.99793550223269423</v>
      </c>
      <c r="G22" s="1">
        <f>'1x7'!R14</f>
        <v>0.99849062492909235</v>
      </c>
      <c r="H22" s="1">
        <f>'1x8'!R14</f>
        <v>0.99878618069134417</v>
      </c>
      <c r="I22" s="1">
        <f>'1x9'!R14</f>
        <v>0.99895835411182465</v>
      </c>
      <c r="J22" s="1">
        <f>'1x10'!R14</f>
        <v>0.99906502515711837</v>
      </c>
      <c r="K22" s="272">
        <v>8</v>
      </c>
      <c r="L22" s="1">
        <f>'2x3'!R14</f>
        <v>0.31763387877892846</v>
      </c>
      <c r="M22" s="1">
        <f>'2x4'!R14</f>
        <v>0.50444389401325063</v>
      </c>
      <c r="N22" s="1">
        <f>'2x5'!R14</f>
        <v>0.61928326740278772</v>
      </c>
      <c r="O22" s="1">
        <f>'2x6'!R14</f>
        <v>0.68989981507143072</v>
      </c>
      <c r="P22" s="1">
        <f>'2x7'!R14</f>
        <v>0.734262646856356</v>
      </c>
      <c r="Q22" s="1">
        <f>'2x8'!R14</f>
        <v>0.76288896833732678</v>
      </c>
      <c r="R22" s="1">
        <f>'2x9'!R14</f>
        <v>0.78182395382318481</v>
      </c>
      <c r="S22" s="1">
        <f>'2x10'!R14</f>
        <v>0.79460639942366662</v>
      </c>
      <c r="T22" s="272">
        <v>8</v>
      </c>
      <c r="U22" s="1">
        <f>'3x4'!R14</f>
        <v>-0.1418929582122872</v>
      </c>
      <c r="V22" s="1">
        <f>'3x5'!R14</f>
        <v>-5.5312149884467809E-2</v>
      </c>
      <c r="W22" s="1">
        <f>'3x6'!R14</f>
        <v>6.4051922241959991E-3</v>
      </c>
      <c r="X22" s="1">
        <f>'3x7'!R14</f>
        <v>5.0390019671522568E-2</v>
      </c>
      <c r="Y22" s="1">
        <f>'3x8'!R14</f>
        <v>8.1752889416411678E-2</v>
      </c>
      <c r="Z22" s="1">
        <f>'3x9'!R14</f>
        <v>0.10413448908635858</v>
      </c>
      <c r="AA22" s="1">
        <f>'3x10'!R14</f>
        <v>0.12012116507243792</v>
      </c>
    </row>
    <row r="23" spans="1:27">
      <c r="A23" s="272">
        <v>9</v>
      </c>
      <c r="B23" s="1">
        <f>'1x2'!R15</f>
        <v>0.93387529108494549</v>
      </c>
      <c r="C23" s="1">
        <f>'1x3'!R15</f>
        <v>0.98895339027209439</v>
      </c>
      <c r="D23" s="1">
        <f>'1x4'!R15</f>
        <v>0.99657389434986965</v>
      </c>
      <c r="E23" s="1">
        <f>'1x5'!R15</f>
        <v>0.9984149769837215</v>
      </c>
      <c r="F23" s="1">
        <f>'1x6'!R15</f>
        <v>0.99905718825381518</v>
      </c>
      <c r="G23" s="1">
        <f>'1x7'!R15</f>
        <v>0.99933995779479068</v>
      </c>
      <c r="H23" s="1">
        <f>'1x8'!R15</f>
        <v>0.99948488882105435</v>
      </c>
      <c r="I23" s="1">
        <f>'1x9'!R15</f>
        <v>0.99956712895630495</v>
      </c>
      <c r="J23" s="1">
        <f>'1x10'!R15</f>
        <v>0.99961715549127383</v>
      </c>
      <c r="K23" s="272">
        <v>9</v>
      </c>
      <c r="L23" s="1">
        <f>'2x3'!R15</f>
        <v>0.32373086687680225</v>
      </c>
      <c r="M23" s="1">
        <f>'2x4'!R15</f>
        <v>0.51696246831715575</v>
      </c>
      <c r="N23" s="1">
        <f>'2x5'!R15</f>
        <v>0.63657393680634189</v>
      </c>
      <c r="O23" s="1">
        <f>'2x6'!R15</f>
        <v>0.70990548583419488</v>
      </c>
      <c r="P23" s="1">
        <f>'2x7'!R15</f>
        <v>0.75562721705983982</v>
      </c>
      <c r="Q23" s="1">
        <f>'2x8'!R15</f>
        <v>0.78488493424730033</v>
      </c>
      <c r="R23" s="1">
        <f>'2x9'!R15</f>
        <v>0.80409360478810732</v>
      </c>
      <c r="S23" s="1">
        <f>'2x10'!R15</f>
        <v>0.81698222693366118</v>
      </c>
      <c r="T23" s="272">
        <v>9</v>
      </c>
      <c r="U23" s="1">
        <f>'3x4'!R15</f>
        <v>-0.14156990181896739</v>
      </c>
      <c r="V23" s="1">
        <f>'3x5'!R15</f>
        <v>-5.4653046419219808E-2</v>
      </c>
      <c r="W23" s="1">
        <f>'3x6'!R15</f>
        <v>7.4445018770349369E-3</v>
      </c>
      <c r="X23" s="1">
        <f>'3x7'!R15</f>
        <v>5.1793822276544443E-2</v>
      </c>
      <c r="Y23" s="1">
        <f>'3x8'!R15</f>
        <v>8.3472755658166475E-2</v>
      </c>
      <c r="Z23" s="1">
        <f>'3x9'!R15</f>
        <v>0.10611170033329642</v>
      </c>
      <c r="AA23" s="1">
        <f>'3x10'!R15</f>
        <v>0.12229956386787511</v>
      </c>
    </row>
    <row r="24" spans="1:27">
      <c r="A24" s="272">
        <v>10</v>
      </c>
      <c r="B24" s="1">
        <f>'1x2'!R16</f>
        <v>0.9476841612460235</v>
      </c>
      <c r="C24" s="1">
        <f>'1x3'!R16</f>
        <v>0.99311689873994413</v>
      </c>
      <c r="D24" s="1">
        <f>'1x4'!R16</f>
        <v>0.9981631872854464</v>
      </c>
      <c r="E24" s="1">
        <f>'1x5'!R16</f>
        <v>0.99922821491181868</v>
      </c>
      <c r="F24" s="1">
        <f>'1x6'!R16</f>
        <v>0.99956932783891739</v>
      </c>
      <c r="G24" s="1">
        <f>'1x7'!R16</f>
        <v>0.99971131321875029</v>
      </c>
      <c r="H24" s="1">
        <f>'1x8'!R16</f>
        <v>0.99978136871869294</v>
      </c>
      <c r="I24" s="1">
        <f>'1x9'!R16</f>
        <v>0.99982009140779604</v>
      </c>
      <c r="J24" s="1">
        <f>'1x10'!R16</f>
        <v>0.99984321878905069</v>
      </c>
      <c r="K24" s="272">
        <v>10</v>
      </c>
      <c r="L24" s="1">
        <f>'2x3'!R16</f>
        <v>0.32774231571115026</v>
      </c>
      <c r="M24" s="1">
        <f>'2x4'!R16</f>
        <v>0.52627452424830967</v>
      </c>
      <c r="N24" s="1">
        <f>'2x5'!R16</f>
        <v>0.65019247581543982</v>
      </c>
      <c r="O24" s="1">
        <f>'2x6'!R16</f>
        <v>0.72605709397803442</v>
      </c>
      <c r="P24" s="1">
        <f>'2x7'!R16</f>
        <v>0.77304464675162321</v>
      </c>
      <c r="Q24" s="1">
        <f>'2x8'!R16</f>
        <v>0.80287353459800359</v>
      </c>
      <c r="R24" s="1">
        <f>'2x9'!R16</f>
        <v>0.82231359232158974</v>
      </c>
      <c r="S24" s="1">
        <f>'2x10'!R16</f>
        <v>0.83527827922927811</v>
      </c>
      <c r="T24" s="272">
        <v>10</v>
      </c>
      <c r="U24" s="1">
        <f>'3x4'!R16</f>
        <v>-0.14143125799360595</v>
      </c>
      <c r="V24" s="1">
        <f>'3x5'!R16</f>
        <v>-5.4341597693571664E-2</v>
      </c>
      <c r="W24" s="1">
        <f>'3x6'!R16</f>
        <v>7.967749287939474E-3</v>
      </c>
      <c r="X24" s="1">
        <f>'3x7'!R16</f>
        <v>5.2531503385770173E-2</v>
      </c>
      <c r="Y24" s="1">
        <f>'3x8'!R16</f>
        <v>8.4403523575577399E-2</v>
      </c>
      <c r="Z24" s="1">
        <f>'3x9'!R16</f>
        <v>0.10720387250826224</v>
      </c>
      <c r="AA24" s="1">
        <f>'3x10'!R16</f>
        <v>0.12352027174889763</v>
      </c>
    </row>
    <row r="25" spans="1:27">
      <c r="B25" s="385" t="s">
        <v>151</v>
      </c>
      <c r="C25" s="385"/>
      <c r="D25" s="385"/>
      <c r="E25" s="385"/>
      <c r="F25" s="385"/>
      <c r="G25" s="385"/>
      <c r="H25" s="385"/>
      <c r="I25" s="385"/>
      <c r="J25" s="385"/>
      <c r="L25" s="385" t="s">
        <v>151</v>
      </c>
      <c r="M25" s="385"/>
      <c r="N25" s="385"/>
      <c r="O25" s="385"/>
      <c r="P25" s="385"/>
      <c r="Q25" s="385"/>
      <c r="R25" s="385"/>
      <c r="S25" s="385"/>
      <c r="U25" s="385" t="s">
        <v>166</v>
      </c>
      <c r="V25" s="385"/>
      <c r="W25" s="385"/>
      <c r="X25" s="385"/>
      <c r="Y25" s="385"/>
      <c r="Z25" s="385"/>
      <c r="AA25" s="385"/>
    </row>
    <row r="26" spans="1:27">
      <c r="A26" s="272" t="s">
        <v>56</v>
      </c>
      <c r="B26" s="49" t="s">
        <v>139</v>
      </c>
      <c r="C26" s="49" t="s">
        <v>140</v>
      </c>
      <c r="D26" s="49" t="s">
        <v>141</v>
      </c>
      <c r="E26" s="49" t="s">
        <v>142</v>
      </c>
      <c r="F26" s="49" t="s">
        <v>143</v>
      </c>
      <c r="G26" s="49" t="s">
        <v>144</v>
      </c>
      <c r="H26" s="49" t="s">
        <v>145</v>
      </c>
      <c r="I26" s="49" t="s">
        <v>146</v>
      </c>
      <c r="J26" s="49" t="s">
        <v>147</v>
      </c>
      <c r="K26" s="272" t="s">
        <v>56</v>
      </c>
      <c r="L26" s="49" t="s">
        <v>156</v>
      </c>
      <c r="M26" s="49" t="s">
        <v>157</v>
      </c>
      <c r="N26" s="49" t="s">
        <v>158</v>
      </c>
      <c r="O26" s="49" t="s">
        <v>159</v>
      </c>
      <c r="P26" s="49" t="s">
        <v>160</v>
      </c>
      <c r="Q26" s="49" t="s">
        <v>161</v>
      </c>
      <c r="R26" s="49" t="s">
        <v>162</v>
      </c>
      <c r="S26" s="49" t="s">
        <v>163</v>
      </c>
      <c r="T26" s="272" t="s">
        <v>56</v>
      </c>
      <c r="U26" s="49" t="s">
        <v>167</v>
      </c>
      <c r="V26" s="49" t="s">
        <v>168</v>
      </c>
      <c r="W26" s="49" t="s">
        <v>169</v>
      </c>
      <c r="X26" s="49" t="s">
        <v>170</v>
      </c>
      <c r="Y26" s="49" t="s">
        <v>171</v>
      </c>
      <c r="Z26" s="49" t="s">
        <v>172</v>
      </c>
      <c r="AA26" s="49" t="s">
        <v>173</v>
      </c>
    </row>
    <row r="27" spans="1:27">
      <c r="A27" s="272">
        <v>1</v>
      </c>
      <c r="B27" s="1">
        <f>'1x2'!E21</f>
        <v>19.324293720200185</v>
      </c>
      <c r="C27" s="1">
        <f>'1x3'!E21</f>
        <v>13.010592084313043</v>
      </c>
      <c r="D27" s="1">
        <f>'1x4'!E21</f>
        <v>13.264278453003666</v>
      </c>
      <c r="E27" s="1">
        <f>'1x5'!E21</f>
        <v>14.497417295231017</v>
      </c>
      <c r="F27" s="1">
        <f>'1x6'!E21</f>
        <v>16.095129551714152</v>
      </c>
      <c r="G27" s="1">
        <f>'1x7'!E21</f>
        <v>17.886207216380015</v>
      </c>
      <c r="H27" s="1">
        <f>'1x8'!E21</f>
        <v>19.801019363227333</v>
      </c>
      <c r="I27" s="1">
        <f>'1x9'!E21</f>
        <v>21.803691609148775</v>
      </c>
      <c r="J27" s="1">
        <f>'1x10'!E21</f>
        <v>23.872400252936831</v>
      </c>
      <c r="K27" s="272">
        <v>1</v>
      </c>
      <c r="L27" s="1">
        <f>'2x4'!D33</f>
        <v>4</v>
      </c>
      <c r="M27" s="1">
        <f>'2x4'!E21</f>
        <v>-32.05850055772256</v>
      </c>
      <c r="N27" s="1">
        <f>'2x5'!E21</f>
        <v>-65.037079487932957</v>
      </c>
      <c r="O27" s="1">
        <f>'2x6'!E21</f>
        <v>-133.39306500362503</v>
      </c>
      <c r="P27" s="1">
        <f>'2x7'!E21</f>
        <v>-301.08142337708352</v>
      </c>
      <c r="Q27" s="1">
        <f>'2x8'!E21</f>
        <v>-973.38906671260895</v>
      </c>
      <c r="R27" s="1">
        <f>'2x9'!E21</f>
        <v>3933.190338443047</v>
      </c>
      <c r="S27" s="1">
        <f>'2x10'!E21</f>
        <v>1032.3063574349083</v>
      </c>
      <c r="T27" s="272">
        <v>1</v>
      </c>
      <c r="U27" s="1">
        <f>'3x4'!E21</f>
        <v>-10.018769723363153</v>
      </c>
      <c r="V27" s="1">
        <f>'3x5'!E21</f>
        <v>-13.974211373006918</v>
      </c>
      <c r="W27" s="1">
        <f>'3x6'!E21</f>
        <v>-18.205734263244562</v>
      </c>
      <c r="X27" s="1">
        <f>'3x7'!E21</f>
        <v>-22.578016290780226</v>
      </c>
      <c r="Y27" s="1">
        <f>'3x8'!E21</f>
        <v>-26.992024386634267</v>
      </c>
      <c r="Z27" s="1">
        <f>'3x9'!E21</f>
        <v>-31.384022130443565</v>
      </c>
      <c r="AA27" s="1">
        <f>'3x10'!E21</f>
        <v>-35.718729195257538</v>
      </c>
    </row>
    <row r="28" spans="1:27">
      <c r="A28" s="272">
        <v>2</v>
      </c>
      <c r="B28" s="1">
        <f>'1x2'!E22</f>
        <v>12.872935064013314</v>
      </c>
      <c r="C28" s="1">
        <f>'1x3'!E22</f>
        <v>19.601349693264769</v>
      </c>
      <c r="D28" s="1">
        <f>'1x4'!E22</f>
        <v>29.224490073717853</v>
      </c>
      <c r="E28" s="1">
        <f>'1x5'!E22</f>
        <v>41.390841832085741</v>
      </c>
      <c r="F28" s="1">
        <f>'1x6'!E22</f>
        <v>56.049019814389204</v>
      </c>
      <c r="G28" s="1">
        <f>'1x7'!E22</f>
        <v>73.199099715667103</v>
      </c>
      <c r="H28" s="1">
        <f>'1x8'!E22</f>
        <v>92.852400472282028</v>
      </c>
      <c r="I28" s="1">
        <f>'1x9'!E22</f>
        <v>115.02108541593785</v>
      </c>
      <c r="J28" s="1">
        <f>'1x10'!E22</f>
        <v>139.71500480850676</v>
      </c>
      <c r="K28" s="272">
        <v>2</v>
      </c>
      <c r="L28" s="1">
        <f>'2x4'!D34</f>
        <v>24</v>
      </c>
      <c r="M28" s="1">
        <f>'2x4'!E22</f>
        <v>124.2650857235856</v>
      </c>
      <c r="N28" s="1">
        <f>'2x5'!E22</f>
        <v>131.3441565578334</v>
      </c>
      <c r="O28" s="1">
        <f>'2x6'!E22</f>
        <v>154.12729176571546</v>
      </c>
      <c r="P28" s="1">
        <f>'2x7'!E22</f>
        <v>185.36947911383376</v>
      </c>
      <c r="Q28" s="1">
        <f>'2x8'!E22</f>
        <v>223.36297059306455</v>
      </c>
      <c r="R28" s="1">
        <f>'2x9'!E22</f>
        <v>267.55299299439838</v>
      </c>
      <c r="S28" s="1">
        <f>'2x10'!E22</f>
        <v>317.72872544591581</v>
      </c>
      <c r="T28" s="272">
        <v>2</v>
      </c>
      <c r="U28" s="1">
        <f>'3x4'!E22</f>
        <v>-83.537449156377164</v>
      </c>
      <c r="V28" s="1">
        <f>'3x5'!E22</f>
        <v>-167.8033465105361</v>
      </c>
      <c r="W28" s="1">
        <f>'3x6'!E22</f>
        <v>-305.85123859689219</v>
      </c>
      <c r="X28" s="1">
        <f>'3x7'!E22</f>
        <v>-515.61103917975117</v>
      </c>
      <c r="Y28" s="1">
        <f>'3x8'!E22</f>
        <v>-813.24795270993627</v>
      </c>
      <c r="Z28" s="1">
        <f>'3x9'!E22</f>
        <v>-1209.6817907231514</v>
      </c>
      <c r="AA28" s="1">
        <f>'3x10'!E22</f>
        <v>-1708.1308761957546</v>
      </c>
    </row>
    <row r="29" spans="1:27">
      <c r="A29" s="272">
        <v>3</v>
      </c>
      <c r="B29" s="1">
        <f>'1x2'!E23</f>
        <v>21.754328035626429</v>
      </c>
      <c r="C29" s="1">
        <f>'1x3'!E23</f>
        <v>49.760906026657103</v>
      </c>
      <c r="D29" s="1">
        <f>'1x4'!E23</f>
        <v>99.544234720744342</v>
      </c>
      <c r="E29" s="1">
        <f>'1x5'!E23</f>
        <v>177.27114953382926</v>
      </c>
      <c r="F29" s="1">
        <f>'1x6'!E23</f>
        <v>289.34164940812542</v>
      </c>
      <c r="G29" s="1">
        <f>'1x7'!E23</f>
        <v>442.23182372364596</v>
      </c>
      <c r="H29" s="1">
        <f>'1x8'!E23</f>
        <v>642.45806440858394</v>
      </c>
      <c r="I29" s="1">
        <f>'1x9'!E23</f>
        <v>896.55985744365751</v>
      </c>
      <c r="J29" s="1">
        <f>'1x10'!E23</f>
        <v>1211.0880972162724</v>
      </c>
      <c r="K29" s="272">
        <v>3</v>
      </c>
      <c r="L29" s="1">
        <f>'2x4'!D35</f>
        <v>124</v>
      </c>
      <c r="M29" s="1">
        <f>'2x4'!E23</f>
        <v>280.53727728715677</v>
      </c>
      <c r="N29" s="1">
        <f>'2x5'!E23</f>
        <v>408.6936252925322</v>
      </c>
      <c r="O29" s="1">
        <f>'2x6'!E23</f>
        <v>599.16125413304178</v>
      </c>
      <c r="P29" s="1">
        <f>'2x7'!E23</f>
        <v>858.80692231624005</v>
      </c>
      <c r="Q29" s="1">
        <f>'2x8'!E23</f>
        <v>1197.6908733872567</v>
      </c>
      <c r="R29" s="1">
        <f>'2x9'!E23</f>
        <v>1626.8493136230018</v>
      </c>
      <c r="S29" s="1">
        <f>'2x10'!E23</f>
        <v>2157.7035126323403</v>
      </c>
      <c r="T29" s="272">
        <v>3</v>
      </c>
      <c r="U29" s="1">
        <f>'3x4'!E23</f>
        <v>-462.88548217241544</v>
      </c>
      <c r="V29" s="1">
        <f>'3x5'!E23</f>
        <v>-1414.3926292146318</v>
      </c>
      <c r="W29" s="1">
        <f>'3x6'!E23</f>
        <v>-4297.5634750901891</v>
      </c>
      <c r="X29" s="1">
        <f>'3x7'!E23</f>
        <v>-15610.803393891931</v>
      </c>
      <c r="Y29" s="1">
        <f>'3x8'!E23</f>
        <v>-419301.21506777935</v>
      </c>
      <c r="Z29" s="1">
        <f>'3x9'!E23</f>
        <v>52339.456155719679</v>
      </c>
      <c r="AA29" s="1">
        <f>'3x10'!E23</f>
        <v>40046.786855918741</v>
      </c>
    </row>
    <row r="30" spans="1:27">
      <c r="A30" s="272">
        <v>4</v>
      </c>
      <c r="B30" s="1">
        <f>'1x2'!E24</f>
        <v>40.158502549563657</v>
      </c>
      <c r="C30" s="1">
        <f>'1x3'!E24</f>
        <v>137.40181472614159</v>
      </c>
      <c r="D30" s="1">
        <f>'1x4'!E24</f>
        <v>369.7360494627352</v>
      </c>
      <c r="E30" s="1">
        <f>'1x5'!E24</f>
        <v>829.24067667895474</v>
      </c>
      <c r="F30" s="1">
        <f>'1x6'!E24</f>
        <v>1632.860457368419</v>
      </c>
      <c r="G30" s="1">
        <f>'1x7'!E24</f>
        <v>2922.3534247328007</v>
      </c>
      <c r="H30" s="1">
        <f>'1x8'!E24</f>
        <v>4864.3204257031821</v>
      </c>
      <c r="I30" s="1">
        <f>'1x9'!E24</f>
        <v>7650.2250705881852</v>
      </c>
      <c r="J30" s="1">
        <f>'1x10'!E24</f>
        <v>11496.394766828658</v>
      </c>
      <c r="K30" s="272">
        <v>4</v>
      </c>
      <c r="L30" s="1">
        <f>'2x4'!D36</f>
        <v>624</v>
      </c>
      <c r="M30" s="1">
        <f>'2x4'!E24</f>
        <v>896.72495931835817</v>
      </c>
      <c r="N30" s="1">
        <f>'2x5'!E24</f>
        <v>1665.4017754724846</v>
      </c>
      <c r="O30" s="1">
        <f>'2x6'!E24</f>
        <v>2960.2708707495481</v>
      </c>
      <c r="P30" s="1">
        <f>'2x7'!E24</f>
        <v>4982.5891912233947</v>
      </c>
      <c r="Q30" s="1">
        <f>'2x8'!E24</f>
        <v>7976.2363531549699</v>
      </c>
      <c r="R30" s="1">
        <f>'2x9'!E24</f>
        <v>12225.571668262224</v>
      </c>
      <c r="S30" s="1">
        <f>'2x10'!E24</f>
        <v>18054.832951293789</v>
      </c>
      <c r="T30" s="272">
        <v>4</v>
      </c>
      <c r="U30" s="1">
        <f>'3x4'!E24</f>
        <v>-2148.8676140730977</v>
      </c>
      <c r="V30" s="1">
        <f>'3x5'!E24</f>
        <v>-9797.1923423567878</v>
      </c>
      <c r="W30" s="1">
        <f>'3x6'!E24</f>
        <v>-62375.568483694442</v>
      </c>
      <c r="X30" s="1">
        <f>'3x7'!E24</f>
        <v>209448.706451612</v>
      </c>
      <c r="Y30" s="1">
        <f>'3x8'!E24</f>
        <v>116113.72795546113</v>
      </c>
      <c r="Z30" s="1">
        <f>'3x9'!E24</f>
        <v>124355.15579621949</v>
      </c>
      <c r="AA30" s="1">
        <f>'3x10'!E24</f>
        <v>152495.76328550655</v>
      </c>
    </row>
    <row r="31" spans="1:27">
      <c r="A31" s="272">
        <v>5</v>
      </c>
      <c r="B31" s="1">
        <f>'1x2'!E25</f>
        <v>76.200829754790092</v>
      </c>
      <c r="C31" s="1">
        <f>'1x3'!E25</f>
        <v>392.92995067782346</v>
      </c>
      <c r="D31" s="1">
        <f>'1x4'!E25</f>
        <v>1424.1648862069767</v>
      </c>
      <c r="E31" s="1">
        <f>'1x5'!E25</f>
        <v>4019.609260583065</v>
      </c>
      <c r="F31" s="1">
        <f>'1x6'!E25</f>
        <v>9538.1734928833921</v>
      </c>
      <c r="G31" s="1">
        <f>'1x7'!E25</f>
        <v>19969.416320109773</v>
      </c>
      <c r="H31" s="1">
        <f>'1x8'!E25</f>
        <v>38055.219298771401</v>
      </c>
      <c r="I31" s="1">
        <f>'1x9'!E25</f>
        <v>67411.520193773948</v>
      </c>
      <c r="J31" s="1">
        <f>'1x10'!E25</f>
        <v>112650.02478932917</v>
      </c>
      <c r="K31" s="272">
        <v>5</v>
      </c>
      <c r="L31" s="1">
        <f>'2x4'!D37</f>
        <v>3124</v>
      </c>
      <c r="M31" s="1">
        <f>'2x4'!E25</f>
        <v>3174.5586326329062</v>
      </c>
      <c r="N31" s="1">
        <f>'2x5'!E25</f>
        <v>7415.4586569471539</v>
      </c>
      <c r="O31" s="1">
        <f>'2x6'!E25</f>
        <v>15882.740478801494</v>
      </c>
      <c r="P31" s="1">
        <f>'2x7'!E25</f>
        <v>31283.809756410272</v>
      </c>
      <c r="Q31" s="1">
        <f>'2x8'!E25</f>
        <v>57363.440620337366</v>
      </c>
      <c r="R31" s="1">
        <f>'2x9'!E25</f>
        <v>99078.450236716177</v>
      </c>
      <c r="S31" s="1">
        <f>'2x10'!E25</f>
        <v>162774.38747949048</v>
      </c>
      <c r="T31" s="272">
        <v>5</v>
      </c>
      <c r="U31" s="1">
        <f>'3x4'!E25</f>
        <v>-9183.934100354636</v>
      </c>
      <c r="V31" s="1">
        <f>'3x5'!E25</f>
        <v>-59170.897268773107</v>
      </c>
      <c r="W31" s="1">
        <f>'3x6'!E25</f>
        <v>-1155812.9422756168</v>
      </c>
      <c r="X31" s="1">
        <f>'3x7'!E25</f>
        <v>599494.75426992192</v>
      </c>
      <c r="Y31" s="1">
        <f>'3x8'!E25</f>
        <v>608758.7350554181</v>
      </c>
      <c r="Z31" s="1">
        <f>'3x9'!E25</f>
        <v>810741.3906526597</v>
      </c>
      <c r="AA31" s="1">
        <f>'3x10'!E25</f>
        <v>1151984.8630168799</v>
      </c>
    </row>
    <row r="32" spans="1:27">
      <c r="A32" s="272">
        <v>6</v>
      </c>
      <c r="B32" s="1">
        <f>'1x2'!E26</f>
        <v>146.63921781616352</v>
      </c>
      <c r="C32" s="1">
        <f>'1x3'!E26</f>
        <v>1145.276150486972</v>
      </c>
      <c r="D32" s="1">
        <f>'1x4'!E26</f>
        <v>5585.1957001701703</v>
      </c>
      <c r="E32" s="1">
        <f>'1x5'!E26</f>
        <v>19803.144828038829</v>
      </c>
      <c r="F32" s="1">
        <f>'1x6'!E26</f>
        <v>56547.081269042334</v>
      </c>
      <c r="G32" s="1">
        <f>'1x7'!E26</f>
        <v>138350.00406993867</v>
      </c>
      <c r="H32" s="1">
        <f>'1x8'!E26</f>
        <v>301628.07427573309</v>
      </c>
      <c r="I32" s="1">
        <f>'1x9'!E26</f>
        <v>601502.98889823339</v>
      </c>
      <c r="J32" s="1">
        <f>'1x10'!E26</f>
        <v>1117348.4486301232</v>
      </c>
      <c r="K32" s="272">
        <v>6</v>
      </c>
      <c r="L32" s="1">
        <f>'2x4'!D38</f>
        <v>15624</v>
      </c>
      <c r="M32" s="1">
        <f>'2x4'!E26</f>
        <v>11776.845125299382</v>
      </c>
      <c r="N32" s="1">
        <f>'2x5'!E26</f>
        <v>34429.525660984807</v>
      </c>
      <c r="O32" s="1">
        <f>'2x6'!E26</f>
        <v>88627.659477421272</v>
      </c>
      <c r="P32" s="1">
        <f>'2x7'!E26</f>
        <v>203969.54701077586</v>
      </c>
      <c r="Q32" s="1">
        <f>'2x8'!E26</f>
        <v>427985.42581879959</v>
      </c>
      <c r="R32" s="1">
        <f>'2x9'!E26</f>
        <v>832463.81209726573</v>
      </c>
      <c r="S32" s="1">
        <f>'2x10'!E26</f>
        <v>1520773.8178817413</v>
      </c>
      <c r="T32" s="272">
        <v>6</v>
      </c>
      <c r="U32" s="1">
        <f>'3x4'!E26</f>
        <v>-37810.526128373873</v>
      </c>
      <c r="V32" s="1">
        <f>'3x5'!E26</f>
        <v>-327285.18137533416</v>
      </c>
      <c r="W32" s="1">
        <f>'3x6'!E26</f>
        <v>264302383.24792823</v>
      </c>
      <c r="X32" s="1">
        <f>'3x7'!E26</f>
        <v>3222818.8353900001</v>
      </c>
      <c r="Y32" s="1">
        <f>'3x8'!E26</f>
        <v>4124379.5828537154</v>
      </c>
      <c r="Z32" s="1">
        <f>'3x9'!E26</f>
        <v>6360587.594495046</v>
      </c>
      <c r="AA32" s="1">
        <f>'3x10'!E26</f>
        <v>10174581.277626436</v>
      </c>
    </row>
    <row r="33" spans="1:27">
      <c r="A33" s="272">
        <v>7</v>
      </c>
      <c r="B33" s="1">
        <f>'1x2'!E27</f>
        <v>284.8053302597084</v>
      </c>
      <c r="C33" s="1">
        <f>'1x3'!E27</f>
        <v>3375.7784355079102</v>
      </c>
      <c r="D33" s="1">
        <f>'1x4'!E27</f>
        <v>22108.342024797112</v>
      </c>
      <c r="E33" s="1">
        <f>'1x5'!E27</f>
        <v>98313.329241406565</v>
      </c>
      <c r="F33" s="1">
        <f>'1x6'!E27</f>
        <v>337448.35276319046</v>
      </c>
      <c r="G33" s="1">
        <f>'1x7'!E27</f>
        <v>964128.2159177314</v>
      </c>
      <c r="H33" s="1">
        <f>'1x8'!E27</f>
        <v>2403621.410706549</v>
      </c>
      <c r="I33" s="1">
        <f>'1x9'!E27</f>
        <v>5394364.5273143854</v>
      </c>
      <c r="J33" s="1">
        <f>'1x10'!E27</f>
        <v>11136545.944877809</v>
      </c>
      <c r="K33" s="272">
        <v>7</v>
      </c>
      <c r="L33" s="1">
        <f>'2x4'!D39</f>
        <v>78124</v>
      </c>
      <c r="M33" s="1">
        <f>'2x4'!E27</f>
        <v>44820.114671422074</v>
      </c>
      <c r="N33" s="1">
        <f>'2x5'!E27</f>
        <v>163600.53131825017</v>
      </c>
      <c r="O33" s="1">
        <f>'2x6'!E27</f>
        <v>505457.3091505316</v>
      </c>
      <c r="P33" s="1">
        <f>'2x7'!E27</f>
        <v>1358076.5969998371</v>
      </c>
      <c r="Q33" s="1">
        <f>'2x8'!E27</f>
        <v>3259178.4508648273</v>
      </c>
      <c r="R33" s="1">
        <f>'2x9'!E27</f>
        <v>7136523.6073784828</v>
      </c>
      <c r="S33" s="1">
        <f>'2x10'!E27</f>
        <v>14493617.951274583</v>
      </c>
      <c r="T33" s="272">
        <v>7</v>
      </c>
      <c r="U33" s="1">
        <f>'3x4'!E27</f>
        <v>-153134.20097002201</v>
      </c>
      <c r="V33" s="1">
        <f>'3x5'!E27</f>
        <v>-1722054.9577701925</v>
      </c>
      <c r="W33" s="1">
        <f>'3x6'!E27</f>
        <v>77443504.27621001</v>
      </c>
      <c r="X33" s="1">
        <f>'3x7'!E27</f>
        <v>20136987.158169657</v>
      </c>
      <c r="Y33" s="1">
        <f>'3x8'!E27</f>
        <v>30505677.273640908</v>
      </c>
      <c r="Z33" s="1">
        <f>'3x9'!E27</f>
        <v>53516671.150584489</v>
      </c>
      <c r="AA33" s="1">
        <f>'3x10'!E27</f>
        <v>95602521.720526472</v>
      </c>
    </row>
    <row r="34" spans="1:27">
      <c r="A34" s="272">
        <v>8</v>
      </c>
      <c r="B34" s="1">
        <f>'1x2'!E28</f>
        <v>556.87510166851575</v>
      </c>
      <c r="C34" s="1">
        <f>'1x3'!E28</f>
        <v>10017.976239317131</v>
      </c>
      <c r="D34" s="1">
        <f>'1x4'!E28</f>
        <v>87942.445868023322</v>
      </c>
      <c r="E34" s="1">
        <f>'1x5'!E28</f>
        <v>489875.28023423679</v>
      </c>
      <c r="F34" s="1">
        <f>'1x6'!E28</f>
        <v>2019707.6820000994</v>
      </c>
      <c r="G34" s="1">
        <f>'1x7'!E28</f>
        <v>6735766.7984890873</v>
      </c>
      <c r="H34" s="1">
        <f>'1x8'!E28</f>
        <v>19197262.007297784</v>
      </c>
      <c r="I34" s="1">
        <f>'1x9'!E28</f>
        <v>48478056.968708187</v>
      </c>
      <c r="J34" s="1">
        <f>'1x10'!E28</f>
        <v>111215093.31439769</v>
      </c>
      <c r="K34" s="272">
        <v>8</v>
      </c>
      <c r="L34" s="1">
        <f>'2x4'!D40</f>
        <v>390624</v>
      </c>
      <c r="M34" s="1">
        <f>'2x4'!E28</f>
        <v>173220.45332895778</v>
      </c>
      <c r="N34" s="1">
        <f>'2x5'!E28</f>
        <v>788459.86271807028</v>
      </c>
      <c r="O34" s="1">
        <f>'2x6'!E28</f>
        <v>2921493.7531057545</v>
      </c>
      <c r="P34" s="1">
        <f>'2x7'!E28</f>
        <v>9159665.1808378473</v>
      </c>
      <c r="Q34" s="1">
        <f>'2x8'!E28</f>
        <v>25133355.961075906</v>
      </c>
      <c r="R34" s="1">
        <f>'2x9'!E28</f>
        <v>61941770.603452556</v>
      </c>
      <c r="S34" s="1">
        <f>'2x10'!E28</f>
        <v>139831632.46682841</v>
      </c>
      <c r="T34" s="272">
        <v>8</v>
      </c>
      <c r="U34" s="1">
        <f>'3x4'!E28</f>
        <v>-615816.32450900122</v>
      </c>
      <c r="V34" s="1">
        <f>'3x5'!E28</f>
        <v>-8827716.8943873178</v>
      </c>
      <c r="W34" s="1">
        <f>'3x6'!E28</f>
        <v>314672523.39222294</v>
      </c>
      <c r="X34" s="1">
        <f>'3x7'!E28</f>
        <v>133470874.66609797</v>
      </c>
      <c r="Y34" s="1">
        <f>'3x8'!E28</f>
        <v>234535563.65863293</v>
      </c>
      <c r="Z34" s="1">
        <f>'3x9'!E28</f>
        <v>465048231.61747205</v>
      </c>
      <c r="AA34" s="1">
        <f>'3x10'!E28</f>
        <v>924991944.03413844</v>
      </c>
    </row>
    <row r="35" spans="1:27">
      <c r="A35" s="272">
        <v>9</v>
      </c>
      <c r="B35" s="1">
        <f>'1x2'!E29</f>
        <v>1094.3645364175704</v>
      </c>
      <c r="C35" s="1">
        <f>'1x3'!E29</f>
        <v>29852.771920704199</v>
      </c>
      <c r="D35" s="1">
        <f>'1x4'!E29</f>
        <v>350725.6230387385</v>
      </c>
      <c r="E35" s="1">
        <f>'1x5'!E29</f>
        <v>2445280.8263910944</v>
      </c>
      <c r="F35" s="1">
        <f>'1x6'!E29</f>
        <v>12104646.402811985</v>
      </c>
      <c r="G35" s="1">
        <f>'1x7'!E29</f>
        <v>47110301.787479885</v>
      </c>
      <c r="H35" s="1">
        <f>'1x8'!E29</f>
        <v>153470742.49510032</v>
      </c>
      <c r="I35" s="1">
        <f>'1x9'!E29</f>
        <v>436036796.70327842</v>
      </c>
      <c r="J35" s="1">
        <f>'1x10'!E29</f>
        <v>1111536655.7048845</v>
      </c>
      <c r="K35" s="272">
        <v>9</v>
      </c>
      <c r="L35" s="1">
        <f>'2x4'!D41</f>
        <v>1953124</v>
      </c>
      <c r="M35" s="1">
        <f>'2x4'!E29</f>
        <v>676110.977916423</v>
      </c>
      <c r="N35" s="1">
        <f>'2x5'!E29</f>
        <v>3835226.1361003895</v>
      </c>
      <c r="O35" s="1">
        <f>'2x6'!E29</f>
        <v>17034991.616932634</v>
      </c>
      <c r="P35" s="1">
        <f>'2x7'!E29</f>
        <v>62304805.778682917</v>
      </c>
      <c r="Q35" s="1">
        <f>'2x8'!E29</f>
        <v>195432070.74945533</v>
      </c>
      <c r="R35" s="1">
        <f>'2x9'!E29</f>
        <v>542036457.45305181</v>
      </c>
      <c r="S35" s="1">
        <f>'2x10'!E29</f>
        <v>1360018704.6544185</v>
      </c>
      <c r="T35" s="272">
        <v>9</v>
      </c>
      <c r="U35" s="1">
        <f>'3x4'!E29</f>
        <v>-2468914.6175078517</v>
      </c>
      <c r="V35" s="1">
        <f>'3x5'!E29</f>
        <v>-44670977.373759575</v>
      </c>
      <c r="W35" s="1">
        <f>'3x6'!E29</f>
        <v>1624451736.294894</v>
      </c>
      <c r="X35" s="1">
        <f>'3x7'!E29</f>
        <v>908973405.14141738</v>
      </c>
      <c r="Y35" s="1">
        <f>'3x8'!E29</f>
        <v>1837625783.2934389</v>
      </c>
      <c r="Z35" s="1">
        <f>'3x9'!E29</f>
        <v>4107445716.4573092</v>
      </c>
      <c r="AA35" s="1">
        <f>'3x10'!E29</f>
        <v>9085160035.4059792</v>
      </c>
    </row>
    <row r="36" spans="1:27">
      <c r="A36" s="272">
        <v>10</v>
      </c>
      <c r="B36" s="1">
        <f>'1x2'!E30</f>
        <v>2158.9471299276556</v>
      </c>
      <c r="C36" s="1">
        <f>'1x3'!E30</f>
        <v>89185.875411423549</v>
      </c>
      <c r="D36" s="1">
        <f>'1x4'!E30</f>
        <v>1400672.7735594029</v>
      </c>
      <c r="E36" s="1">
        <f>'1x5'!E30</f>
        <v>12216458.480485626</v>
      </c>
      <c r="F36" s="1">
        <f>'1x6'!E30</f>
        <v>72590672.781921431</v>
      </c>
      <c r="G36" s="1">
        <f>'1x7'!E30</f>
        <v>329649621.48816758</v>
      </c>
      <c r="H36" s="1">
        <f>'1x8'!E30</f>
        <v>1227401860.441427</v>
      </c>
      <c r="I36" s="1">
        <f>'1x9'!E30</f>
        <v>3923338292.2689018</v>
      </c>
      <c r="J36" s="1">
        <f>'1x10'!E30</f>
        <v>11112853396.612623</v>
      </c>
      <c r="K36" s="272">
        <v>10</v>
      </c>
      <c r="L36" s="1">
        <f>'2x4'!D42</f>
        <v>9765624</v>
      </c>
      <c r="M36" s="1">
        <f>'2x4'!E30</f>
        <v>2656598.2877414394</v>
      </c>
      <c r="N36" s="1">
        <f>'2x5'!E30</f>
        <v>18774486.715938285</v>
      </c>
      <c r="O36" s="1">
        <f>'2x6'!E30</f>
        <v>99936231.739642173</v>
      </c>
      <c r="P36" s="1">
        <f>'2x7'!E30</f>
        <v>426307144.59353185</v>
      </c>
      <c r="Q36" s="1">
        <f>'2x8'!E30</f>
        <v>1528426905.5081286</v>
      </c>
      <c r="R36" s="1">
        <f>'2x9'!E30</f>
        <v>4770239099.3264036</v>
      </c>
      <c r="S36" s="1">
        <f>'2x10'!E30</f>
        <v>13302286658.588037</v>
      </c>
      <c r="T36" s="272">
        <v>10</v>
      </c>
      <c r="U36" s="1">
        <f>'3x4'!E30</f>
        <v>-9885367.7739556525</v>
      </c>
      <c r="V36" s="1">
        <f>'3x5'!E30</f>
        <v>-224635095.72969419</v>
      </c>
      <c r="W36" s="1">
        <f>'3x6'!E30</f>
        <v>9106638195.7864628</v>
      </c>
      <c r="X36" s="1">
        <f>'3x7'!E30</f>
        <v>6273463250.8018093</v>
      </c>
      <c r="Y36" s="1">
        <f>'3x8'!E30</f>
        <v>14538889610.46974</v>
      </c>
      <c r="Z36" s="1">
        <f>'3x9'!E30</f>
        <v>36590398818.827011</v>
      </c>
      <c r="AA36" s="1">
        <f>'3x10'!E30</f>
        <v>89953745670.084015</v>
      </c>
    </row>
    <row r="37" spans="1:27">
      <c r="B37" s="385" t="s">
        <v>152</v>
      </c>
      <c r="C37" s="385"/>
      <c r="D37" s="385"/>
      <c r="E37" s="385"/>
      <c r="F37" s="385"/>
      <c r="G37" s="385"/>
      <c r="H37" s="385"/>
      <c r="I37" s="385"/>
      <c r="J37" s="385"/>
      <c r="L37" s="385" t="s">
        <v>164</v>
      </c>
      <c r="M37" s="385"/>
      <c r="N37" s="385"/>
      <c r="O37" s="385"/>
      <c r="P37" s="385"/>
      <c r="Q37" s="385"/>
      <c r="R37" s="385"/>
      <c r="S37" s="385"/>
      <c r="U37" s="385" t="s">
        <v>164</v>
      </c>
      <c r="V37" s="385"/>
      <c r="W37" s="385"/>
      <c r="X37" s="385"/>
      <c r="Y37" s="385"/>
      <c r="Z37" s="385"/>
      <c r="AA37" s="385"/>
    </row>
    <row r="38" spans="1:27">
      <c r="A38" s="272" t="s">
        <v>56</v>
      </c>
      <c r="B38" s="49" t="s">
        <v>139</v>
      </c>
      <c r="C38" s="49" t="s">
        <v>140</v>
      </c>
      <c r="D38" s="49" t="s">
        <v>141</v>
      </c>
      <c r="E38" s="49" t="s">
        <v>142</v>
      </c>
      <c r="F38" s="49" t="s">
        <v>143</v>
      </c>
      <c r="G38" s="49" t="s">
        <v>144</v>
      </c>
      <c r="H38" s="49" t="s">
        <v>145</v>
      </c>
      <c r="I38" s="49" t="s">
        <v>146</v>
      </c>
      <c r="J38" s="49" t="s">
        <v>147</v>
      </c>
      <c r="K38" s="272" t="s">
        <v>56</v>
      </c>
      <c r="L38" s="49" t="s">
        <v>156</v>
      </c>
      <c r="M38" s="49" t="s">
        <v>157</v>
      </c>
      <c r="N38" s="49" t="s">
        <v>158</v>
      </c>
      <c r="O38" s="49" t="s">
        <v>159</v>
      </c>
      <c r="P38" s="49" t="s">
        <v>160</v>
      </c>
      <c r="Q38" s="49" t="s">
        <v>161</v>
      </c>
      <c r="R38" s="49" t="s">
        <v>162</v>
      </c>
      <c r="S38" s="49" t="s">
        <v>163</v>
      </c>
      <c r="T38" s="272" t="s">
        <v>56</v>
      </c>
      <c r="U38" s="49" t="s">
        <v>167</v>
      </c>
      <c r="V38" s="49" t="s">
        <v>168</v>
      </c>
      <c r="W38" s="49" t="s">
        <v>169</v>
      </c>
      <c r="X38" s="49" t="s">
        <v>170</v>
      </c>
      <c r="Y38" s="49" t="s">
        <v>171</v>
      </c>
      <c r="Z38" s="49" t="s">
        <v>172</v>
      </c>
      <c r="AA38" s="49" t="s">
        <v>173</v>
      </c>
    </row>
    <row r="39" spans="1:27">
      <c r="A39" s="272">
        <v>1</v>
      </c>
      <c r="B39" s="1">
        <f>'1x2'!E33</f>
        <v>19.324293720200185</v>
      </c>
      <c r="C39" s="1">
        <f>'1x3'!E33</f>
        <v>13.010592084313043</v>
      </c>
      <c r="D39" s="1">
        <f>'1x4'!E33</f>
        <v>13.264278453003666</v>
      </c>
      <c r="E39" s="1">
        <f>'1x5'!E33</f>
        <v>14.497417295231017</v>
      </c>
      <c r="F39" s="1">
        <f>'1x6'!E33</f>
        <v>16.095129551714152</v>
      </c>
      <c r="G39" s="1">
        <f>'1x7'!E33</f>
        <v>17.886207216380015</v>
      </c>
      <c r="H39" s="1">
        <f>'1x8'!E33</f>
        <v>19.801019363227333</v>
      </c>
      <c r="I39" s="1">
        <f>'1x9'!E33</f>
        <v>21.803691609148775</v>
      </c>
      <c r="J39" s="1">
        <f>'1x10'!E33</f>
        <v>23.872400252936831</v>
      </c>
      <c r="K39" s="272">
        <v>1</v>
      </c>
      <c r="L39" s="1">
        <f>'2x3'!E21</f>
        <v>-15.063179394627928</v>
      </c>
      <c r="M39" s="1">
        <f>'2x4'!E21</f>
        <v>-32.05850055772256</v>
      </c>
      <c r="N39" s="1">
        <f>'2x5'!E21</f>
        <v>-65.037079487932957</v>
      </c>
      <c r="O39" s="1">
        <f>'2x6'!E21</f>
        <v>-133.39306500362503</v>
      </c>
      <c r="P39" s="1">
        <f>'2x7'!E21</f>
        <v>-301.08142337708352</v>
      </c>
      <c r="Q39" s="1">
        <f>'2x8'!E21</f>
        <v>-973.38906671260895</v>
      </c>
      <c r="R39" s="1">
        <f>'2x9'!E21</f>
        <v>3933.190338443047</v>
      </c>
      <c r="S39" s="1">
        <f>'2x10'!E21</f>
        <v>1032.3063574349083</v>
      </c>
      <c r="T39" s="272">
        <v>1</v>
      </c>
      <c r="U39" s="1">
        <f>'3x4'!E21</f>
        <v>-10.018769723363153</v>
      </c>
      <c r="V39" s="1">
        <f>'3x5'!E33</f>
        <v>-13.974211373006918</v>
      </c>
      <c r="W39" s="1">
        <f>'3x6'!E33</f>
        <v>-18.205734263244562</v>
      </c>
      <c r="X39" s="1">
        <f>'3x7'!E33</f>
        <v>-22.578016290780226</v>
      </c>
      <c r="Y39" s="1">
        <f>'3x8'!E33</f>
        <v>-26.992024386634267</v>
      </c>
      <c r="Z39" s="1">
        <f>'3x9'!E33</f>
        <v>-31.384022130443565</v>
      </c>
      <c r="AA39" s="1">
        <f>'3x10'!E33</f>
        <v>-35.718729195257538</v>
      </c>
    </row>
    <row r="40" spans="1:27">
      <c r="A40" s="272">
        <v>2</v>
      </c>
      <c r="B40" s="1">
        <f>'1x2'!E34</f>
        <v>17.16391341868442</v>
      </c>
      <c r="C40" s="1">
        <f>'1x3'!E34</f>
        <v>24.501687116580964</v>
      </c>
      <c r="D40" s="1">
        <f>'1x4'!E34</f>
        <v>35.069388088461423</v>
      </c>
      <c r="E40" s="1">
        <f>'1x5'!E34</f>
        <v>48.289315470766702</v>
      </c>
      <c r="F40" s="1">
        <f>'1x6'!E34</f>
        <v>64.056022645016242</v>
      </c>
      <c r="G40" s="1">
        <f>'1x7'!E34</f>
        <v>82.348987180125491</v>
      </c>
      <c r="H40" s="1">
        <f>'1x8'!E34</f>
        <v>103.16933385809114</v>
      </c>
      <c r="I40" s="1">
        <f>'1x9'!E34</f>
        <v>126.52319395753163</v>
      </c>
      <c r="J40" s="1">
        <f>'1x10'!E34</f>
        <v>152.41636888200736</v>
      </c>
      <c r="K40" s="272">
        <v>2</v>
      </c>
      <c r="L40" s="1">
        <f>'2x3'!E22</f>
        <v>222.83536406098159</v>
      </c>
      <c r="M40" s="1">
        <f>'2x4'!E22</f>
        <v>124.2650857235856</v>
      </c>
      <c r="N40" s="1">
        <f>'2x5'!E22</f>
        <v>131.3441565578334</v>
      </c>
      <c r="O40" s="1">
        <f>'2x6'!E22</f>
        <v>154.12729176571546</v>
      </c>
      <c r="P40" s="1">
        <f>'2x7'!E22</f>
        <v>185.36947911383376</v>
      </c>
      <c r="Q40" s="1">
        <f>'2x8'!E22</f>
        <v>223.36297059306455</v>
      </c>
      <c r="R40" s="1">
        <f>'2x9'!E22</f>
        <v>267.55299299439838</v>
      </c>
      <c r="S40" s="1">
        <f>'2x10'!E22</f>
        <v>317.72872544591581</v>
      </c>
      <c r="T40" s="272">
        <v>2</v>
      </c>
      <c r="U40" s="1">
        <f>'3x4'!E22</f>
        <v>-83.537449156377164</v>
      </c>
      <c r="V40" s="1">
        <f>'3x5'!E34</f>
        <v>-195.77057092895879</v>
      </c>
      <c r="W40" s="1">
        <f>'3x6'!E34</f>
        <v>-349.5442726821625</v>
      </c>
      <c r="X40" s="1">
        <f>'3x7'!E34</f>
        <v>-580.06241907722006</v>
      </c>
      <c r="Y40" s="1">
        <f>'3x8'!E34</f>
        <v>-903.60883634437369</v>
      </c>
      <c r="Z40" s="1">
        <f>'3x9'!E34</f>
        <v>-1330.6499697954666</v>
      </c>
      <c r="AA40" s="1">
        <f>'3x10'!E34</f>
        <v>-1863.4155013044597</v>
      </c>
    </row>
    <row r="41" spans="1:27">
      <c r="A41" s="272">
        <v>3</v>
      </c>
      <c r="B41" s="1">
        <f>'1x2'!E35</f>
        <v>40.400894923306225</v>
      </c>
      <c r="C41" s="1">
        <f>'1x3'!E35</f>
        <v>80.383002043061467</v>
      </c>
      <c r="D41" s="1">
        <f>'1x4'!E35</f>
        <v>146.94625125443213</v>
      </c>
      <c r="E41" s="1">
        <f>'1x5'!E35</f>
        <v>245.89223967595672</v>
      </c>
      <c r="F41" s="1">
        <f>'1x6'!E35</f>
        <v>383.54590735495691</v>
      </c>
      <c r="G41" s="1">
        <f>'1x7'!E35</f>
        <v>566.36707248817822</v>
      </c>
      <c r="H41" s="1">
        <f>'1x8'!E35</f>
        <v>800.87238166001555</v>
      </c>
      <c r="I41" s="1">
        <f>'1x9'!E35</f>
        <v>1093.605979958747</v>
      </c>
      <c r="J41" s="1">
        <f>'1x10'!E35</f>
        <v>1451.1235759438221</v>
      </c>
      <c r="K41" s="272">
        <v>3</v>
      </c>
      <c r="L41" s="1">
        <f>'2x3'!E23</f>
        <v>228.46458336611317</v>
      </c>
      <c r="M41" s="1">
        <f>'2x4'!E23</f>
        <v>280.53727728715677</v>
      </c>
      <c r="N41" s="1">
        <f>'2x5'!E23</f>
        <v>408.6936252925322</v>
      </c>
      <c r="O41" s="1">
        <f>'2x6'!E23</f>
        <v>599.16125413304178</v>
      </c>
      <c r="P41" s="1">
        <f>'2x7'!E23</f>
        <v>858.80692231624005</v>
      </c>
      <c r="Q41" s="1">
        <f>'2x8'!E23</f>
        <v>1197.6908733872567</v>
      </c>
      <c r="R41" s="1">
        <f>'2x9'!E23</f>
        <v>1626.8493136230018</v>
      </c>
      <c r="S41" s="1">
        <f>'2x10'!E23</f>
        <v>2157.7035126323403</v>
      </c>
      <c r="T41" s="272">
        <v>3</v>
      </c>
      <c r="U41" s="1">
        <f>'3x4'!E23</f>
        <v>-462.88548217241544</v>
      </c>
      <c r="V41" s="1">
        <f>'3x5'!E35</f>
        <v>-1961.8994534267474</v>
      </c>
      <c r="W41" s="1">
        <f>'3x6'!E35</f>
        <v>-5696.7701879102506</v>
      </c>
      <c r="X41" s="1">
        <f>'3x7'!E35</f>
        <v>-19992.78329393177</v>
      </c>
      <c r="Y41" s="1">
        <f>'3x8'!E35</f>
        <v>-522690.55576942355</v>
      </c>
      <c r="Z41" s="1">
        <f>'3x9'!E35</f>
        <v>63842.633332800928</v>
      </c>
      <c r="AA41" s="1">
        <f>'3x10'!E35</f>
        <v>47983.987854389125</v>
      </c>
    </row>
    <row r="42" spans="1:27">
      <c r="A42" s="272">
        <v>4</v>
      </c>
      <c r="B42" s="1">
        <f>'1x2'!E36</f>
        <v>107.08934013216975</v>
      </c>
      <c r="C42" s="1">
        <f>'1x3'!E36</f>
        <v>291.97885629305085</v>
      </c>
      <c r="D42" s="1">
        <f>'1x4'!E36</f>
        <v>678.57439666101993</v>
      </c>
      <c r="E42" s="1">
        <f>'1x5'!E36</f>
        <v>1376.752149101598</v>
      </c>
      <c r="F42" s="1">
        <f>'1x6'!E36</f>
        <v>2521.7922121519982</v>
      </c>
      <c r="G42" s="1">
        <f>'1x7'!E36</f>
        <v>4273.9418836717214</v>
      </c>
      <c r="H42" s="1">
        <f>'1x8'!E36</f>
        <v>6818.3636736352291</v>
      </c>
      <c r="I42" s="1">
        <f>'1x9'!E36</f>
        <v>10365.122016370089</v>
      </c>
      <c r="J42" s="1">
        <f>'1x10'!E36</f>
        <v>15149.164661239563</v>
      </c>
      <c r="K42" s="272">
        <v>4</v>
      </c>
      <c r="L42" s="1">
        <f>'2x3'!E24</f>
        <v>513.05424833673453</v>
      </c>
      <c r="M42" s="1">
        <f>'2x4'!E24</f>
        <v>896.72495931835817</v>
      </c>
      <c r="N42" s="1">
        <f>'2x5'!E24</f>
        <v>1665.4017754724846</v>
      </c>
      <c r="O42" s="1">
        <f>'2x6'!E24</f>
        <v>2960.2708707495481</v>
      </c>
      <c r="P42" s="1">
        <f>'2x7'!E24</f>
        <v>4982.5891912233947</v>
      </c>
      <c r="Q42" s="1">
        <f>'2x8'!E24</f>
        <v>7976.2363531549699</v>
      </c>
      <c r="R42" s="1">
        <f>'2x9'!E24</f>
        <v>12225.571668262224</v>
      </c>
      <c r="S42" s="1">
        <f>'2x10'!E24</f>
        <v>18054.832951293789</v>
      </c>
      <c r="T42" s="272">
        <v>4</v>
      </c>
      <c r="U42" s="1">
        <f>'3x4'!E24</f>
        <v>-2148.8676140730977</v>
      </c>
      <c r="V42" s="1">
        <f>'3x5'!E36</f>
        <v>-16265.851388912874</v>
      </c>
      <c r="W42" s="1">
        <f>'3x6'!E36</f>
        <v>-96332.924299141989</v>
      </c>
      <c r="X42" s="1">
        <f>'3x7'!E36</f>
        <v>306318.73318548256</v>
      </c>
      <c r="Y42" s="1">
        <f>'3x8'!E36</f>
        <v>162757.70414269765</v>
      </c>
      <c r="Z42" s="1">
        <f>'3x9'!E36</f>
        <v>168486.07084097544</v>
      </c>
      <c r="AA42" s="1">
        <f>'3x10'!E36</f>
        <v>200948.51255623903</v>
      </c>
    </row>
    <row r="43" spans="1:27">
      <c r="A43" s="272">
        <v>5</v>
      </c>
      <c r="B43" s="1">
        <f>'1x2'!E37</f>
        <v>297.42904517192261</v>
      </c>
      <c r="C43" s="1">
        <f>'1x3'!E37</f>
        <v>1107.3480428193207</v>
      </c>
      <c r="D43" s="1">
        <f>'1x4'!E37</f>
        <v>3261.7969974417852</v>
      </c>
      <c r="E43" s="1">
        <f>'1x5'!E37</f>
        <v>8003.1912934784459</v>
      </c>
      <c r="F43" s="1">
        <f>'1x6'!E37</f>
        <v>17180.980034447832</v>
      </c>
      <c r="G43" s="1">
        <f>'1x7'!E37</f>
        <v>33372.666117255925</v>
      </c>
      <c r="H43" s="1">
        <f>'1x8'!E37</f>
        <v>60005.463286526741</v>
      </c>
      <c r="I43" s="1">
        <f>'1x9'!E37</f>
        <v>101478.03832448481</v>
      </c>
      <c r="J43" s="1">
        <f>'1x10'!E37</f>
        <v>163282.21125300569</v>
      </c>
      <c r="K43" s="272">
        <v>5</v>
      </c>
      <c r="L43" s="1">
        <f>'2x3'!E25</f>
        <v>1339.5342352212147</v>
      </c>
      <c r="M43" s="1">
        <f>'2x4'!E25</f>
        <v>3174.5586326329062</v>
      </c>
      <c r="N43" s="1">
        <f>'2x5'!E25</f>
        <v>7415.4586569471539</v>
      </c>
      <c r="O43" s="1">
        <f>'2x6'!E25</f>
        <v>15882.740478801494</v>
      </c>
      <c r="P43" s="1">
        <f>'2x7'!E25</f>
        <v>31283.809756410272</v>
      </c>
      <c r="Q43" s="1">
        <f>'2x8'!E25</f>
        <v>57363.440620337366</v>
      </c>
      <c r="R43" s="1">
        <f>'2x9'!E25</f>
        <v>99078.450236716177</v>
      </c>
      <c r="S43" s="1">
        <f>'2x10'!E25</f>
        <v>162774.38747949048</v>
      </c>
      <c r="T43" s="272">
        <v>5</v>
      </c>
      <c r="U43" s="1">
        <f>'3x4'!E25</f>
        <v>-9183.934100354636</v>
      </c>
      <c r="V43" s="1">
        <f>'3x5'!E37</f>
        <v>-117811.45358891445</v>
      </c>
      <c r="W43" s="1">
        <f>'3x6'!E37</f>
        <v>-2081949.8722276543</v>
      </c>
      <c r="X43" s="1">
        <f>'3x7'!E37</f>
        <v>1001868.9556363814</v>
      </c>
      <c r="Y43" s="1">
        <f>'3x8'!E37</f>
        <v>959890.66939629172</v>
      </c>
      <c r="Z43" s="1">
        <f>'3x9'!E37</f>
        <v>1220450.8320744752</v>
      </c>
      <c r="AA43" s="1">
        <f>'3x10'!E37</f>
        <v>1669761.1573113897</v>
      </c>
    </row>
    <row r="44" spans="1:27">
      <c r="A44" s="272">
        <v>6</v>
      </c>
      <c r="B44" s="1">
        <f>'1x2'!E38</f>
        <v>847.24881404894472</v>
      </c>
      <c r="C44" s="1">
        <f>'1x3'!E38</f>
        <v>4294.7855643261446</v>
      </c>
      <c r="D44" s="1">
        <f>'1x4'!E38</f>
        <v>15982.252311256179</v>
      </c>
      <c r="E44" s="1">
        <f>'1x5'!E38</f>
        <v>47307.512644759423</v>
      </c>
      <c r="F44" s="1">
        <f>'1x6'!E38</f>
        <v>118827.04635337928</v>
      </c>
      <c r="G44" s="1">
        <f>'1x7'!E38</f>
        <v>264232.42056380725</v>
      </c>
      <c r="H44" s="1">
        <f>'1x8'!E38</f>
        <v>535051.74968989694</v>
      </c>
      <c r="I44" s="1">
        <f>'1x9'!E38</f>
        <v>1006075.5471845794</v>
      </c>
      <c r="J44" s="1">
        <f>'1x10'!E38</f>
        <v>1781506.6173962804</v>
      </c>
      <c r="K44" s="272">
        <v>6</v>
      </c>
      <c r="L44" s="1">
        <f>'2x3'!E26</f>
        <v>3716.4881868155394</v>
      </c>
      <c r="M44" s="1">
        <f>'2x4'!E26</f>
        <v>11776.845125299382</v>
      </c>
      <c r="N44" s="1">
        <f>'2x5'!E26</f>
        <v>34429.525660984807</v>
      </c>
      <c r="O44" s="1">
        <f>'2x6'!E26</f>
        <v>88627.659477421272</v>
      </c>
      <c r="P44" s="1">
        <f>'2x7'!E26</f>
        <v>203969.54701077586</v>
      </c>
      <c r="Q44" s="1">
        <f>'2x8'!E26</f>
        <v>427985.42581879959</v>
      </c>
      <c r="R44" s="1">
        <f>'2x9'!E26</f>
        <v>832463.81209726573</v>
      </c>
      <c r="S44" s="1">
        <f>'2x10'!E26</f>
        <v>1520773.8178817413</v>
      </c>
      <c r="T44" s="272">
        <v>6</v>
      </c>
      <c r="U44" s="1">
        <f>'3x4'!E26</f>
        <v>-37810.526128373873</v>
      </c>
      <c r="V44" s="1">
        <f>'3x5'!E38</f>
        <v>-781847.93328552053</v>
      </c>
      <c r="W44" s="1">
        <f>'3x6'!E38</f>
        <v>555400399.82053125</v>
      </c>
      <c r="X44" s="1">
        <f>'3x7'!E38</f>
        <v>6155209.2292186916</v>
      </c>
      <c r="Y44" s="1">
        <f>'3x8'!E38</f>
        <v>7316150.9169529844</v>
      </c>
      <c r="Z44" s="1">
        <f>'3x9'!E38</f>
        <v>10638736.236819796</v>
      </c>
      <c r="AA44" s="1">
        <f>'3x10'!E38</f>
        <v>16222409.30978201</v>
      </c>
    </row>
    <row r="45" spans="1:27">
      <c r="A45" s="272">
        <v>7</v>
      </c>
      <c r="B45" s="1">
        <f>'1x2'!E39</f>
        <v>2451.1198895579628</v>
      </c>
      <c r="C45" s="1">
        <f>'1x3'!E39</f>
        <v>16866.538002112258</v>
      </c>
      <c r="D45" s="1">
        <f>'1x4'!E39</f>
        <v>79069.40635164117</v>
      </c>
      <c r="E45" s="1">
        <f>'1x5'!E39</f>
        <v>281822.14757250674</v>
      </c>
      <c r="F45" s="1">
        <f>'1x6'!E39</f>
        <v>827283.98655432928</v>
      </c>
      <c r="G45" s="1">
        <f>'1x7'!E39</f>
        <v>2104417.7316380288</v>
      </c>
      <c r="H45" s="1">
        <f>'1x8'!E39</f>
        <v>4796692.6344758896</v>
      </c>
      <c r="I45" s="1">
        <f>'1x9'!E39</f>
        <v>10025135.462848699</v>
      </c>
      <c r="J45" s="1">
        <f>'1x10'!E39</f>
        <v>19531780.716836076</v>
      </c>
      <c r="K45" s="272">
        <v>7</v>
      </c>
      <c r="L45" s="1">
        <f>'2x3'!E27</f>
        <v>10635.882583655797</v>
      </c>
      <c r="M45" s="1">
        <f>'2x4'!E27</f>
        <v>44820.114671422074</v>
      </c>
      <c r="N45" s="1">
        <f>'2x5'!E27</f>
        <v>163600.53131825017</v>
      </c>
      <c r="O45" s="1">
        <f>'2x6'!E27</f>
        <v>505457.3091505316</v>
      </c>
      <c r="P45" s="1">
        <f>'2x7'!E27</f>
        <v>1358076.5969998371</v>
      </c>
      <c r="Q45" s="1">
        <f>'2x8'!E27</f>
        <v>3259178.4508648273</v>
      </c>
      <c r="R45" s="1">
        <f>'2x9'!E27</f>
        <v>7136523.6073784828</v>
      </c>
      <c r="S45" s="1">
        <f>'2x10'!E27</f>
        <v>14493617.951274583</v>
      </c>
      <c r="T45" s="272">
        <v>7</v>
      </c>
      <c r="U45" s="1">
        <f>'3x4'!E27</f>
        <v>-153134.20097002201</v>
      </c>
      <c r="V45" s="1">
        <f>'3x5'!E39</f>
        <v>-4936392.960968704</v>
      </c>
      <c r="W45" s="1">
        <f>'3x6'!E39</f>
        <v>189859486.42434418</v>
      </c>
      <c r="X45" s="1">
        <f>'3x7'!E39</f>
        <v>43953316.724666297</v>
      </c>
      <c r="Y45" s="1">
        <f>'3x8'!E39</f>
        <v>60877456.339997806</v>
      </c>
      <c r="Z45" s="1">
        <f>'3x9'!E39</f>
        <v>99457846.255792767</v>
      </c>
      <c r="AA45" s="1">
        <f>'3x10'!E39</f>
        <v>167672050.15489829</v>
      </c>
    </row>
    <row r="46" spans="1:27">
      <c r="A46" s="272">
        <v>8</v>
      </c>
      <c r="B46" s="1">
        <f>'1x2'!E40</f>
        <v>7162.9424842067911</v>
      </c>
      <c r="C46" s="1">
        <f>'1x3'!E40</f>
        <v>66720.332606061813</v>
      </c>
      <c r="D46" s="1">
        <f>'1x4'!E40</f>
        <v>393138.36089208903</v>
      </c>
      <c r="E46" s="1">
        <f>'1x5'!E40</f>
        <v>1685102.5411866708</v>
      </c>
      <c r="F46" s="1">
        <f>'1x6'!E40</f>
        <v>5776726.0380078042</v>
      </c>
      <c r="G46" s="1">
        <f>'1x7'!E40</f>
        <v>16802576.38992998</v>
      </c>
      <c r="H46" s="1">
        <f>'1x8'!E40</f>
        <v>43099034.440187924</v>
      </c>
      <c r="I46" s="1">
        <f>'1x9'!E40</f>
        <v>100104272.2035296</v>
      </c>
      <c r="J46" s="1">
        <f>'1x10'!E40</f>
        <v>214559487.72332287</v>
      </c>
      <c r="K46" s="272">
        <v>8</v>
      </c>
      <c r="L46" s="1">
        <f>'2x3'!E28</f>
        <v>30979.063183775146</v>
      </c>
      <c r="M46" s="1">
        <f>'2x4'!E28</f>
        <v>173220.45332895778</v>
      </c>
      <c r="N46" s="1">
        <f>'2x5'!E28</f>
        <v>788459.86271807028</v>
      </c>
      <c r="O46" s="1">
        <f>'2x6'!E28</f>
        <v>2921493.7531057545</v>
      </c>
      <c r="P46" s="1">
        <f>'2x7'!E28</f>
        <v>9159665.1808378473</v>
      </c>
      <c r="Q46" s="1">
        <f>'2x8'!E28</f>
        <v>25133355.961075906</v>
      </c>
      <c r="R46" s="1">
        <f>'2x9'!E28</f>
        <v>61941770.603452556</v>
      </c>
      <c r="S46" s="1">
        <f>'2x10'!E28</f>
        <v>139831632.46682841</v>
      </c>
      <c r="T46" s="272">
        <v>8</v>
      </c>
      <c r="U46" s="1">
        <f>'3x4'!E28</f>
        <v>-615816.32450900122</v>
      </c>
      <c r="V46" s="1">
        <f>'3x5'!E40</f>
        <v>-30366113.114537466</v>
      </c>
      <c r="W46" s="1">
        <f>'3x6'!E40</f>
        <v>900019827.38677549</v>
      </c>
      <c r="X46" s="1">
        <f>'3x7'!E40</f>
        <v>332947180.99666631</v>
      </c>
      <c r="Y46" s="1">
        <f>'3x8'!E40</f>
        <v>526546771.70784479</v>
      </c>
      <c r="Z46" s="1">
        <f>'3x9'!E40</f>
        <v>960296630.61073017</v>
      </c>
      <c r="AA46" s="1">
        <f>'3x10'!E40</f>
        <v>1784522152.0348468</v>
      </c>
    </row>
    <row r="47" spans="1:27">
      <c r="A47" s="272">
        <v>9</v>
      </c>
      <c r="B47" s="1">
        <f>'1x2'!E41</f>
        <v>21075.619183728591</v>
      </c>
      <c r="C47" s="1">
        <f>'1x3'!E41</f>
        <v>265071.13740504556</v>
      </c>
      <c r="D47" s="1">
        <f>'1x4'!E41</f>
        <v>1959838.6141492806</v>
      </c>
      <c r="E47" s="1">
        <f>'1x5'!E41</f>
        <v>10093693.73689224</v>
      </c>
      <c r="F47" s="1">
        <f>'1x6'!E41</f>
        <v>40391687.757666156</v>
      </c>
      <c r="G47" s="1">
        <f>'1x7'!E41</f>
        <v>134306374.87584671</v>
      </c>
      <c r="H47" s="1">
        <f>'1x8'!E41</f>
        <v>387620155.47526997</v>
      </c>
      <c r="I47" s="1">
        <f>'1x9'!E41</f>
        <v>1000433057.5017478</v>
      </c>
      <c r="J47" s="1">
        <f>'1x10'!E41</f>
        <v>2358850763.0615425</v>
      </c>
      <c r="K47" s="272">
        <v>9</v>
      </c>
      <c r="L47" s="1">
        <f>'2x3'!E29</f>
        <v>91196.123140260082</v>
      </c>
      <c r="M47" s="1">
        <f>'2x4'!E29</f>
        <v>676110.977916423</v>
      </c>
      <c r="N47" s="1">
        <f>'2x5'!E29</f>
        <v>3835226.1361003895</v>
      </c>
      <c r="O47" s="1">
        <f>'2x6'!E29</f>
        <v>17034991.616932634</v>
      </c>
      <c r="P47" s="1">
        <f>'2x7'!E29</f>
        <v>62304805.778682917</v>
      </c>
      <c r="Q47" s="1">
        <f>'2x8'!E29</f>
        <v>195432070.74945533</v>
      </c>
      <c r="R47" s="1">
        <f>'2x9'!E29</f>
        <v>542036457.45305181</v>
      </c>
      <c r="S47" s="1">
        <f>'2x10'!E29</f>
        <v>1360018704.6544185</v>
      </c>
      <c r="T47" s="272">
        <v>9</v>
      </c>
      <c r="U47" s="1">
        <f>'3x4'!E29</f>
        <v>-2468914.6175078517</v>
      </c>
      <c r="V47" s="1">
        <f>'3x5'!E41</f>
        <v>-184394021.19871551</v>
      </c>
      <c r="W47" s="1">
        <f>'3x6'!E41</f>
        <v>5420591822.8705444</v>
      </c>
      <c r="X47" s="1">
        <f>'3x7'!E41</f>
        <v>2591384862.1437306</v>
      </c>
      <c r="Y47" s="1">
        <f>'3x8'!E41</f>
        <v>4641280678.2915535</v>
      </c>
      <c r="Z47" s="1">
        <f>'3x9'!E41</f>
        <v>9424031429.701004</v>
      </c>
      <c r="AA47" s="1">
        <f>'3x10'!E41</f>
        <v>19280098926.169361</v>
      </c>
    </row>
    <row r="48" spans="1:27">
      <c r="A48" s="272">
        <v>10</v>
      </c>
      <c r="B48" s="1">
        <f>'1x2'!E42</f>
        <v>62307.678459417504</v>
      </c>
      <c r="C48" s="1">
        <f>'1x3'!E42</f>
        <v>1055842.4706400833</v>
      </c>
      <c r="D48" s="1">
        <f>'1x4'!E42</f>
        <v>9783594.6310122814</v>
      </c>
      <c r="E48" s="1">
        <f>'1x5'!E42</f>
        <v>60512877.936834589</v>
      </c>
      <c r="F48" s="1">
        <f>'1x6'!E42</f>
        <v>282596954.64117068</v>
      </c>
      <c r="G48" s="1">
        <f>'1x7'!E42</f>
        <v>1074051887.5823214</v>
      </c>
      <c r="H48" s="1">
        <f>'1x8'!E42</f>
        <v>3487546886.8444891</v>
      </c>
      <c r="I48" s="1">
        <f>'1x9'!E42</f>
        <v>10001799408.651117</v>
      </c>
      <c r="J48" s="1">
        <f>'1x10'!E42</f>
        <v>25941491738.48859</v>
      </c>
      <c r="K48" s="272">
        <v>10</v>
      </c>
      <c r="L48" s="1">
        <f>'2x3'!E30</f>
        <v>270248.89907124877</v>
      </c>
      <c r="M48" s="1">
        <f>'2x4'!E30</f>
        <v>2656598.2877414394</v>
      </c>
      <c r="N48" s="1">
        <f>'2x5'!E30</f>
        <v>18774486.715938285</v>
      </c>
      <c r="O48" s="1">
        <f>'2x6'!E30</f>
        <v>99936231.739642173</v>
      </c>
      <c r="P48" s="1">
        <f>'2x7'!E30</f>
        <v>426307144.59353185</v>
      </c>
      <c r="Q48" s="1">
        <f>'2x8'!E30</f>
        <v>1528426905.5081286</v>
      </c>
      <c r="R48" s="1">
        <f>'2x9'!E30</f>
        <v>4770239099.3264036</v>
      </c>
      <c r="S48" s="1">
        <f>'2x10'!E30</f>
        <v>13302286658.588037</v>
      </c>
      <c r="T48" s="272">
        <v>10</v>
      </c>
      <c r="U48" s="1">
        <f>'3x4'!E30</f>
        <v>-9885367.7739556525</v>
      </c>
      <c r="V48" s="1">
        <f>'3x5'!E42</f>
        <v>-1112705138.7219858</v>
      </c>
      <c r="W48" s="1">
        <f>'3x6'!E42</f>
        <v>35452326346.108017</v>
      </c>
      <c r="X48" s="1">
        <f>'3x7'!E42</f>
        <v>20439959905.865879</v>
      </c>
      <c r="Y48" s="1">
        <f>'3x8'!E42</f>
        <v>41310886705.788185</v>
      </c>
      <c r="Z48" s="1">
        <f>'3x9'!E42</f>
        <v>93280212412.376205</v>
      </c>
      <c r="AA48" s="1">
        <f>'3x10'!E42</f>
        <v>209985164643.48276</v>
      </c>
    </row>
    <row r="49" spans="1:27">
      <c r="B49" s="385" t="s">
        <v>154</v>
      </c>
      <c r="C49" s="385"/>
      <c r="D49" s="385"/>
      <c r="E49" s="385"/>
      <c r="F49" s="385"/>
      <c r="G49" s="385"/>
      <c r="H49" s="385"/>
      <c r="I49" s="385"/>
      <c r="J49" s="385"/>
      <c r="L49" s="385" t="s">
        <v>165</v>
      </c>
      <c r="M49" s="385"/>
      <c r="N49" s="385"/>
      <c r="O49" s="385"/>
      <c r="P49" s="385"/>
      <c r="Q49" s="385"/>
      <c r="R49" s="385"/>
      <c r="S49" s="385"/>
      <c r="U49" s="385" t="s">
        <v>154</v>
      </c>
      <c r="V49" s="385"/>
      <c r="W49" s="385"/>
      <c r="X49" s="385"/>
      <c r="Y49" s="385"/>
      <c r="Z49" s="385"/>
      <c r="AA49" s="385"/>
    </row>
    <row r="50" spans="1:27">
      <c r="A50" s="272" t="s">
        <v>56</v>
      </c>
      <c r="B50" s="49" t="s">
        <v>139</v>
      </c>
      <c r="C50" s="49" t="s">
        <v>140</v>
      </c>
      <c r="D50" s="49" t="s">
        <v>141</v>
      </c>
      <c r="E50" s="49" t="s">
        <v>142</v>
      </c>
      <c r="F50" s="49" t="s">
        <v>143</v>
      </c>
      <c r="G50" s="49" t="s">
        <v>144</v>
      </c>
      <c r="H50" s="49" t="s">
        <v>145</v>
      </c>
      <c r="I50" s="49" t="s">
        <v>146</v>
      </c>
      <c r="J50" s="49" t="s">
        <v>147</v>
      </c>
      <c r="K50" s="272" t="s">
        <v>56</v>
      </c>
      <c r="L50" s="49" t="s">
        <v>156</v>
      </c>
      <c r="M50" s="49" t="s">
        <v>157</v>
      </c>
      <c r="N50" s="49" t="s">
        <v>158</v>
      </c>
      <c r="O50" s="49" t="s">
        <v>159</v>
      </c>
      <c r="P50" s="49" t="s">
        <v>160</v>
      </c>
      <c r="Q50" s="49" t="s">
        <v>161</v>
      </c>
      <c r="R50" s="49" t="s">
        <v>162</v>
      </c>
      <c r="S50" s="49" t="s">
        <v>163</v>
      </c>
      <c r="T50" s="272" t="s">
        <v>56</v>
      </c>
      <c r="U50" s="49" t="s">
        <v>167</v>
      </c>
      <c r="V50" s="49" t="s">
        <v>168</v>
      </c>
      <c r="W50" s="49" t="s">
        <v>169</v>
      </c>
      <c r="X50" s="49" t="s">
        <v>170</v>
      </c>
      <c r="Y50" s="49" t="s">
        <v>171</v>
      </c>
      <c r="Z50" s="49" t="s">
        <v>172</v>
      </c>
      <c r="AA50" s="49" t="s">
        <v>173</v>
      </c>
    </row>
    <row r="51" spans="1:27">
      <c r="A51" s="272">
        <v>1</v>
      </c>
      <c r="B51" s="1">
        <f>'1x2'!E45</f>
        <v>19.324293720200185</v>
      </c>
      <c r="C51" s="1">
        <f>'1x3'!E45</f>
        <v>13.010592084313043</v>
      </c>
      <c r="D51" s="1">
        <f>'1x4'!E45</f>
        <v>13.264278453003666</v>
      </c>
      <c r="E51" s="1">
        <f>'1x5'!E45</f>
        <v>14.497417295231017</v>
      </c>
      <c r="F51" s="1">
        <f>'1x6'!E45</f>
        <v>16.095129551714152</v>
      </c>
      <c r="G51" s="1">
        <f>'1x7'!E45</f>
        <v>17.886207216380015</v>
      </c>
      <c r="H51" s="1">
        <f>'1x8'!E45</f>
        <v>19.801019363227333</v>
      </c>
      <c r="I51" s="1">
        <f>'1x9'!E45</f>
        <v>21.803691609148775</v>
      </c>
      <c r="J51" s="1">
        <f>'1x10'!E45</f>
        <v>23.872400252936831</v>
      </c>
      <c r="K51" s="272">
        <v>1</v>
      </c>
      <c r="L51" s="1">
        <f>'2x3'!E45</f>
        <v>-15.063179394627928</v>
      </c>
      <c r="M51" s="1">
        <f>'2x4'!E45</f>
        <v>-32.05850055772256</v>
      </c>
      <c r="N51" s="1">
        <f>'2x5'!E45</f>
        <v>-65.037079487932957</v>
      </c>
      <c r="O51" s="1">
        <f>'2x6'!E45</f>
        <v>-133.39306500362503</v>
      </c>
      <c r="P51" s="1">
        <f>'2x7'!E45</f>
        <v>-301.08142337708352</v>
      </c>
      <c r="Q51" s="1">
        <f>'2x8'!E45</f>
        <v>-973.38906671260895</v>
      </c>
      <c r="R51" s="1">
        <f>'2x9'!E45</f>
        <v>3933.190338443047</v>
      </c>
      <c r="S51" s="1">
        <f>'2x10'!E45</f>
        <v>1032.3063574349083</v>
      </c>
      <c r="T51" s="272">
        <v>1</v>
      </c>
      <c r="U51" s="1">
        <f>'3x4'!E45</f>
        <v>-10.018769723363153</v>
      </c>
      <c r="V51" s="1">
        <f>'3x5'!E45</f>
        <v>-13.974211373006918</v>
      </c>
      <c r="W51" s="1">
        <f>'3x6'!E45</f>
        <v>-18.205734263244562</v>
      </c>
      <c r="X51" s="1">
        <f>'3x7'!E45</f>
        <v>-22.578016290780226</v>
      </c>
      <c r="Y51" s="1">
        <f>'3x8'!E45</f>
        <v>-26.992024386634267</v>
      </c>
      <c r="Z51" s="1">
        <f>'3x9'!E45</f>
        <v>-31.384022130443565</v>
      </c>
      <c r="AA51" s="1">
        <f>'3x10'!E21</f>
        <v>-35.718729195257538</v>
      </c>
    </row>
    <row r="52" spans="1:27">
      <c r="A52" s="272">
        <v>2</v>
      </c>
      <c r="B52" s="1">
        <f>'1x2'!E46</f>
        <v>21.454891773355524</v>
      </c>
      <c r="C52" s="1">
        <f>'1x3'!E46</f>
        <v>34.30236196321335</v>
      </c>
      <c r="D52" s="1">
        <f>'1x4'!E46</f>
        <v>52.604082132692135</v>
      </c>
      <c r="E52" s="1">
        <f>'1x5'!E46</f>
        <v>75.883210025490527</v>
      </c>
      <c r="F52" s="1">
        <f>'1x6'!E46</f>
        <v>104.09103679815138</v>
      </c>
      <c r="G52" s="1">
        <f>'1x7'!E46</f>
        <v>137.24831196687583</v>
      </c>
      <c r="H52" s="1">
        <f>'1x8'!E46</f>
        <v>175.38786755875495</v>
      </c>
      <c r="I52" s="1">
        <f>'1x9'!E46</f>
        <v>218.54006229028192</v>
      </c>
      <c r="J52" s="1">
        <f>'1x10'!E46</f>
        <v>266.72864554351287</v>
      </c>
      <c r="K52" s="272">
        <v>2</v>
      </c>
      <c r="L52" s="1">
        <f>'2x3'!E46</f>
        <v>389.96188710671777</v>
      </c>
      <c r="M52" s="1">
        <f>'2x4'!E46</f>
        <v>223.67715430245408</v>
      </c>
      <c r="N52" s="1">
        <f>'2x5'!E46</f>
        <v>240.79762035602792</v>
      </c>
      <c r="O52" s="1">
        <f>'2x6'!E46</f>
        <v>286.2363989934716</v>
      </c>
      <c r="P52" s="1">
        <f>'2x7'!E46</f>
        <v>347.56777333843826</v>
      </c>
      <c r="Q52" s="1">
        <f>'2x8'!E46</f>
        <v>421.90783334245526</v>
      </c>
      <c r="R52" s="1">
        <f>'2x9'!E46</f>
        <v>508.35068668935696</v>
      </c>
      <c r="S52" s="1">
        <f>'2x10'!E46</f>
        <v>606.57302130583923</v>
      </c>
      <c r="T52" s="272">
        <v>2</v>
      </c>
      <c r="U52" s="1">
        <f>'3x4'!E46</f>
        <v>-150.36740848147892</v>
      </c>
      <c r="V52" s="1">
        <f>'3x5'!E46</f>
        <v>-307.63946860264952</v>
      </c>
      <c r="W52" s="1">
        <f>'3x6'!E46</f>
        <v>-568.00944310851412</v>
      </c>
      <c r="X52" s="1">
        <f>'3x7'!E46</f>
        <v>-966.77069846203335</v>
      </c>
      <c r="Y52" s="1">
        <f>'3x8'!E46</f>
        <v>-1536.1350217854351</v>
      </c>
      <c r="Z52" s="1">
        <f>'3x9'!E46</f>
        <v>-2298.395402373988</v>
      </c>
      <c r="AA52" s="1">
        <f>'3x10'!E22</f>
        <v>-1708.1308761957546</v>
      </c>
    </row>
    <row r="53" spans="1:27">
      <c r="A53" s="272">
        <v>3</v>
      </c>
      <c r="B53" s="1">
        <f>'1x2'!E47</f>
        <v>65.262984106879287</v>
      </c>
      <c r="C53" s="1">
        <f>'1x3'!E47</f>
        <v>164.59376608817348</v>
      </c>
      <c r="D53" s="1">
        <f>'1x4'!E47</f>
        <v>346.03472069592078</v>
      </c>
      <c r="E53" s="1">
        <f>'1x5'!E47</f>
        <v>634.74508381467899</v>
      </c>
      <c r="F53" s="1">
        <f>'1x6'!E47</f>
        <v>1056.4334641180392</v>
      </c>
      <c r="G53" s="1">
        <f>'1x7'!E47</f>
        <v>1637.0335930822685</v>
      </c>
      <c r="H53" s="1">
        <f>'1x8'!E47</f>
        <v>2402.6171449800468</v>
      </c>
      <c r="I53" s="1">
        <f>'1x9'!E47</f>
        <v>3379.341001133786</v>
      </c>
      <c r="J53" s="1">
        <f>'1x10'!E47</f>
        <v>4593.406206559016</v>
      </c>
      <c r="K53" s="272">
        <v>3</v>
      </c>
      <c r="L53" s="1">
        <f>'2x3'!E47</f>
        <v>755.69054498022047</v>
      </c>
      <c r="M53" s="1">
        <f>'2x4'!E47</f>
        <v>975.20101152202108</v>
      </c>
      <c r="N53" s="1">
        <f>'2x5'!E47</f>
        <v>1463.3868518539057</v>
      </c>
      <c r="O53" s="1">
        <f>'2x6'!E47</f>
        <v>2187.6352767183153</v>
      </c>
      <c r="P53" s="1">
        <f>'2x7'!E47</f>
        <v>3179.0922913811696</v>
      </c>
      <c r="Q53" s="1">
        <f>'2x8'!E47</f>
        <v>4479.0357319824807</v>
      </c>
      <c r="R53" s="1">
        <f>'2x9'!E47</f>
        <v>6131.9704898097762</v>
      </c>
      <c r="S53" s="1">
        <f>'2x10'!E47</f>
        <v>8183.7223316956333</v>
      </c>
      <c r="T53" s="272">
        <v>3</v>
      </c>
      <c r="U53" s="1">
        <f>'3x4'!E47</f>
        <v>-1609.078104694587</v>
      </c>
      <c r="V53" s="1">
        <f>'3x5'!E47</f>
        <v>-5064.4381239620689</v>
      </c>
      <c r="W53" s="1">
        <f>'3x6'!E47</f>
        <v>-15691.103850910689</v>
      </c>
      <c r="X53" s="1">
        <f>'3x7'!E47</f>
        <v>-57787.359931775391</v>
      </c>
      <c r="Y53" s="1">
        <f>'3x8'!E47</f>
        <v>-1568071.6673082707</v>
      </c>
      <c r="Z53" s="1">
        <f>'3x9'!E47</f>
        <v>197279.48858694339</v>
      </c>
      <c r="AA53" s="1">
        <f>'3x10'!E23</f>
        <v>40046.786855918741</v>
      </c>
    </row>
    <row r="54" spans="1:27">
      <c r="A54" s="272">
        <v>4</v>
      </c>
      <c r="B54" s="1">
        <f>'1x2'!E48</f>
        <v>227.56484778086073</v>
      </c>
      <c r="C54" s="1">
        <f>'1x3'!E48</f>
        <v>889.67675035176683</v>
      </c>
      <c r="D54" s="1">
        <f>'1x4'!E48</f>
        <v>2544.6539874788245</v>
      </c>
      <c r="E54" s="1">
        <f>'1x5'!E48</f>
        <v>5905.6819986558894</v>
      </c>
      <c r="F54" s="1">
        <f>'1x6'!E48</f>
        <v>11883.945799766292</v>
      </c>
      <c r="G54" s="1">
        <f>'1x7'!E48</f>
        <v>21588.885925213566</v>
      </c>
      <c r="H54" s="1">
        <f>'1x8'!E48</f>
        <v>36328.574256234533</v>
      </c>
      <c r="I54" s="1">
        <f>'1x9'!E48</f>
        <v>57609.926598636637</v>
      </c>
      <c r="J54" s="1">
        <f>'1x10'!E48</f>
        <v>87138.740172334947</v>
      </c>
      <c r="K54" s="272">
        <v>4</v>
      </c>
      <c r="L54" s="1">
        <f>'2x3'!E48</f>
        <v>3322.0262579803557</v>
      </c>
      <c r="M54" s="1">
        <f>'2x4'!E48</f>
        <v>6171.5776611910533</v>
      </c>
      <c r="N54" s="1">
        <f>'2x5'!E48</f>
        <v>11860.649824038015</v>
      </c>
      <c r="O54" s="1">
        <f>'2x6'!E48</f>
        <v>21544.828538080688</v>
      </c>
      <c r="P54" s="1">
        <f>'2x7'!E48</f>
        <v>36808.877650162831</v>
      </c>
      <c r="Q54" s="1">
        <f>'2x8'!E48</f>
        <v>59569.53269561378</v>
      </c>
      <c r="R54" s="1">
        <f>'2x9'!E48</f>
        <v>92064.51835551126</v>
      </c>
      <c r="S54" s="1">
        <f>'2x10'!E48</f>
        <v>136849.45840040053</v>
      </c>
      <c r="T54" s="272">
        <v>4</v>
      </c>
      <c r="U54" s="1">
        <f>'3x4'!E48</f>
        <v>-14789.265343914851</v>
      </c>
      <c r="V54" s="1">
        <f>'3x5'!E48</f>
        <v>-69773.59418178456</v>
      </c>
      <c r="W54" s="1">
        <f>'3x6'!E48</f>
        <v>-453968.90575970663</v>
      </c>
      <c r="X54" s="1">
        <f>'3x7'!E48</f>
        <v>1547302.3189112837</v>
      </c>
      <c r="Y54" s="1">
        <f>'3x8'!E48</f>
        <v>867180.98707249516</v>
      </c>
      <c r="Z54" s="1">
        <f>'3x9'!E48</f>
        <v>936454.98419714067</v>
      </c>
      <c r="AA54" s="1">
        <f>'3x10'!E24</f>
        <v>152495.76328550655</v>
      </c>
    </row>
    <row r="55" spans="1:27">
      <c r="A55" s="272">
        <v>5</v>
      </c>
      <c r="B55" s="1">
        <f>'1x2'!E49</f>
        <v>838.20912730269094</v>
      </c>
      <c r="C55" s="1">
        <f>'1x3'!E49</f>
        <v>5049.6369694546738</v>
      </c>
      <c r="D55" s="1">
        <f>'1x4'!E49</f>
        <v>19549.899801568499</v>
      </c>
      <c r="E55" s="1">
        <f>'1x5'!E49</f>
        <v>57185.503833980067</v>
      </c>
      <c r="F55" s="1">
        <f>'1x6'!E49</f>
        <v>138754.35535853068</v>
      </c>
      <c r="G55" s="1">
        <f>'1x7'!E49</f>
        <v>294949.91880730505</v>
      </c>
      <c r="H55" s="1">
        <f>'1x8'!E49</f>
        <v>568308.07628297689</v>
      </c>
      <c r="I55" s="1">
        <f>'1x9'!E49</f>
        <v>1015154.8409508425</v>
      </c>
      <c r="J55" s="1">
        <f>'1x10'!E49</f>
        <v>1707553.7597915225</v>
      </c>
      <c r="K55" s="272">
        <v>5</v>
      </c>
      <c r="L55" s="1">
        <f>'2x3'!E49</f>
        <v>17214.67550222305</v>
      </c>
      <c r="M55" s="1">
        <f>'2x4'!E49</f>
        <v>43578.032138869894</v>
      </c>
      <c r="N55" s="1">
        <f>'2x5'!E49</f>
        <v>105497.00529749018</v>
      </c>
      <c r="O55" s="1">
        <f>'2x6'!E49</f>
        <v>231050.46454724669</v>
      </c>
      <c r="P55" s="1">
        <f>'2x7'!E49</f>
        <v>462064.43892625824</v>
      </c>
      <c r="Q55" s="1">
        <f>'2x8'!E49</f>
        <v>856652.70595272025</v>
      </c>
      <c r="R55" s="1">
        <f>'2x9'!E49</f>
        <v>1492029.3757297439</v>
      </c>
      <c r="S55" s="1">
        <f>'2x10'!E49</f>
        <v>2467340.9336408307</v>
      </c>
      <c r="T55" s="272">
        <v>5</v>
      </c>
      <c r="U55" s="1">
        <f>'3x4'!E49</f>
        <v>-126070.36810486819</v>
      </c>
      <c r="V55" s="1">
        <f>'3x5'!E49</f>
        <v>-841802.61146394105</v>
      </c>
      <c r="W55" s="1">
        <f>'3x6'!E49</f>
        <v>-16813919.335830692</v>
      </c>
      <c r="X55" s="1">
        <f>'3x7'!E49</f>
        <v>8854586.747197764</v>
      </c>
      <c r="Y55" s="1">
        <f>'3x8'!E49</f>
        <v>9091065.8778143562</v>
      </c>
      <c r="Z55" s="1">
        <f>'3x9'!E49</f>
        <v>12209011.829350194</v>
      </c>
      <c r="AA55" s="1">
        <f>'3x10'!E25</f>
        <v>1151984.8630168799</v>
      </c>
    </row>
    <row r="56" spans="1:27">
      <c r="A56" s="272">
        <v>6</v>
      </c>
      <c r="B56" s="1">
        <f>'1x2'!E50</f>
        <v>3177.1830526835429</v>
      </c>
      <c r="C56" s="1">
        <f>'1x3'!E50</f>
        <v>29358.713626906414</v>
      </c>
      <c r="D56" s="1">
        <f>'1x4'!E50</f>
        <v>153230.76467082248</v>
      </c>
      <c r="E56" s="1">
        <f>'1x5'!E50</f>
        <v>563324.94239329803</v>
      </c>
      <c r="F56" s="1">
        <f>'1x6'!E50</f>
        <v>1645040.7085762885</v>
      </c>
      <c r="G56" s="1">
        <f>'1x7'!E50</f>
        <v>4086680.4675279539</v>
      </c>
      <c r="H56" s="1">
        <f>'1x8'!E50</f>
        <v>9008658.980052771</v>
      </c>
      <c r="I56" s="1">
        <f>'1x9'!E50</f>
        <v>18115888.280076541</v>
      </c>
      <c r="J56" s="1">
        <f>'1x10'!E50</f>
        <v>33873333.681481838</v>
      </c>
      <c r="K56" s="272">
        <v>6</v>
      </c>
      <c r="L56" s="1">
        <f>'2x3'!E50</f>
        <v>95270.745250482956</v>
      </c>
      <c r="M56" s="1">
        <f>'2x4'!E50</f>
        <v>323099.68725079601</v>
      </c>
      <c r="N56" s="1">
        <f>'2x5'!E50</f>
        <v>979390.43157134741</v>
      </c>
      <c r="O56" s="1">
        <f>'2x6'!E50</f>
        <v>2578313.5835520779</v>
      </c>
      <c r="P56" s="1">
        <f>'2x7'!E50</f>
        <v>6024997.0308499755</v>
      </c>
      <c r="Q56" s="1">
        <f>'2x8'!E50</f>
        <v>12782546.050768694</v>
      </c>
      <c r="R56" s="1">
        <f>'2x9'!E50</f>
        <v>25071897.722044703</v>
      </c>
      <c r="S56" s="1">
        <f>'2x10'!E50</f>
        <v>46103504.283131577</v>
      </c>
      <c r="T56" s="272">
        <v>6</v>
      </c>
      <c r="U56" s="1">
        <f>'3x4'!E50</f>
        <v>-1037338.0168362441</v>
      </c>
      <c r="V56" s="1">
        <f>'3x5'!E50</f>
        <v>-9310031.6917037256</v>
      </c>
      <c r="W56" s="1">
        <f>'3x6'!E50</f>
        <v>7688958829.6859779</v>
      </c>
      <c r="X56" s="1">
        <f>'3x7'!E50</f>
        <v>95197906.740295351</v>
      </c>
      <c r="Y56" s="1">
        <f>'3x8'!E50</f>
        <v>123181932.76749195</v>
      </c>
      <c r="Z56" s="1">
        <f>'3x9'!E50</f>
        <v>191566287.09123188</v>
      </c>
      <c r="AA56" s="1">
        <f>'3x10'!E26</f>
        <v>10174581.277626436</v>
      </c>
    </row>
    <row r="57" spans="1:27">
      <c r="A57" s="272">
        <v>7</v>
      </c>
      <c r="B57" s="1">
        <f>'1x2'!E51</f>
        <v>12246.62920116746</v>
      </c>
      <c r="C57" s="1">
        <f>'1x3'!E51</f>
        <v>172918.30491196833</v>
      </c>
      <c r="D57" s="1">
        <f>'1x4'!E51</f>
        <v>1212873.9264301485</v>
      </c>
      <c r="E57" s="1">
        <f>'1x5'!E51</f>
        <v>5593007.0947083347</v>
      </c>
      <c r="F57" s="1">
        <f>'1x6'!E51</f>
        <v>19633428.293708697</v>
      </c>
      <c r="G57" s="1">
        <f>'1x7'!E51</f>
        <v>56957797.069634356</v>
      </c>
      <c r="H57" s="1">
        <f>'1x8'!E51</f>
        <v>143576386.86056402</v>
      </c>
      <c r="I57" s="1">
        <f>'1x9'!E51</f>
        <v>324931201.28488404</v>
      </c>
      <c r="J57" s="1">
        <f>'1x10'!E51</f>
        <v>675226431.65297711</v>
      </c>
      <c r="K57" s="272">
        <v>7</v>
      </c>
      <c r="L57" s="1">
        <f>'2x3'!E51</f>
        <v>544804.35334962222</v>
      </c>
      <c r="M57" s="1">
        <f>'2x4'!E51</f>
        <v>2458852.3374391785</v>
      </c>
      <c r="N57" s="1">
        <f>'2x5'!E51</f>
        <v>9307170.6494061891</v>
      </c>
      <c r="O57" s="1">
        <f>'2x6'!E51</f>
        <v>29408529.493407045</v>
      </c>
      <c r="P57" s="1">
        <f>'2x7'!E51</f>
        <v>80231083.314272389</v>
      </c>
      <c r="Q57" s="1">
        <f>'2x8'!E51</f>
        <v>194681684.90454161</v>
      </c>
      <c r="R57" s="1">
        <f>'2x9'!E51</f>
        <v>429870687.64110595</v>
      </c>
      <c r="S57" s="1">
        <f>'2x10'!E51</f>
        <v>878771028.23626399</v>
      </c>
      <c r="T57" s="272">
        <v>7</v>
      </c>
      <c r="U57" s="1">
        <f>'3x4'!E51</f>
        <v>-8401013.490425162</v>
      </c>
      <c r="V57" s="1">
        <f>'3x5'!E51</f>
        <v>-97967037.334647298</v>
      </c>
      <c r="W57" s="1">
        <f>'3x6'!E51</f>
        <v>4505819855.3054228</v>
      </c>
      <c r="X57" s="1">
        <f>'3x7'!E51</f>
        <v>1189632674.5889258</v>
      </c>
      <c r="Y57" s="1">
        <f>'3x8'!E51</f>
        <v>1822206651.2530792</v>
      </c>
      <c r="Z57" s="1">
        <f>'3x9'!E51</f>
        <v>3223593095.660675</v>
      </c>
      <c r="AA57" s="1">
        <f>'3x10'!E27</f>
        <v>95602521.720526472</v>
      </c>
    </row>
    <row r="58" spans="1:27">
      <c r="A58" s="272">
        <v>8</v>
      </c>
      <c r="B58" s="1">
        <f>'1x2'!E52</f>
        <v>47705.633709602851</v>
      </c>
      <c r="C58" s="1">
        <f>'1x3'!E52</f>
        <v>1025996.5342195514</v>
      </c>
      <c r="D58" s="1">
        <f>'1x4'!E52</f>
        <v>9648689.2845939826</v>
      </c>
      <c r="E58" s="1">
        <f>'1x5'!E52</f>
        <v>55737062.902829431</v>
      </c>
      <c r="F58" s="1">
        <f>'1x6'!E52</f>
        <v>235020669.64775851</v>
      </c>
      <c r="G58" s="1">
        <f>'1x7'!E52</f>
        <v>795856891.55211878</v>
      </c>
      <c r="H58" s="1">
        <f>'1x8'!E52</f>
        <v>2293433037.3037887</v>
      </c>
      <c r="I58" s="1">
        <f>'1x9'!E52</f>
        <v>5840180174.665143</v>
      </c>
      <c r="J58" s="1">
        <f>'1x10'!E52</f>
        <v>13486293555.197826</v>
      </c>
      <c r="K58" s="272">
        <v>8</v>
      </c>
      <c r="L58" s="1">
        <f>'2x3'!E52</f>
        <v>3172737.7566717374</v>
      </c>
      <c r="M58" s="1">
        <f>'2x4'!E52</f>
        <v>19005047.169325378</v>
      </c>
      <c r="N58" s="1">
        <f>'2x5'!E52</f>
        <v>89709439.806107566</v>
      </c>
      <c r="O58" s="1">
        <f>'2x6'!E52</f>
        <v>339955838.33533382</v>
      </c>
      <c r="P58" s="1">
        <f>'2x7'!E52</f>
        <v>1082249857.5982425</v>
      </c>
      <c r="Q58" s="1">
        <f>'2x8'!E52</f>
        <v>3002598437.0862513</v>
      </c>
      <c r="R58" s="1">
        <f>'2x9'!E52</f>
        <v>7462161713.6067228</v>
      </c>
      <c r="S58" s="1">
        <f>'2x10'!E52</f>
        <v>16956425495.405718</v>
      </c>
      <c r="T58" s="272">
        <v>8</v>
      </c>
      <c r="U58" s="1">
        <f>'3x4'!E52</f>
        <v>-67564875.105759948</v>
      </c>
      <c r="V58" s="1">
        <f>'3x5'!E52</f>
        <v>-1004400572.3162198</v>
      </c>
      <c r="W58" s="1">
        <f>'3x6'!E52</f>
        <v>36616460800.977707</v>
      </c>
      <c r="X58" s="1">
        <f>'3x7'!E52</f>
        <v>15770099916.215988</v>
      </c>
      <c r="Y58" s="1">
        <f>'3x8'!E52</f>
        <v>28019183668.634445</v>
      </c>
      <c r="Z58" s="1">
        <f>'3x9'!E52</f>
        <v>56024635317.140625</v>
      </c>
      <c r="AA58" s="1">
        <f>'3x10'!E28</f>
        <v>924991944.03413844</v>
      </c>
    </row>
    <row r="59" spans="1:27">
      <c r="A59" s="272">
        <v>9</v>
      </c>
      <c r="B59" s="1">
        <f>'1x2'!E53</f>
        <v>187136.33572740454</v>
      </c>
      <c r="C59" s="1">
        <f>'1x3'!E53</f>
        <v>6114157.7140823314</v>
      </c>
      <c r="D59" s="1">
        <f>'1x4'!E53</f>
        <v>76959515.430648237</v>
      </c>
      <c r="E59" s="1">
        <f>'1x5'!E53</f>
        <v>556437521.27834713</v>
      </c>
      <c r="F59" s="1">
        <f>'1x6'!E53</f>
        <v>2817081623.6447339</v>
      </c>
      <c r="G59" s="1">
        <f>'1x7'!E53</f>
        <v>11132526974.653902</v>
      </c>
      <c r="H59" s="1">
        <f>'1x8'!E53</f>
        <v>36669276346.169762</v>
      </c>
      <c r="I59" s="1">
        <f>'1x9'!E53</f>
        <v>105059219052.80118</v>
      </c>
      <c r="J59" s="1">
        <f>'1x10'!E53</f>
        <v>269576890242.10867</v>
      </c>
      <c r="K59" s="272">
        <v>9</v>
      </c>
      <c r="L59" s="1">
        <f>'2x3'!E53</f>
        <v>18677913.102123428</v>
      </c>
      <c r="M59" s="1">
        <f>'2x4'!E53</f>
        <v>148358630.8492848</v>
      </c>
      <c r="N59" s="1">
        <f>'2x5'!E53</f>
        <v>872727460.04524338</v>
      </c>
      <c r="O59" s="1">
        <f>'2x6'!E53</f>
        <v>3964507532.5665755</v>
      </c>
      <c r="P59" s="1">
        <f>'2x7'!E53</f>
        <v>14723105237.379204</v>
      </c>
      <c r="Q59" s="1">
        <f>'2x8'!E53</f>
        <v>46695236451.63031</v>
      </c>
      <c r="R59" s="1">
        <f>'2x9'!E53</f>
        <v>130598902085.12845</v>
      </c>
      <c r="S59" s="1">
        <f>'2x10'!E53</f>
        <v>329840326173.8045</v>
      </c>
      <c r="T59" s="272">
        <v>9</v>
      </c>
      <c r="U59" s="1">
        <f>'3x4'!E53</f>
        <v>-541752470.0841769</v>
      </c>
      <c r="V59" s="1">
        <f>'3x5'!E53</f>
        <v>-10165134267.879129</v>
      </c>
      <c r="W59" s="1">
        <f>'3x6'!E53</f>
        <v>378054259705.68158</v>
      </c>
      <c r="X59" s="1">
        <f>'3x7'!E53</f>
        <v>214797413050.51727</v>
      </c>
      <c r="Y59" s="1">
        <f>'3x8'!E53</f>
        <v>439070057086.51654</v>
      </c>
      <c r="Z59" s="1">
        <f>'3x9'!E53</f>
        <v>989652805761.77991</v>
      </c>
      <c r="AA59" s="1">
        <f>'3x10'!E29</f>
        <v>9085160035.4059792</v>
      </c>
    </row>
    <row r="60" spans="1:27">
      <c r="A60" s="272">
        <v>10</v>
      </c>
      <c r="B60" s="1">
        <f>'1x2'!E54</f>
        <v>737640.26939194894</v>
      </c>
      <c r="C60" s="1">
        <f>'1x3'!E54</f>
        <v>36531152.622648247</v>
      </c>
      <c r="D60" s="1">
        <f>'1x4'!E54</f>
        <v>614695837.12922215</v>
      </c>
      <c r="E60" s="1">
        <f>'1x5'!E54</f>
        <v>5559846561.6688719</v>
      </c>
      <c r="F60" s="1">
        <f>'1x6'!E54</f>
        <v>33787659162.189304</v>
      </c>
      <c r="G60" s="1">
        <f>'1x7'!E54</f>
        <v>155797483198.95151</v>
      </c>
      <c r="H60" s="1">
        <f>'1x8'!E54</f>
        <v>586534436255.32922</v>
      </c>
      <c r="I60" s="1">
        <f>'1x9'!E54</f>
        <v>1890587488204.4412</v>
      </c>
      <c r="J60" s="1">
        <f>'1x10'!E54</f>
        <v>5390318784916.502</v>
      </c>
      <c r="K60" s="272">
        <v>10</v>
      </c>
      <c r="L60" s="1">
        <f>'2x3'!E54</f>
        <v>110695821.87237141</v>
      </c>
      <c r="M60" s="1">
        <f>'2x4'!E54</f>
        <v>1165868245.050189</v>
      </c>
      <c r="N60" s="1">
        <f>'2x5'!E54</f>
        <v>8544478383.9316072</v>
      </c>
      <c r="O60" s="1">
        <f>'2x6'!E54</f>
        <v>46515774087.349869</v>
      </c>
      <c r="P60" s="1">
        <f>'2x7'!E54</f>
        <v>201479315818.92551</v>
      </c>
      <c r="Q60" s="1">
        <f>'2x8'!E54</f>
        <v>730384271258.37671</v>
      </c>
      <c r="R60" s="1">
        <f>'2x9'!E54</f>
        <v>2298694041934.021</v>
      </c>
      <c r="S60" s="1">
        <f>'2x10'!E54</f>
        <v>6452309150410.251</v>
      </c>
      <c r="T60" s="272">
        <v>10</v>
      </c>
      <c r="U60" s="1">
        <f>'3x4'!E54</f>
        <v>-4338268390.6250706</v>
      </c>
      <c r="V60" s="1">
        <f>'3x5'!E54</f>
        <v>-102233938470.62384</v>
      </c>
      <c r="W60" s="1">
        <f>'3x6'!E54</f>
        <v>4238726212071.1138</v>
      </c>
      <c r="X60" s="1">
        <f>'3x7'!E54</f>
        <v>2964935257634.1934</v>
      </c>
      <c r="Y60" s="1">
        <f>'3x8'!E54</f>
        <v>6947650721653.9912</v>
      </c>
      <c r="Z60" s="1">
        <f>'3x9'!E54</f>
        <v>17632267482924.352</v>
      </c>
      <c r="AA60" s="1">
        <f>'3x10'!E30</f>
        <v>89953745670.084015</v>
      </c>
    </row>
    <row r="61" spans="1:27">
      <c r="B61" s="385" t="s">
        <v>155</v>
      </c>
      <c r="C61" s="385"/>
      <c r="D61" s="385"/>
      <c r="E61" s="385"/>
      <c r="F61" s="385"/>
      <c r="G61" s="385"/>
      <c r="H61" s="385"/>
      <c r="I61" s="385"/>
      <c r="J61" s="385"/>
      <c r="L61" s="385" t="s">
        <v>155</v>
      </c>
      <c r="M61" s="385"/>
      <c r="N61" s="385"/>
      <c r="O61" s="385"/>
      <c r="P61" s="385"/>
      <c r="Q61" s="385"/>
      <c r="R61" s="385"/>
      <c r="S61" s="385"/>
      <c r="U61" s="385" t="s">
        <v>174</v>
      </c>
      <c r="V61" s="385"/>
      <c r="W61" s="385"/>
      <c r="X61" s="385"/>
      <c r="Y61" s="385"/>
      <c r="Z61" s="385"/>
      <c r="AA61" s="385"/>
    </row>
    <row r="62" spans="1:27">
      <c r="A62" s="272" t="s">
        <v>56</v>
      </c>
      <c r="B62" s="49" t="s">
        <v>139</v>
      </c>
      <c r="C62" s="49" t="s">
        <v>140</v>
      </c>
      <c r="D62" s="49" t="s">
        <v>141</v>
      </c>
      <c r="E62" s="49" t="s">
        <v>142</v>
      </c>
      <c r="F62" s="49" t="s">
        <v>143</v>
      </c>
      <c r="G62" s="49" t="s">
        <v>144</v>
      </c>
      <c r="H62" s="49" t="s">
        <v>145</v>
      </c>
      <c r="I62" s="49" t="s">
        <v>146</v>
      </c>
      <c r="J62" s="49" t="s">
        <v>147</v>
      </c>
      <c r="K62" s="272" t="s">
        <v>56</v>
      </c>
      <c r="L62" s="49" t="s">
        <v>156</v>
      </c>
      <c r="M62" s="49" t="s">
        <v>157</v>
      </c>
      <c r="N62" s="49" t="s">
        <v>158</v>
      </c>
      <c r="O62" s="49" t="s">
        <v>159</v>
      </c>
      <c r="P62" s="49" t="s">
        <v>160</v>
      </c>
      <c r="Q62" s="49" t="s">
        <v>161</v>
      </c>
      <c r="R62" s="49" t="s">
        <v>162</v>
      </c>
      <c r="S62" s="49" t="s">
        <v>163</v>
      </c>
      <c r="T62" s="272" t="s">
        <v>56</v>
      </c>
      <c r="U62" s="49" t="s">
        <v>167</v>
      </c>
      <c r="V62" s="49" t="s">
        <v>168</v>
      </c>
      <c r="W62" s="49" t="s">
        <v>169</v>
      </c>
      <c r="X62" s="49" t="s">
        <v>170</v>
      </c>
      <c r="Y62" s="49" t="s">
        <v>171</v>
      </c>
      <c r="Z62" s="49" t="s">
        <v>172</v>
      </c>
      <c r="AA62" s="49" t="s">
        <v>173</v>
      </c>
    </row>
    <row r="63" spans="1:27">
      <c r="A63" s="272">
        <v>2</v>
      </c>
      <c r="B63" s="255">
        <f t="shared" ref="B63:J63" si="0">B4/B28</f>
        <v>1.1875134410793327</v>
      </c>
      <c r="C63" s="255">
        <f t="shared" si="0"/>
        <v>2.6227428798139893</v>
      </c>
      <c r="D63" s="255">
        <f t="shared" si="0"/>
        <v>3.1105604815595487</v>
      </c>
      <c r="E63" s="255">
        <f t="shared" si="0"/>
        <v>3.1993220260245647</v>
      </c>
      <c r="F63" s="255">
        <f t="shared" si="0"/>
        <v>3.1289075323459796</v>
      </c>
      <c r="G63" s="255">
        <f t="shared" si="0"/>
        <v>2.9972199570751936</v>
      </c>
      <c r="H63" s="255">
        <f t="shared" si="0"/>
        <v>2.8456987174504933</v>
      </c>
      <c r="I63" s="255">
        <f t="shared" si="0"/>
        <v>2.6924116604491144</v>
      </c>
      <c r="J63" s="255">
        <f t="shared" si="0"/>
        <v>2.545207612671847</v>
      </c>
      <c r="K63" s="272">
        <v>2</v>
      </c>
      <c r="L63" s="1">
        <f t="shared" ref="L63:S63" si="1">L4/L28</f>
        <v>-3.8039390533111153</v>
      </c>
      <c r="M63" s="1">
        <f t="shared" si="1"/>
        <v>-0.62847576750906542</v>
      </c>
      <c r="N63" s="1">
        <f t="shared" si="1"/>
        <v>-0.46927037136929151</v>
      </c>
      <c r="O63" s="1">
        <f t="shared" si="1"/>
        <v>-0.28827840714787134</v>
      </c>
      <c r="P63" s="1">
        <f t="shared" si="1"/>
        <v>-0.14936477789381852</v>
      </c>
      <c r="Q63" s="1">
        <f t="shared" si="1"/>
        <v>-5.3572685545712276E-2</v>
      </c>
      <c r="R63" s="1">
        <f t="shared" si="1"/>
        <v>9.3827650652724675E-3</v>
      </c>
      <c r="S63" s="1">
        <f t="shared" si="1"/>
        <v>4.9433708073489374E-2</v>
      </c>
      <c r="T63" s="272">
        <v>2</v>
      </c>
      <c r="U63" s="1">
        <f t="shared" ref="U63:AA63" si="2">U4/U28</f>
        <v>4.2214319086193015</v>
      </c>
      <c r="V63" s="1">
        <f t="shared" si="2"/>
        <v>2.4099670465632514</v>
      </c>
      <c r="W63" s="1">
        <f t="shared" si="2"/>
        <v>1.4922823731428596</v>
      </c>
      <c r="X63" s="1">
        <f t="shared" si="2"/>
        <v>0.98992761423084485</v>
      </c>
      <c r="Y63" s="1">
        <f t="shared" si="2"/>
        <v>0.69737788845209758</v>
      </c>
      <c r="Z63" s="1">
        <f t="shared" si="2"/>
        <v>0.51813485146424332</v>
      </c>
      <c r="AA63" s="1">
        <f t="shared" si="2"/>
        <v>0.40349541982388681</v>
      </c>
    </row>
    <row r="64" spans="1:27">
      <c r="A64" s="272">
        <v>3</v>
      </c>
      <c r="B64" s="255">
        <f t="shared" ref="B64:J64" si="3">B5/B29</f>
        <v>1.3693242369437746</v>
      </c>
      <c r="C64" s="255">
        <f t="shared" si="3"/>
        <v>1.9366672509912279</v>
      </c>
      <c r="D64" s="255">
        <f t="shared" si="3"/>
        <v>1.6715783094036933</v>
      </c>
      <c r="E64" s="255">
        <f t="shared" si="3"/>
        <v>1.3470671409191393</v>
      </c>
      <c r="F64" s="255">
        <f t="shared" si="3"/>
        <v>1.0824319370702133</v>
      </c>
      <c r="G64" s="255">
        <f t="shared" si="3"/>
        <v>0.88026410554591927</v>
      </c>
      <c r="H64" s="255">
        <f t="shared" si="3"/>
        <v>0.72654195060731452</v>
      </c>
      <c r="I64" s="255">
        <f t="shared" si="3"/>
        <v>0.60833030062570259</v>
      </c>
      <c r="J64" s="255">
        <f t="shared" si="3"/>
        <v>0.51601930160696829</v>
      </c>
      <c r="K64" s="272">
        <v>3</v>
      </c>
      <c r="L64" s="1">
        <f t="shared" ref="L64:S64" si="4">L5/L29</f>
        <v>-1.5203621541683703</v>
      </c>
      <c r="M64" s="1">
        <f t="shared" si="4"/>
        <v>-0.56969526255050196</v>
      </c>
      <c r="N64" s="1">
        <f t="shared" si="4"/>
        <v>-0.30627057255644924</v>
      </c>
      <c r="O64" s="1">
        <f t="shared" si="4"/>
        <v>-0.14971118904219854</v>
      </c>
      <c r="P64" s="1">
        <f t="shared" si="4"/>
        <v>-6.4802909638711451E-2</v>
      </c>
      <c r="Q64" s="1">
        <f t="shared" si="4"/>
        <v>-2.0018167349453945E-2</v>
      </c>
      <c r="R64" s="1">
        <f t="shared" si="4"/>
        <v>3.0846210230344325E-3</v>
      </c>
      <c r="S64" s="1">
        <f t="shared" si="4"/>
        <v>1.4526834031845515E-2</v>
      </c>
      <c r="T64" s="272">
        <v>3</v>
      </c>
      <c r="U64" s="1">
        <f t="shared" ref="U64:AA64" si="5">U5/U29</f>
        <v>1.5870017715821021</v>
      </c>
      <c r="V64" s="1">
        <f t="shared" si="5"/>
        <v>0.59550317626366178</v>
      </c>
      <c r="W64" s="1">
        <f t="shared" si="5"/>
        <v>0.22107514039004014</v>
      </c>
      <c r="X64" s="1">
        <f t="shared" si="5"/>
        <v>6.8019769744394137E-2</v>
      </c>
      <c r="Y64" s="1">
        <f t="shared" si="5"/>
        <v>2.8123115497702676E-3</v>
      </c>
      <c r="Z64" s="1">
        <f t="shared" si="5"/>
        <v>-2.488806728466467E-2</v>
      </c>
      <c r="AA64" s="1">
        <f t="shared" si="5"/>
        <v>-3.5756058297670409E-2</v>
      </c>
    </row>
    <row r="65" spans="1:27">
      <c r="A65" s="272">
        <v>4</v>
      </c>
      <c r="B65" s="255">
        <f t="shared" ref="B65:J65" si="6">B6/B30</f>
        <v>1.2041494425037444</v>
      </c>
      <c r="C65" s="255">
        <f t="shared" si="6"/>
        <v>1.0954171371948696</v>
      </c>
      <c r="D65" s="255">
        <f t="shared" si="6"/>
        <v>0.68724539298318177</v>
      </c>
      <c r="E65" s="255">
        <f t="shared" si="6"/>
        <v>0.43386289419980795</v>
      </c>
      <c r="F65" s="255">
        <f t="shared" si="6"/>
        <v>0.28654347982259382</v>
      </c>
      <c r="G65" s="255">
        <f t="shared" si="6"/>
        <v>0.19790634539264901</v>
      </c>
      <c r="H65" s="255">
        <f t="shared" si="6"/>
        <v>0.14203817724452791</v>
      </c>
      <c r="I65" s="255">
        <f t="shared" si="6"/>
        <v>0.10526101732274767</v>
      </c>
      <c r="J65" s="255">
        <f t="shared" si="6"/>
        <v>8.0120140918202409E-2</v>
      </c>
      <c r="K65" s="272">
        <v>4</v>
      </c>
      <c r="L65" s="1">
        <f t="shared" ref="L65:S65" si="7">L6/L30</f>
        <v>-0.51866892602279335</v>
      </c>
      <c r="M65" s="1">
        <f t="shared" si="7"/>
        <v>-0.30365755488117874</v>
      </c>
      <c r="N65" s="1">
        <f t="shared" si="7"/>
        <v>-0.12715255941603321</v>
      </c>
      <c r="O65" s="1">
        <f t="shared" si="7"/>
        <v>-5.0973405837811084E-2</v>
      </c>
      <c r="P65" s="1">
        <f t="shared" si="7"/>
        <v>-1.8708762463454837E-2</v>
      </c>
      <c r="Q65" s="1">
        <f t="shared" si="7"/>
        <v>-5.018833363974822E-3</v>
      </c>
      <c r="R65" s="1">
        <f t="shared" si="7"/>
        <v>6.8376536075202116E-4</v>
      </c>
      <c r="S65" s="1">
        <f t="shared" si="7"/>
        <v>2.88714860626224E-3</v>
      </c>
      <c r="T65" s="272">
        <v>4</v>
      </c>
      <c r="U65" s="1">
        <f t="shared" ref="U65:AA65" si="8">U6/U30</f>
        <v>0.5890608037290368</v>
      </c>
      <c r="V65" s="1">
        <f t="shared" si="8"/>
        <v>0.14825628800957749</v>
      </c>
      <c r="W65" s="1">
        <f t="shared" si="8"/>
        <v>2.627083716347588E-2</v>
      </c>
      <c r="X65" s="1">
        <f t="shared" si="8"/>
        <v>-8.7430618293034452E-3</v>
      </c>
      <c r="Y65" s="1">
        <f t="shared" si="8"/>
        <v>-1.7510847419235136E-2</v>
      </c>
      <c r="Z65" s="1">
        <f t="shared" si="8"/>
        <v>-1.8058293681876669E-2</v>
      </c>
      <c r="AA65" s="1">
        <f t="shared" si="8"/>
        <v>-1.6184875435920631E-2</v>
      </c>
    </row>
    <row r="66" spans="1:27">
      <c r="A66" s="272">
        <v>5</v>
      </c>
      <c r="B66" s="255">
        <f t="shared" ref="B66:J66" si="9">B7/B31</f>
        <v>0.926871945880129</v>
      </c>
      <c r="C66" s="255">
        <f t="shared" si="9"/>
        <v>0.53860723318334092</v>
      </c>
      <c r="D66" s="255">
        <f t="shared" si="9"/>
        <v>0.24573130592668446</v>
      </c>
      <c r="E66" s="255">
        <f t="shared" si="9"/>
        <v>0.12182666168655121</v>
      </c>
      <c r="F66" s="255">
        <f t="shared" si="9"/>
        <v>6.6291649124134558E-2</v>
      </c>
      <c r="G66" s="255">
        <f t="shared" si="9"/>
        <v>3.8961076657192936E-2</v>
      </c>
      <c r="H66" s="255">
        <f t="shared" si="9"/>
        <v>2.4350636379496814E-2</v>
      </c>
      <c r="I66" s="255">
        <f t="shared" si="9"/>
        <v>1.5989013920375363E-2</v>
      </c>
      <c r="J66" s="255">
        <f t="shared" si="9"/>
        <v>1.0928957122135799E-2</v>
      </c>
      <c r="K66" s="272">
        <v>5</v>
      </c>
      <c r="L66" s="1">
        <f t="shared" ref="L66:S66" si="10">L7/L31</f>
        <v>-0.15969768998937825</v>
      </c>
      <c r="M66" s="1">
        <f t="shared" si="10"/>
        <v>-0.1314023644246366</v>
      </c>
      <c r="N66" s="1">
        <f t="shared" si="10"/>
        <v>-4.3464975584940738E-2</v>
      </c>
      <c r="O66" s="1">
        <f t="shared" si="10"/>
        <v>-1.4382038645609895E-2</v>
      </c>
      <c r="P66" s="1">
        <f t="shared" si="10"/>
        <v>-4.4918029848373172E-3</v>
      </c>
      <c r="Q66" s="1">
        <f t="shared" si="10"/>
        <v>-1.0486688225539861E-3</v>
      </c>
      <c r="R66" s="1">
        <f t="shared" si="10"/>
        <v>1.2649302952179954E-4</v>
      </c>
      <c r="S66" s="1">
        <f t="shared" si="10"/>
        <v>4.7931053701535741E-4</v>
      </c>
      <c r="T66" s="272">
        <v>5</v>
      </c>
      <c r="U66" s="1">
        <f t="shared" ref="U66:AA66" si="11">U7/U31</f>
        <v>0.21245372879244806</v>
      </c>
      <c r="V66" s="1">
        <f t="shared" si="11"/>
        <v>3.7888833947578401E-2</v>
      </c>
      <c r="W66" s="1">
        <f t="shared" si="11"/>
        <v>2.1896522406287702E-3</v>
      </c>
      <c r="X66" s="1">
        <f t="shared" si="11"/>
        <v>-4.7189180346114967E-3</v>
      </c>
      <c r="Y66" s="1">
        <f t="shared" si="11"/>
        <v>-5.1602348658105184E-3</v>
      </c>
      <c r="Z66" s="1">
        <f t="shared" si="11"/>
        <v>-4.2794331643186212E-3</v>
      </c>
      <c r="AA66" s="1">
        <f t="shared" si="11"/>
        <v>-3.3100889052165004E-3</v>
      </c>
    </row>
    <row r="67" spans="1:27">
      <c r="A67" s="272">
        <v>6</v>
      </c>
      <c r="B67" s="255">
        <f t="shared" ref="B67:J67" si="12">B8/B32</f>
        <v>0.65642149758018742</v>
      </c>
      <c r="C67" s="255">
        <f t="shared" si="12"/>
        <v>0.24270368935189435</v>
      </c>
      <c r="D67" s="255">
        <f t="shared" si="12"/>
        <v>8.0771495778057825E-2</v>
      </c>
      <c r="E67" s="255">
        <f t="shared" si="12"/>
        <v>3.1556011647613874E-2</v>
      </c>
      <c r="F67" s="255">
        <f t="shared" si="12"/>
        <v>1.418511000969048E-2</v>
      </c>
      <c r="G67" s="255">
        <f t="shared" si="12"/>
        <v>7.1077748038198387E-3</v>
      </c>
      <c r="H67" s="255">
        <f t="shared" si="12"/>
        <v>3.8737142837294292E-3</v>
      </c>
      <c r="I67" s="255">
        <f t="shared" si="12"/>
        <v>2.2557737575343191E-3</v>
      </c>
      <c r="J67" s="255">
        <f t="shared" si="12"/>
        <v>1.3855514555910957E-3</v>
      </c>
      <c r="K67" s="272">
        <v>6</v>
      </c>
      <c r="L67" s="1">
        <f t="shared" ref="L67:S67" si="13">L8/L32</f>
        <v>-4.5836872797788121E-2</v>
      </c>
      <c r="M67" s="1">
        <f t="shared" si="13"/>
        <v>-5.0597197445753452E-2</v>
      </c>
      <c r="N67" s="1">
        <f t="shared" si="13"/>
        <v>-1.3294247618476127E-2</v>
      </c>
      <c r="O67" s="1">
        <f t="shared" si="13"/>
        <v>-3.6411158831190448E-3</v>
      </c>
      <c r="P67" s="1">
        <f t="shared" si="13"/>
        <v>-9.6925804540117866E-4</v>
      </c>
      <c r="Q67" s="1">
        <f t="shared" si="13"/>
        <v>-1.9712994837633047E-4</v>
      </c>
      <c r="R67" s="1">
        <f t="shared" si="13"/>
        <v>2.1066220615821443E-5</v>
      </c>
      <c r="S67" s="1">
        <f t="shared" si="13"/>
        <v>7.1666087744349128E-5</v>
      </c>
      <c r="T67" s="272">
        <v>6</v>
      </c>
      <c r="U67" s="1">
        <f t="shared" ref="U67:AA67" si="14">U8/U32</f>
        <v>7.3878969623645471E-2</v>
      </c>
      <c r="V67" s="1">
        <f t="shared" si="14"/>
        <v>9.8226844348524734E-3</v>
      </c>
      <c r="W67" s="1">
        <f t="shared" si="14"/>
        <v>-1.3743244521832924E-5</v>
      </c>
      <c r="X67" s="1">
        <f t="shared" si="14"/>
        <v>-1.2604770668766456E-3</v>
      </c>
      <c r="Y67" s="1">
        <f t="shared" si="14"/>
        <v>-1.0940000015572206E-3</v>
      </c>
      <c r="Z67" s="1">
        <f t="shared" si="14"/>
        <v>-7.8360614411558942E-4</v>
      </c>
      <c r="AA67" s="1">
        <f t="shared" si="14"/>
        <v>-5.3843427769988876E-4</v>
      </c>
    </row>
    <row r="68" spans="1:27">
      <c r="A68" s="272">
        <v>7</v>
      </c>
      <c r="B68" s="255">
        <f t="shared" ref="B68:J68" si="15">B9/B33</f>
        <v>0.43859764444335186</v>
      </c>
      <c r="C68" s="255">
        <f t="shared" si="15"/>
        <v>0.10311830384318348</v>
      </c>
      <c r="D68" s="255">
        <f t="shared" si="15"/>
        <v>2.513302543565625E-2</v>
      </c>
      <c r="E68" s="255">
        <f t="shared" si="15"/>
        <v>7.7626722407706673E-3</v>
      </c>
      <c r="F68" s="255">
        <f t="shared" si="15"/>
        <v>2.8889714160714223E-3</v>
      </c>
      <c r="G68" s="255">
        <f t="shared" si="15"/>
        <v>1.2359550206752991E-3</v>
      </c>
      <c r="H68" s="255">
        <f t="shared" si="15"/>
        <v>5.8794166233084406E-4</v>
      </c>
      <c r="I68" s="255">
        <f t="shared" si="15"/>
        <v>3.0384160298142039E-4</v>
      </c>
      <c r="J68" s="255">
        <f t="shared" si="15"/>
        <v>1.6778132739158103E-4</v>
      </c>
      <c r="K68" s="272">
        <v>7</v>
      </c>
      <c r="L68" s="1">
        <f t="shared" ref="L68:S68" si="16">L9/L33</f>
        <v>-1.2505728159752991E-2</v>
      </c>
      <c r="M68" s="1">
        <f t="shared" si="16"/>
        <v>-1.8069782216932406E-2</v>
      </c>
      <c r="N68" s="1">
        <f t="shared" si="16"/>
        <v>-3.7825387363975599E-3</v>
      </c>
      <c r="O68" s="1">
        <f t="shared" si="16"/>
        <v>-8.588898293867194E-4</v>
      </c>
      <c r="P68" s="1">
        <f t="shared" si="16"/>
        <v>-1.9504862569855389E-4</v>
      </c>
      <c r="Q68" s="1">
        <f t="shared" si="16"/>
        <v>-3.4577268927513821E-5</v>
      </c>
      <c r="R68" s="1">
        <f t="shared" si="16"/>
        <v>3.2747795301742038E-6</v>
      </c>
      <c r="S68" s="1">
        <f t="shared" si="16"/>
        <v>1.0004273918173438E-5</v>
      </c>
      <c r="T68" s="272">
        <v>7</v>
      </c>
      <c r="U68" s="1">
        <f t="shared" ref="U68:AA68" si="17">U9/U33</f>
        <v>2.4775839085659567E-2</v>
      </c>
      <c r="V68" s="1">
        <f t="shared" si="17"/>
        <v>2.539847730806088E-3</v>
      </c>
      <c r="W68" s="1">
        <f t="shared" si="17"/>
        <v>-6.3878434690415432E-5</v>
      </c>
      <c r="X68" s="1">
        <f t="shared" si="17"/>
        <v>-2.7491658692307079E-4</v>
      </c>
      <c r="Y68" s="1">
        <f t="shared" si="17"/>
        <v>-2.0164593482097361E-4</v>
      </c>
      <c r="Z68" s="1">
        <f t="shared" si="17"/>
        <v>-1.2700066861660023E-4</v>
      </c>
      <c r="AA68" s="1">
        <f t="shared" si="17"/>
        <v>-7.8153282636569187E-5</v>
      </c>
    </row>
    <row r="69" spans="1:27">
      <c r="A69" s="272">
        <v>8</v>
      </c>
      <c r="B69" s="255">
        <f t="shared" ref="B69:J69" si="18">B10/B34</f>
        <v>0.28066157922981783</v>
      </c>
      <c r="C69" s="255">
        <f t="shared" si="18"/>
        <v>4.2024233172059111E-2</v>
      </c>
      <c r="D69" s="255">
        <f t="shared" si="18"/>
        <v>7.5306667609596201E-3</v>
      </c>
      <c r="E69" s="255">
        <f t="shared" si="18"/>
        <v>1.8436599930792359E-3</v>
      </c>
      <c r="F69" s="255">
        <f t="shared" si="18"/>
        <v>5.6898303981779274E-4</v>
      </c>
      <c r="G69" s="255">
        <f t="shared" si="18"/>
        <v>2.0804758667516198E-4</v>
      </c>
      <c r="H69" s="255">
        <f t="shared" si="18"/>
        <v>8.6441427535999423E-5</v>
      </c>
      <c r="I69" s="255">
        <f t="shared" si="18"/>
        <v>3.9661918171526242E-5</v>
      </c>
      <c r="J69" s="255">
        <f t="shared" si="18"/>
        <v>1.9695695866504288E-5</v>
      </c>
      <c r="K69" s="272">
        <v>8</v>
      </c>
      <c r="L69" s="1">
        <f t="shared" ref="L69:S69" si="19">L10/L34</f>
        <v>-3.283709120666977E-3</v>
      </c>
      <c r="M69" s="1">
        <f t="shared" si="19"/>
        <v>-6.122077779882479E-3</v>
      </c>
      <c r="N69" s="1">
        <f t="shared" si="19"/>
        <v>-1.0228485975158298E-3</v>
      </c>
      <c r="O69" s="1">
        <f t="shared" si="19"/>
        <v>-1.9274794225565244E-4</v>
      </c>
      <c r="P69" s="1">
        <f t="shared" si="19"/>
        <v>-3.736309784045533E-5</v>
      </c>
      <c r="Q69" s="1">
        <f t="shared" si="19"/>
        <v>-5.7752369800153475E-6</v>
      </c>
      <c r="R69" s="1">
        <f t="shared" si="19"/>
        <v>4.8485018156187605E-7</v>
      </c>
      <c r="S69" s="1">
        <f t="shared" si="19"/>
        <v>1.3302854541199214E-6</v>
      </c>
      <c r="T69" s="272">
        <v>8</v>
      </c>
      <c r="U69" s="1">
        <f t="shared" ref="U69:AA69" si="20">U10/U34</f>
        <v>8.0443020208817145E-3</v>
      </c>
      <c r="V69" s="1">
        <f t="shared" si="20"/>
        <v>6.4798191609638229E-4</v>
      </c>
      <c r="W69" s="1">
        <f t="shared" si="20"/>
        <v>-2.058293752348253E-5</v>
      </c>
      <c r="X69" s="1">
        <f t="shared" si="20"/>
        <v>-5.4342670830741253E-5</v>
      </c>
      <c r="Y69" s="1">
        <f t="shared" si="20"/>
        <v>-3.4378901826263347E-5</v>
      </c>
      <c r="Z69" s="1">
        <f t="shared" si="20"/>
        <v>-1.9162763004731398E-5</v>
      </c>
      <c r="AA69" s="1">
        <f t="shared" si="20"/>
        <v>-1.0593184598130222E-5</v>
      </c>
    </row>
    <row r="70" spans="1:27">
      <c r="A70" s="272">
        <v>9</v>
      </c>
      <c r="B70" s="255">
        <f t="shared" ref="B70:J70" si="21">B11/B35</f>
        <v>0.17371254494813601</v>
      </c>
      <c r="C70" s="255">
        <f t="shared" si="21"/>
        <v>1.6609810860839264E-2</v>
      </c>
      <c r="D70" s="255">
        <f t="shared" si="21"/>
        <v>2.1959041061276538E-3</v>
      </c>
      <c r="E70" s="255">
        <f t="shared" si="21"/>
        <v>4.2698931218975453E-4</v>
      </c>
      <c r="F70" s="255">
        <f t="shared" si="21"/>
        <v>1.094030552308724E-4</v>
      </c>
      <c r="G70" s="255">
        <f t="shared" si="21"/>
        <v>3.4214137939599448E-5</v>
      </c>
      <c r="H70" s="255">
        <f t="shared" si="21"/>
        <v>1.2421931387142648E-5</v>
      </c>
      <c r="I70" s="255">
        <f t="shared" si="21"/>
        <v>5.0618486109996263E-6</v>
      </c>
      <c r="J70" s="255">
        <f t="shared" si="21"/>
        <v>2.2609729031782497E-6</v>
      </c>
      <c r="K70" s="272">
        <v>9</v>
      </c>
      <c r="L70" s="1">
        <f t="shared" ref="L70:S70" si="22">L11/L35</f>
        <v>-8.367432371838543E-4</v>
      </c>
      <c r="M70" s="1">
        <f t="shared" si="22"/>
        <v>-1.9949016176230953E-3</v>
      </c>
      <c r="N70" s="1">
        <f t="shared" si="22"/>
        <v>-2.6633689320871808E-4</v>
      </c>
      <c r="O70" s="1">
        <f t="shared" si="22"/>
        <v>-4.1681118277875818E-5</v>
      </c>
      <c r="P70" s="1">
        <f t="shared" si="22"/>
        <v>-6.8993603733948644E-6</v>
      </c>
      <c r="Q70" s="1">
        <f t="shared" si="22"/>
        <v>-9.3005782360777282E-7</v>
      </c>
      <c r="R70" s="1">
        <f t="shared" si="22"/>
        <v>6.9223015937946249E-8</v>
      </c>
      <c r="S70" s="1">
        <f t="shared" si="22"/>
        <v>1.7059131897832489E-7</v>
      </c>
      <c r="T70" s="272">
        <v>9</v>
      </c>
      <c r="U70" s="1">
        <f t="shared" ref="U70:AA70" si="23">U11/U35</f>
        <v>2.5408520874907704E-3</v>
      </c>
      <c r="V70" s="1">
        <f t="shared" si="23"/>
        <v>1.624090712851979E-4</v>
      </c>
      <c r="W70" s="1">
        <f t="shared" si="23"/>
        <v>-5.0623062453455288E-6</v>
      </c>
      <c r="X70" s="1">
        <f t="shared" si="23"/>
        <v>-1.013862481706078E-5</v>
      </c>
      <c r="Y70" s="1">
        <f t="shared" si="23"/>
        <v>-5.5777342778002993E-6</v>
      </c>
      <c r="Z70" s="1">
        <f t="shared" si="23"/>
        <v>-2.7589368402845656E-6</v>
      </c>
      <c r="AA70" s="1">
        <f t="shared" si="23"/>
        <v>-1.3717888518944319E-6</v>
      </c>
    </row>
    <row r="71" spans="1:27">
      <c r="A71" s="272">
        <v>10</v>
      </c>
      <c r="B71" s="255">
        <f t="shared" ref="B71:J71" si="24">B12/B36</f>
        <v>0.1047188786051933</v>
      </c>
      <c r="C71" s="255">
        <f t="shared" si="24"/>
        <v>6.4144312940220237E-3</v>
      </c>
      <c r="D71" s="255">
        <f t="shared" si="24"/>
        <v>6.2743128861885485E-4</v>
      </c>
      <c r="E71" s="255">
        <f t="shared" si="24"/>
        <v>9.7047517240127053E-5</v>
      </c>
      <c r="F71" s="255">
        <f t="shared" si="24"/>
        <v>2.0661109145500723E-5</v>
      </c>
      <c r="G71" s="255">
        <f t="shared" si="24"/>
        <v>5.529138228774706E-6</v>
      </c>
      <c r="H71" s="255">
        <f t="shared" si="24"/>
        <v>1.7546879970290167E-6</v>
      </c>
      <c r="I71" s="255">
        <f t="shared" si="24"/>
        <v>6.3514957685762638E-7</v>
      </c>
      <c r="J71" s="255">
        <f t="shared" si="24"/>
        <v>2.5521707763626708E-7</v>
      </c>
      <c r="K71" s="272">
        <v>10</v>
      </c>
      <c r="L71" s="1">
        <f t="shared" ref="L71:S71" si="25">L12/L36</f>
        <v>-2.0812740031200399E-4</v>
      </c>
      <c r="M71" s="1">
        <f t="shared" si="25"/>
        <v>-6.3082537152621084E-4</v>
      </c>
      <c r="N71" s="1">
        <f t="shared" si="25"/>
        <v>-6.7354777527372543E-5</v>
      </c>
      <c r="O71" s="1">
        <f t="shared" si="25"/>
        <v>-8.7585610873448511E-6</v>
      </c>
      <c r="P71" s="1">
        <f t="shared" si="25"/>
        <v>-1.2383481095405908E-6</v>
      </c>
      <c r="Q71" s="1">
        <f t="shared" si="25"/>
        <v>-1.4560800206116157E-7</v>
      </c>
      <c r="R71" s="1">
        <f t="shared" si="25"/>
        <v>9.608746956532619E-9</v>
      </c>
      <c r="S71" s="1">
        <f t="shared" si="25"/>
        <v>2.1269894144155267E-8</v>
      </c>
      <c r="T71" s="272">
        <v>10</v>
      </c>
      <c r="U71" s="1">
        <f t="shared" ref="U71:AA71" si="26">U12/U36</f>
        <v>7.8421210757270959E-4</v>
      </c>
      <c r="V71" s="1">
        <f t="shared" si="26"/>
        <v>3.9969357824427223E-5</v>
      </c>
      <c r="W71" s="1">
        <f t="shared" si="26"/>
        <v>-1.118692142293228E-6</v>
      </c>
      <c r="X71" s="1">
        <f t="shared" si="26"/>
        <v>-1.8211482902161631E-6</v>
      </c>
      <c r="Y71" s="1">
        <f t="shared" si="26"/>
        <v>-8.7441923167060258E-7</v>
      </c>
      <c r="Z71" s="1">
        <f t="shared" si="26"/>
        <v>-3.8426453128954694E-7</v>
      </c>
      <c r="AA71" s="1">
        <f t="shared" si="26"/>
        <v>-1.71944059073585E-7</v>
      </c>
    </row>
  </sheetData>
  <sheetProtection sheet="1" objects="1" scenarios="1"/>
  <mergeCells count="18">
    <mergeCell ref="L61:S61"/>
    <mergeCell ref="L1:S1"/>
    <mergeCell ref="L13:S13"/>
    <mergeCell ref="L25:S25"/>
    <mergeCell ref="L37:S37"/>
    <mergeCell ref="L49:S49"/>
    <mergeCell ref="B1:J1"/>
    <mergeCell ref="B13:J13"/>
    <mergeCell ref="B25:J25"/>
    <mergeCell ref="B37:J37"/>
    <mergeCell ref="B61:J61"/>
    <mergeCell ref="B49:J49"/>
    <mergeCell ref="U61:AA61"/>
    <mergeCell ref="U1:AA1"/>
    <mergeCell ref="U13:AA13"/>
    <mergeCell ref="U25:AA25"/>
    <mergeCell ref="U37:AA37"/>
    <mergeCell ref="U49:AA49"/>
  </mergeCells>
  <phoneticPr fontId="16" type="noConversion"/>
  <conditionalFormatting sqref="B15:J24">
    <cfRule type="colorScale" priority="4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:J12">
    <cfRule type="cellIs" dxfId="89" priority="1" stopIfTrue="1" operator="lessThan">
      <formula>0</formula>
    </cfRule>
    <cfRule type="colorScale" priority="43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B27:J36">
    <cfRule type="colorScale" priority="40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39:J48">
    <cfRule type="colorScale" priority="39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51:J60">
    <cfRule type="colorScale" priority="3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15:S24">
    <cfRule type="colorScale" priority="186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3:S12">
    <cfRule type="colorScale" priority="187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27:S36">
    <cfRule type="cellIs" dxfId="88" priority="14" operator="lessThanOrEqual">
      <formula>0</formula>
    </cfRule>
    <cfRule type="colorScale" priority="18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39:S48">
    <cfRule type="cellIs" dxfId="87" priority="12" operator="lessThanOrEqual">
      <formula>0</formula>
    </cfRule>
    <cfRule type="colorScale" priority="189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51:S60">
    <cfRule type="cellIs" dxfId="86" priority="10" operator="lessThanOrEqual">
      <formula>0</formula>
    </cfRule>
    <cfRule type="colorScale" priority="190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15:AA24">
    <cfRule type="colorScale" priority="194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:AA12">
    <cfRule type="colorScale" priority="195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27:AA36">
    <cfRule type="cellIs" dxfId="85" priority="13" operator="lessThanOrEqual">
      <formula>0</formula>
    </cfRule>
    <cfRule type="colorScale" priority="19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39:AA48">
    <cfRule type="cellIs" dxfId="84" priority="11" operator="lessThanOrEqual">
      <formula>0</formula>
    </cfRule>
    <cfRule type="colorScale" priority="19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51:AA60">
    <cfRule type="colorScale" priority="19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63:J71">
    <cfRule type="cellIs" dxfId="83" priority="318" operator="equal">
      <formula>MAX($B$63:$J$71)</formula>
    </cfRule>
    <cfRule type="colorScale" priority="319">
      <colorScale>
        <cfvo type="num" val="0"/>
        <cfvo type="percentile" val="50"/>
        <cfvo type="num" val="MAX($B$63:$J$71)"/>
        <color rgb="FFFF0000"/>
        <color rgb="FFFFEB84"/>
        <color rgb="FF00B050"/>
      </colorScale>
    </cfRule>
  </conditionalFormatting>
  <conditionalFormatting sqref="L63:S71">
    <cfRule type="colorScale" priority="32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63:AA71">
    <cfRule type="colorScale" priority="32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pageSetUpPr fitToPage="1"/>
  </sheetPr>
  <dimension ref="A1:AH43"/>
  <sheetViews>
    <sheetView zoomScale="70" zoomScaleNormal="70" zoomScaleSheetLayoutView="75" zoomScalePageLayoutView="90" workbookViewId="0">
      <selection activeCell="AG3" sqref="AG3:AH3"/>
    </sheetView>
  </sheetViews>
  <sheetFormatPr baseColWidth="10" defaultColWidth="11" defaultRowHeight="16"/>
  <cols>
    <col min="1" max="1" width="5.83203125" style="31" bestFit="1" customWidth="1"/>
    <col min="2" max="11" width="3.6640625" customWidth="1"/>
    <col min="12" max="12" width="4.83203125" customWidth="1"/>
    <col min="13" max="13" width="6.83203125" customWidth="1"/>
    <col min="14" max="22" width="7.83203125" customWidth="1"/>
    <col min="23" max="23" width="5.33203125" customWidth="1"/>
    <col min="24" max="34" width="6.5" customWidth="1"/>
  </cols>
  <sheetData>
    <row r="1" spans="1:34" ht="21">
      <c r="A1" s="389" t="str">
        <f>Rules!B18</f>
        <v>20191206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 t="str">
        <f>Rules!B19</f>
        <v>Best Methods</v>
      </c>
      <c r="U1" s="389"/>
      <c r="V1" s="389"/>
      <c r="W1" s="389"/>
      <c r="X1" s="389"/>
      <c r="Y1" s="389"/>
      <c r="Z1" s="389"/>
      <c r="AA1" s="389"/>
      <c r="AB1" s="389"/>
      <c r="AC1" s="389"/>
      <c r="AD1" s="389"/>
      <c r="AE1" s="389"/>
      <c r="AF1" s="389"/>
      <c r="AG1" s="389"/>
      <c r="AH1" s="389"/>
    </row>
    <row r="2" spans="1:34" ht="21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</row>
    <row r="3" spans="1:34" ht="21">
      <c r="A3" s="387" t="s">
        <v>188</v>
      </c>
      <c r="B3" s="387"/>
      <c r="C3" s="387"/>
      <c r="D3" s="387"/>
      <c r="E3" s="391">
        <f>'WL Prob'!P15</f>
        <v>0.41756103307080233</v>
      </c>
      <c r="F3" s="391"/>
      <c r="G3" s="391"/>
      <c r="H3" s="387" t="s">
        <v>189</v>
      </c>
      <c r="I3" s="387"/>
      <c r="J3" s="387"/>
      <c r="K3" s="387"/>
      <c r="L3" s="387"/>
      <c r="M3" s="391">
        <f>'WL Prob'!R15</f>
        <v>0.58243896692919761</v>
      </c>
      <c r="N3" s="391"/>
      <c r="O3" s="387" t="s">
        <v>190</v>
      </c>
      <c r="P3" s="387"/>
      <c r="Q3" s="387"/>
      <c r="R3" s="388">
        <f>Analysis!K2</f>
        <v>-3.2098753262150836E-2</v>
      </c>
      <c r="S3" s="388"/>
      <c r="T3" s="387" t="s">
        <v>199</v>
      </c>
      <c r="U3" s="387"/>
      <c r="V3" s="388">
        <f>Analysis!I2</f>
        <v>-41.769555803110698</v>
      </c>
      <c r="W3" s="388"/>
      <c r="X3" s="388"/>
      <c r="Y3" s="387" t="s">
        <v>198</v>
      </c>
      <c r="Z3" s="387"/>
      <c r="AA3" s="387"/>
      <c r="AB3" s="388">
        <f>Analysis!G2</f>
        <v>58.185789030925747</v>
      </c>
      <c r="AC3" s="388"/>
      <c r="AD3" s="387" t="s">
        <v>183</v>
      </c>
      <c r="AE3" s="387"/>
      <c r="AF3" s="387"/>
      <c r="AG3" s="388" t="s">
        <v>209</v>
      </c>
      <c r="AH3" s="388"/>
    </row>
    <row r="4" spans="1:34" ht="21">
      <c r="A4" s="387" t="s">
        <v>62</v>
      </c>
      <c r="B4" s="387"/>
      <c r="C4" s="387"/>
      <c r="D4" s="387"/>
      <c r="E4" s="388" t="str">
        <f>Rules!B3</f>
        <v>Pay 3 to 2</v>
      </c>
      <c r="F4" s="388"/>
      <c r="G4" s="388"/>
      <c r="H4" s="388"/>
      <c r="I4" s="387" t="s">
        <v>184</v>
      </c>
      <c r="J4" s="387"/>
      <c r="K4" s="387"/>
      <c r="L4" s="388" t="str">
        <f>Rules!B4</f>
        <v>Hit</v>
      </c>
      <c r="M4" s="388"/>
      <c r="N4" s="390" t="s">
        <v>53</v>
      </c>
      <c r="O4" s="390"/>
      <c r="P4" s="388" t="str">
        <f>Rules!B6</f>
        <v>9,10,11</v>
      </c>
      <c r="Q4" s="388"/>
      <c r="R4" s="387" t="s">
        <v>185</v>
      </c>
      <c r="S4" s="387"/>
      <c r="T4" s="387"/>
      <c r="U4" s="293" t="str">
        <f>Rules!B7</f>
        <v>No</v>
      </c>
      <c r="V4" s="387" t="s">
        <v>72</v>
      </c>
      <c r="W4" s="387"/>
      <c r="X4" s="387"/>
      <c r="Y4" s="387"/>
      <c r="Z4" s="293" t="str">
        <f>Rules!B9</f>
        <v>No</v>
      </c>
      <c r="AA4" s="294" t="s">
        <v>49</v>
      </c>
      <c r="AB4" s="388" t="str">
        <f>Rules!B10</f>
        <v>European</v>
      </c>
      <c r="AC4" s="388"/>
      <c r="AD4" s="387" t="s">
        <v>186</v>
      </c>
      <c r="AE4" s="387"/>
      <c r="AF4" s="293">
        <f>Rules!B11</f>
        <v>2</v>
      </c>
      <c r="AG4" s="387" t="str">
        <f>"ROI:"&amp;ROUND(MAX(N24:V26),2)</f>
        <v>ROI:3.2</v>
      </c>
      <c r="AH4" s="387"/>
    </row>
    <row r="5" spans="1:34" ht="21">
      <c r="A5" s="227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27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</row>
    <row r="6" spans="1:34">
      <c r="A6" s="386" t="str">
        <f>Rules!L2</f>
        <v>My Basic Strategy</v>
      </c>
      <c r="B6" s="386"/>
      <c r="C6" s="386"/>
      <c r="D6" s="386"/>
      <c r="E6" s="386"/>
      <c r="F6" s="386"/>
      <c r="G6" s="386"/>
      <c r="H6" s="386"/>
      <c r="I6" s="386"/>
      <c r="J6" s="386"/>
      <c r="K6" s="386"/>
      <c r="M6" s="322" t="s">
        <v>175</v>
      </c>
      <c r="N6" s="323"/>
      <c r="O6" s="323"/>
      <c r="P6" s="323"/>
      <c r="Q6" s="323"/>
      <c r="R6" s="323"/>
      <c r="S6" s="323"/>
      <c r="T6" s="323"/>
      <c r="U6" s="323"/>
      <c r="V6" s="392"/>
      <c r="X6" s="322" t="s">
        <v>150</v>
      </c>
      <c r="Y6" s="323"/>
      <c r="Z6" s="323"/>
      <c r="AA6" s="323"/>
      <c r="AB6" s="323"/>
      <c r="AC6" s="323"/>
      <c r="AD6" s="323"/>
      <c r="AE6" s="323"/>
      <c r="AF6" s="323"/>
      <c r="AG6" s="323"/>
      <c r="AH6" s="323"/>
    </row>
    <row r="7" spans="1:34">
      <c r="A7" s="158" t="str">
        <f>Rules!L3</f>
        <v>Hard</v>
      </c>
      <c r="B7" s="48" t="str">
        <f>Rules!M3</f>
        <v>A</v>
      </c>
      <c r="C7" s="48">
        <f>Rules!N3</f>
        <v>2</v>
      </c>
      <c r="D7" s="48">
        <f>Rules!O3</f>
        <v>3</v>
      </c>
      <c r="E7" s="48">
        <f>Rules!P3</f>
        <v>4</v>
      </c>
      <c r="F7" s="48">
        <f>Rules!Q3</f>
        <v>5</v>
      </c>
      <c r="G7" s="48">
        <f>Rules!R3</f>
        <v>6</v>
      </c>
      <c r="H7" s="48">
        <f>Rules!S3</f>
        <v>7</v>
      </c>
      <c r="I7" s="48">
        <f>Rules!T3</f>
        <v>8</v>
      </c>
      <c r="J7" s="48">
        <f>Rules!U3</f>
        <v>9</v>
      </c>
      <c r="K7" s="48">
        <f>Rules!V3</f>
        <v>10</v>
      </c>
      <c r="M7" s="161" t="s">
        <v>132</v>
      </c>
      <c r="N7" s="161" t="str">
        <f>'Strategy Summary'!B2</f>
        <v>1x2</v>
      </c>
      <c r="O7" s="161" t="str">
        <f>'Strategy Summary'!C2</f>
        <v>1x3</v>
      </c>
      <c r="P7" s="161" t="str">
        <f>'Strategy Summary'!D2</f>
        <v>1x4</v>
      </c>
      <c r="Q7" s="161" t="str">
        <f>'Strategy Summary'!E2</f>
        <v>1x5</v>
      </c>
      <c r="R7" s="161" t="str">
        <f>'Strategy Summary'!F2</f>
        <v>1x6</v>
      </c>
      <c r="S7" s="161" t="str">
        <f>'Strategy Summary'!G2</f>
        <v>1x7</v>
      </c>
      <c r="T7" s="161" t="str">
        <f>'Strategy Summary'!H2</f>
        <v>1x8</v>
      </c>
      <c r="U7" s="161" t="str">
        <f>'Strategy Summary'!I2</f>
        <v>1x9</v>
      </c>
      <c r="V7" s="161" t="str">
        <f>'Strategy Summary'!J2</f>
        <v>1x10</v>
      </c>
      <c r="X7" s="229" t="str">
        <f>'ER EL'!A2</f>
        <v>Hard</v>
      </c>
      <c r="Y7" s="230" t="str">
        <f>'ER EL'!B2</f>
        <v>Ace</v>
      </c>
      <c r="Z7" s="230">
        <f>'ER EL'!C2</f>
        <v>2</v>
      </c>
      <c r="AA7" s="230">
        <f>'ER EL'!D2</f>
        <v>3</v>
      </c>
      <c r="AB7" s="230">
        <f>'ER EL'!E2</f>
        <v>4</v>
      </c>
      <c r="AC7" s="230">
        <f>'ER EL'!F2</f>
        <v>5</v>
      </c>
      <c r="AD7" s="230">
        <f>'ER EL'!G2</f>
        <v>6</v>
      </c>
      <c r="AE7" s="230">
        <f>'ER EL'!H2</f>
        <v>7</v>
      </c>
      <c r="AF7" s="230">
        <f>'ER EL'!I2</f>
        <v>8</v>
      </c>
      <c r="AG7" s="231">
        <f>'ER EL'!J2</f>
        <v>9</v>
      </c>
      <c r="AH7" s="162">
        <f>'ER EL'!K2</f>
        <v>10</v>
      </c>
    </row>
    <row r="8" spans="1:34">
      <c r="A8" s="158" t="str">
        <f>Rules!L4</f>
        <v>5-8</v>
      </c>
      <c r="B8" s="49" t="str">
        <f>Rules!M4</f>
        <v>H</v>
      </c>
      <c r="C8" s="49" t="str">
        <f>Rules!N4</f>
        <v>H</v>
      </c>
      <c r="D8" s="49" t="str">
        <f>Rules!O4</f>
        <v>H</v>
      </c>
      <c r="E8" s="49" t="str">
        <f>Rules!P4</f>
        <v>H</v>
      </c>
      <c r="F8" s="49" t="str">
        <f>Rules!Q4</f>
        <v>H</v>
      </c>
      <c r="G8" s="49" t="str">
        <f>Rules!R4</f>
        <v>H</v>
      </c>
      <c r="H8" s="49" t="str">
        <f>Rules!S4</f>
        <v>H</v>
      </c>
      <c r="I8" s="49" t="str">
        <f>Rules!T4</f>
        <v>H</v>
      </c>
      <c r="J8" s="49" t="str">
        <f>Rules!U4</f>
        <v>H</v>
      </c>
      <c r="K8" s="49" t="str">
        <f>Rules!V4</f>
        <v>H</v>
      </c>
      <c r="M8" s="161">
        <v>1</v>
      </c>
      <c r="N8" s="1">
        <f>'Strategy Summary'!B3</f>
        <v>5.2278019770882906</v>
      </c>
      <c r="O8" s="1">
        <f>'Strategy Summary'!C3</f>
        <v>18.268287517292997</v>
      </c>
      <c r="P8" s="1">
        <f>'Strategy Summary'!D3</f>
        <v>33.103975432146321</v>
      </c>
      <c r="Q8" s="1">
        <f>'Strategy Summary'!E3</f>
        <v>48.99881494243035</v>
      </c>
      <c r="R8" s="1">
        <f>'Strategy Summary'!F3</f>
        <v>65.585772784097742</v>
      </c>
      <c r="S8" s="1">
        <f>'Strategy Summary'!G3</f>
        <v>82.646186576497556</v>
      </c>
      <c r="T8" s="1">
        <f>'Strategy Summary'!H3</f>
        <v>100.03606735494559</v>
      </c>
      <c r="U8" s="1">
        <f>'Strategy Summary'!I3</f>
        <v>117.65567286553613</v>
      </c>
      <c r="V8" s="1">
        <f>'Strategy Summary'!J3</f>
        <v>135.43443400536461</v>
      </c>
      <c r="X8" s="162">
        <f>'ER EL'!A3</f>
        <v>5</v>
      </c>
      <c r="Y8" s="34">
        <f>'ER EL'!B3</f>
        <v>-0.40632230211141912</v>
      </c>
      <c r="Z8" s="34">
        <f>'ER EL'!C3</f>
        <v>-0.12585466591223504</v>
      </c>
      <c r="AA8" s="34">
        <f>'ER EL'!D3</f>
        <v>-9.3185805313397596E-2</v>
      </c>
      <c r="AB8" s="34">
        <f>'ER EL'!E3</f>
        <v>-5.8868938477504656E-2</v>
      </c>
      <c r="AC8" s="34">
        <f>'ER EL'!F3</f>
        <v>-2.2722050599694302E-2</v>
      </c>
      <c r="AD8" s="34">
        <f>'ER EL'!G3</f>
        <v>1.5153619459709739E-2</v>
      </c>
      <c r="AE8" s="34">
        <f>'ER EL'!H3</f>
        <v>-0.11944744188414852</v>
      </c>
      <c r="AF8" s="34">
        <f>'ER EL'!I3</f>
        <v>-0.18809330390318518</v>
      </c>
      <c r="AG8" s="34">
        <f>'ER EL'!J3</f>
        <v>-0.26661505335795899</v>
      </c>
      <c r="AH8" s="34">
        <f>'ER EL'!K3</f>
        <v>-0.3577434525808979</v>
      </c>
    </row>
    <row r="9" spans="1:34">
      <c r="A9" s="158">
        <f>Rules!L5</f>
        <v>9</v>
      </c>
      <c r="B9" s="49" t="str">
        <f>Rules!M5</f>
        <v>H</v>
      </c>
      <c r="C9" s="49" t="str">
        <f>Rules!N5</f>
        <v>H</v>
      </c>
      <c r="D9" s="49" t="str">
        <f>Rules!O5</f>
        <v>D</v>
      </c>
      <c r="E9" s="49" t="str">
        <f>Rules!P5</f>
        <v>D</v>
      </c>
      <c r="F9" s="49" t="str">
        <f>Rules!Q5</f>
        <v>D</v>
      </c>
      <c r="G9" s="49" t="str">
        <f>Rules!R5</f>
        <v>D</v>
      </c>
      <c r="H9" s="49" t="str">
        <f>Rules!S5</f>
        <v>H</v>
      </c>
      <c r="I9" s="49" t="str">
        <f>Rules!T5</f>
        <v>H</v>
      </c>
      <c r="J9" s="49" t="str">
        <f>Rules!U5</f>
        <v>H</v>
      </c>
      <c r="K9" s="49" t="str">
        <f>Rules!V5</f>
        <v>H</v>
      </c>
      <c r="M9" s="161">
        <f>'Strategy Summary'!A4</f>
        <v>2</v>
      </c>
      <c r="N9" s="1">
        <f>'Strategy Summary'!B4</f>
        <v>15.286783414657251</v>
      </c>
      <c r="O9" s="1">
        <f>'Strategy Summary'!C4</f>
        <v>51.4093003427543</v>
      </c>
      <c r="P9" s="1">
        <f>'Strategy Summary'!D4</f>
        <v>90.904543917036051</v>
      </c>
      <c r="Q9" s="1">
        <f>'Strategy Summary'!E4</f>
        <v>132.42263194909086</v>
      </c>
      <c r="R9" s="1">
        <f>'Strategy Summary'!F4</f>
        <v>175.37220027785145</v>
      </c>
      <c r="S9" s="1">
        <f>'Strategy Summary'!G4</f>
        <v>219.39380250773456</v>
      </c>
      <c r="T9" s="1">
        <f>'Strategy Summary'!H4</f>
        <v>264.22995693617253</v>
      </c>
      <c r="U9" s="1">
        <f>'Strategy Summary'!I4</f>
        <v>309.68411157138462</v>
      </c>
      <c r="V9" s="1">
        <f>'Strategy Summary'!J4</f>
        <v>355.60369384309513</v>
      </c>
      <c r="X9" s="162">
        <f>'ER EL'!A4</f>
        <v>6</v>
      </c>
      <c r="Y9" s="34">
        <f>'ER EL'!B4</f>
        <v>-0.41968690347101079</v>
      </c>
      <c r="Z9" s="34">
        <f>'ER EL'!C4</f>
        <v>-0.1380730292913315</v>
      </c>
      <c r="AA9" s="34">
        <f>'ER EL'!D4</f>
        <v>-0.10487404133749784</v>
      </c>
      <c r="AB9" s="34">
        <f>'ER EL'!E4</f>
        <v>-7.0077773347286057E-2</v>
      </c>
      <c r="AC9" s="34">
        <f>'ER EL'!F4</f>
        <v>-3.3548869940164566E-2</v>
      </c>
      <c r="AD9" s="34">
        <f>'ER EL'!G4</f>
        <v>4.7665085393153788E-3</v>
      </c>
      <c r="AE9" s="34">
        <f>'ER EL'!H4</f>
        <v>-0.15193270723669944</v>
      </c>
      <c r="AF9" s="34">
        <f>'ER EL'!I4</f>
        <v>-0.21724188132078476</v>
      </c>
      <c r="AG9" s="34">
        <f>'ER EL'!J4</f>
        <v>-0.29264070019772598</v>
      </c>
      <c r="AH9" s="34">
        <f>'ER EL'!K4</f>
        <v>-0.38050766229289529</v>
      </c>
    </row>
    <row r="10" spans="1:34">
      <c r="A10" s="158">
        <f>Rules!L6</f>
        <v>10</v>
      </c>
      <c r="B10" s="49" t="str">
        <f>Rules!M6</f>
        <v>H</v>
      </c>
      <c r="C10" s="49" t="str">
        <f>Rules!N6</f>
        <v>D</v>
      </c>
      <c r="D10" s="49" t="str">
        <f>Rules!O6</f>
        <v>D</v>
      </c>
      <c r="E10" s="49" t="str">
        <f>Rules!P6</f>
        <v>D</v>
      </c>
      <c r="F10" s="49" t="str">
        <f>Rules!Q6</f>
        <v>D</v>
      </c>
      <c r="G10" s="49" t="str">
        <f>Rules!R6</f>
        <v>D</v>
      </c>
      <c r="H10" s="49" t="str">
        <f>Rules!S6</f>
        <v>D</v>
      </c>
      <c r="I10" s="49" t="str">
        <f>Rules!T6</f>
        <v>D</v>
      </c>
      <c r="J10" s="49" t="str">
        <f>Rules!U6</f>
        <v>D</v>
      </c>
      <c r="K10" s="49" t="str">
        <f>Rules!V6</f>
        <v>H</v>
      </c>
      <c r="M10" s="161">
        <f>'Strategy Summary'!A5</f>
        <v>3</v>
      </c>
      <c r="N10" s="1">
        <f>'Strategy Summary'!B5</f>
        <v>29.78872863760872</v>
      </c>
      <c r="O10" s="1">
        <f>'Strategy Summary'!C5</f>
        <v>96.370317081478845</v>
      </c>
      <c r="P10" s="1">
        <f>'Strategy Summary'!D5</f>
        <v>166.39598358538626</v>
      </c>
      <c r="Q10" s="1">
        <f>'Strategy Summary'!E5</f>
        <v>238.79614056998457</v>
      </c>
      <c r="R10" s="1">
        <f>'Strategy Summary'!F5</f>
        <v>313.19264204392778</v>
      </c>
      <c r="S10" s="1">
        <f>'Strategy Summary'!G5</f>
        <v>389.28080075403585</v>
      </c>
      <c r="T10" s="1">
        <f>'Strategy Summary'!H5</f>
        <v>466.77273529881228</v>
      </c>
      <c r="U10" s="1">
        <f>'Strategy Summary'!I5</f>
        <v>545.40452760763719</v>
      </c>
      <c r="V10" s="1">
        <f>'Strategy Summary'!J5</f>
        <v>624.94483411005308</v>
      </c>
      <c r="X10" s="162">
        <f>'ER EL'!A5</f>
        <v>7</v>
      </c>
      <c r="Y10" s="34">
        <f>'ER EL'!B5</f>
        <v>-0.39971038372569095</v>
      </c>
      <c r="Z10" s="34">
        <f>'ER EL'!C5</f>
        <v>-0.10957748444769842</v>
      </c>
      <c r="AA10" s="34">
        <f>'ER EL'!D5</f>
        <v>-7.6937567884950209E-2</v>
      </c>
      <c r="AB10" s="34">
        <f>'ER EL'!E5</f>
        <v>-4.2826367717071351E-2</v>
      </c>
      <c r="AC10" s="34">
        <f>'ER EL'!F5</f>
        <v>-7.17726676462546E-3</v>
      </c>
      <c r="AD10" s="34">
        <f>'ER EL'!G5</f>
        <v>3.0408566151961865E-2</v>
      </c>
      <c r="AE10" s="34">
        <f>'ER EL'!H5</f>
        <v>-6.8807799580427764E-2</v>
      </c>
      <c r="AF10" s="34">
        <f>'ER EL'!I5</f>
        <v>-0.21060476872434966</v>
      </c>
      <c r="AG10" s="34">
        <f>'ER EL'!J5</f>
        <v>-0.28536544048687662</v>
      </c>
      <c r="AH10" s="34">
        <f>'ER EL'!K5</f>
        <v>-0.36507789921394679</v>
      </c>
    </row>
    <row r="11" spans="1:34">
      <c r="A11" s="158">
        <f>Rules!L7</f>
        <v>11</v>
      </c>
      <c r="B11" s="49" t="str">
        <f>Rules!M7</f>
        <v>H</v>
      </c>
      <c r="C11" s="49" t="str">
        <f>Rules!N7</f>
        <v>D</v>
      </c>
      <c r="D11" s="49" t="str">
        <f>Rules!O7</f>
        <v>D</v>
      </c>
      <c r="E11" s="49" t="str">
        <f>Rules!P7</f>
        <v>D</v>
      </c>
      <c r="F11" s="49" t="str">
        <f>Rules!Q7</f>
        <v>D</v>
      </c>
      <c r="G11" s="49" t="str">
        <f>Rules!R7</f>
        <v>D</v>
      </c>
      <c r="H11" s="49" t="str">
        <f>Rules!S7</f>
        <v>D</v>
      </c>
      <c r="I11" s="49" t="str">
        <f>Rules!T7</f>
        <v>D</v>
      </c>
      <c r="J11" s="49" t="str">
        <f>Rules!U7</f>
        <v>D</v>
      </c>
      <c r="K11" s="49" t="str">
        <f>Rules!V7</f>
        <v>H</v>
      </c>
      <c r="M11" s="161">
        <f>'Strategy Summary'!A6</f>
        <v>4</v>
      </c>
      <c r="N11" s="1">
        <f>'Strategy Summary'!B6</f>
        <v>48.356838456842276</v>
      </c>
      <c r="O11" s="1">
        <f>'Strategy Summary'!C6</f>
        <v>150.51230253268989</v>
      </c>
      <c r="P11" s="1">
        <f>'Strategy Summary'!D6</f>
        <v>254.09939661306657</v>
      </c>
      <c r="Q11" s="1">
        <f>'Strategy Summary'!E6</f>
        <v>359.77675997213851</v>
      </c>
      <c r="R11" s="1">
        <f>'Strategy Summary'!F6</f>
        <v>467.88551751905885</v>
      </c>
      <c r="S11" s="1">
        <f>'Strategy Summary'!G6</f>
        <v>578.35228623456032</v>
      </c>
      <c r="T11" s="1">
        <f>'Strategy Summary'!H6</f>
        <v>690.91920680020598</v>
      </c>
      <c r="U11" s="1">
        <f>'Strategy Summary'!I6</f>
        <v>805.27047367810155</v>
      </c>
      <c r="V11" s="1">
        <f>'Strategy Summary'!J6</f>
        <v>921.09276876959689</v>
      </c>
      <c r="X11" s="162">
        <f>'ER EL'!A6</f>
        <v>8</v>
      </c>
      <c r="Y11" s="34">
        <f>'ER EL'!B6</f>
        <v>-0.33034033459070061</v>
      </c>
      <c r="Z11" s="34">
        <f>'ER EL'!C6</f>
        <v>-2.4506830289917444E-2</v>
      </c>
      <c r="AA11" s="34">
        <f>'ER EL'!D6</f>
        <v>5.5679308753931881E-3</v>
      </c>
      <c r="AB11" s="34">
        <f>'ER EL'!E6</f>
        <v>3.7010775094514566E-2</v>
      </c>
      <c r="AC11" s="34">
        <f>'ER EL'!F6</f>
        <v>6.9950633154329159E-2</v>
      </c>
      <c r="AD11" s="34">
        <f>'ER EL'!G6</f>
        <v>0.10385811332306308</v>
      </c>
      <c r="AE11" s="34">
        <f>'ER EL'!H6</f>
        <v>8.2207439363742862E-2</v>
      </c>
      <c r="AF11" s="34">
        <f>'ER EL'!I6</f>
        <v>-5.989827565865629E-2</v>
      </c>
      <c r="AG11" s="34">
        <f>'ER EL'!J6</f>
        <v>-0.2101863319982176</v>
      </c>
      <c r="AH11" s="34">
        <f>'ER EL'!K6</f>
        <v>-0.30177738614031369</v>
      </c>
    </row>
    <row r="12" spans="1:34">
      <c r="A12" s="158">
        <f>Rules!L8</f>
        <v>12</v>
      </c>
      <c r="B12" s="49" t="str">
        <f>Rules!M8</f>
        <v>H</v>
      </c>
      <c r="C12" s="49" t="str">
        <f>Rules!N8</f>
        <v>H</v>
      </c>
      <c r="D12" s="49" t="str">
        <f>Rules!O8</f>
        <v>H</v>
      </c>
      <c r="E12" s="49" t="str">
        <f>Rules!P8</f>
        <v>S</v>
      </c>
      <c r="F12" s="49" t="str">
        <f>Rules!Q8</f>
        <v>S</v>
      </c>
      <c r="G12" s="49" t="str">
        <f>Rules!R8</f>
        <v>S</v>
      </c>
      <c r="H12" s="49" t="str">
        <f>Rules!S8</f>
        <v>H</v>
      </c>
      <c r="I12" s="49" t="str">
        <f>Rules!T8</f>
        <v>H</v>
      </c>
      <c r="J12" s="49" t="str">
        <f>Rules!U8</f>
        <v>H</v>
      </c>
      <c r="K12" s="49" t="str">
        <f>Rules!V8</f>
        <v>H</v>
      </c>
      <c r="M12" s="322" t="s">
        <v>176</v>
      </c>
      <c r="N12" s="323"/>
      <c r="O12" s="323"/>
      <c r="P12" s="323"/>
      <c r="Q12" s="323"/>
      <c r="R12" s="323"/>
      <c r="S12" s="323"/>
      <c r="T12" s="323"/>
      <c r="U12" s="323"/>
      <c r="V12" s="392"/>
      <c r="X12" s="162">
        <f>'ER EL'!A7</f>
        <v>9</v>
      </c>
      <c r="Y12" s="34">
        <f>'ER EL'!B7</f>
        <v>-0.25192476177072076</v>
      </c>
      <c r="Z12" s="34">
        <f>'ER EL'!C7</f>
        <v>7.2232808963193215E-2</v>
      </c>
      <c r="AA12" s="34">
        <f>'ER EL'!D7</f>
        <v>0.11871708619491314</v>
      </c>
      <c r="AB12" s="34">
        <f>'ER EL'!E7</f>
        <v>0.17999961456984417</v>
      </c>
      <c r="AC12" s="34">
        <f>'ER EL'!F7</f>
        <v>0.24211866364068418</v>
      </c>
      <c r="AD12" s="34">
        <f>'ER EL'!G7</f>
        <v>0.30485344968108963</v>
      </c>
      <c r="AE12" s="34">
        <f>'ER EL'!H7</f>
        <v>0.17186785993695267</v>
      </c>
      <c r="AF12" s="34">
        <f>'ER EL'!I7</f>
        <v>9.8376217435392585E-2</v>
      </c>
      <c r="AG12" s="34">
        <f>'ER EL'!J7</f>
        <v>-5.217805346265169E-2</v>
      </c>
      <c r="AH12" s="34">
        <f>'ER EL'!K7</f>
        <v>-0.21343169035706566</v>
      </c>
    </row>
    <row r="13" spans="1:34">
      <c r="A13" s="158">
        <f>Rules!L9</f>
        <v>13</v>
      </c>
      <c r="B13" s="49" t="str">
        <f>Rules!M9</f>
        <v>H</v>
      </c>
      <c r="C13" s="49" t="str">
        <f>Rules!N9</f>
        <v>S</v>
      </c>
      <c r="D13" s="49" t="str">
        <f>Rules!O9</f>
        <v>S</v>
      </c>
      <c r="E13" s="49" t="str">
        <f>Rules!P9</f>
        <v>S</v>
      </c>
      <c r="F13" s="49" t="str">
        <f>Rules!Q9</f>
        <v>S</v>
      </c>
      <c r="G13" s="49" t="str">
        <f>Rules!R9</f>
        <v>S</v>
      </c>
      <c r="H13" s="49" t="str">
        <f>Rules!S9</f>
        <v>H</v>
      </c>
      <c r="I13" s="49" t="str">
        <f>Rules!T9</f>
        <v>H</v>
      </c>
      <c r="J13" s="49" t="str">
        <f>Rules!U9</f>
        <v>H</v>
      </c>
      <c r="K13" s="49" t="str">
        <f>Rules!V9</f>
        <v>H</v>
      </c>
      <c r="M13" s="161" t="s">
        <v>132</v>
      </c>
      <c r="N13" s="161" t="str">
        <f>'Strategy Summary'!B14</f>
        <v>1x2</v>
      </c>
      <c r="O13" s="161" t="str">
        <f>'Strategy Summary'!C14</f>
        <v>1x3</v>
      </c>
      <c r="P13" s="161" t="str">
        <f>'Strategy Summary'!D14</f>
        <v>1x4</v>
      </c>
      <c r="Q13" s="161" t="str">
        <f>'Strategy Summary'!E14</f>
        <v>1x5</v>
      </c>
      <c r="R13" s="161" t="str">
        <f>'Strategy Summary'!F14</f>
        <v>1x6</v>
      </c>
      <c r="S13" s="161" t="str">
        <f>'Strategy Summary'!G14</f>
        <v>1x7</v>
      </c>
      <c r="T13" s="161" t="str">
        <f>'Strategy Summary'!H14</f>
        <v>1x8</v>
      </c>
      <c r="U13" s="161" t="str">
        <f>'Strategy Summary'!I14</f>
        <v>1x9</v>
      </c>
      <c r="V13" s="161" t="str">
        <f>'Strategy Summary'!J14</f>
        <v>1x10</v>
      </c>
      <c r="X13" s="162">
        <f>'ER EL'!A8</f>
        <v>10</v>
      </c>
      <c r="Y13" s="34">
        <f>'ER EL'!B8</f>
        <v>-0.14666789263035868</v>
      </c>
      <c r="Z13" s="34">
        <f>'ER EL'!C8</f>
        <v>0.35690719748372668</v>
      </c>
      <c r="AA13" s="34">
        <f>'ER EL'!D8</f>
        <v>0.40749201163237114</v>
      </c>
      <c r="AB13" s="34">
        <f>'ER EL'!E8</f>
        <v>0.45924220371818347</v>
      </c>
      <c r="AC13" s="34">
        <f>'ER EL'!F8</f>
        <v>0.51169953415177827</v>
      </c>
      <c r="AD13" s="34">
        <f>'ER EL'!G8</f>
        <v>0.56496169552840625</v>
      </c>
      <c r="AE13" s="34">
        <f>'ER EL'!H8</f>
        <v>0.39241245528243773</v>
      </c>
      <c r="AF13" s="34">
        <f>'ER EL'!I8</f>
        <v>0.28663571688628381</v>
      </c>
      <c r="AG13" s="34">
        <f>'ER EL'!J8</f>
        <v>0.1443283683807712</v>
      </c>
      <c r="AH13" s="34">
        <f>'ER EL'!K8</f>
        <v>-4.4990260383613007E-2</v>
      </c>
    </row>
    <row r="14" spans="1:34">
      <c r="A14" s="158">
        <f>Rules!L10</f>
        <v>14</v>
      </c>
      <c r="B14" s="49" t="str">
        <f>Rules!M10</f>
        <v>H</v>
      </c>
      <c r="C14" s="49" t="str">
        <f>Rules!N10</f>
        <v>S</v>
      </c>
      <c r="D14" s="49" t="str">
        <f>Rules!O10</f>
        <v>S</v>
      </c>
      <c r="E14" s="49" t="str">
        <f>Rules!P10</f>
        <v>S</v>
      </c>
      <c r="F14" s="49" t="str">
        <f>Rules!Q10</f>
        <v>S</v>
      </c>
      <c r="G14" s="49" t="str">
        <f>Rules!R10</f>
        <v>S</v>
      </c>
      <c r="H14" s="49" t="str">
        <f>Rules!S10</f>
        <v>H</v>
      </c>
      <c r="I14" s="49" t="str">
        <f>Rules!T10</f>
        <v>H</v>
      </c>
      <c r="J14" s="49" t="str">
        <f>Rules!U10</f>
        <v>H</v>
      </c>
      <c r="K14" s="49" t="str">
        <f>Rules!V10</f>
        <v>H</v>
      </c>
      <c r="M14" s="161">
        <f>'Strategy Summary'!A16</f>
        <v>2</v>
      </c>
      <c r="N14" s="1">
        <f>'Strategy Summary'!B16</f>
        <v>0.4660941712331933</v>
      </c>
      <c r="O14" s="1">
        <f>'Strategy Summary'!C16</f>
        <v>0.61220274051451296</v>
      </c>
      <c r="P14" s="1">
        <f>'Strategy Summary'!D16</f>
        <v>0.68435753539413802</v>
      </c>
      <c r="Q14" s="1">
        <f>'Strategy Summary'!E16</f>
        <v>0.72479801502235497</v>
      </c>
      <c r="R14" s="1">
        <f>'Strategy Summary'!F16</f>
        <v>0.7493440588093484</v>
      </c>
      <c r="S14" s="1">
        <f>'Strategy Summary'!G16</f>
        <v>0.76503673156534857</v>
      </c>
      <c r="T14" s="1">
        <f>'Strategy Summary'!H16</f>
        <v>0.77542421772383996</v>
      </c>
      <c r="U14" s="1">
        <f>'Strategy Summary'!I16</f>
        <v>0.78246522952329212</v>
      </c>
      <c r="V14" s="1">
        <f>'Strategy Summary'!J16</f>
        <v>0.78731701115972397</v>
      </c>
      <c r="X14" s="162">
        <f>'ER EL'!A9</f>
        <v>11</v>
      </c>
      <c r="Y14" s="34">
        <f>'ER EL'!B9</f>
        <v>-4.1986836980868178E-2</v>
      </c>
      <c r="Z14" s="34">
        <f>'ER EL'!C9</f>
        <v>0.47012148001782339</v>
      </c>
      <c r="AA14" s="34">
        <f>'ER EL'!D9</f>
        <v>0.51732783973958252</v>
      </c>
      <c r="AB14" s="34">
        <f>'ER EL'!E9</f>
        <v>0.56560652370552988</v>
      </c>
      <c r="AC14" s="34">
        <f>'ER EL'!F9</f>
        <v>0.61449004208451674</v>
      </c>
      <c r="AD14" s="34">
        <f>'ER EL'!G9</f>
        <v>0.66466340918892541</v>
      </c>
      <c r="AE14" s="34">
        <f>'ER EL'!H9</f>
        <v>0.46288894886429077</v>
      </c>
      <c r="AF14" s="34">
        <f>'ER EL'!I9</f>
        <v>0.35069259087031512</v>
      </c>
      <c r="AG14" s="34">
        <f>'ER EL'!J9</f>
        <v>0.22778342315245487</v>
      </c>
      <c r="AH14" s="34">
        <f>'ER EL'!K9</f>
        <v>5.9690795265877464E-2</v>
      </c>
    </row>
    <row r="15" spans="1:34">
      <c r="A15" s="158">
        <f>Rules!L11</f>
        <v>15</v>
      </c>
      <c r="B15" s="49" t="str">
        <f>Rules!M11</f>
        <v>H</v>
      </c>
      <c r="C15" s="49" t="str">
        <f>Rules!N11</f>
        <v>S</v>
      </c>
      <c r="D15" s="49" t="str">
        <f>Rules!O11</f>
        <v>S</v>
      </c>
      <c r="E15" s="49" t="str">
        <f>Rules!P11</f>
        <v>S</v>
      </c>
      <c r="F15" s="49" t="str">
        <f>Rules!Q11</f>
        <v>S</v>
      </c>
      <c r="G15" s="49" t="str">
        <f>Rules!R11</f>
        <v>S</v>
      </c>
      <c r="H15" s="49" t="str">
        <f>Rules!S11</f>
        <v>H</v>
      </c>
      <c r="I15" s="49" t="str">
        <f>Rules!T11</f>
        <v>H</v>
      </c>
      <c r="J15" s="49" t="str">
        <f>Rules!U11</f>
        <v>H</v>
      </c>
      <c r="K15" s="49" t="str">
        <f>Rules!V11</f>
        <v>H</v>
      </c>
      <c r="M15" s="161">
        <f>'Strategy Summary'!A17</f>
        <v>3</v>
      </c>
      <c r="N15" s="1">
        <f>'Strategy Summary'!B17</f>
        <v>0.64355010079247721</v>
      </c>
      <c r="O15" s="1">
        <f>'Strategy Summary'!C17</f>
        <v>0.78374778745201212</v>
      </c>
      <c r="P15" s="1">
        <f>'Strategy Summary'!D17</f>
        <v>0.84384595688187025</v>
      </c>
      <c r="Q15" s="1">
        <f>'Strategy Summary'!E17</f>
        <v>0.87436675628044491</v>
      </c>
      <c r="R15" s="1">
        <f>'Strategy Summary'!F17</f>
        <v>0.89167944030098123</v>
      </c>
      <c r="S15" s="1">
        <f>'Strategy Summary'!G17</f>
        <v>0.90224171711653689</v>
      </c>
      <c r="T15" s="1">
        <f>'Strategy Summary'!H17</f>
        <v>0.90900874680062171</v>
      </c>
      <c r="U15" s="1">
        <f>'Strategy Summary'!I17</f>
        <v>0.91349171301869092</v>
      </c>
      <c r="V15" s="1">
        <f>'Strategy Summary'!J17</f>
        <v>0.91653117766690384</v>
      </c>
      <c r="X15" s="162">
        <f>'ER EL'!A10</f>
        <v>12</v>
      </c>
      <c r="Y15" s="34">
        <f>'ER EL'!B10</f>
        <v>-0.46566058377683939</v>
      </c>
      <c r="Z15" s="34">
        <f>'ER EL'!C10</f>
        <v>-0.25375147059276615</v>
      </c>
      <c r="AA15" s="34">
        <f>'ER EL'!D10</f>
        <v>-0.23401617638713501</v>
      </c>
      <c r="AB15" s="34">
        <f>'ER EL'!E10</f>
        <v>-0.20584968608305471</v>
      </c>
      <c r="AC15" s="34">
        <f>'ER EL'!F10</f>
        <v>-0.16468249424828357</v>
      </c>
      <c r="AD15" s="34">
        <f>'ER EL'!G10</f>
        <v>-0.12106685019651225</v>
      </c>
      <c r="AE15" s="34">
        <f>'ER EL'!H10</f>
        <v>-0.21284771451731424</v>
      </c>
      <c r="AF15" s="34">
        <f>'ER EL'!I10</f>
        <v>-0.27157480502428616</v>
      </c>
      <c r="AG15" s="34">
        <f>'ER EL'!J10</f>
        <v>-0.3400132806089356</v>
      </c>
      <c r="AH15" s="34">
        <f>'ER EL'!K10</f>
        <v>-0.42069618899826788</v>
      </c>
    </row>
    <row r="16" spans="1:34">
      <c r="A16" s="158">
        <f>Rules!L12</f>
        <v>16</v>
      </c>
      <c r="B16" s="49" t="str">
        <f>Rules!M12</f>
        <v>S</v>
      </c>
      <c r="C16" s="49" t="str">
        <f>Rules!N12</f>
        <v>S</v>
      </c>
      <c r="D16" s="49" t="str">
        <f>Rules!O12</f>
        <v>S</v>
      </c>
      <c r="E16" s="49" t="str">
        <f>Rules!P12</f>
        <v>S</v>
      </c>
      <c r="F16" s="49" t="str">
        <f>Rules!Q12</f>
        <v>S</v>
      </c>
      <c r="G16" s="49" t="str">
        <f>Rules!R12</f>
        <v>S</v>
      </c>
      <c r="H16" s="49" t="str">
        <f>Rules!S12</f>
        <v>H</v>
      </c>
      <c r="I16" s="49" t="str">
        <f>Rules!T12</f>
        <v>H</v>
      </c>
      <c r="J16" s="49" t="str">
        <f>Rules!U12</f>
        <v>H</v>
      </c>
      <c r="K16" s="49" t="str">
        <f>Rules!V12</f>
        <v>H</v>
      </c>
      <c r="M16" s="161">
        <f>'Strategy Summary'!A18</f>
        <v>4</v>
      </c>
      <c r="N16" s="1">
        <f>'Strategy Summary'!B18</f>
        <v>0.74703980714853535</v>
      </c>
      <c r="O16" s="1">
        <f>'Strategy Summary'!C18</f>
        <v>0.87335091053327418</v>
      </c>
      <c r="P16" s="1">
        <f>'Strategy Summary'!D18</f>
        <v>0.91957492512308503</v>
      </c>
      <c r="Q16" s="1">
        <f>'Strategy Summary'!E18</f>
        <v>0.9406195594792095</v>
      </c>
      <c r="R16" s="1">
        <f>'Strategy Summary'!F18</f>
        <v>0.95170410489607082</v>
      </c>
      <c r="S16" s="1">
        <f>'Strategy Summary'!G18</f>
        <v>0.95813188654825765</v>
      </c>
      <c r="T16" s="1">
        <f>'Strategy Summary'!H18</f>
        <v>0.96210767186938828</v>
      </c>
      <c r="U16" s="1">
        <f>'Strategy Summary'!I18</f>
        <v>0.96467750058399149</v>
      </c>
      <c r="V16" s="1">
        <f>'Strategy Summary'!J18</f>
        <v>0.96638991834696308</v>
      </c>
      <c r="X16" s="162">
        <f>'ER EL'!A11</f>
        <v>13</v>
      </c>
      <c r="Y16" s="34">
        <f>'ER EL'!B11</f>
        <v>-0.50382768493563657</v>
      </c>
      <c r="Z16" s="34">
        <f>'ER EL'!C11</f>
        <v>-0.28654430084029509</v>
      </c>
      <c r="AA16" s="34">
        <f>'ER EL'!D11</f>
        <v>-0.24663577379217239</v>
      </c>
      <c r="AB16" s="34">
        <f>'ER EL'!E11</f>
        <v>-0.20584968608305471</v>
      </c>
      <c r="AC16" s="34">
        <f>'ER EL'!F11</f>
        <v>-0.16468249424828357</v>
      </c>
      <c r="AD16" s="34">
        <f>'ER EL'!G11</f>
        <v>-0.12106685019651225</v>
      </c>
      <c r="AE16" s="34">
        <f>'ER EL'!H11</f>
        <v>-0.26907287776607752</v>
      </c>
      <c r="AF16" s="34">
        <f>'ER EL'!I11</f>
        <v>-0.32360517609397998</v>
      </c>
      <c r="AG16" s="34">
        <f>'ER EL'!J11</f>
        <v>-0.38715518913686875</v>
      </c>
      <c r="AH16" s="34">
        <f>'ER EL'!K11</f>
        <v>-0.46207503264124877</v>
      </c>
    </row>
    <row r="17" spans="1:34">
      <c r="A17" s="158" t="str">
        <f>Rules!L13</f>
        <v>17-21</v>
      </c>
      <c r="B17" s="49" t="str">
        <f>Rules!M13</f>
        <v>S</v>
      </c>
      <c r="C17" s="49" t="str">
        <f>Rules!N13</f>
        <v>S</v>
      </c>
      <c r="D17" s="49" t="str">
        <f>Rules!O13</f>
        <v>S</v>
      </c>
      <c r="E17" s="49" t="str">
        <f>Rules!P13</f>
        <v>S</v>
      </c>
      <c r="F17" s="49" t="str">
        <f>Rules!Q13</f>
        <v>S</v>
      </c>
      <c r="G17" s="49" t="str">
        <f>Rules!R13</f>
        <v>S</v>
      </c>
      <c r="H17" s="49" t="str">
        <f>Rules!S13</f>
        <v>S</v>
      </c>
      <c r="I17" s="49" t="str">
        <f>Rules!T13</f>
        <v>S</v>
      </c>
      <c r="J17" s="49" t="str">
        <f>Rules!U13</f>
        <v>S</v>
      </c>
      <c r="K17" s="49" t="str">
        <f>Rules!V13</f>
        <v>S</v>
      </c>
      <c r="M17" s="322" t="s">
        <v>205</v>
      </c>
      <c r="N17" s="323"/>
      <c r="O17" s="323"/>
      <c r="P17" s="323"/>
      <c r="Q17" s="323"/>
      <c r="R17" s="323"/>
      <c r="S17" s="323"/>
      <c r="T17" s="323"/>
      <c r="U17" s="323"/>
      <c r="V17" s="392"/>
      <c r="X17" s="162">
        <f>'ER EL'!A12</f>
        <v>14</v>
      </c>
      <c r="Y17" s="34">
        <f>'ER EL'!B12</f>
        <v>-0.53926856458309114</v>
      </c>
      <c r="Z17" s="34">
        <f>'ER EL'!C12</f>
        <v>-0.28654430084029509</v>
      </c>
      <c r="AA17" s="34">
        <f>'ER EL'!D12</f>
        <v>-0.24663577379217239</v>
      </c>
      <c r="AB17" s="34">
        <f>'ER EL'!E12</f>
        <v>-0.20584968608305471</v>
      </c>
      <c r="AC17" s="34">
        <f>'ER EL'!F12</f>
        <v>-0.16468249424828357</v>
      </c>
      <c r="AD17" s="34">
        <f>'ER EL'!G12</f>
        <v>-0.12106685019651225</v>
      </c>
      <c r="AE17" s="34">
        <f>'ER EL'!H12</f>
        <v>-0.3212819579256434</v>
      </c>
      <c r="AF17" s="34">
        <f>'ER EL'!I12</f>
        <v>-0.37191909208726714</v>
      </c>
      <c r="AG17" s="34">
        <f>'ER EL'!J12</f>
        <v>-0.43092981848423528</v>
      </c>
      <c r="AH17" s="34">
        <f>'ER EL'!K12</f>
        <v>-0.50049824459544523</v>
      </c>
    </row>
    <row r="18" spans="1:34">
      <c r="A18" s="158" t="str">
        <f>Rules!L14</f>
        <v>Soft</v>
      </c>
      <c r="B18" s="158" t="str">
        <f>Rules!M14</f>
        <v>A</v>
      </c>
      <c r="C18" s="158">
        <f>Rules!N14</f>
        <v>2</v>
      </c>
      <c r="D18" s="158">
        <f>Rules!O14</f>
        <v>3</v>
      </c>
      <c r="E18" s="158">
        <f>Rules!P14</f>
        <v>4</v>
      </c>
      <c r="F18" s="158">
        <f>Rules!Q14</f>
        <v>5</v>
      </c>
      <c r="G18" s="158">
        <f>Rules!R14</f>
        <v>6</v>
      </c>
      <c r="H18" s="158">
        <f>Rules!S14</f>
        <v>7</v>
      </c>
      <c r="I18" s="158">
        <f>Rules!T14</f>
        <v>8</v>
      </c>
      <c r="J18" s="158">
        <f>Rules!U14</f>
        <v>9</v>
      </c>
      <c r="K18" s="158">
        <f>Rules!V14</f>
        <v>10</v>
      </c>
      <c r="M18" s="161" t="s">
        <v>132</v>
      </c>
      <c r="N18" s="161" t="str">
        <f>'Strategy Summary'!B26</f>
        <v>1x2</v>
      </c>
      <c r="O18" s="161" t="str">
        <f>'Strategy Summary'!C26</f>
        <v>1x3</v>
      </c>
      <c r="P18" s="161" t="str">
        <f>'Strategy Summary'!D26</f>
        <v>1x4</v>
      </c>
      <c r="Q18" s="161" t="str">
        <f>'Strategy Summary'!E26</f>
        <v>1x5</v>
      </c>
      <c r="R18" s="161" t="str">
        <f>'Strategy Summary'!F26</f>
        <v>1x6</v>
      </c>
      <c r="S18" s="161" t="str">
        <f>'Strategy Summary'!G26</f>
        <v>1x7</v>
      </c>
      <c r="T18" s="161" t="str">
        <f>'Strategy Summary'!H26</f>
        <v>1x8</v>
      </c>
      <c r="U18" s="161" t="str">
        <f>'Strategy Summary'!I26</f>
        <v>1x9</v>
      </c>
      <c r="V18" s="161" t="str">
        <f>'Strategy Summary'!J26</f>
        <v>1x10</v>
      </c>
      <c r="X18" s="162">
        <f>'ER EL'!A13</f>
        <v>15</v>
      </c>
      <c r="Y18" s="34">
        <f>'ER EL'!B13</f>
        <v>-0.572177952827156</v>
      </c>
      <c r="Z18" s="34">
        <f>'ER EL'!C13</f>
        <v>-0.28654430084029509</v>
      </c>
      <c r="AA18" s="34">
        <f>'ER EL'!D13</f>
        <v>-0.24663577379217239</v>
      </c>
      <c r="AB18" s="34">
        <f>'ER EL'!E13</f>
        <v>-0.20584968608305471</v>
      </c>
      <c r="AC18" s="34">
        <f>'ER EL'!F13</f>
        <v>-0.16468249424828357</v>
      </c>
      <c r="AD18" s="34">
        <f>'ER EL'!G13</f>
        <v>-0.12106685019651225</v>
      </c>
      <c r="AE18" s="34">
        <f>'ER EL'!H13</f>
        <v>-0.36976181807381175</v>
      </c>
      <c r="AF18" s="34">
        <f>'ER EL'!I13</f>
        <v>-0.41678201408103371</v>
      </c>
      <c r="AG18" s="34">
        <f>'ER EL'!J13</f>
        <v>-0.47157768859250415</v>
      </c>
      <c r="AH18" s="34">
        <f>'ER EL'!K13</f>
        <v>-0.53617694141005634</v>
      </c>
    </row>
    <row r="19" spans="1:34">
      <c r="A19" s="158">
        <f>Rules!L15</f>
        <v>13</v>
      </c>
      <c r="B19" s="49" t="str">
        <f>Rules!M15</f>
        <v>H</v>
      </c>
      <c r="C19" s="49" t="str">
        <f>Rules!N15</f>
        <v>H</v>
      </c>
      <c r="D19" s="49" t="str">
        <f>Rules!O15</f>
        <v>H</v>
      </c>
      <c r="E19" s="49" t="str">
        <f>Rules!P15</f>
        <v>H</v>
      </c>
      <c r="F19" s="49" t="str">
        <f>Rules!Q15</f>
        <v>H</v>
      </c>
      <c r="G19" s="49" t="str">
        <f>Rules!R15</f>
        <v>H</v>
      </c>
      <c r="H19" s="49" t="str">
        <f>Rules!S15</f>
        <v>H</v>
      </c>
      <c r="I19" s="49" t="str">
        <f>Rules!T15</f>
        <v>H</v>
      </c>
      <c r="J19" s="49" t="str">
        <f>Rules!U15</f>
        <v>H</v>
      </c>
      <c r="K19" s="49" t="str">
        <f>Rules!V15</f>
        <v>H</v>
      </c>
      <c r="M19" s="161">
        <f>'Strategy Summary'!A28</f>
        <v>2</v>
      </c>
      <c r="N19" s="1">
        <f>'Strategy Summary'!B28</f>
        <v>12.872935064013314</v>
      </c>
      <c r="O19" s="1">
        <f>'Strategy Summary'!C28</f>
        <v>19.601349693264769</v>
      </c>
      <c r="P19" s="1">
        <f>'Strategy Summary'!D28</f>
        <v>29.224490073717853</v>
      </c>
      <c r="Q19" s="1">
        <f>'Strategy Summary'!E28</f>
        <v>41.390841832085741</v>
      </c>
      <c r="R19" s="1">
        <f>'Strategy Summary'!F28</f>
        <v>56.049019814389204</v>
      </c>
      <c r="S19" s="1">
        <f>'Strategy Summary'!G28</f>
        <v>73.199099715667103</v>
      </c>
      <c r="T19" s="1">
        <f>'Strategy Summary'!H28</f>
        <v>92.852400472282028</v>
      </c>
      <c r="U19" s="1">
        <f>'Strategy Summary'!I28</f>
        <v>115.02108541593785</v>
      </c>
      <c r="V19" s="1">
        <f>'Strategy Summary'!J28</f>
        <v>139.71500480850676</v>
      </c>
      <c r="X19" s="162">
        <f>'ER EL'!A14</f>
        <v>16</v>
      </c>
      <c r="Y19" s="34">
        <f>'ER EL'!B14</f>
        <v>-0.57578184676460165</v>
      </c>
      <c r="Z19" s="34">
        <f>'ER EL'!C14</f>
        <v>-0.28654430084029509</v>
      </c>
      <c r="AA19" s="34">
        <f>'ER EL'!D14</f>
        <v>-0.24663577379217239</v>
      </c>
      <c r="AB19" s="34">
        <f>'ER EL'!E14</f>
        <v>-0.20584968608305471</v>
      </c>
      <c r="AC19" s="34">
        <f>'ER EL'!F14</f>
        <v>-0.16468249424828357</v>
      </c>
      <c r="AD19" s="34">
        <f>'ER EL'!G14</f>
        <v>-0.12106685019651225</v>
      </c>
      <c r="AE19" s="34">
        <f>'ER EL'!H14</f>
        <v>-0.41477883106853947</v>
      </c>
      <c r="AF19" s="34">
        <f>'ER EL'!I14</f>
        <v>-0.45844044164667419</v>
      </c>
      <c r="AG19" s="34">
        <f>'ER EL'!J14</f>
        <v>-0.50932213940732529</v>
      </c>
      <c r="AH19" s="34">
        <f>'ER EL'!K14</f>
        <v>-0.56930715988076652</v>
      </c>
    </row>
    <row r="20" spans="1:34">
      <c r="A20" s="158">
        <f>Rules!L16</f>
        <v>14</v>
      </c>
      <c r="B20" s="49" t="str">
        <f>Rules!M16</f>
        <v>H</v>
      </c>
      <c r="C20" s="49" t="str">
        <f>Rules!N16</f>
        <v>H</v>
      </c>
      <c r="D20" s="49" t="str">
        <f>Rules!O16</f>
        <v>H</v>
      </c>
      <c r="E20" s="49" t="str">
        <f>Rules!P16</f>
        <v>H</v>
      </c>
      <c r="F20" s="49" t="str">
        <f>Rules!Q16</f>
        <v>H</v>
      </c>
      <c r="G20" s="49" t="str">
        <f>Rules!R16</f>
        <v>H</v>
      </c>
      <c r="H20" s="49" t="str">
        <f>Rules!S16</f>
        <v>H</v>
      </c>
      <c r="I20" s="49" t="str">
        <f>Rules!T16</f>
        <v>H</v>
      </c>
      <c r="J20" s="49" t="str">
        <f>Rules!U16</f>
        <v>H</v>
      </c>
      <c r="K20" s="49" t="str">
        <f>Rules!V16</f>
        <v>H</v>
      </c>
      <c r="M20" s="161">
        <f>'Strategy Summary'!A29</f>
        <v>3</v>
      </c>
      <c r="N20" s="1">
        <f>'Strategy Summary'!B29</f>
        <v>21.754328035626429</v>
      </c>
      <c r="O20" s="1">
        <f>'Strategy Summary'!C29</f>
        <v>49.760906026657103</v>
      </c>
      <c r="P20" s="1">
        <f>'Strategy Summary'!D29</f>
        <v>99.544234720744342</v>
      </c>
      <c r="Q20" s="1">
        <f>'Strategy Summary'!E29</f>
        <v>177.27114953382926</v>
      </c>
      <c r="R20" s="1">
        <f>'Strategy Summary'!F29</f>
        <v>289.34164940812542</v>
      </c>
      <c r="S20" s="1">
        <f>'Strategy Summary'!G29</f>
        <v>442.23182372364596</v>
      </c>
      <c r="T20" s="1">
        <f>'Strategy Summary'!H29</f>
        <v>642.45806440858394</v>
      </c>
      <c r="U20" s="1">
        <f>'Strategy Summary'!I29</f>
        <v>896.55985744365751</v>
      </c>
      <c r="V20" s="1">
        <f>'Strategy Summary'!J29</f>
        <v>1211.0880972162724</v>
      </c>
      <c r="X20" s="162">
        <f>'ER EL'!A15</f>
        <v>17</v>
      </c>
      <c r="Y20" s="34">
        <f>'ER EL'!B15</f>
        <v>-0.46435750824198752</v>
      </c>
      <c r="Z20" s="34">
        <f>'ER EL'!C15</f>
        <v>-0.15641021825706786</v>
      </c>
      <c r="AA20" s="34">
        <f>'ER EL'!D15</f>
        <v>-0.12030774273351591</v>
      </c>
      <c r="AB20" s="34">
        <f>'ER EL'!E15</f>
        <v>-8.3444052932191204E-2</v>
      </c>
      <c r="AC20" s="34">
        <f>'ER EL'!F15</f>
        <v>-4.6323554721567961E-2</v>
      </c>
      <c r="AD20" s="34">
        <f>'ER EL'!G15</f>
        <v>-6.2291683630239514E-3</v>
      </c>
      <c r="AE20" s="34">
        <f>'ER EL'!H15</f>
        <v>-0.10680898948269468</v>
      </c>
      <c r="AF20" s="34">
        <f>'ER EL'!I15</f>
        <v>-0.38195097104844711</v>
      </c>
      <c r="AG20" s="34">
        <f>'ER EL'!J15</f>
        <v>-0.42315423964521737</v>
      </c>
      <c r="AH20" s="34">
        <f>'ER EL'!K15</f>
        <v>-0.46435750824198763</v>
      </c>
    </row>
    <row r="21" spans="1:34">
      <c r="A21" s="158">
        <f>Rules!L17</f>
        <v>15</v>
      </c>
      <c r="B21" s="49" t="str">
        <f>Rules!M17</f>
        <v>H</v>
      </c>
      <c r="C21" s="49" t="str">
        <f>Rules!N17</f>
        <v>H</v>
      </c>
      <c r="D21" s="49" t="str">
        <f>Rules!O17</f>
        <v>H</v>
      </c>
      <c r="E21" s="49" t="str">
        <f>Rules!P17</f>
        <v>H</v>
      </c>
      <c r="F21" s="49" t="str">
        <f>Rules!Q17</f>
        <v>H</v>
      </c>
      <c r="G21" s="49" t="str">
        <f>Rules!R17</f>
        <v>H</v>
      </c>
      <c r="H21" s="49" t="str">
        <f>Rules!S17</f>
        <v>H</v>
      </c>
      <c r="I21" s="49" t="str">
        <f>Rules!T17</f>
        <v>H</v>
      </c>
      <c r="J21" s="49" t="str">
        <f>Rules!U17</f>
        <v>H</v>
      </c>
      <c r="K21" s="49" t="str">
        <f>Rules!V17</f>
        <v>H</v>
      </c>
      <c r="M21" s="161">
        <f>'Strategy Summary'!A30</f>
        <v>4</v>
      </c>
      <c r="N21" s="1">
        <f>'Strategy Summary'!B30</f>
        <v>40.158502549563657</v>
      </c>
      <c r="O21" s="1">
        <f>'Strategy Summary'!C30</f>
        <v>137.40181472614159</v>
      </c>
      <c r="P21" s="1">
        <f>'Strategy Summary'!D30</f>
        <v>369.7360494627352</v>
      </c>
      <c r="Q21" s="1">
        <f>'Strategy Summary'!E30</f>
        <v>829.24067667895474</v>
      </c>
      <c r="R21" s="1">
        <f>'Strategy Summary'!F30</f>
        <v>1632.860457368419</v>
      </c>
      <c r="S21" s="1">
        <f>'Strategy Summary'!G30</f>
        <v>2922.3534247328007</v>
      </c>
      <c r="T21" s="1">
        <f>'Strategy Summary'!H30</f>
        <v>4864.3204257031821</v>
      </c>
      <c r="U21" s="1">
        <f>'Strategy Summary'!I30</f>
        <v>7650.2250705881852</v>
      </c>
      <c r="V21" s="1">
        <f>'Strategy Summary'!J30</f>
        <v>11496.394766828658</v>
      </c>
      <c r="X21" s="162">
        <f>'ER EL'!A16</f>
        <v>18</v>
      </c>
      <c r="Y21" s="34">
        <f>'ER EL'!B16</f>
        <v>-0.24150883119675959</v>
      </c>
      <c r="Z21" s="34">
        <f>'ER EL'!C16</f>
        <v>0.11027005064085793</v>
      </c>
      <c r="AA21" s="34">
        <f>'ER EL'!D16</f>
        <v>0.13797729703756356</v>
      </c>
      <c r="AB21" s="34">
        <f>'ER EL'!E16</f>
        <v>0.16626900252257676</v>
      </c>
      <c r="AC21" s="34">
        <f>'ER EL'!F16</f>
        <v>0.19494598568825822</v>
      </c>
      <c r="AD21" s="34">
        <f>'ER EL'!G16</f>
        <v>0.22344619530395254</v>
      </c>
      <c r="AE21" s="34">
        <f>'ER EL'!H16</f>
        <v>0.3995541673365518</v>
      </c>
      <c r="AF21" s="34">
        <f>'ER EL'!I16</f>
        <v>0.10595134861912359</v>
      </c>
      <c r="AG21" s="34">
        <f>'ER EL'!J16</f>
        <v>-0.18316335667343331</v>
      </c>
      <c r="AH21" s="34">
        <f>'ER EL'!K16</f>
        <v>-0.24150883119675959</v>
      </c>
    </row>
    <row r="22" spans="1:34">
      <c r="A22" s="158">
        <f>Rules!L18</f>
        <v>16</v>
      </c>
      <c r="B22" s="49" t="str">
        <f>Rules!M18</f>
        <v>H</v>
      </c>
      <c r="C22" s="49" t="str">
        <f>Rules!N18</f>
        <v>H</v>
      </c>
      <c r="D22" s="49" t="str">
        <f>Rules!O18</f>
        <v>H</v>
      </c>
      <c r="E22" s="49" t="str">
        <f>Rules!P18</f>
        <v>H</v>
      </c>
      <c r="F22" s="49" t="str">
        <f>Rules!Q18</f>
        <v>H</v>
      </c>
      <c r="G22" s="49" t="str">
        <f>Rules!R18</f>
        <v>H</v>
      </c>
      <c r="H22" s="49" t="str">
        <f>Rules!S18</f>
        <v>H</v>
      </c>
      <c r="I22" s="49" t="str">
        <f>Rules!T18</f>
        <v>H</v>
      </c>
      <c r="J22" s="49" t="str">
        <f>Rules!U18</f>
        <v>H</v>
      </c>
      <c r="K22" s="49" t="str">
        <f>Rules!V18</f>
        <v>H</v>
      </c>
      <c r="M22" s="322" t="s">
        <v>203</v>
      </c>
      <c r="N22" s="323"/>
      <c r="O22" s="323"/>
      <c r="P22" s="323"/>
      <c r="Q22" s="323"/>
      <c r="R22" s="323"/>
      <c r="S22" s="323"/>
      <c r="T22" s="323"/>
      <c r="U22" s="323"/>
      <c r="V22" s="392"/>
      <c r="X22" s="162">
        <f>'ER EL'!A17</f>
        <v>19</v>
      </c>
      <c r="Y22" s="34">
        <f>'ER EL'!B17</f>
        <v>-1.8660154151531549E-2</v>
      </c>
      <c r="Z22" s="34">
        <f>'ER EL'!C17</f>
        <v>0.37811050632056864</v>
      </c>
      <c r="AA22" s="34">
        <f>'ER EL'!D17</f>
        <v>0.39698952530936887</v>
      </c>
      <c r="AB22" s="34">
        <f>'ER EL'!E17</f>
        <v>0.41633218577399039</v>
      </c>
      <c r="AC22" s="34">
        <f>'ER EL'!F17</f>
        <v>0.43621552609808445</v>
      </c>
      <c r="AD22" s="34">
        <f>'ER EL'!G17</f>
        <v>0.45312155897092921</v>
      </c>
      <c r="AE22" s="34">
        <f>'ER EL'!H17</f>
        <v>0.6159764957534315</v>
      </c>
      <c r="AF22" s="34">
        <f>'ER EL'!I17</f>
        <v>0.5938536682866945</v>
      </c>
      <c r="AG22" s="34">
        <f>'ER EL'!J17</f>
        <v>0.28759675706758142</v>
      </c>
      <c r="AH22" s="34">
        <f>'ER EL'!K17</f>
        <v>-1.8660154151531536E-2</v>
      </c>
    </row>
    <row r="23" spans="1:34">
      <c r="A23" s="158">
        <f>Rules!L19</f>
        <v>17</v>
      </c>
      <c r="B23" s="49" t="str">
        <f>Rules!M19</f>
        <v>H</v>
      </c>
      <c r="C23" s="49" t="str">
        <f>Rules!N19</f>
        <v>H</v>
      </c>
      <c r="D23" s="49" t="str">
        <f>Rules!O19</f>
        <v>H</v>
      </c>
      <c r="E23" s="49" t="str">
        <f>Rules!P19</f>
        <v>H</v>
      </c>
      <c r="F23" s="49" t="str">
        <f>Rules!Q19</f>
        <v>H</v>
      </c>
      <c r="G23" s="49" t="str">
        <f>Rules!R19</f>
        <v>H</v>
      </c>
      <c r="H23" s="49" t="str">
        <f>Rules!S19</f>
        <v>H</v>
      </c>
      <c r="I23" s="49" t="str">
        <f>Rules!T19</f>
        <v>H</v>
      </c>
      <c r="J23" s="49" t="str">
        <f>Rules!U19</f>
        <v>H</v>
      </c>
      <c r="K23" s="49" t="str">
        <f>Rules!V19</f>
        <v>H</v>
      </c>
      <c r="M23" s="161" t="s">
        <v>132</v>
      </c>
      <c r="N23" s="161" t="str">
        <f>'Strategy Summary'!B62</f>
        <v>1x2</v>
      </c>
      <c r="O23" s="161" t="str">
        <f>'Strategy Summary'!C62</f>
        <v>1x3</v>
      </c>
      <c r="P23" s="161" t="str">
        <f>'Strategy Summary'!D62</f>
        <v>1x4</v>
      </c>
      <c r="Q23" s="161" t="str">
        <f>'Strategy Summary'!E62</f>
        <v>1x5</v>
      </c>
      <c r="R23" s="161" t="str">
        <f>'Strategy Summary'!F62</f>
        <v>1x6</v>
      </c>
      <c r="S23" s="161" t="str">
        <f>'Strategy Summary'!G62</f>
        <v>1x7</v>
      </c>
      <c r="T23" s="161" t="str">
        <f>'Strategy Summary'!H62</f>
        <v>1x8</v>
      </c>
      <c r="U23" s="161" t="str">
        <f>'Strategy Summary'!I62</f>
        <v>1x9</v>
      </c>
      <c r="V23" s="161" t="str">
        <f>'Strategy Summary'!J62</f>
        <v>1x10</v>
      </c>
      <c r="X23" s="162" t="str">
        <f>'ER EL'!A18</f>
        <v>Soft</v>
      </c>
      <c r="Y23" s="162" t="str">
        <f>'ER EL'!B18</f>
        <v>Ace</v>
      </c>
      <c r="Z23" s="162">
        <f>'ER EL'!C18</f>
        <v>2</v>
      </c>
      <c r="AA23" s="162">
        <f>'ER EL'!D18</f>
        <v>3</v>
      </c>
      <c r="AB23" s="162">
        <f>'ER EL'!E18</f>
        <v>4</v>
      </c>
      <c r="AC23" s="162">
        <f>'ER EL'!F18</f>
        <v>5</v>
      </c>
      <c r="AD23" s="162">
        <f>'ER EL'!G18</f>
        <v>6</v>
      </c>
      <c r="AE23" s="162">
        <f>'ER EL'!H18</f>
        <v>7</v>
      </c>
      <c r="AF23" s="162">
        <f>'ER EL'!I18</f>
        <v>8</v>
      </c>
      <c r="AG23" s="162">
        <f>'ER EL'!J18</f>
        <v>9</v>
      </c>
      <c r="AH23" s="162">
        <f>'ER EL'!K18</f>
        <v>10</v>
      </c>
    </row>
    <row r="24" spans="1:34">
      <c r="A24" s="158">
        <f>Rules!L20</f>
        <v>18</v>
      </c>
      <c r="B24" s="49" t="str">
        <f>Rules!M20</f>
        <v>S</v>
      </c>
      <c r="C24" s="49" t="str">
        <f>Rules!N20</f>
        <v>S</v>
      </c>
      <c r="D24" s="49" t="str">
        <f>Rules!O20</f>
        <v>S</v>
      </c>
      <c r="E24" s="49" t="str">
        <f>Rules!P20</f>
        <v>S</v>
      </c>
      <c r="F24" s="49" t="str">
        <f>Rules!Q20</f>
        <v>S</v>
      </c>
      <c r="G24" s="49" t="str">
        <f>Rules!R20</f>
        <v>S</v>
      </c>
      <c r="H24" s="49" t="str">
        <f>Rules!S20</f>
        <v>S</v>
      </c>
      <c r="I24" s="49" t="str">
        <f>Rules!T20</f>
        <v>S</v>
      </c>
      <c r="J24" s="49" t="str">
        <f>Rules!U20</f>
        <v>H</v>
      </c>
      <c r="K24" s="49" t="str">
        <f>Rules!V20</f>
        <v>H</v>
      </c>
      <c r="M24" s="161">
        <f>'Strategy Summary'!A63</f>
        <v>2</v>
      </c>
      <c r="N24" s="1">
        <f>'Strategy Summary'!B63</f>
        <v>1.1875134410793327</v>
      </c>
      <c r="O24" s="1">
        <f>'Strategy Summary'!C63</f>
        <v>2.6227428798139893</v>
      </c>
      <c r="P24" s="1">
        <f>'Strategy Summary'!D63</f>
        <v>3.1105604815595487</v>
      </c>
      <c r="Q24" s="1">
        <f>'Strategy Summary'!E63</f>
        <v>3.1993220260245647</v>
      </c>
      <c r="R24" s="1">
        <f>'Strategy Summary'!F63</f>
        <v>3.1289075323459796</v>
      </c>
      <c r="S24" s="1">
        <f>'Strategy Summary'!G63</f>
        <v>2.9972199570751936</v>
      </c>
      <c r="T24" s="1">
        <f>'Strategy Summary'!H63</f>
        <v>2.8456987174504933</v>
      </c>
      <c r="U24" s="1">
        <f>'Strategy Summary'!I63</f>
        <v>2.6924116604491144</v>
      </c>
      <c r="V24" s="1">
        <f>'Strategy Summary'!J63</f>
        <v>2.545207612671847</v>
      </c>
      <c r="X24" s="162">
        <f>'ER EL'!A19</f>
        <v>13</v>
      </c>
      <c r="Y24" s="34">
        <f>'ER EL'!B19</f>
        <v>-0.23472177802444921</v>
      </c>
      <c r="Z24" s="34">
        <f>'ER EL'!C19</f>
        <v>4.6611316056980476E-2</v>
      </c>
      <c r="AA24" s="34">
        <f>'ER EL'!D19</f>
        <v>7.4096482508153511E-2</v>
      </c>
      <c r="AB24" s="34">
        <f>'ER EL'!E19</f>
        <v>0.10302707120599627</v>
      </c>
      <c r="AC24" s="34">
        <f>'ER EL'!F19</f>
        <v>0.13362751686623553</v>
      </c>
      <c r="AD24" s="34">
        <f>'ER EL'!G19</f>
        <v>0.16513483022847522</v>
      </c>
      <c r="AE24" s="34">
        <f>'ER EL'!H19</f>
        <v>0.12238569517899196</v>
      </c>
      <c r="AF24" s="34">
        <f>'ER EL'!I19</f>
        <v>5.4057070196311334E-2</v>
      </c>
      <c r="AG24" s="34">
        <f>'ER EL'!J19</f>
        <v>-3.7694688127479885E-2</v>
      </c>
      <c r="AH24" s="34">
        <f>'ER EL'!K19</f>
        <v>-0.16080628455762785</v>
      </c>
    </row>
    <row r="25" spans="1:34">
      <c r="A25" s="158">
        <f>Rules!L21</f>
        <v>19</v>
      </c>
      <c r="B25" s="49" t="str">
        <f>Rules!M21</f>
        <v>S</v>
      </c>
      <c r="C25" s="49" t="str">
        <f>Rules!N21</f>
        <v>S</v>
      </c>
      <c r="D25" s="49" t="str">
        <f>Rules!O21</f>
        <v>S</v>
      </c>
      <c r="E25" s="49" t="str">
        <f>Rules!P21</f>
        <v>S</v>
      </c>
      <c r="F25" s="49" t="str">
        <f>Rules!Q21</f>
        <v>S</v>
      </c>
      <c r="G25" s="49" t="str">
        <f>Rules!R21</f>
        <v>D</v>
      </c>
      <c r="H25" s="49" t="str">
        <f>Rules!S21</f>
        <v>S</v>
      </c>
      <c r="I25" s="49" t="str">
        <f>Rules!T21</f>
        <v>S</v>
      </c>
      <c r="J25" s="49" t="str">
        <f>Rules!U21</f>
        <v>S</v>
      </c>
      <c r="K25" s="49" t="str">
        <f>Rules!V21</f>
        <v>S</v>
      </c>
      <c r="M25" s="161">
        <f>'Strategy Summary'!A64</f>
        <v>3</v>
      </c>
      <c r="N25" s="1">
        <f>'Strategy Summary'!B64</f>
        <v>1.3693242369437746</v>
      </c>
      <c r="O25" s="1">
        <f>'Strategy Summary'!C64</f>
        <v>1.9366672509912279</v>
      </c>
      <c r="P25" s="1">
        <f>'Strategy Summary'!D64</f>
        <v>1.6715783094036933</v>
      </c>
      <c r="Q25" s="1">
        <f>'Strategy Summary'!E64</f>
        <v>1.3470671409191393</v>
      </c>
      <c r="R25" s="1">
        <f>'Strategy Summary'!F64</f>
        <v>1.0824319370702133</v>
      </c>
      <c r="S25" s="1">
        <f>'Strategy Summary'!G64</f>
        <v>0.88026410554591927</v>
      </c>
      <c r="T25" s="1">
        <f>'Strategy Summary'!H64</f>
        <v>0.72654195060731452</v>
      </c>
      <c r="U25" s="1">
        <f>'Strategy Summary'!I64</f>
        <v>0.60833030062570259</v>
      </c>
      <c r="V25" s="1">
        <f>'Strategy Summary'!J64</f>
        <v>0.51601930160696829</v>
      </c>
      <c r="X25" s="162">
        <f>'ER EL'!A20</f>
        <v>14</v>
      </c>
      <c r="Y25" s="34">
        <f>'ER EL'!B20</f>
        <v>-0.26406959413166387</v>
      </c>
      <c r="Z25" s="34">
        <f>'ER EL'!C20</f>
        <v>2.2814486278603666E-2</v>
      </c>
      <c r="AA25" s="34">
        <f>'ER EL'!D20</f>
        <v>5.1187035629558814E-2</v>
      </c>
      <c r="AB25" s="34">
        <f>'ER EL'!E20</f>
        <v>8.0964445685349773E-2</v>
      </c>
      <c r="AC25" s="34">
        <f>'ER EL'!F20</f>
        <v>0.11231965892948416</v>
      </c>
      <c r="AD25" s="34">
        <f>'ER EL'!G20</f>
        <v>0.1446918530552618</v>
      </c>
      <c r="AE25" s="34">
        <f>'ER EL'!H20</f>
        <v>7.9507488494468148E-2</v>
      </c>
      <c r="AF25" s="34">
        <f>'ER EL'!I20</f>
        <v>1.3277219463208478E-2</v>
      </c>
      <c r="AG25" s="34">
        <f>'ER EL'!J20</f>
        <v>-7.516318944168382E-2</v>
      </c>
      <c r="AH25" s="34">
        <f>'ER EL'!K20</f>
        <v>-0.1933035414076569</v>
      </c>
    </row>
    <row r="26" spans="1:34">
      <c r="A26" s="158" t="str">
        <f>Rules!L22</f>
        <v>Pair</v>
      </c>
      <c r="B26" s="158" t="str">
        <f>Rules!M22</f>
        <v>A</v>
      </c>
      <c r="C26" s="158">
        <f>Rules!N22</f>
        <v>2</v>
      </c>
      <c r="D26" s="158">
        <f>Rules!O22</f>
        <v>3</v>
      </c>
      <c r="E26" s="158">
        <f>Rules!P22</f>
        <v>4</v>
      </c>
      <c r="F26" s="158">
        <f>Rules!Q22</f>
        <v>5</v>
      </c>
      <c r="G26" s="158">
        <f>Rules!R22</f>
        <v>6</v>
      </c>
      <c r="H26" s="158">
        <f>Rules!S22</f>
        <v>7</v>
      </c>
      <c r="I26" s="158">
        <f>Rules!T22</f>
        <v>8</v>
      </c>
      <c r="J26" s="158">
        <f>Rules!U22</f>
        <v>9</v>
      </c>
      <c r="K26" s="158">
        <f>Rules!V22</f>
        <v>10</v>
      </c>
      <c r="M26" s="161">
        <f>'Strategy Summary'!A65</f>
        <v>4</v>
      </c>
      <c r="N26" s="1">
        <f>'Strategy Summary'!B65</f>
        <v>1.2041494425037444</v>
      </c>
      <c r="O26" s="1">
        <f>'Strategy Summary'!C65</f>
        <v>1.0954171371948696</v>
      </c>
      <c r="P26" s="1">
        <f>'Strategy Summary'!D65</f>
        <v>0.68724539298318177</v>
      </c>
      <c r="Q26" s="1">
        <f>'Strategy Summary'!E65</f>
        <v>0.43386289419980795</v>
      </c>
      <c r="R26" s="1">
        <f>'Strategy Summary'!F65</f>
        <v>0.28654347982259382</v>
      </c>
      <c r="S26" s="1">
        <f>'Strategy Summary'!G65</f>
        <v>0.19790634539264901</v>
      </c>
      <c r="T26" s="1">
        <f>'Strategy Summary'!H65</f>
        <v>0.14203817724452791</v>
      </c>
      <c r="U26" s="1">
        <f>'Strategy Summary'!I65</f>
        <v>0.10526101732274767</v>
      </c>
      <c r="V26" s="1">
        <f>'Strategy Summary'!J65</f>
        <v>8.0120140918202409E-2</v>
      </c>
      <c r="X26" s="162">
        <f>'ER EL'!A21</f>
        <v>15</v>
      </c>
      <c r="Y26" s="34">
        <f>'ER EL'!B21</f>
        <v>-0.29312934580507005</v>
      </c>
      <c r="Z26" s="34">
        <f>'ER EL'!C21</f>
        <v>7.1743005582518391E-4</v>
      </c>
      <c r="AA26" s="34">
        <f>'ER EL'!D21</f>
        <v>2.9913977813720842E-2</v>
      </c>
      <c r="AB26" s="34">
        <f>'ER EL'!E21</f>
        <v>6.047772198760662E-2</v>
      </c>
      <c r="AC26" s="34">
        <f>'ER EL'!F21</f>
        <v>9.2533790845357913E-2</v>
      </c>
      <c r="AD26" s="34">
        <f>'ER EL'!G21</f>
        <v>0.12570908853727794</v>
      </c>
      <c r="AE26" s="34">
        <f>'ER EL'!H21</f>
        <v>3.7028282279269235E-2</v>
      </c>
      <c r="AF26" s="34">
        <f>'ER EL'!I21</f>
        <v>-2.7054780502901672E-2</v>
      </c>
      <c r="AG26" s="34">
        <f>'ER EL'!J21</f>
        <v>-0.11218876868994289</v>
      </c>
      <c r="AH26" s="34">
        <f>'ER EL'!K21</f>
        <v>-0.22543993358238781</v>
      </c>
    </row>
    <row r="27" spans="1:34">
      <c r="A27" s="158" t="str">
        <f>Rules!L23</f>
        <v>A</v>
      </c>
      <c r="B27" s="49">
        <f>Rules!M23</f>
        <v>2</v>
      </c>
      <c r="C27" s="49">
        <f>Rules!N23</f>
        <v>2</v>
      </c>
      <c r="D27" s="49">
        <f>Rules!O23</f>
        <v>2</v>
      </c>
      <c r="E27" s="49">
        <f>Rules!P23</f>
        <v>2</v>
      </c>
      <c r="F27" s="49">
        <f>Rules!Q23</f>
        <v>2</v>
      </c>
      <c r="G27" s="49">
        <f>Rules!R23</f>
        <v>2</v>
      </c>
      <c r="H27" s="49">
        <f>Rules!S23</f>
        <v>2</v>
      </c>
      <c r="I27" s="49">
        <f>Rules!T23</f>
        <v>2</v>
      </c>
      <c r="J27" s="49">
        <f>Rules!U23</f>
        <v>2</v>
      </c>
      <c r="K27" s="49">
        <f>Rules!V23</f>
        <v>2</v>
      </c>
      <c r="M27" s="322" t="s">
        <v>204</v>
      </c>
      <c r="N27" s="323"/>
      <c r="O27" s="323"/>
      <c r="P27" s="323"/>
      <c r="Q27" s="323"/>
      <c r="R27" s="323"/>
      <c r="S27" s="323"/>
      <c r="T27" s="323"/>
      <c r="U27" s="323"/>
      <c r="V27" s="392"/>
      <c r="X27" s="162">
        <f>'ER EL'!A22</f>
        <v>16</v>
      </c>
      <c r="Y27" s="34">
        <f>'ER EL'!B22</f>
        <v>-0.31409107314591783</v>
      </c>
      <c r="Z27" s="34">
        <f>'ER EL'!C22</f>
        <v>-1.9801265008183407E-2</v>
      </c>
      <c r="AA27" s="34">
        <f>'ER EL'!D22</f>
        <v>1.0160424127585613E-2</v>
      </c>
      <c r="AB27" s="34">
        <f>'ER EL'!E22</f>
        <v>4.1454335696845056E-2</v>
      </c>
      <c r="AC27" s="34">
        <f>'ER EL'!F22</f>
        <v>7.4161199052954929E-2</v>
      </c>
      <c r="AD27" s="34">
        <f>'ER EL'!G22</f>
        <v>0.10808223577057864</v>
      </c>
      <c r="AE27" s="34">
        <f>'ER EL'!H22</f>
        <v>-4.8901571730158942E-3</v>
      </c>
      <c r="AF27" s="34">
        <f>'ER EL'!I22</f>
        <v>-6.6794847920094103E-2</v>
      </c>
      <c r="AG27" s="34">
        <f>'ER EL'!J22</f>
        <v>-0.14864353463007471</v>
      </c>
      <c r="AH27" s="34">
        <f>'ER EL'!K22</f>
        <v>-0.25710121084742421</v>
      </c>
    </row>
    <row r="28" spans="1:34">
      <c r="A28" s="158">
        <f>Rules!L24</f>
        <v>2</v>
      </c>
      <c r="B28" s="49" t="str">
        <f>Rules!M24</f>
        <v>H</v>
      </c>
      <c r="C28" s="49" t="str">
        <f>Rules!N24</f>
        <v>H</v>
      </c>
      <c r="D28" s="49" t="str">
        <f>Rules!O24</f>
        <v>H</v>
      </c>
      <c r="E28" s="49">
        <f>Rules!P24</f>
        <v>2</v>
      </c>
      <c r="F28" s="49">
        <f>Rules!Q24</f>
        <v>2</v>
      </c>
      <c r="G28" s="49">
        <f>Rules!R24</f>
        <v>2</v>
      </c>
      <c r="H28" s="49">
        <f>Rules!S24</f>
        <v>2</v>
      </c>
      <c r="I28" s="49" t="str">
        <f>Rules!T24</f>
        <v>H</v>
      </c>
      <c r="J28" s="49" t="str">
        <f>Rules!U24</f>
        <v>H</v>
      </c>
      <c r="K28" s="49" t="str">
        <f>Rules!V24</f>
        <v>H</v>
      </c>
      <c r="M28" s="161" t="s">
        <v>132</v>
      </c>
      <c r="N28" s="161" t="str">
        <f t="shared" ref="N28:V28" si="0">N23</f>
        <v>1x2</v>
      </c>
      <c r="O28" s="161" t="str">
        <f t="shared" si="0"/>
        <v>1x3</v>
      </c>
      <c r="P28" s="161" t="str">
        <f t="shared" si="0"/>
        <v>1x4</v>
      </c>
      <c r="Q28" s="161" t="str">
        <f t="shared" si="0"/>
        <v>1x5</v>
      </c>
      <c r="R28" s="161" t="str">
        <f t="shared" si="0"/>
        <v>1x6</v>
      </c>
      <c r="S28" s="161" t="str">
        <f t="shared" si="0"/>
        <v>1x7</v>
      </c>
      <c r="T28" s="161" t="str">
        <f t="shared" si="0"/>
        <v>1x8</v>
      </c>
      <c r="U28" s="161" t="str">
        <f t="shared" si="0"/>
        <v>1x9</v>
      </c>
      <c r="V28" s="161" t="str">
        <f t="shared" si="0"/>
        <v>1x10</v>
      </c>
      <c r="X28" s="162">
        <f>'ER EL'!A23</f>
        <v>17</v>
      </c>
      <c r="Y28" s="34">
        <f>'ER EL'!B23</f>
        <v>-0.30094774596936263</v>
      </c>
      <c r="Z28" s="34">
        <f>'ER EL'!C23</f>
        <v>-1.673172543840738E-3</v>
      </c>
      <c r="AA28" s="34">
        <f>'ER EL'!D23</f>
        <v>2.7911561721504739E-2</v>
      </c>
      <c r="AB28" s="34">
        <f>'ER EL'!E23</f>
        <v>5.876280075567035E-2</v>
      </c>
      <c r="AC28" s="34">
        <f>'ER EL'!F23</f>
        <v>9.0917775110499491E-2</v>
      </c>
      <c r="AD28" s="34">
        <f>'ER EL'!G23</f>
        <v>0.12452521015392595</v>
      </c>
      <c r="AE28" s="34">
        <f>'ER EL'!H23</f>
        <v>5.3823463716116654E-2</v>
      </c>
      <c r="AF28" s="34">
        <f>'ER EL'!I23</f>
        <v>-7.2915398729642075E-2</v>
      </c>
      <c r="AG28" s="34">
        <f>'ER EL'!J23</f>
        <v>-0.14978689218213323</v>
      </c>
      <c r="AH28" s="34">
        <f>'ER EL'!K23</f>
        <v>-0.24941602102444038</v>
      </c>
    </row>
    <row r="29" spans="1:34">
      <c r="A29" s="158">
        <f>Rules!L25</f>
        <v>3</v>
      </c>
      <c r="B29" s="49" t="str">
        <f>Rules!M25</f>
        <v>H</v>
      </c>
      <c r="C29" s="49" t="str">
        <f>Rules!N25</f>
        <v>H</v>
      </c>
      <c r="D29" s="49" t="str">
        <f>Rules!O25</f>
        <v>H</v>
      </c>
      <c r="E29" s="49">
        <f>Rules!P25</f>
        <v>2</v>
      </c>
      <c r="F29" s="49">
        <f>Rules!Q25</f>
        <v>2</v>
      </c>
      <c r="G29" s="49">
        <f>Rules!R25</f>
        <v>2</v>
      </c>
      <c r="H29" s="49">
        <f>Rules!S25</f>
        <v>2</v>
      </c>
      <c r="I29" s="49" t="str">
        <f>Rules!T25</f>
        <v>H</v>
      </c>
      <c r="J29" s="49" t="str">
        <f>Rules!U25</f>
        <v>H</v>
      </c>
      <c r="K29" s="49" t="str">
        <f>Rules!V25</f>
        <v>H</v>
      </c>
      <c r="M29" s="161">
        <v>2</v>
      </c>
      <c r="N29" s="1">
        <f t="shared" ref="N29:V29" si="1">N9*N19</f>
        <v>196.78577023451851</v>
      </c>
      <c r="O29" s="1">
        <f t="shared" si="1"/>
        <v>1007.6916735044034</v>
      </c>
      <c r="P29" s="1">
        <f t="shared" si="1"/>
        <v>2656.6389413592688</v>
      </c>
      <c r="Q29" s="1">
        <f t="shared" si="1"/>
        <v>5481.0842139933238</v>
      </c>
      <c r="R29" s="1">
        <f t="shared" si="1"/>
        <v>9829.4399282663271</v>
      </c>
      <c r="S29" s="1">
        <f t="shared" si="1"/>
        <v>16059.428826763038</v>
      </c>
      <c r="T29" s="1">
        <f t="shared" si="1"/>
        <v>24534.385778211326</v>
      </c>
      <c r="U29" s="1">
        <f t="shared" si="1"/>
        <v>35620.202649011058</v>
      </c>
      <c r="V29" s="1">
        <f t="shared" si="1"/>
        <v>49683.171795210801</v>
      </c>
      <c r="X29" s="162">
        <f>'ER EL'!A24</f>
        <v>18</v>
      </c>
      <c r="Y29" s="34">
        <f>'ER EL'!B24</f>
        <v>-0.24150883119675959</v>
      </c>
      <c r="Z29" s="34">
        <f>'ER EL'!C24</f>
        <v>0.11027005064085793</v>
      </c>
      <c r="AA29" s="34">
        <f>'ER EL'!D24</f>
        <v>0.13797729703756356</v>
      </c>
      <c r="AB29" s="34">
        <f>'ER EL'!E24</f>
        <v>0.16626900252257676</v>
      </c>
      <c r="AC29" s="34">
        <f>'ER EL'!F24</f>
        <v>0.19494598568825822</v>
      </c>
      <c r="AD29" s="34">
        <f>'ER EL'!G24</f>
        <v>0.22344619530395254</v>
      </c>
      <c r="AE29" s="34">
        <f>'ER EL'!H24</f>
        <v>0.3995541673365518</v>
      </c>
      <c r="AF29" s="34">
        <f>'ER EL'!I24</f>
        <v>0.10595134861912359</v>
      </c>
      <c r="AG29" s="34">
        <f>'ER EL'!J24</f>
        <v>-0.10074430758041522</v>
      </c>
      <c r="AH29" s="34">
        <f>'ER EL'!K24</f>
        <v>-0.20109793381277147</v>
      </c>
    </row>
    <row r="30" spans="1:34">
      <c r="A30" s="158">
        <f>Rules!L26</f>
        <v>4</v>
      </c>
      <c r="B30" s="49" t="str">
        <f>Rules!M26</f>
        <v>H</v>
      </c>
      <c r="C30" s="49" t="str">
        <f>Rules!N26</f>
        <v>H</v>
      </c>
      <c r="D30" s="49" t="str">
        <f>Rules!O26</f>
        <v>H</v>
      </c>
      <c r="E30" s="49" t="str">
        <f>Rules!P26</f>
        <v>H</v>
      </c>
      <c r="F30" s="49" t="str">
        <f>Rules!Q26</f>
        <v>H</v>
      </c>
      <c r="G30" s="49" t="str">
        <f>Rules!R26</f>
        <v>H</v>
      </c>
      <c r="H30" s="49" t="str">
        <f>Rules!S26</f>
        <v>H</v>
      </c>
      <c r="I30" s="49" t="str">
        <f>Rules!T26</f>
        <v>H</v>
      </c>
      <c r="J30" s="49" t="str">
        <f>Rules!U26</f>
        <v>H</v>
      </c>
      <c r="K30" s="49" t="str">
        <f>Rules!V26</f>
        <v>H</v>
      </c>
      <c r="M30" s="161">
        <v>3</v>
      </c>
      <c r="N30" s="1">
        <f t="shared" ref="N30:V30" si="2">N10*N20</f>
        <v>648.03377454679924</v>
      </c>
      <c r="O30" s="1">
        <f t="shared" si="2"/>
        <v>4795.4742920506169</v>
      </c>
      <c r="P30" s="1">
        <f t="shared" si="2"/>
        <v>16563.760846612811</v>
      </c>
      <c r="Q30" s="1">
        <f t="shared" si="2"/>
        <v>42331.666343083045</v>
      </c>
      <c r="R30" s="1">
        <f t="shared" si="2"/>
        <v>90619.675631478676</v>
      </c>
      <c r="S30" s="1">
        <f t="shared" si="2"/>
        <v>172152.35845805853</v>
      </c>
      <c r="T30" s="1">
        <f t="shared" si="2"/>
        <v>299881.90803877526</v>
      </c>
      <c r="U30" s="1">
        <f t="shared" si="2"/>
        <v>488987.80552102858</v>
      </c>
      <c r="V30" s="1">
        <f t="shared" si="2"/>
        <v>756863.25000748318</v>
      </c>
      <c r="X30" s="162">
        <f>'ER EL'!A25</f>
        <v>19</v>
      </c>
      <c r="Y30" s="34">
        <f>'ER EL'!B25</f>
        <v>-1.8660154151531549E-2</v>
      </c>
      <c r="Z30" s="34">
        <f>'ER EL'!C25</f>
        <v>0.37811050632056864</v>
      </c>
      <c r="AA30" s="34">
        <f>'ER EL'!D25</f>
        <v>0.39698952530936887</v>
      </c>
      <c r="AB30" s="34">
        <f>'ER EL'!E25</f>
        <v>0.41633218577399039</v>
      </c>
      <c r="AC30" s="34">
        <f>'ER EL'!F25</f>
        <v>0.43621552609808445</v>
      </c>
      <c r="AD30" s="34">
        <f>'ER EL'!G25</f>
        <v>0.46105844830813802</v>
      </c>
      <c r="AE30" s="34">
        <f>'ER EL'!H25</f>
        <v>0.6159764957534315</v>
      </c>
      <c r="AF30" s="34">
        <f>'ER EL'!I25</f>
        <v>0.5938536682866945</v>
      </c>
      <c r="AG30" s="34">
        <f>'ER EL'!J25</f>
        <v>0.28759675706758142</v>
      </c>
      <c r="AH30" s="34">
        <f>'ER EL'!K25</f>
        <v>-1.8660154151531536E-2</v>
      </c>
    </row>
    <row r="31" spans="1:34">
      <c r="A31" s="158">
        <f>Rules!L27</f>
        <v>5</v>
      </c>
      <c r="B31" s="49" t="str">
        <f>Rules!M27</f>
        <v>H</v>
      </c>
      <c r="C31" s="49" t="str">
        <f>Rules!N27</f>
        <v>D</v>
      </c>
      <c r="D31" s="49" t="str">
        <f>Rules!O27</f>
        <v>D</v>
      </c>
      <c r="E31" s="49" t="str">
        <f>Rules!P27</f>
        <v>D</v>
      </c>
      <c r="F31" s="49" t="str">
        <f>Rules!Q27</f>
        <v>D</v>
      </c>
      <c r="G31" s="49" t="str">
        <f>Rules!R27</f>
        <v>D</v>
      </c>
      <c r="H31" s="49" t="str">
        <f>Rules!S27</f>
        <v>D</v>
      </c>
      <c r="I31" s="49" t="str">
        <f>Rules!T27</f>
        <v>D</v>
      </c>
      <c r="J31" s="49" t="str">
        <f>Rules!U27</f>
        <v>D</v>
      </c>
      <c r="K31" s="49" t="str">
        <f>Rules!V27</f>
        <v>H</v>
      </c>
      <c r="M31" s="161">
        <v>4</v>
      </c>
      <c r="N31" s="1">
        <f t="shared" ref="N31:V31" si="3">N11*N21</f>
        <v>1941.9382204579385</v>
      </c>
      <c r="O31" s="1">
        <f t="shared" si="3"/>
        <v>20680.663506601628</v>
      </c>
      <c r="P31" s="1">
        <f t="shared" si="3"/>
        <v>93949.707074579957</v>
      </c>
      <c r="Q31" s="1">
        <f t="shared" si="3"/>
        <v>298341.52389265801</v>
      </c>
      <c r="R31" s="1">
        <f t="shared" si="3"/>
        <v>763991.76013222989</v>
      </c>
      <c r="S31" s="1">
        <f t="shared" si="3"/>
        <v>1690149.7843796124</v>
      </c>
      <c r="T31" s="1">
        <f t="shared" si="3"/>
        <v>3360852.4101488828</v>
      </c>
      <c r="U31" s="1">
        <f t="shared" si="3"/>
        <v>6160500.3663366353</v>
      </c>
      <c r="V31" s="1">
        <f t="shared" si="3"/>
        <v>10589246.086646512</v>
      </c>
      <c r="X31" s="162">
        <f>'ER EL'!A26</f>
        <v>20</v>
      </c>
      <c r="Y31" s="34">
        <f>'ER EL'!B26</f>
        <v>0.20418852289369649</v>
      </c>
      <c r="Z31" s="34">
        <f>'ER EL'!C26</f>
        <v>0.63507006739682603</v>
      </c>
      <c r="AA31" s="34">
        <f>'ER EL'!D26</f>
        <v>0.64584804747844671</v>
      </c>
      <c r="AB31" s="34">
        <f>'ER EL'!E26</f>
        <v>0.65694191851596806</v>
      </c>
      <c r="AC31" s="34">
        <f>'ER EL'!F26</f>
        <v>0.66838174379512039</v>
      </c>
      <c r="AD31" s="34">
        <f>'ER EL'!G26</f>
        <v>0.67824526128151064</v>
      </c>
      <c r="AE31" s="34">
        <f>'ER EL'!H26</f>
        <v>0.77322722653717491</v>
      </c>
      <c r="AF31" s="34">
        <f>'ER EL'!I26</f>
        <v>0.79181515955189841</v>
      </c>
      <c r="AG31" s="34">
        <f>'ER EL'!J26</f>
        <v>0.75835687080859626</v>
      </c>
      <c r="AH31" s="34">
        <f>'ER EL'!K26</f>
        <v>0.43495775366292722</v>
      </c>
    </row>
    <row r="32" spans="1:34">
      <c r="A32" s="158">
        <f>Rules!L28</f>
        <v>6</v>
      </c>
      <c r="B32" s="49" t="str">
        <f>Rules!M28</f>
        <v>H</v>
      </c>
      <c r="C32" s="49" t="str">
        <f>Rules!N28</f>
        <v>H</v>
      </c>
      <c r="D32" s="49">
        <f>Rules!O28</f>
        <v>2</v>
      </c>
      <c r="E32" s="49">
        <f>Rules!P28</f>
        <v>2</v>
      </c>
      <c r="F32" s="49">
        <f>Rules!Q28</f>
        <v>2</v>
      </c>
      <c r="G32" s="49">
        <f>Rules!R28</f>
        <v>2</v>
      </c>
      <c r="H32" s="49" t="str">
        <f>Rules!S28</f>
        <v>H</v>
      </c>
      <c r="I32" s="49" t="str">
        <f>Rules!T28</f>
        <v>H</v>
      </c>
      <c r="J32" s="49" t="str">
        <f>Rules!U28</f>
        <v>H</v>
      </c>
      <c r="K32" s="49" t="str">
        <f>Rules!V28</f>
        <v>H</v>
      </c>
      <c r="M32" s="322" t="s">
        <v>194</v>
      </c>
      <c r="N32" s="323"/>
      <c r="O32" s="323"/>
      <c r="P32" s="323"/>
      <c r="Q32" s="323"/>
      <c r="R32" s="323"/>
      <c r="S32" s="323"/>
      <c r="T32" s="323"/>
      <c r="U32" s="323"/>
      <c r="V32" s="392"/>
      <c r="X32" s="162">
        <f>'ER EL'!A27</f>
        <v>21</v>
      </c>
      <c r="Y32" s="34">
        <f>'ER EL'!B27</f>
        <v>1.5</v>
      </c>
      <c r="Z32" s="34">
        <f>'ER EL'!C27</f>
        <v>1.5</v>
      </c>
      <c r="AA32" s="34">
        <f>'ER EL'!D27</f>
        <v>1.5</v>
      </c>
      <c r="AB32" s="34">
        <f>'ER EL'!E27</f>
        <v>1.5</v>
      </c>
      <c r="AC32" s="34">
        <f>'ER EL'!F27</f>
        <v>1.5</v>
      </c>
      <c r="AD32" s="34">
        <f>'ER EL'!G27</f>
        <v>1.5</v>
      </c>
      <c r="AE32" s="34">
        <f>'ER EL'!H27</f>
        <v>1.5</v>
      </c>
      <c r="AF32" s="34">
        <f>'ER EL'!I27</f>
        <v>1.5</v>
      </c>
      <c r="AG32" s="34">
        <f>'ER EL'!J27</f>
        <v>1.5</v>
      </c>
      <c r="AH32" s="34">
        <f>'ER EL'!K27</f>
        <v>1.5</v>
      </c>
    </row>
    <row r="33" spans="1:34">
      <c r="A33" s="158">
        <f>Rules!L29</f>
        <v>7</v>
      </c>
      <c r="B33" s="49" t="str">
        <f>Rules!M29</f>
        <v>H</v>
      </c>
      <c r="C33" s="49">
        <f>Rules!N29</f>
        <v>2</v>
      </c>
      <c r="D33" s="49">
        <f>Rules!O29</f>
        <v>2</v>
      </c>
      <c r="E33" s="49">
        <f>Rules!P29</f>
        <v>2</v>
      </c>
      <c r="F33" s="49">
        <f>Rules!Q29</f>
        <v>2</v>
      </c>
      <c r="G33" s="49">
        <f>Rules!R29</f>
        <v>2</v>
      </c>
      <c r="H33" s="49">
        <f>Rules!S29</f>
        <v>2</v>
      </c>
      <c r="I33" s="49" t="str">
        <f>Rules!T29</f>
        <v>H</v>
      </c>
      <c r="J33" s="49" t="str">
        <f>Rules!U29</f>
        <v>H</v>
      </c>
      <c r="K33" s="49" t="str">
        <f>Rules!V29</f>
        <v>H</v>
      </c>
      <c r="M33" s="161"/>
      <c r="N33" s="161">
        <v>1</v>
      </c>
      <c r="O33" s="161">
        <v>1.5</v>
      </c>
      <c r="P33" s="161">
        <v>2</v>
      </c>
      <c r="Q33" s="161">
        <v>2.5</v>
      </c>
      <c r="R33" s="161">
        <v>3</v>
      </c>
      <c r="S33" s="161">
        <v>3.5</v>
      </c>
      <c r="T33" s="161">
        <v>4</v>
      </c>
      <c r="U33" s="161">
        <v>4.5</v>
      </c>
      <c r="V33" s="161">
        <v>5</v>
      </c>
      <c r="X33" s="162" t="str">
        <f>'ER EL'!A28</f>
        <v>Pair</v>
      </c>
      <c r="Y33" s="162" t="str">
        <f>'ER EL'!B28</f>
        <v>Ace</v>
      </c>
      <c r="Z33" s="162">
        <f>'ER EL'!C28</f>
        <v>2</v>
      </c>
      <c r="AA33" s="162">
        <f>'ER EL'!D28</f>
        <v>3</v>
      </c>
      <c r="AB33" s="162">
        <f>'ER EL'!E28</f>
        <v>4</v>
      </c>
      <c r="AC33" s="162">
        <f>'ER EL'!F28</f>
        <v>5</v>
      </c>
      <c r="AD33" s="162">
        <f>'ER EL'!G28</f>
        <v>6</v>
      </c>
      <c r="AE33" s="162">
        <f>'ER EL'!H28</f>
        <v>7</v>
      </c>
      <c r="AF33" s="162">
        <f>'ER EL'!I28</f>
        <v>8</v>
      </c>
      <c r="AG33" s="162">
        <f>'ER EL'!J28</f>
        <v>9</v>
      </c>
      <c r="AH33" s="162">
        <f>'ER EL'!K28</f>
        <v>10</v>
      </c>
    </row>
    <row r="34" spans="1:34">
      <c r="A34" s="158">
        <f>Rules!L30</f>
        <v>8</v>
      </c>
      <c r="B34" s="49" t="str">
        <f>Rules!M30</f>
        <v>S</v>
      </c>
      <c r="C34" s="49">
        <f>Rules!N30</f>
        <v>2</v>
      </c>
      <c r="D34" s="49">
        <f>Rules!O30</f>
        <v>2</v>
      </c>
      <c r="E34" s="49">
        <f>Rules!P30</f>
        <v>2</v>
      </c>
      <c r="F34" s="49">
        <f>Rules!Q30</f>
        <v>2</v>
      </c>
      <c r="G34" s="49">
        <f>Rules!R30</f>
        <v>2</v>
      </c>
      <c r="H34" s="49">
        <f>Rules!S30</f>
        <v>2</v>
      </c>
      <c r="I34" s="49">
        <f>Rules!T30</f>
        <v>2</v>
      </c>
      <c r="J34" s="49">
        <f>Rules!U30</f>
        <v>2</v>
      </c>
      <c r="K34" s="49" t="str">
        <f>Rules!V30</f>
        <v>H</v>
      </c>
      <c r="M34" s="161">
        <v>0</v>
      </c>
      <c r="N34" s="1">
        <f>N33*100</f>
        <v>100</v>
      </c>
      <c r="O34" s="1">
        <f t="shared" ref="O34:V34" si="4">O33*100</f>
        <v>150</v>
      </c>
      <c r="P34" s="1">
        <f t="shared" si="4"/>
        <v>200</v>
      </c>
      <c r="Q34" s="1">
        <f t="shared" si="4"/>
        <v>250</v>
      </c>
      <c r="R34" s="1">
        <f t="shared" si="4"/>
        <v>300</v>
      </c>
      <c r="S34" s="1">
        <f t="shared" si="4"/>
        <v>350</v>
      </c>
      <c r="T34" s="1">
        <f t="shared" si="4"/>
        <v>400</v>
      </c>
      <c r="U34" s="1">
        <f t="shared" si="4"/>
        <v>450</v>
      </c>
      <c r="V34" s="1">
        <f t="shared" si="4"/>
        <v>500</v>
      </c>
      <c r="X34" s="162" t="str">
        <f>'ER EL'!A29</f>
        <v>Ace</v>
      </c>
      <c r="Y34" s="34">
        <f>'ER EL'!B29</f>
        <v>-0.11815715102876453</v>
      </c>
      <c r="Z34" s="34">
        <f>'ER EL'!C29</f>
        <v>0.47012148001782339</v>
      </c>
      <c r="AA34" s="34">
        <f>'ER EL'!D29</f>
        <v>0.51732783973958252</v>
      </c>
      <c r="AB34" s="34">
        <f>'ER EL'!E29</f>
        <v>0.56560652370552977</v>
      </c>
      <c r="AC34" s="34">
        <f>'ER EL'!F29</f>
        <v>0.61449004208451674</v>
      </c>
      <c r="AD34" s="34">
        <f>'ER EL'!G29</f>
        <v>0.66466340918892541</v>
      </c>
      <c r="AE34" s="34">
        <f>'ER EL'!H29</f>
        <v>0.46288894886429088</v>
      </c>
      <c r="AF34" s="34">
        <f>'ER EL'!I29</f>
        <v>0.35069259087031512</v>
      </c>
      <c r="AG34" s="34">
        <f>'ER EL'!J29</f>
        <v>0.22778342315245487</v>
      </c>
      <c r="AH34" s="34">
        <f>'ER EL'!K29</f>
        <v>5.9357641870643733E-2</v>
      </c>
    </row>
    <row r="35" spans="1:34">
      <c r="A35" s="158">
        <f>Rules!L31</f>
        <v>9</v>
      </c>
      <c r="B35" s="49" t="str">
        <f>Rules!M31</f>
        <v>S</v>
      </c>
      <c r="C35" s="49">
        <f>Rules!N31</f>
        <v>2</v>
      </c>
      <c r="D35" s="49">
        <f>Rules!O31</f>
        <v>2</v>
      </c>
      <c r="E35" s="49">
        <f>Rules!P31</f>
        <v>2</v>
      </c>
      <c r="F35" s="49">
        <f>Rules!Q31</f>
        <v>2</v>
      </c>
      <c r="G35" s="49">
        <f>Rules!R31</f>
        <v>2</v>
      </c>
      <c r="H35" s="49" t="str">
        <f>Rules!S31</f>
        <v>S</v>
      </c>
      <c r="I35" s="49">
        <f>Rules!T31</f>
        <v>2</v>
      </c>
      <c r="J35" s="49">
        <f>Rules!U31</f>
        <v>2</v>
      </c>
      <c r="K35" s="49" t="str">
        <f>Rules!V31</f>
        <v>S</v>
      </c>
      <c r="M35" s="161">
        <v>6</v>
      </c>
      <c r="N35" s="1">
        <f>(5+N33)*100</f>
        <v>600</v>
      </c>
      <c r="O35" s="1">
        <f t="shared" ref="O35:V35" si="5">(5+O33)*100</f>
        <v>650</v>
      </c>
      <c r="P35" s="1">
        <f t="shared" si="5"/>
        <v>700</v>
      </c>
      <c r="Q35" s="1">
        <f t="shared" si="5"/>
        <v>750</v>
      </c>
      <c r="R35" s="1">
        <f t="shared" si="5"/>
        <v>800</v>
      </c>
      <c r="S35" s="1">
        <f t="shared" si="5"/>
        <v>850</v>
      </c>
      <c r="T35" s="1">
        <f t="shared" si="5"/>
        <v>900</v>
      </c>
      <c r="U35" s="1">
        <f t="shared" si="5"/>
        <v>950</v>
      </c>
      <c r="V35" s="1">
        <f t="shared" si="5"/>
        <v>1000</v>
      </c>
      <c r="X35" s="162">
        <f>'ER EL'!A30</f>
        <v>2</v>
      </c>
      <c r="Y35" s="34">
        <f>'ER EL'!B30</f>
        <v>-0.38538530661686615</v>
      </c>
      <c r="Z35" s="34">
        <f>'ER EL'!C30</f>
        <v>-0.11285543771123717</v>
      </c>
      <c r="AA35" s="34">
        <f>'ER EL'!D30</f>
        <v>-8.0761552533335321E-2</v>
      </c>
      <c r="AB35" s="34">
        <f>'ER EL'!E30</f>
        <v>-4.0320419393414179E-2</v>
      </c>
      <c r="AC35" s="34">
        <f>'ER EL'!F30</f>
        <v>2.9328407659097062E-2</v>
      </c>
      <c r="AD35" s="34">
        <f>'ER EL'!G30</f>
        <v>0.102055284056493</v>
      </c>
      <c r="AE35" s="34">
        <f>'ER EL'!H30</f>
        <v>-5.4514042751724494E-2</v>
      </c>
      <c r="AF35" s="34">
        <f>'ER EL'!I30</f>
        <v>-0.15933415266020512</v>
      </c>
      <c r="AG35" s="34">
        <f>'ER EL'!J30</f>
        <v>-0.24066617915336547</v>
      </c>
      <c r="AH35" s="34">
        <f>'ER EL'!K30</f>
        <v>-0.33509986436351097</v>
      </c>
    </row>
    <row r="36" spans="1:34">
      <c r="A36" s="158">
        <f>Rules!L32</f>
        <v>10</v>
      </c>
      <c r="B36" s="49" t="str">
        <f>Rules!M32</f>
        <v>S</v>
      </c>
      <c r="C36" s="49" t="str">
        <f>Rules!N32</f>
        <v>S</v>
      </c>
      <c r="D36" s="49" t="str">
        <f>Rules!O32</f>
        <v>S</v>
      </c>
      <c r="E36" s="49" t="str">
        <f>Rules!P32</f>
        <v>S</v>
      </c>
      <c r="F36" s="49" t="str">
        <f>Rules!Q32</f>
        <v>S</v>
      </c>
      <c r="G36" s="49" t="str">
        <f>Rules!R32</f>
        <v>S</v>
      </c>
      <c r="H36" s="49" t="str">
        <f>Rules!S32</f>
        <v>S</v>
      </c>
      <c r="I36" s="49" t="str">
        <f>Rules!T32</f>
        <v>S</v>
      </c>
      <c r="J36" s="49" t="str">
        <f>Rules!U32</f>
        <v>S</v>
      </c>
      <c r="K36" s="49" t="str">
        <f>Rules!V32</f>
        <v>S</v>
      </c>
      <c r="X36" s="162">
        <f>'ER EL'!A31</f>
        <v>3</v>
      </c>
      <c r="Y36" s="34">
        <f>'ER EL'!B31</f>
        <v>-0.41968690347101079</v>
      </c>
      <c r="Z36" s="34">
        <f>'ER EL'!C31</f>
        <v>-0.1380730292913315</v>
      </c>
      <c r="AA36" s="34">
        <f>'ER EL'!D31</f>
        <v>-0.10487404133749784</v>
      </c>
      <c r="AB36" s="34">
        <f>'ER EL'!E31</f>
        <v>-6.8158989211959564E-2</v>
      </c>
      <c r="AC36" s="34">
        <f>'ER EL'!F31</f>
        <v>2.4409030826479448E-3</v>
      </c>
      <c r="AD36" s="34">
        <f>'ER EL'!G31</f>
        <v>7.6255461331224503E-2</v>
      </c>
      <c r="AE36" s="34">
        <f>'ER EL'!H31</f>
        <v>-0.11487517708071333</v>
      </c>
      <c r="AF36" s="34">
        <f>'ER EL'!I31</f>
        <v>-0.21724188132078476</v>
      </c>
      <c r="AG36" s="34">
        <f>'ER EL'!J31</f>
        <v>-0.29264070019772598</v>
      </c>
      <c r="AH36" s="34">
        <f>'ER EL'!K31</f>
        <v>-0.38050766229289529</v>
      </c>
    </row>
    <row r="37" spans="1:34">
      <c r="A37" s="331" t="str">
        <f>Summary!B32</f>
        <v>EV = -0.0320987532621518</v>
      </c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X37" s="162">
        <f>'ER EL'!A32</f>
        <v>4</v>
      </c>
      <c r="Y37" s="34">
        <f>'ER EL'!B32</f>
        <v>-0.33034033459070061</v>
      </c>
      <c r="Z37" s="34">
        <f>'ER EL'!C32</f>
        <v>-2.4506830289917444E-2</v>
      </c>
      <c r="AA37" s="34">
        <f>'ER EL'!D32</f>
        <v>5.5679308753931881E-3</v>
      </c>
      <c r="AB37" s="34">
        <f>'ER EL'!E32</f>
        <v>3.7010775094514566E-2</v>
      </c>
      <c r="AC37" s="34">
        <f>'ER EL'!F32</f>
        <v>6.9950633154329159E-2</v>
      </c>
      <c r="AD37" s="34">
        <f>'ER EL'!G32</f>
        <v>0.10385811332306308</v>
      </c>
      <c r="AE37" s="34">
        <f>'ER EL'!H32</f>
        <v>8.2207439363742862E-2</v>
      </c>
      <c r="AF37" s="34">
        <f>'ER EL'!I32</f>
        <v>-5.989827565865629E-2</v>
      </c>
      <c r="AG37" s="34">
        <f>'ER EL'!J32</f>
        <v>-0.2101863319982176</v>
      </c>
      <c r="AH37" s="34">
        <f>'ER EL'!K32</f>
        <v>-0.30177738614031369</v>
      </c>
    </row>
    <row r="38" spans="1:34">
      <c r="A38" s="331" t="str">
        <f>Summary!B33</f>
        <v>EV = -3.20987532621518 %</v>
      </c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X38" s="162">
        <f>'ER EL'!A33</f>
        <v>5</v>
      </c>
      <c r="Y38" s="34">
        <f>'ER EL'!B33</f>
        <v>-0.14666789263035868</v>
      </c>
      <c r="Z38" s="34">
        <f>'ER EL'!C33</f>
        <v>0.35690719748372668</v>
      </c>
      <c r="AA38" s="34">
        <f>'ER EL'!D33</f>
        <v>0.40749201163237114</v>
      </c>
      <c r="AB38" s="34">
        <f>'ER EL'!E33</f>
        <v>0.45924220371818347</v>
      </c>
      <c r="AC38" s="34">
        <f>'ER EL'!F33</f>
        <v>0.51169953415177827</v>
      </c>
      <c r="AD38" s="34">
        <f>'ER EL'!G33</f>
        <v>0.56496169552840625</v>
      </c>
      <c r="AE38" s="34">
        <f>'ER EL'!H33</f>
        <v>0.39241245528243773</v>
      </c>
      <c r="AF38" s="34">
        <f>'ER EL'!I33</f>
        <v>0.28663571688628381</v>
      </c>
      <c r="AG38" s="34">
        <f>'ER EL'!J33</f>
        <v>0.1443283683807712</v>
      </c>
      <c r="AH38" s="34">
        <f>'ER EL'!K33</f>
        <v>-4.4990260383613007E-2</v>
      </c>
    </row>
    <row r="39" spans="1:34">
      <c r="A39" s="335" t="str">
        <f>Summary!B34</f>
        <v>H = Hit</v>
      </c>
      <c r="B39" s="335"/>
      <c r="C39" s="335"/>
      <c r="D39" s="335"/>
      <c r="E39" s="335"/>
      <c r="F39" s="335"/>
      <c r="G39" s="335"/>
      <c r="H39" s="335"/>
      <c r="I39" s="335"/>
      <c r="J39" s="335"/>
      <c r="K39" s="335"/>
      <c r="X39" s="162">
        <f>'ER EL'!A34</f>
        <v>6</v>
      </c>
      <c r="Y39" s="34">
        <f>'ER EL'!B34</f>
        <v>-0.46566058377683939</v>
      </c>
      <c r="Z39" s="34">
        <f>'ER EL'!C34</f>
        <v>-0.25375147059276615</v>
      </c>
      <c r="AA39" s="34">
        <f>'ER EL'!D34</f>
        <v>-0.20974808267499567</v>
      </c>
      <c r="AB39" s="34">
        <f>'ER EL'!E34</f>
        <v>-0.14015554669457211</v>
      </c>
      <c r="AC39" s="34">
        <f>'ER EL'!F34</f>
        <v>-6.7097739880329133E-2</v>
      </c>
      <c r="AD39" s="34">
        <f>'ER EL'!G34</f>
        <v>9.5330170786307577E-3</v>
      </c>
      <c r="AE39" s="34">
        <f>'ER EL'!H34</f>
        <v>-0.21284771451731424</v>
      </c>
      <c r="AF39" s="34">
        <f>'ER EL'!I34</f>
        <v>-0.27157480502428616</v>
      </c>
      <c r="AG39" s="34">
        <f>'ER EL'!J34</f>
        <v>-0.3400132806089356</v>
      </c>
      <c r="AH39" s="34">
        <f>'ER EL'!K34</f>
        <v>-0.42069618899826788</v>
      </c>
    </row>
    <row r="40" spans="1:34">
      <c r="A40" s="336" t="str">
        <f>Summary!B35</f>
        <v>D = Double</v>
      </c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X40" s="162">
        <f>'ER EL'!A35</f>
        <v>7</v>
      </c>
      <c r="Y40" s="34">
        <f>'ER EL'!B35</f>
        <v>-0.53926856458309114</v>
      </c>
      <c r="Z40" s="34">
        <f>'ER EL'!C35</f>
        <v>-0.21915496889539685</v>
      </c>
      <c r="AA40" s="34">
        <f>'ER EL'!D35</f>
        <v>-0.15387513576990042</v>
      </c>
      <c r="AB40" s="34">
        <f>'ER EL'!E35</f>
        <v>-8.5652735434142702E-2</v>
      </c>
      <c r="AC40" s="34">
        <f>'ER EL'!F35</f>
        <v>-1.435453352925092E-2</v>
      </c>
      <c r="AD40" s="34">
        <f>'ER EL'!G35</f>
        <v>6.0817132303923729E-2</v>
      </c>
      <c r="AE40" s="34">
        <f>'ER EL'!H35</f>
        <v>-0.13761559916085553</v>
      </c>
      <c r="AF40" s="34">
        <f>'ER EL'!I35</f>
        <v>-0.37191909208726714</v>
      </c>
      <c r="AG40" s="34">
        <f>'ER EL'!J35</f>
        <v>-0.43092981848423528</v>
      </c>
      <c r="AH40" s="34">
        <f>'ER EL'!K35</f>
        <v>-0.50049824459544523</v>
      </c>
    </row>
    <row r="41" spans="1:34">
      <c r="A41" s="332" t="str">
        <f>Summary!B36</f>
        <v>S = Stand</v>
      </c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X41" s="162">
        <f>'ER EL'!A36</f>
        <v>8</v>
      </c>
      <c r="Y41" s="34">
        <f>'ER EL'!B36</f>
        <v>-0.57578184676460165</v>
      </c>
      <c r="Z41" s="34">
        <f>'ER EL'!C36</f>
        <v>-4.9013660579834889E-2</v>
      </c>
      <c r="AA41" s="34">
        <f>'ER EL'!D36</f>
        <v>1.1135861750786376E-2</v>
      </c>
      <c r="AB41" s="34">
        <f>'ER EL'!E36</f>
        <v>7.4021550189029131E-2</v>
      </c>
      <c r="AC41" s="34">
        <f>'ER EL'!F36</f>
        <v>0.13990126630865832</v>
      </c>
      <c r="AD41" s="34">
        <f>'ER EL'!G36</f>
        <v>0.20771622664612616</v>
      </c>
      <c r="AE41" s="34">
        <f>'ER EL'!H36</f>
        <v>0.16441487872748572</v>
      </c>
      <c r="AF41" s="34">
        <f>'ER EL'!I36</f>
        <v>-0.11979655131731258</v>
      </c>
      <c r="AG41" s="34">
        <f>'ER EL'!J36</f>
        <v>-0.42037266399643519</v>
      </c>
      <c r="AH41" s="34">
        <f>'ER EL'!K36</f>
        <v>-0.56930715988076652</v>
      </c>
    </row>
    <row r="42" spans="1:34">
      <c r="A42" s="333" t="str">
        <f>Summary!B37</f>
        <v>2, 3, 4, 5 = Hands to Split</v>
      </c>
      <c r="B42" s="333"/>
      <c r="C42" s="333"/>
      <c r="D42" s="333"/>
      <c r="E42" s="333"/>
      <c r="F42" s="333"/>
      <c r="G42" s="333"/>
      <c r="H42" s="333"/>
      <c r="I42" s="333"/>
      <c r="J42" s="333"/>
      <c r="K42" s="333"/>
      <c r="X42" s="162">
        <f>'ER EL'!A37</f>
        <v>9</v>
      </c>
      <c r="Y42" s="34">
        <f>'ER EL'!B37</f>
        <v>-0.24150883119675959</v>
      </c>
      <c r="Z42" s="34">
        <f>'ER EL'!C37</f>
        <v>0.14446561792638643</v>
      </c>
      <c r="AA42" s="34">
        <f>'ER EL'!D37</f>
        <v>0.19854632147628654</v>
      </c>
      <c r="AB42" s="34">
        <f>'ER EL'!E37</f>
        <v>0.25517699117535486</v>
      </c>
      <c r="AC42" s="34">
        <f>'ER EL'!F37</f>
        <v>0.31472289676230597</v>
      </c>
      <c r="AD42" s="34">
        <f>'ER EL'!G37</f>
        <v>0.37460707349508576</v>
      </c>
      <c r="AE42" s="34">
        <f>'ER EL'!H37</f>
        <v>0.3995541673365518</v>
      </c>
      <c r="AF42" s="34">
        <f>'ER EL'!I37</f>
        <v>0.19675243487078517</v>
      </c>
      <c r="AG42" s="34">
        <f>'ER EL'!J37</f>
        <v>-0.10435610692530338</v>
      </c>
      <c r="AH42" s="34">
        <f>'ER EL'!K37</f>
        <v>-0.24150883119675959</v>
      </c>
    </row>
    <row r="43" spans="1:34">
      <c r="A43" s="331" t="str">
        <f>Summary!B38</f>
        <v>R = Surrender</v>
      </c>
      <c r="B43" s="331"/>
      <c r="C43" s="331"/>
      <c r="D43" s="331"/>
      <c r="E43" s="331"/>
      <c r="F43" s="331"/>
      <c r="G43" s="331"/>
      <c r="H43" s="331"/>
      <c r="I43" s="331"/>
      <c r="J43" s="331"/>
      <c r="K43" s="331"/>
      <c r="X43" s="162">
        <f>'ER EL'!A38</f>
        <v>10</v>
      </c>
      <c r="Y43" s="34">
        <f>'ER EL'!B38</f>
        <v>0.20418852289369649</v>
      </c>
      <c r="Z43" s="34">
        <f>'ER EL'!C38</f>
        <v>0.63507006739682603</v>
      </c>
      <c r="AA43" s="34">
        <f>'ER EL'!D38</f>
        <v>0.64584804747844671</v>
      </c>
      <c r="AB43" s="34">
        <f>'ER EL'!E38</f>
        <v>0.65694191851596806</v>
      </c>
      <c r="AC43" s="34">
        <f>'ER EL'!F38</f>
        <v>0.66838174379512039</v>
      </c>
      <c r="AD43" s="34">
        <f>'ER EL'!G38</f>
        <v>0.67824526128151064</v>
      </c>
      <c r="AE43" s="34">
        <f>'ER EL'!H38</f>
        <v>0.77322722653717491</v>
      </c>
      <c r="AF43" s="34">
        <f>'ER EL'!I38</f>
        <v>0.79181515955189841</v>
      </c>
      <c r="AG43" s="34">
        <f>'ER EL'!J38</f>
        <v>0.75835687080859626</v>
      </c>
      <c r="AH43" s="34">
        <f>'ER EL'!K38</f>
        <v>0.43495775366292722</v>
      </c>
    </row>
  </sheetData>
  <sheetProtection sheet="1" objects="1" scenarios="1"/>
  <mergeCells count="40">
    <mergeCell ref="M32:V32"/>
    <mergeCell ref="A43:K43"/>
    <mergeCell ref="A37:K37"/>
    <mergeCell ref="A38:K38"/>
    <mergeCell ref="A39:K39"/>
    <mergeCell ref="A40:K40"/>
    <mergeCell ref="A42:K42"/>
    <mergeCell ref="A41:K41"/>
    <mergeCell ref="AG3:AH3"/>
    <mergeCell ref="Y3:AA3"/>
    <mergeCell ref="V3:X3"/>
    <mergeCell ref="M27:V27"/>
    <mergeCell ref="M17:V17"/>
    <mergeCell ref="P4:Q4"/>
    <mergeCell ref="M6:V6"/>
    <mergeCell ref="M12:V12"/>
    <mergeCell ref="R3:S3"/>
    <mergeCell ref="M22:V22"/>
    <mergeCell ref="A1:S1"/>
    <mergeCell ref="T1:AH1"/>
    <mergeCell ref="AG4:AH4"/>
    <mergeCell ref="T3:U3"/>
    <mergeCell ref="AB3:AC3"/>
    <mergeCell ref="AD3:AF3"/>
    <mergeCell ref="V4:Y4"/>
    <mergeCell ref="AB4:AC4"/>
    <mergeCell ref="AD4:AE4"/>
    <mergeCell ref="L4:M4"/>
    <mergeCell ref="N4:O4"/>
    <mergeCell ref="A3:D3"/>
    <mergeCell ref="E3:G3"/>
    <mergeCell ref="H3:L3"/>
    <mergeCell ref="M3:N3"/>
    <mergeCell ref="O3:Q3"/>
    <mergeCell ref="A6:K6"/>
    <mergeCell ref="X6:AH6"/>
    <mergeCell ref="A4:D4"/>
    <mergeCell ref="E4:H4"/>
    <mergeCell ref="I4:K4"/>
    <mergeCell ref="R4:T4"/>
  </mergeCells>
  <phoneticPr fontId="16" type="noConversion"/>
  <conditionalFormatting sqref="B7:K7 M7:M11">
    <cfRule type="containsText" dxfId="82" priority="365" operator="containsText" text="S">
      <formula>NOT(ISERROR(SEARCH("S",B7)))</formula>
    </cfRule>
    <cfRule type="containsText" dxfId="81" priority="366" operator="containsText" text="H">
      <formula>NOT(ISERROR(SEARCH("H",B7)))</formula>
    </cfRule>
  </conditionalFormatting>
  <conditionalFormatting sqref="B7:K7 M7:M11">
    <cfRule type="containsText" dxfId="80" priority="364" operator="containsText" text="D">
      <formula>NOT(ISERROR(SEARCH("D",B7)))</formula>
    </cfRule>
  </conditionalFormatting>
  <conditionalFormatting sqref="B7:K7 M7:M11">
    <cfRule type="containsText" dxfId="79" priority="363" operator="containsText" text="R">
      <formula>NOT(ISERROR(SEARCH("R",B7)))</formula>
    </cfRule>
  </conditionalFormatting>
  <conditionalFormatting sqref="B7:K7 M7:M11">
    <cfRule type="containsText" dxfId="78" priority="362" operator="containsText" text="P">
      <formula>NOT(ISERROR(SEARCH("P",B7)))</formula>
    </cfRule>
  </conditionalFormatting>
  <conditionalFormatting sqref="B8:K17 B19:K25 B27:K36">
    <cfRule type="containsText" dxfId="77" priority="355" operator="containsText" text="S">
      <formula>NOT(ISERROR(SEARCH("S",B8)))</formula>
    </cfRule>
    <cfRule type="containsText" dxfId="76" priority="356" operator="containsText" text="H">
      <formula>NOT(ISERROR(SEARCH("H",B8)))</formula>
    </cfRule>
  </conditionalFormatting>
  <conditionalFormatting sqref="B8:K17 B19:K25 B27:K36">
    <cfRule type="containsText" dxfId="75" priority="354" operator="containsText" text="D">
      <formula>NOT(ISERROR(SEARCH("D",B8)))</formula>
    </cfRule>
  </conditionalFormatting>
  <conditionalFormatting sqref="B8:K17 B19:K25 B27:K36">
    <cfRule type="containsText" dxfId="74" priority="353" operator="containsText" text="R">
      <formula>NOT(ISERROR(SEARCH("R",B8)))</formula>
    </cfRule>
  </conditionalFormatting>
  <conditionalFormatting sqref="B8:K17 B19:K25 B27:K36">
    <cfRule type="cellIs" dxfId="73" priority="352" operator="between">
      <formula>2</formula>
      <formula>5</formula>
    </cfRule>
  </conditionalFormatting>
  <conditionalFormatting sqref="Y8:AH22">
    <cfRule type="colorScale" priority="288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72" priority="290" operator="containsText" text="R">
      <formula>NOT(ISERROR(SEARCH("R",Y8)))</formula>
    </cfRule>
    <cfRule type="containsText" dxfId="71" priority="291" operator="containsText" text="D">
      <formula>NOT(ISERROR(SEARCH("D",Y8)))</formula>
    </cfRule>
    <cfRule type="containsText" dxfId="70" priority="292" operator="containsText" text="S">
      <formula>NOT(ISERROR(SEARCH("S",Y8)))</formula>
    </cfRule>
    <cfRule type="containsText" dxfId="69" priority="293" operator="containsText" text="H">
      <formula>NOT(ISERROR(SEARCH("H",Y8)))</formula>
    </cfRule>
  </conditionalFormatting>
  <conditionalFormatting sqref="Y8:AH22">
    <cfRule type="containsText" dxfId="68" priority="289" operator="containsText" text="P">
      <formula>NOT(ISERROR(SEARCH("P",Y8)))</formula>
    </cfRule>
  </conditionalFormatting>
  <conditionalFormatting sqref="Y24:AH32">
    <cfRule type="colorScale" priority="260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67" priority="262" operator="containsText" text="R">
      <formula>NOT(ISERROR(SEARCH("R",Y24)))</formula>
    </cfRule>
    <cfRule type="containsText" dxfId="66" priority="263" operator="containsText" text="D">
      <formula>NOT(ISERROR(SEARCH("D",Y24)))</formula>
    </cfRule>
    <cfRule type="containsText" dxfId="65" priority="264" operator="containsText" text="S">
      <formula>NOT(ISERROR(SEARCH("S",Y24)))</formula>
    </cfRule>
    <cfRule type="containsText" dxfId="64" priority="265" operator="containsText" text="H">
      <formula>NOT(ISERROR(SEARCH("H",Y24)))</formula>
    </cfRule>
  </conditionalFormatting>
  <conditionalFormatting sqref="Y24:AH32">
    <cfRule type="containsText" dxfId="63" priority="261" operator="containsText" text="P">
      <formula>NOT(ISERROR(SEARCH("P",Y24)))</formula>
    </cfRule>
  </conditionalFormatting>
  <conditionalFormatting sqref="Y34:AH43">
    <cfRule type="colorScale" priority="254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62" priority="256" operator="containsText" text="R">
      <formula>NOT(ISERROR(SEARCH("R",Y34)))</formula>
    </cfRule>
    <cfRule type="containsText" dxfId="61" priority="257" operator="containsText" text="D">
      <formula>NOT(ISERROR(SEARCH("D",Y34)))</formula>
    </cfRule>
    <cfRule type="containsText" dxfId="60" priority="258" operator="containsText" text="S">
      <formula>NOT(ISERROR(SEARCH("S",Y34)))</formula>
    </cfRule>
    <cfRule type="containsText" dxfId="59" priority="259" operator="containsText" text="H">
      <formula>NOT(ISERROR(SEARCH("H",Y34)))</formula>
    </cfRule>
  </conditionalFormatting>
  <conditionalFormatting sqref="Y34:AH43">
    <cfRule type="containsText" dxfId="58" priority="255" operator="containsText" text="P">
      <formula>NOT(ISERROR(SEARCH("P",Y34)))</formula>
    </cfRule>
  </conditionalFormatting>
  <conditionalFormatting sqref="N7:V7">
    <cfRule type="containsText" dxfId="57" priority="200" operator="containsText" text="S">
      <formula>NOT(ISERROR(SEARCH("S",N7)))</formula>
    </cfRule>
    <cfRule type="containsText" dxfId="56" priority="201" operator="containsText" text="H">
      <formula>NOT(ISERROR(SEARCH("H",N7)))</formula>
    </cfRule>
  </conditionalFormatting>
  <conditionalFormatting sqref="N7:V7">
    <cfRule type="containsText" dxfId="55" priority="199" operator="containsText" text="D">
      <formula>NOT(ISERROR(SEARCH("D",N7)))</formula>
    </cfRule>
  </conditionalFormatting>
  <conditionalFormatting sqref="N7:V7">
    <cfRule type="containsText" dxfId="54" priority="198" operator="containsText" text="R">
      <formula>NOT(ISERROR(SEARCH("R",N7)))</formula>
    </cfRule>
  </conditionalFormatting>
  <conditionalFormatting sqref="N7:V7">
    <cfRule type="containsText" dxfId="53" priority="197" operator="containsText" text="P">
      <formula>NOT(ISERROR(SEARCH("P",N7)))</formula>
    </cfRule>
  </conditionalFormatting>
  <conditionalFormatting sqref="N8:V11">
    <cfRule type="colorScale" priority="19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M13:M16">
    <cfRule type="containsText" dxfId="52" priority="194" operator="containsText" text="S">
      <formula>NOT(ISERROR(SEARCH("S",M13)))</formula>
    </cfRule>
    <cfRule type="containsText" dxfId="51" priority="195" operator="containsText" text="H">
      <formula>NOT(ISERROR(SEARCH("H",M13)))</formula>
    </cfRule>
  </conditionalFormatting>
  <conditionalFormatting sqref="M13:M16">
    <cfRule type="containsText" dxfId="50" priority="193" operator="containsText" text="D">
      <formula>NOT(ISERROR(SEARCH("D",M13)))</formula>
    </cfRule>
  </conditionalFormatting>
  <conditionalFormatting sqref="M13:M16">
    <cfRule type="containsText" dxfId="49" priority="192" operator="containsText" text="R">
      <formula>NOT(ISERROR(SEARCH("R",M13)))</formula>
    </cfRule>
  </conditionalFormatting>
  <conditionalFormatting sqref="M13:M16">
    <cfRule type="containsText" dxfId="48" priority="191" operator="containsText" text="P">
      <formula>NOT(ISERROR(SEARCH("P",M13)))</formula>
    </cfRule>
  </conditionalFormatting>
  <conditionalFormatting sqref="N13:V13">
    <cfRule type="containsText" dxfId="47" priority="189" operator="containsText" text="S">
      <formula>NOT(ISERROR(SEARCH("S",N13)))</formula>
    </cfRule>
    <cfRule type="containsText" dxfId="46" priority="190" operator="containsText" text="H">
      <formula>NOT(ISERROR(SEARCH("H",N13)))</formula>
    </cfRule>
  </conditionalFormatting>
  <conditionalFormatting sqref="N13:V13">
    <cfRule type="containsText" dxfId="45" priority="188" operator="containsText" text="D">
      <formula>NOT(ISERROR(SEARCH("D",N13)))</formula>
    </cfRule>
  </conditionalFormatting>
  <conditionalFormatting sqref="N13:V13">
    <cfRule type="containsText" dxfId="44" priority="187" operator="containsText" text="R">
      <formula>NOT(ISERROR(SEARCH("R",N13)))</formula>
    </cfRule>
  </conditionalFormatting>
  <conditionalFormatting sqref="N13:V13">
    <cfRule type="containsText" dxfId="43" priority="186" operator="containsText" text="P">
      <formula>NOT(ISERROR(SEARCH("P",N13)))</formula>
    </cfRule>
  </conditionalFormatting>
  <conditionalFormatting sqref="N14:V16">
    <cfRule type="colorScale" priority="185">
      <colorScale>
        <cfvo type="num" val="0"/>
        <cfvo type="percentile" val="50"/>
        <cfvo type="max"/>
        <color rgb="FFFF0000"/>
        <color rgb="FFFFEB84"/>
        <color rgb="FF00B050"/>
      </colorScale>
    </cfRule>
  </conditionalFormatting>
  <conditionalFormatting sqref="M18:M21">
    <cfRule type="containsText" dxfId="42" priority="183" operator="containsText" text="S">
      <formula>NOT(ISERROR(SEARCH("S",M18)))</formula>
    </cfRule>
    <cfRule type="containsText" dxfId="41" priority="184" operator="containsText" text="H">
      <formula>NOT(ISERROR(SEARCH("H",M18)))</formula>
    </cfRule>
  </conditionalFormatting>
  <conditionalFormatting sqref="M18:M21">
    <cfRule type="containsText" dxfId="40" priority="182" operator="containsText" text="D">
      <formula>NOT(ISERROR(SEARCH("D",M18)))</formula>
    </cfRule>
  </conditionalFormatting>
  <conditionalFormatting sqref="M18:M21">
    <cfRule type="containsText" dxfId="39" priority="181" operator="containsText" text="R">
      <formula>NOT(ISERROR(SEARCH("R",M18)))</formula>
    </cfRule>
  </conditionalFormatting>
  <conditionalFormatting sqref="M18:M21">
    <cfRule type="containsText" dxfId="38" priority="180" operator="containsText" text="P">
      <formula>NOT(ISERROR(SEARCH("P",M18)))</formula>
    </cfRule>
  </conditionalFormatting>
  <conditionalFormatting sqref="N18:V18">
    <cfRule type="containsText" dxfId="37" priority="178" operator="containsText" text="S">
      <formula>NOT(ISERROR(SEARCH("S",N18)))</formula>
    </cfRule>
    <cfRule type="containsText" dxfId="36" priority="179" operator="containsText" text="H">
      <formula>NOT(ISERROR(SEARCH("H",N18)))</formula>
    </cfRule>
  </conditionalFormatting>
  <conditionalFormatting sqref="N18:V18">
    <cfRule type="containsText" dxfId="35" priority="177" operator="containsText" text="D">
      <formula>NOT(ISERROR(SEARCH("D",N18)))</formula>
    </cfRule>
  </conditionalFormatting>
  <conditionalFormatting sqref="N18:V18">
    <cfRule type="containsText" dxfId="34" priority="176" operator="containsText" text="R">
      <formula>NOT(ISERROR(SEARCH("R",N18)))</formula>
    </cfRule>
  </conditionalFormatting>
  <conditionalFormatting sqref="N18:V18">
    <cfRule type="containsText" dxfId="33" priority="175" operator="containsText" text="P">
      <formula>NOT(ISERROR(SEARCH("P",N18)))</formula>
    </cfRule>
  </conditionalFormatting>
  <conditionalFormatting sqref="N19:V21">
    <cfRule type="colorScale" priority="174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M23:M26">
    <cfRule type="containsText" dxfId="32" priority="172" operator="containsText" text="S">
      <formula>NOT(ISERROR(SEARCH("S",M23)))</formula>
    </cfRule>
    <cfRule type="containsText" dxfId="31" priority="173" operator="containsText" text="H">
      <formula>NOT(ISERROR(SEARCH("H",M23)))</formula>
    </cfRule>
  </conditionalFormatting>
  <conditionalFormatting sqref="M23:M26">
    <cfRule type="containsText" dxfId="30" priority="171" operator="containsText" text="D">
      <formula>NOT(ISERROR(SEARCH("D",M23)))</formula>
    </cfRule>
  </conditionalFormatting>
  <conditionalFormatting sqref="M23:M26">
    <cfRule type="containsText" dxfId="29" priority="170" operator="containsText" text="R">
      <formula>NOT(ISERROR(SEARCH("R",M23)))</formula>
    </cfRule>
  </conditionalFormatting>
  <conditionalFormatting sqref="M23:M26">
    <cfRule type="containsText" dxfId="28" priority="169" operator="containsText" text="P">
      <formula>NOT(ISERROR(SEARCH("P",M23)))</formula>
    </cfRule>
  </conditionalFormatting>
  <conditionalFormatting sqref="N23:V23">
    <cfRule type="containsText" dxfId="27" priority="167" operator="containsText" text="S">
      <formula>NOT(ISERROR(SEARCH("S",N23)))</formula>
    </cfRule>
    <cfRule type="containsText" dxfId="26" priority="168" operator="containsText" text="H">
      <formula>NOT(ISERROR(SEARCH("H",N23)))</formula>
    </cfRule>
  </conditionalFormatting>
  <conditionalFormatting sqref="N23:V23">
    <cfRule type="containsText" dxfId="25" priority="166" operator="containsText" text="D">
      <formula>NOT(ISERROR(SEARCH("D",N23)))</formula>
    </cfRule>
  </conditionalFormatting>
  <conditionalFormatting sqref="N23:V23">
    <cfRule type="containsText" dxfId="24" priority="165" operator="containsText" text="R">
      <formula>NOT(ISERROR(SEARCH("R",N23)))</formula>
    </cfRule>
  </conditionalFormatting>
  <conditionalFormatting sqref="N23:V23">
    <cfRule type="containsText" dxfId="23" priority="164" operator="containsText" text="P">
      <formula>NOT(ISERROR(SEARCH("P",N23)))</formula>
    </cfRule>
  </conditionalFormatting>
  <conditionalFormatting sqref="N24:V26">
    <cfRule type="colorScale" priority="157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22" priority="163" operator="equal">
      <formula>MAX($N$24:$V$26)</formula>
    </cfRule>
  </conditionalFormatting>
  <conditionalFormatting sqref="M28:M31">
    <cfRule type="containsText" dxfId="21" priority="49" operator="containsText" text="S">
      <formula>NOT(ISERROR(SEARCH("S",M28)))</formula>
    </cfRule>
    <cfRule type="containsText" dxfId="20" priority="50" operator="containsText" text="H">
      <formula>NOT(ISERROR(SEARCH("H",M28)))</formula>
    </cfRule>
  </conditionalFormatting>
  <conditionalFormatting sqref="M28:M31">
    <cfRule type="containsText" dxfId="19" priority="48" operator="containsText" text="D">
      <formula>NOT(ISERROR(SEARCH("D",M28)))</formula>
    </cfRule>
  </conditionalFormatting>
  <conditionalFormatting sqref="M28:M31">
    <cfRule type="containsText" dxfId="18" priority="47" operator="containsText" text="R">
      <formula>NOT(ISERROR(SEARCH("R",M28)))</formula>
    </cfRule>
  </conditionalFormatting>
  <conditionalFormatting sqref="M28:M31">
    <cfRule type="containsText" dxfId="17" priority="46" operator="containsText" text="P">
      <formula>NOT(ISERROR(SEARCH("P",M28)))</formula>
    </cfRule>
  </conditionalFormatting>
  <conditionalFormatting sqref="N29:V31">
    <cfRule type="colorScale" priority="1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N28:V28">
    <cfRule type="containsText" dxfId="16" priority="25" operator="containsText" text="S">
      <formula>NOT(ISERROR(SEARCH("S",N28)))</formula>
    </cfRule>
    <cfRule type="containsText" dxfId="15" priority="26" operator="containsText" text="H">
      <formula>NOT(ISERROR(SEARCH("H",N28)))</formula>
    </cfRule>
  </conditionalFormatting>
  <conditionalFormatting sqref="N28:V28">
    <cfRule type="containsText" dxfId="14" priority="24" operator="containsText" text="D">
      <formula>NOT(ISERROR(SEARCH("D",N28)))</formula>
    </cfRule>
  </conditionalFormatting>
  <conditionalFormatting sqref="N28:V28">
    <cfRule type="containsText" dxfId="13" priority="23" operator="containsText" text="R">
      <formula>NOT(ISERROR(SEARCH("R",N28)))</formula>
    </cfRule>
  </conditionalFormatting>
  <conditionalFormatting sqref="N28:V28">
    <cfRule type="containsText" dxfId="12" priority="22" operator="containsText" text="P">
      <formula>NOT(ISERROR(SEARCH("P",N28)))</formula>
    </cfRule>
  </conditionalFormatting>
  <conditionalFormatting sqref="M33:V33">
    <cfRule type="containsText" dxfId="11" priority="9" operator="containsText" text="S">
      <formula>NOT(ISERROR(SEARCH("S",M33)))</formula>
    </cfRule>
    <cfRule type="containsText" dxfId="10" priority="10" operator="containsText" text="H">
      <formula>NOT(ISERROR(SEARCH("H",M33)))</formula>
    </cfRule>
  </conditionalFormatting>
  <conditionalFormatting sqref="M33:V33">
    <cfRule type="containsText" dxfId="9" priority="8" operator="containsText" text="D">
      <formula>NOT(ISERROR(SEARCH("D",M33)))</formula>
    </cfRule>
  </conditionalFormatting>
  <conditionalFormatting sqref="M33:V33">
    <cfRule type="containsText" dxfId="8" priority="7" operator="containsText" text="R">
      <formula>NOT(ISERROR(SEARCH("R",M33)))</formula>
    </cfRule>
  </conditionalFormatting>
  <conditionalFormatting sqref="M33:V33">
    <cfRule type="containsText" dxfId="7" priority="6" operator="containsText" text="P">
      <formula>NOT(ISERROR(SEARCH("P",M33)))</formula>
    </cfRule>
  </conditionalFormatting>
  <conditionalFormatting sqref="M34:M35">
    <cfRule type="containsText" dxfId="6" priority="4" operator="containsText" text="S">
      <formula>NOT(ISERROR(SEARCH("S",M34)))</formula>
    </cfRule>
    <cfRule type="containsText" dxfId="5" priority="5" operator="containsText" text="H">
      <formula>NOT(ISERROR(SEARCH("H",M34)))</formula>
    </cfRule>
  </conditionalFormatting>
  <conditionalFormatting sqref="M34:M35">
    <cfRule type="containsText" dxfId="4" priority="3" operator="containsText" text="D">
      <formula>NOT(ISERROR(SEARCH("D",M34)))</formula>
    </cfRule>
  </conditionalFormatting>
  <conditionalFormatting sqref="M34:M35">
    <cfRule type="containsText" dxfId="3" priority="2" operator="containsText" text="R">
      <formula>NOT(ISERROR(SEARCH("R",M34)))</formula>
    </cfRule>
  </conditionalFormatting>
  <conditionalFormatting sqref="M34:M35">
    <cfRule type="containsText" dxfId="2" priority="1" operator="containsText" text="P">
      <formula>NOT(ISERROR(SEARCH("P",M34)))</formula>
    </cfRule>
  </conditionalFormatting>
  <pageMargins left="0.25" right="0.25" top="0.75" bottom="0.75" header="0.3" footer="0.3"/>
  <pageSetup paperSize="9" scale="66" orientation="landscape" r:id="rId1"/>
  <headerFooter>
    <oddHeader xml:space="preserve">&amp;C&amp;"System Font,Bold"&amp;22&amp;K000000Atipat's Blackjack Strategy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54"/>
  <sheetViews>
    <sheetView workbookViewId="0">
      <selection activeCell="K9" sqref="K9"/>
    </sheetView>
  </sheetViews>
  <sheetFormatPr baseColWidth="10" defaultColWidth="8.83203125" defaultRowHeight="16"/>
  <sheetData>
    <row r="1" spans="1:11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2</v>
      </c>
      <c r="B2">
        <f>IF(Rules!$B$6=Rules!$D$6,2*(SUM(Stand!B4:B11)+Rules!$B$5*Stand!B12+Stand!B36)/(9+Rules!$B$5),HS!B2)</f>
        <v>-0.34456837192534162</v>
      </c>
      <c r="C2">
        <f>IF(Rules!$B$6=Rules!$D$6,2*(SUM(Stand!C4:C11)+Rules!$B$5*Stand!C12+Stand!C36)/(9+Rules!$B$5),HS!C2)</f>
        <v>-7.6036139649632559E-2</v>
      </c>
      <c r="D2">
        <f>IF(Rules!$B$6=Rules!$D$6,2*(SUM(Stand!D4:D11)+Rules!$B$5*Stand!D12+Stand!D36)/(9+Rules!$B$5),HS!D2)</f>
        <v>-4.9887284329707869E-2</v>
      </c>
      <c r="E2">
        <f>IF(Rules!$B$6=Rules!$D$6,2*(SUM(Stand!E4:E11)+Rules!$B$5*Stand!E12+Stand!E36)/(9+Rules!$B$5),HS!E2)</f>
        <v>-2.016020969670709E-2</v>
      </c>
      <c r="F2">
        <f>IF(Rules!$B$6=Rules!$D$6,2*(SUM(Stand!F4:F11)+Rules!$B$5*Stand!F12+Stand!F36)/(9+Rules!$B$5),HS!F2)</f>
        <v>1.4664203829548531E-2</v>
      </c>
      <c r="G2">
        <f>IF(Rules!$B$6=Rules!$D$6,2*(SUM(Stand!G4:G11)+Rules!$B$5*Stand!G12+Stand!G36)/(9+Rules!$B$5),HS!G2)</f>
        <v>5.10276420282465E-2</v>
      </c>
      <c r="H2">
        <f>IF(Rules!$B$6=Rules!$D$6,2*(SUM(Stand!H4:H11)+Rules!$B$5*Stand!H12+Stand!H36)/(9+Rules!$B$5),HS!H2)</f>
        <v>-2.7257021375862247E-2</v>
      </c>
      <c r="I2">
        <f>IF(Rules!$B$6=Rules!$D$6,2*(SUM(Stand!I4:I11)+Rules!$B$5*Stand!I12+Stand!I36)/(9+Rules!$B$5),HS!I2)</f>
        <v>-0.10316172777512723</v>
      </c>
      <c r="J2">
        <f>IF(Rules!$B$6=Rules!$D$6,2*(SUM(Stand!J4:J11)+Rules!$B$5*Stand!J12+Stand!J36)/(9+Rules!$B$5),HS!J2)</f>
        <v>-0.19004714305350842</v>
      </c>
      <c r="K2">
        <f>IF(Rules!$B$6=Rules!$D$6,2*(SUM(Stand!K4:K11)+Rules!$B$5*Stand!K12+Stand!K36)/(9+Rules!$B$5),HS!K2)</f>
        <v>-0.29096372773977425</v>
      </c>
    </row>
    <row r="3" spans="1:11">
      <c r="A3">
        <v>3</v>
      </c>
      <c r="B3">
        <f>IF(Rules!$B$6=Rules!$D$6,2*(SUM(Stand!B5:B12)+Rules!$B$5*Stand!B13+Stand!B37)/(9+Rules!$B$5),HS!B3)</f>
        <v>-0.36474464099475529</v>
      </c>
      <c r="C3">
        <f>IF(Rules!$B$6=Rules!$D$6,2*(SUM(Stand!C5:C12)+Rules!$B$5*Stand!C13+Stand!C37)/(9+Rules!$B$5),HS!C3)</f>
        <v>-9.8794923007326521E-2</v>
      </c>
      <c r="D3">
        <f>IF(Rules!$B$6=Rules!$D$6,2*(SUM(Stand!D5:D12)+Rules!$B$5*Stand!D13+Stand!D37)/(9+Rules!$B$5),HS!D3)</f>
        <v>-6.7321319741442009E-2</v>
      </c>
      <c r="E3">
        <f>IF(Rules!$B$6=Rules!$D$6,2*(SUM(Stand!E5:E12)+Rules!$B$5*Stand!E13+Stand!E37)/(9+Rules!$B$5),HS!E3)</f>
        <v>-3.4079494605979782E-2</v>
      </c>
      <c r="F3">
        <f>IF(Rules!$B$6=Rules!$D$6,2*(SUM(Stand!F5:F12)+Rules!$B$5*Stand!F13+Stand!F37)/(9+Rules!$B$5),HS!F3)</f>
        <v>1.2204515413239724E-3</v>
      </c>
      <c r="G3">
        <f>IF(Rules!$B$6=Rules!$D$6,2*(SUM(Stand!G5:G12)+Rules!$B$5*Stand!G13+Stand!G37)/(9+Rules!$B$5),HS!G3)</f>
        <v>3.8127730665612251E-2</v>
      </c>
      <c r="H3">
        <f>IF(Rules!$B$6=Rules!$D$6,2*(SUM(Stand!H5:H12)+Rules!$B$5*Stand!H13+Stand!H37)/(9+Rules!$B$5),HS!H3)</f>
        <v>-5.7437588540356667E-2</v>
      </c>
      <c r="I3">
        <f>IF(Rules!$B$6=Rules!$D$6,2*(SUM(Stand!I5:I12)+Rules!$B$5*Stand!I13+Stand!I37)/(9+Rules!$B$5),HS!I3)</f>
        <v>-0.13094188065020099</v>
      </c>
      <c r="J3">
        <f>IF(Rules!$B$6=Rules!$D$6,2*(SUM(Stand!J5:J12)+Rules!$B$5*Stand!J13+Stand!J37)/(9+Rules!$B$5),HS!J3)</f>
        <v>-0.21507662281362433</v>
      </c>
      <c r="K3">
        <f>IF(Rules!$B$6=Rules!$D$6,2*(SUM(Stand!K5:K12)+Rules!$B$5*Stand!K13+Stand!K37)/(9+Rules!$B$5),HS!K3)</f>
        <v>-0.31277980128259808</v>
      </c>
    </row>
    <row r="4" spans="1:11">
      <c r="A4">
        <v>4</v>
      </c>
      <c r="B4">
        <f>IF(Rules!$B$6=Rules!$D$6,2*(SUM(Stand!B6:B13)+Rules!$B$5*Stand!B14+Stand!B38)/(9+Rules!$B$5),HS!B4)</f>
        <v>-0.38538530661686615</v>
      </c>
      <c r="C4">
        <f>IF(Rules!$B$6=Rules!$D$6,2*(SUM(Stand!C6:C13)+Rules!$B$5*Stand!C14+Stand!C38)/(9+Rules!$B$5),HS!C4)</f>
        <v>-0.11285543771123717</v>
      </c>
      <c r="D4">
        <f>IF(Rules!$B$6=Rules!$D$6,2*(SUM(Stand!D6:D13)+Rules!$B$5*Stand!D14+Stand!D38)/(9+Rules!$B$5),HS!D4)</f>
        <v>-8.0761552533335321E-2</v>
      </c>
      <c r="E4">
        <f>IF(Rules!$B$6=Rules!$D$6,2*(SUM(Stand!E6:E13)+Rules!$B$5*Stand!E14+Stand!E38)/(9+Rules!$B$5),HS!E4)</f>
        <v>-4.6961607783156195E-2</v>
      </c>
      <c r="F4">
        <f>IF(Rules!$B$6=Rules!$D$6,2*(SUM(Stand!F6:F13)+Rules!$B$5*Stand!F14+Stand!F38)/(9+Rules!$B$5),HS!F4)</f>
        <v>-1.122157243811568E-2</v>
      </c>
      <c r="G4">
        <f>IF(Rules!$B$6=Rules!$D$6,2*(SUM(Stand!G6:G13)+Rules!$B$5*Stand!G14+Stand!G38)/(9+Rules!$B$5),HS!G4)</f>
        <v>2.6189020344519497E-2</v>
      </c>
      <c r="H4">
        <f>IF(Rules!$B$6=Rules!$D$6,2*(SUM(Stand!H6:H13)+Rules!$B$5*Stand!H14+Stand!H38)/(9+Rules!$B$5),HS!H4)</f>
        <v>-8.8279201058463722E-2</v>
      </c>
      <c r="I4">
        <f>IF(Rules!$B$6=Rules!$D$6,2*(SUM(Stand!I6:I13)+Rules!$B$5*Stand!I14+Stand!I38)/(9+Rules!$B$5),HS!I4)</f>
        <v>-0.15933415266020512</v>
      </c>
      <c r="J4">
        <f>IF(Rules!$B$6=Rules!$D$6,2*(SUM(Stand!J6:J13)+Rules!$B$5*Stand!J14+Stand!J38)/(9+Rules!$B$5),HS!J4)</f>
        <v>-0.24066617915336547</v>
      </c>
      <c r="K4">
        <f>IF(Rules!$B$6=Rules!$D$6,2*(SUM(Stand!K6:K13)+Rules!$B$5*Stand!K14+Stand!K38)/(9+Rules!$B$5),HS!K4)</f>
        <v>-0.33509986436351097</v>
      </c>
    </row>
    <row r="5" spans="1:11">
      <c r="A5">
        <v>5</v>
      </c>
      <c r="B5">
        <f>IF(Rules!$B$6=Rules!$D$6,2*(SUM(Stand!B7:B14)+Rules!$B$5*Stand!B15+Stand!B39)/(9+Rules!$B$5),HS!B5)</f>
        <v>-0.40632230211141912</v>
      </c>
      <c r="C5">
        <f>IF(Rules!$B$6=Rules!$D$6,2*(SUM(Stand!C7:C14)+Rules!$B$5*Stand!C15+Stand!C39)/(9+Rules!$B$5),HS!C5)</f>
        <v>-0.12585466591223504</v>
      </c>
      <c r="D5">
        <f>IF(Rules!$B$6=Rules!$D$6,2*(SUM(Stand!D7:D14)+Rules!$B$5*Stand!D15+Stand!D39)/(9+Rules!$B$5),HS!D5)</f>
        <v>-9.3185805313397596E-2</v>
      </c>
      <c r="E5">
        <f>IF(Rules!$B$6=Rules!$D$6,2*(SUM(Stand!E7:E14)+Rules!$B$5*Stand!E15+Stand!E39)/(9+Rules!$B$5),HS!E5)</f>
        <v>-5.8868938477504656E-2</v>
      </c>
      <c r="F5">
        <f>IF(Rules!$B$6=Rules!$D$6,2*(SUM(Stand!F7:F14)+Rules!$B$5*Stand!F15+Stand!F39)/(9+Rules!$B$5),HS!F5)</f>
        <v>-2.2722050599694302E-2</v>
      </c>
      <c r="G5">
        <f>IF(Rules!$B$6=Rules!$D$6,2*(SUM(Stand!G7:G14)+Rules!$B$5*Stand!G15+Stand!G39)/(9+Rules!$B$5),HS!G5)</f>
        <v>1.5153619459709739E-2</v>
      </c>
      <c r="H5">
        <f>IF(Rules!$B$6=Rules!$D$6,2*(SUM(Stand!H7:H14)+Rules!$B$5*Stand!H15+Stand!H39)/(9+Rules!$B$5),HS!H5)</f>
        <v>-0.11944744188414852</v>
      </c>
      <c r="I5">
        <f>IF(Rules!$B$6=Rules!$D$6,2*(SUM(Stand!I7:I14)+Rules!$B$5*Stand!I15+Stand!I39)/(9+Rules!$B$5),HS!I5)</f>
        <v>-0.18809330390318518</v>
      </c>
      <c r="J5">
        <f>IF(Rules!$B$6=Rules!$D$6,2*(SUM(Stand!J7:J14)+Rules!$B$5*Stand!J15+Stand!J39)/(9+Rules!$B$5),HS!J5)</f>
        <v>-0.26661505335795899</v>
      </c>
      <c r="K5">
        <f>IF(Rules!$B$6=Rules!$D$6,2*(SUM(Stand!K7:K14)+Rules!$B$5*Stand!K15+Stand!K39)/(9+Rules!$B$5),HS!K5)</f>
        <v>-0.3577434525808979</v>
      </c>
    </row>
    <row r="6" spans="1:11">
      <c r="A6">
        <v>6</v>
      </c>
      <c r="B6">
        <f>IF(Rules!$B$6=Rules!$D$6,2*(SUM(Stand!B8:B15)+Rules!$B$5*Stand!B16+Stand!B40)/(9+Rules!$B$5),HS!B6)</f>
        <v>-0.41968690347101079</v>
      </c>
      <c r="C6">
        <f>IF(Rules!$B$6=Rules!$D$6,2*(SUM(Stand!C8:C15)+Rules!$B$5*Stand!C16+Stand!C40)/(9+Rules!$B$5),HS!C6)</f>
        <v>-0.1380730292913315</v>
      </c>
      <c r="D6">
        <f>IF(Rules!$B$6=Rules!$D$6,2*(SUM(Stand!D8:D15)+Rules!$B$5*Stand!D16+Stand!D40)/(9+Rules!$B$5),HS!D6)</f>
        <v>-0.10487404133749784</v>
      </c>
      <c r="E6">
        <f>IF(Rules!$B$6=Rules!$D$6,2*(SUM(Stand!E8:E15)+Rules!$B$5*Stand!E16+Stand!E40)/(9+Rules!$B$5),HS!E6)</f>
        <v>-7.0077773347286057E-2</v>
      </c>
      <c r="F6">
        <f>IF(Rules!$B$6=Rules!$D$6,2*(SUM(Stand!F8:F15)+Rules!$B$5*Stand!F16+Stand!F40)/(9+Rules!$B$5),HS!F6)</f>
        <v>-3.3548869940164566E-2</v>
      </c>
      <c r="G6">
        <f>IF(Rules!$B$6=Rules!$D$6,2*(SUM(Stand!G8:G15)+Rules!$B$5*Stand!G16+Stand!G40)/(9+Rules!$B$5),HS!G6)</f>
        <v>4.7665085393153788E-3</v>
      </c>
      <c r="H6">
        <f>IF(Rules!$B$6=Rules!$D$6,2*(SUM(Stand!H8:H15)+Rules!$B$5*Stand!H16+Stand!H40)/(9+Rules!$B$5),HS!H6)</f>
        <v>-0.15193270723669944</v>
      </c>
      <c r="I6">
        <f>IF(Rules!$B$6=Rules!$D$6,2*(SUM(Stand!I8:I15)+Rules!$B$5*Stand!I16+Stand!I40)/(9+Rules!$B$5),HS!I6)</f>
        <v>-0.21724188132078476</v>
      </c>
      <c r="J6">
        <f>IF(Rules!$B$6=Rules!$D$6,2*(SUM(Stand!J8:J15)+Rules!$B$5*Stand!J16+Stand!J40)/(9+Rules!$B$5),HS!J6)</f>
        <v>-0.29264070019772598</v>
      </c>
      <c r="K6">
        <f>IF(Rules!$B$6=Rules!$D$6,2*(SUM(Stand!K8:K15)+Rules!$B$5*Stand!K16+Stand!K40)/(9+Rules!$B$5),HS!K6)</f>
        <v>-0.38050766229289529</v>
      </c>
    </row>
    <row r="7" spans="1:11">
      <c r="A7">
        <v>7</v>
      </c>
      <c r="B7">
        <f>IF(Rules!$B$6=Rules!$D$6,2*(SUM(Stand!B9:B16)+Rules!$B$5*Stand!B17+Stand!B41)/(9+Rules!$B$5),HS!B7)</f>
        <v>-0.39971038372569095</v>
      </c>
      <c r="C7">
        <f>IF(Rules!$B$6=Rules!$D$6,2*(SUM(Stand!C9:C16)+Rules!$B$5*Stand!C17+Stand!C41)/(9+Rules!$B$5),HS!C7)</f>
        <v>-0.10957748444769842</v>
      </c>
      <c r="D7">
        <f>IF(Rules!$B$6=Rules!$D$6,2*(SUM(Stand!D9:D16)+Rules!$B$5*Stand!D17+Stand!D41)/(9+Rules!$B$5),HS!D7)</f>
        <v>-7.6937567884950209E-2</v>
      </c>
      <c r="E7">
        <f>IF(Rules!$B$6=Rules!$D$6,2*(SUM(Stand!E9:E16)+Rules!$B$5*Stand!E17+Stand!E41)/(9+Rules!$B$5),HS!E7)</f>
        <v>-4.2826367717071351E-2</v>
      </c>
      <c r="F7">
        <f>IF(Rules!$B$6=Rules!$D$6,2*(SUM(Stand!F9:F16)+Rules!$B$5*Stand!F17+Stand!F41)/(9+Rules!$B$5),HS!F7)</f>
        <v>-7.17726676462546E-3</v>
      </c>
      <c r="G7">
        <f>IF(Rules!$B$6=Rules!$D$6,2*(SUM(Stand!G9:G16)+Rules!$B$5*Stand!G17+Stand!G41)/(9+Rules!$B$5),HS!G7)</f>
        <v>3.0408566151961865E-2</v>
      </c>
      <c r="H7">
        <f>IF(Rules!$B$6=Rules!$D$6,2*(SUM(Stand!H9:H16)+Rules!$B$5*Stand!H17+Stand!H41)/(9+Rules!$B$5),HS!H7)</f>
        <v>-6.8807799580427764E-2</v>
      </c>
      <c r="I7">
        <f>IF(Rules!$B$6=Rules!$D$6,2*(SUM(Stand!I9:I16)+Rules!$B$5*Stand!I17+Stand!I41)/(9+Rules!$B$5),HS!I7)</f>
        <v>-0.21060476872434966</v>
      </c>
      <c r="J7">
        <f>IF(Rules!$B$6=Rules!$D$6,2*(SUM(Stand!J9:J16)+Rules!$B$5*Stand!J17+Stand!J41)/(9+Rules!$B$5),HS!J7)</f>
        <v>-0.28536544048687662</v>
      </c>
      <c r="K7">
        <f>IF(Rules!$B$6=Rules!$D$6,2*(SUM(Stand!K9:K16)+Rules!$B$5*Stand!K17+Stand!K41)/(9+Rules!$B$5),HS!K7)</f>
        <v>-0.36507789921394679</v>
      </c>
    </row>
    <row r="8" spans="1:11">
      <c r="A8">
        <v>8</v>
      </c>
      <c r="B8">
        <f>IF(Rules!$B$6=Rules!$D$6,2*(SUM(Stand!B10:B17)+Rules!$B$5*Stand!B18+Stand!B42)/(9+Rules!$B$5),HS!B8)</f>
        <v>-0.33034033459070061</v>
      </c>
      <c r="C8">
        <f>IF(Rules!$B$6=Rules!$D$6,2*(SUM(Stand!C10:C17)+Rules!$B$5*Stand!C18+Stand!C42)/(9+Rules!$B$5),HS!C8)</f>
        <v>-2.4506830289917444E-2</v>
      </c>
      <c r="D8">
        <f>IF(Rules!$B$6=Rules!$D$6,2*(SUM(Stand!D10:D17)+Rules!$B$5*Stand!D18+Stand!D42)/(9+Rules!$B$5),HS!D8)</f>
        <v>5.5679308753931881E-3</v>
      </c>
      <c r="E8">
        <f>IF(Rules!$B$6=Rules!$D$6,2*(SUM(Stand!E10:E17)+Rules!$B$5*Stand!E18+Stand!E42)/(9+Rules!$B$5),HS!E8)</f>
        <v>3.7010775094514566E-2</v>
      </c>
      <c r="F8">
        <f>IF(Rules!$B$6=Rules!$D$6,2*(SUM(Stand!F10:F17)+Rules!$B$5*Stand!F18+Stand!F42)/(9+Rules!$B$5),HS!F8)</f>
        <v>6.9950633154329159E-2</v>
      </c>
      <c r="G8">
        <f>IF(Rules!$B$6=Rules!$D$6,2*(SUM(Stand!G10:G17)+Rules!$B$5*Stand!G18+Stand!G42)/(9+Rules!$B$5),HS!G8)</f>
        <v>0.10385811332306308</v>
      </c>
      <c r="H8">
        <f>IF(Rules!$B$6=Rules!$D$6,2*(SUM(Stand!H10:H17)+Rules!$B$5*Stand!H18+Stand!H42)/(9+Rules!$B$5),HS!H8)</f>
        <v>8.2207439363742862E-2</v>
      </c>
      <c r="I8">
        <f>IF(Rules!$B$6=Rules!$D$6,2*(SUM(Stand!I10:I17)+Rules!$B$5*Stand!I18+Stand!I42)/(9+Rules!$B$5),HS!I8)</f>
        <v>-5.989827565865629E-2</v>
      </c>
      <c r="J8">
        <f>IF(Rules!$B$6=Rules!$D$6,2*(SUM(Stand!J10:J17)+Rules!$B$5*Stand!J18+Stand!J42)/(9+Rules!$B$5),HS!J8)</f>
        <v>-0.2101863319982176</v>
      </c>
      <c r="K8">
        <f>IF(Rules!$B$6=Rules!$D$6,2*(SUM(Stand!K10:K17)+Rules!$B$5*Stand!K18+Stand!K42)/(9+Rules!$B$5),HS!K8)</f>
        <v>-0.30177738614031369</v>
      </c>
    </row>
    <row r="9" spans="1:11">
      <c r="A9">
        <v>9</v>
      </c>
      <c r="B9">
        <f>2*(SUM(Stand!B11:B18)+Rules!$B$5*Stand!B19+Stand!B43)/(9+Rules!$B$5)</f>
        <v>-0.62015530980596734</v>
      </c>
      <c r="C9">
        <f>2*(SUM(Stand!C11:C18)+Rules!$B$5*Stand!C19+Stand!C43)/(9+Rules!$B$5)</f>
        <v>5.8785556926326206E-2</v>
      </c>
      <c r="D9">
        <f>2*(SUM(Stand!D11:D18)+Rules!$B$5*Stand!D19+Stand!D43)/(9+Rules!$B$5)</f>
        <v>0.11871708619491314</v>
      </c>
      <c r="E9">
        <f>2*(SUM(Stand!E11:E18)+Rules!$B$5*Stand!E19+Stand!E43)/(9+Rules!$B$5)</f>
        <v>0.17999961456984417</v>
      </c>
      <c r="F9">
        <f>2*(SUM(Stand!F11:F18)+Rules!$B$5*Stand!F19+Stand!F43)/(9+Rules!$B$5)</f>
        <v>0.24211866364068418</v>
      </c>
      <c r="G9">
        <f>2*(SUM(Stand!G11:G18)+Rules!$B$5*Stand!G19+Stand!G43)/(9+Rules!$B$5)</f>
        <v>0.30485344968108963</v>
      </c>
      <c r="H9">
        <f>2*(SUM(Stand!H11:H18)+Rules!$B$5*Stand!H19+Stand!H43)/(9+Rules!$B$5)</f>
        <v>0.10425035196048602</v>
      </c>
      <c r="I9">
        <f>2*(SUM(Stand!I11:I18)+Rules!$B$5*Stand!I19+Stand!I43)/(9+Rules!$B$5)</f>
        <v>-2.6442289648669261E-2</v>
      </c>
      <c r="J9">
        <f>2*(SUM(Stand!J11:J18)+Rules!$B$5*Stand!J19+Stand!J43)/(9+Rules!$B$5)</f>
        <v>-0.30099565908098236</v>
      </c>
      <c r="K9">
        <f>2*(SUM(Stand!K11:K18)+Rules!$B$5*Stand!K19+Stand!K43)/(9+Rules!$B$5)</f>
        <v>-0.58465235122608539</v>
      </c>
    </row>
    <row r="10" spans="1:11">
      <c r="A10">
        <v>10</v>
      </c>
      <c r="B10">
        <f>2*(SUM(Stand!B12:B19)+Rules!$B$5*Stand!B20+Stand!B44)/(9+Rules!$B$5)</f>
        <v>-0.32751926232774553</v>
      </c>
      <c r="C10">
        <f>2*(SUM(Stand!C12:C19)+Rules!$B$5*Stand!C20+Stand!C44)/(9+Rules!$B$5)</f>
        <v>0.35690719748372668</v>
      </c>
      <c r="D10">
        <f>2*(SUM(Stand!D12:D19)+Rules!$B$5*Stand!D20+Stand!D44)/(9+Rules!$B$5)</f>
        <v>0.40749201163237114</v>
      </c>
      <c r="E10">
        <f>2*(SUM(Stand!E12:E19)+Rules!$B$5*Stand!E20+Stand!E44)/(9+Rules!$B$5)</f>
        <v>0.45924220371818347</v>
      </c>
      <c r="F10">
        <f>2*(SUM(Stand!F12:F19)+Rules!$B$5*Stand!F20+Stand!F44)/(9+Rules!$B$5)</f>
        <v>0.51169953415177827</v>
      </c>
      <c r="G10">
        <f>2*(SUM(Stand!G12:G19)+Rules!$B$5*Stand!G20+Stand!G44)/(9+Rules!$B$5)</f>
        <v>0.56496169552840625</v>
      </c>
      <c r="H10">
        <f>2*(SUM(Stand!H12:H19)+Rules!$B$5*Stand!H20+Stand!H44)/(9+Rules!$B$5)</f>
        <v>0.39241245528243773</v>
      </c>
      <c r="I10">
        <f>2*(SUM(Stand!I12:I19)+Rules!$B$5*Stand!I20+Stand!I44)/(9+Rules!$B$5)</f>
        <v>0.28663571688628381</v>
      </c>
      <c r="J10">
        <f>2*(SUM(Stand!J12:J19)+Rules!$B$5*Stand!J20+Stand!J44)/(9+Rules!$B$5)</f>
        <v>0.1443283683807712</v>
      </c>
      <c r="K10">
        <f>2*(SUM(Stand!K12:K19)+Rules!$B$5*Stand!K20+Stand!K44)/(9+Rules!$B$5)</f>
        <v>-0.1500044694283372</v>
      </c>
    </row>
    <row r="11" spans="1:11">
      <c r="A11">
        <v>11</v>
      </c>
      <c r="B11">
        <f>2*(SUM(Stand!B13:B20)+Rules!$B$5*Stand!B21+Stand!B45)/(9+Rules!$B$5)</f>
        <v>-0.11815715102876453</v>
      </c>
      <c r="C11">
        <f>2*(SUM(Stand!C13:C20)+Rules!$B$5*Stand!C21+Stand!C45)/(9+Rules!$B$5)</f>
        <v>0.47012148001782339</v>
      </c>
      <c r="D11">
        <f>2*(SUM(Stand!D13:D20)+Rules!$B$5*Stand!D21+Stand!D45)/(9+Rules!$B$5)</f>
        <v>0.51732783973958252</v>
      </c>
      <c r="E11">
        <f>2*(SUM(Stand!E13:E20)+Rules!$B$5*Stand!E21+Stand!E45)/(9+Rules!$B$5)</f>
        <v>0.56560652370552988</v>
      </c>
      <c r="F11">
        <f>2*(SUM(Stand!F13:F20)+Rules!$B$5*Stand!F21+Stand!F45)/(9+Rules!$B$5)</f>
        <v>0.61449004208451674</v>
      </c>
      <c r="G11">
        <f>2*(SUM(Stand!G13:G20)+Rules!$B$5*Stand!G21+Stand!G45)/(9+Rules!$B$5)</f>
        <v>0.66466340918892541</v>
      </c>
      <c r="H11">
        <f>2*(SUM(Stand!H13:H20)+Rules!$B$5*Stand!H21+Stand!H45)/(9+Rules!$B$5)</f>
        <v>0.46288894886429077</v>
      </c>
      <c r="I11">
        <f>2*(SUM(Stand!I13:I20)+Rules!$B$5*Stand!I21+Stand!I45)/(9+Rules!$B$5)</f>
        <v>0.35069259087031512</v>
      </c>
      <c r="J11">
        <f>2*(SUM(Stand!J13:J20)+Rules!$B$5*Stand!J21+Stand!J45)/(9+Rules!$B$5)</f>
        <v>0.22778342315245487</v>
      </c>
      <c r="K11">
        <f>2*(SUM(Stand!K13:K20)+Rules!$B$5*Stand!K21+Stand!K45)/(9+Rules!$B$5)</f>
        <v>5.9357641870643747E-2</v>
      </c>
    </row>
    <row r="12" spans="1:11">
      <c r="A12">
        <v>12</v>
      </c>
      <c r="B12">
        <f>IF(Rules!$B$6=Rules!$D$6,2*(SUM(Stand!B14:B21)+Rules!$B$5*Stand!B22+Stand!B46)/(9+Rules!$B$5),HS!B12)</f>
        <v>-0.46566058377683939</v>
      </c>
      <c r="C12">
        <f>IF(Rules!$B$6=Rules!$D$6,2*(SUM(Stand!C14:C21)+Rules!$B$5*Stand!C22+Stand!C46)/(9+Rules!$B$5),HS!C12)</f>
        <v>-0.25375147059276615</v>
      </c>
      <c r="D12">
        <f>IF(Rules!$B$6=Rules!$D$6,2*(SUM(Stand!D14:D21)+Rules!$B$5*Stand!D22+Stand!D46)/(9+Rules!$B$5),HS!D12)</f>
        <v>-0.23401617638713501</v>
      </c>
      <c r="E12">
        <f>IF(Rules!$B$6=Rules!$D$6,2*(SUM(Stand!E14:E21)+Rules!$B$5*Stand!E22+Stand!E46)/(9+Rules!$B$5),HS!E12)</f>
        <v>-0.20584968608305471</v>
      </c>
      <c r="F12">
        <f>IF(Rules!$B$6=Rules!$D$6,2*(SUM(Stand!F14:F21)+Rules!$B$5*Stand!F22+Stand!F46)/(9+Rules!$B$5),HS!F12)</f>
        <v>-0.16468249424828357</v>
      </c>
      <c r="G12">
        <f>IF(Rules!$B$6=Rules!$D$6,2*(SUM(Stand!G14:G21)+Rules!$B$5*Stand!G22+Stand!G46)/(9+Rules!$B$5),HS!G12)</f>
        <v>-0.12106685019651225</v>
      </c>
      <c r="H12">
        <f>IF(Rules!$B$6=Rules!$D$6,2*(SUM(Stand!H14:H21)+Rules!$B$5*Stand!H22+Stand!H46)/(9+Rules!$B$5),HS!H12)</f>
        <v>-0.21284771451731424</v>
      </c>
      <c r="I12">
        <f>IF(Rules!$B$6=Rules!$D$6,2*(SUM(Stand!I14:I21)+Rules!$B$5*Stand!I22+Stand!I46)/(9+Rules!$B$5),HS!I12)</f>
        <v>-0.27157480502428616</v>
      </c>
      <c r="J12">
        <f>IF(Rules!$B$6=Rules!$D$6,2*(SUM(Stand!J14:J21)+Rules!$B$5*Stand!J22+Stand!J46)/(9+Rules!$B$5),HS!J12)</f>
        <v>-0.3400132806089356</v>
      </c>
      <c r="K12">
        <f>IF(Rules!$B$6=Rules!$D$6,2*(SUM(Stand!K14:K21)+Rules!$B$5*Stand!K22+Stand!K46)/(9+Rules!$B$5),HS!K12)</f>
        <v>-0.42069618899826788</v>
      </c>
    </row>
    <row r="13" spans="1:11">
      <c r="A13">
        <v>13</v>
      </c>
      <c r="B13">
        <f>IF(Rules!$B$6=Rules!$D$6,2*(SUM(Stand!B15:B22)+Rules!$B$5*Stand!B23+Stand!B47)/(9+Rules!$B$5),HS!B13)</f>
        <v>-0.50382768493563657</v>
      </c>
      <c r="C13">
        <f>IF(Rules!$B$6=Rules!$D$6,2*(SUM(Stand!C15:C22)+Rules!$B$5*Stand!C23+Stand!C47)/(9+Rules!$B$5),HS!C13)</f>
        <v>-0.28654430084029509</v>
      </c>
      <c r="D13">
        <f>IF(Rules!$B$6=Rules!$D$6,2*(SUM(Stand!D15:D22)+Rules!$B$5*Stand!D23+Stand!D47)/(9+Rules!$B$5),HS!D13)</f>
        <v>-0.24663577379217239</v>
      </c>
      <c r="E13">
        <f>IF(Rules!$B$6=Rules!$D$6,2*(SUM(Stand!E15:E22)+Rules!$B$5*Stand!E23+Stand!E47)/(9+Rules!$B$5),HS!E13)</f>
        <v>-0.20584968608305471</v>
      </c>
      <c r="F13">
        <f>IF(Rules!$B$6=Rules!$D$6,2*(SUM(Stand!F15:F22)+Rules!$B$5*Stand!F23+Stand!F47)/(9+Rules!$B$5),HS!F13)</f>
        <v>-0.16468249424828357</v>
      </c>
      <c r="G13">
        <f>IF(Rules!$B$6=Rules!$D$6,2*(SUM(Stand!G15:G22)+Rules!$B$5*Stand!G23+Stand!G47)/(9+Rules!$B$5),HS!G13)</f>
        <v>-0.12106685019651225</v>
      </c>
      <c r="H13">
        <f>IF(Rules!$B$6=Rules!$D$6,2*(SUM(Stand!H15:H22)+Rules!$B$5*Stand!H23+Stand!H47)/(9+Rules!$B$5),HS!H13)</f>
        <v>-0.26907287776607752</v>
      </c>
      <c r="I13">
        <f>IF(Rules!$B$6=Rules!$D$6,2*(SUM(Stand!I15:I22)+Rules!$B$5*Stand!I23+Stand!I47)/(9+Rules!$B$5),HS!I13)</f>
        <v>-0.32360517609397998</v>
      </c>
      <c r="J13">
        <f>IF(Rules!$B$6=Rules!$D$6,2*(SUM(Stand!J15:J22)+Rules!$B$5*Stand!J23+Stand!J47)/(9+Rules!$B$5),HS!J13)</f>
        <v>-0.38715518913686875</v>
      </c>
      <c r="K13">
        <f>IF(Rules!$B$6=Rules!$D$6,2*(SUM(Stand!K15:K22)+Rules!$B$5*Stand!K23+Stand!K47)/(9+Rules!$B$5),HS!K13)</f>
        <v>-0.46207503264124877</v>
      </c>
    </row>
    <row r="14" spans="1:11">
      <c r="A14">
        <v>14</v>
      </c>
      <c r="B14">
        <f>IF(Rules!$B$6=Rules!$D$6,2*(SUM(Stand!B16:B23)+Rules!$B$5*Stand!B24+Stand!B48)/(9+Rules!$B$5),HS!B14)</f>
        <v>-0.53926856458309114</v>
      </c>
      <c r="C14">
        <f>IF(Rules!$B$6=Rules!$D$6,2*(SUM(Stand!C16:C23)+Rules!$B$5*Stand!C24+Stand!C48)/(9+Rules!$B$5),HS!C14)</f>
        <v>-0.28654430084029509</v>
      </c>
      <c r="D14">
        <f>IF(Rules!$B$6=Rules!$D$6,2*(SUM(Stand!D16:D23)+Rules!$B$5*Stand!D24+Stand!D48)/(9+Rules!$B$5),HS!D14)</f>
        <v>-0.24663577379217239</v>
      </c>
      <c r="E14">
        <f>IF(Rules!$B$6=Rules!$D$6,2*(SUM(Stand!E16:E23)+Rules!$B$5*Stand!E24+Stand!E48)/(9+Rules!$B$5),HS!E14)</f>
        <v>-0.20584968608305471</v>
      </c>
      <c r="F14">
        <f>IF(Rules!$B$6=Rules!$D$6,2*(SUM(Stand!F16:F23)+Rules!$B$5*Stand!F24+Stand!F48)/(9+Rules!$B$5),HS!F14)</f>
        <v>-0.16468249424828357</v>
      </c>
      <c r="G14">
        <f>IF(Rules!$B$6=Rules!$D$6,2*(SUM(Stand!G16:G23)+Rules!$B$5*Stand!G24+Stand!G48)/(9+Rules!$B$5),HS!G14)</f>
        <v>-0.12106685019651225</v>
      </c>
      <c r="H14">
        <f>IF(Rules!$B$6=Rules!$D$6,2*(SUM(Stand!H16:H23)+Rules!$B$5*Stand!H24+Stand!H48)/(9+Rules!$B$5),HS!H14)</f>
        <v>-0.3212819579256434</v>
      </c>
      <c r="I14">
        <f>IF(Rules!$B$6=Rules!$D$6,2*(SUM(Stand!I16:I23)+Rules!$B$5*Stand!I24+Stand!I48)/(9+Rules!$B$5),HS!I14)</f>
        <v>-0.37191909208726714</v>
      </c>
      <c r="J14">
        <f>IF(Rules!$B$6=Rules!$D$6,2*(SUM(Stand!J16:J23)+Rules!$B$5*Stand!J24+Stand!J48)/(9+Rules!$B$5),HS!J14)</f>
        <v>-0.43092981848423528</v>
      </c>
      <c r="K14">
        <f>IF(Rules!$B$6=Rules!$D$6,2*(SUM(Stand!K16:K23)+Rules!$B$5*Stand!K24+Stand!K48)/(9+Rules!$B$5),HS!K14)</f>
        <v>-0.50049824459544523</v>
      </c>
    </row>
    <row r="15" spans="1:11">
      <c r="A15">
        <v>15</v>
      </c>
      <c r="B15">
        <f>IF(Rules!$B$6=Rules!$D$6,2*(SUM(Stand!B17:B24)+Rules!$B$5*Stand!B25+Stand!B49)/(9+Rules!$B$5),HS!B15)</f>
        <v>-0.572177952827156</v>
      </c>
      <c r="C15">
        <f>IF(Rules!$B$6=Rules!$D$6,2*(SUM(Stand!C17:C24)+Rules!$B$5*Stand!C25+Stand!C49)/(9+Rules!$B$5),HS!C15)</f>
        <v>-0.28654430084029509</v>
      </c>
      <c r="D15">
        <f>IF(Rules!$B$6=Rules!$D$6,2*(SUM(Stand!D17:D24)+Rules!$B$5*Stand!D25+Stand!D49)/(9+Rules!$B$5),HS!D15)</f>
        <v>-0.24663577379217239</v>
      </c>
      <c r="E15">
        <f>IF(Rules!$B$6=Rules!$D$6,2*(SUM(Stand!E17:E24)+Rules!$B$5*Stand!E25+Stand!E49)/(9+Rules!$B$5),HS!E15)</f>
        <v>-0.20584968608305471</v>
      </c>
      <c r="F15">
        <f>IF(Rules!$B$6=Rules!$D$6,2*(SUM(Stand!F17:F24)+Rules!$B$5*Stand!F25+Stand!F49)/(9+Rules!$B$5),HS!F15)</f>
        <v>-0.16468249424828357</v>
      </c>
      <c r="G15">
        <f>IF(Rules!$B$6=Rules!$D$6,2*(SUM(Stand!G17:G24)+Rules!$B$5*Stand!G25+Stand!G49)/(9+Rules!$B$5),HS!G15)</f>
        <v>-0.12106685019651225</v>
      </c>
      <c r="H15">
        <f>IF(Rules!$B$6=Rules!$D$6,2*(SUM(Stand!H17:H24)+Rules!$B$5*Stand!H25+Stand!H49)/(9+Rules!$B$5),HS!H15)</f>
        <v>-0.36976181807381175</v>
      </c>
      <c r="I15">
        <f>IF(Rules!$B$6=Rules!$D$6,2*(SUM(Stand!I17:I24)+Rules!$B$5*Stand!I25+Stand!I49)/(9+Rules!$B$5),HS!I15)</f>
        <v>-0.41678201408103371</v>
      </c>
      <c r="J15">
        <f>IF(Rules!$B$6=Rules!$D$6,2*(SUM(Stand!J17:J24)+Rules!$B$5*Stand!J25+Stand!J49)/(9+Rules!$B$5),HS!J15)</f>
        <v>-0.47157768859250415</v>
      </c>
      <c r="K15">
        <f>IF(Rules!$B$6=Rules!$D$6,2*(SUM(Stand!K17:K24)+Rules!$B$5*Stand!K25+Stand!K49)/(9+Rules!$B$5),HS!K15)</f>
        <v>-0.53617694141005634</v>
      </c>
    </row>
    <row r="16" spans="1:11">
      <c r="A16">
        <v>16</v>
      </c>
      <c r="B16">
        <f>IF(Rules!$B$6=Rules!$D$6,2*(SUM(Stand!B18:B25)+Rules!$B$5*Stand!B26+Stand!B50)/(9+Rules!$B$5),HS!B16)</f>
        <v>-0.57578184676460165</v>
      </c>
      <c r="C16">
        <f>IF(Rules!$B$6=Rules!$D$6,2*(SUM(Stand!C18:C25)+Rules!$B$5*Stand!C26+Stand!C50)/(9+Rules!$B$5),HS!C16)</f>
        <v>-0.28654430084029509</v>
      </c>
      <c r="D16">
        <f>IF(Rules!$B$6=Rules!$D$6,2*(SUM(Stand!D18:D25)+Rules!$B$5*Stand!D26+Stand!D50)/(9+Rules!$B$5),HS!D16)</f>
        <v>-0.24663577379217239</v>
      </c>
      <c r="E16">
        <f>IF(Rules!$B$6=Rules!$D$6,2*(SUM(Stand!E18:E25)+Rules!$B$5*Stand!E26+Stand!E50)/(9+Rules!$B$5),HS!E16)</f>
        <v>-0.20584968608305471</v>
      </c>
      <c r="F16">
        <f>IF(Rules!$B$6=Rules!$D$6,2*(SUM(Stand!F18:F25)+Rules!$B$5*Stand!F26+Stand!F50)/(9+Rules!$B$5),HS!F16)</f>
        <v>-0.16468249424828357</v>
      </c>
      <c r="G16">
        <f>IF(Rules!$B$6=Rules!$D$6,2*(SUM(Stand!G18:G25)+Rules!$B$5*Stand!G26+Stand!G50)/(9+Rules!$B$5),HS!G16)</f>
        <v>-0.12106685019651225</v>
      </c>
      <c r="H16">
        <f>IF(Rules!$B$6=Rules!$D$6,2*(SUM(Stand!H18:H25)+Rules!$B$5*Stand!H26+Stand!H50)/(9+Rules!$B$5),HS!H16)</f>
        <v>-0.41477883106853947</v>
      </c>
      <c r="I16">
        <f>IF(Rules!$B$6=Rules!$D$6,2*(SUM(Stand!I18:I25)+Rules!$B$5*Stand!I26+Stand!I50)/(9+Rules!$B$5),HS!I16)</f>
        <v>-0.45844044164667419</v>
      </c>
      <c r="J16">
        <f>IF(Rules!$B$6=Rules!$D$6,2*(SUM(Stand!J18:J25)+Rules!$B$5*Stand!J26+Stand!J50)/(9+Rules!$B$5),HS!J16)</f>
        <v>-0.50932213940732529</v>
      </c>
      <c r="K16">
        <f>IF(Rules!$B$6=Rules!$D$6,2*(SUM(Stand!K18:K25)+Rules!$B$5*Stand!K26+Stand!K50)/(9+Rules!$B$5),HS!K16)</f>
        <v>-0.56930715988076652</v>
      </c>
    </row>
    <row r="17" spans="1:11">
      <c r="A17">
        <v>17</v>
      </c>
      <c r="B17">
        <f>IF(Rules!$B$6=Rules!$D$6,2*(SUM(Stand!B19:B26)+Rules!$B$5*Stand!B27+Stand!B51)/(9+Rules!$B$5),HS!B17)</f>
        <v>-0.46435750824198752</v>
      </c>
      <c r="C17">
        <f>IF(Rules!$B$6=Rules!$D$6,2*(SUM(Stand!C19:C26)+Rules!$B$5*Stand!C27+Stand!C51)/(9+Rules!$B$5),HS!C17)</f>
        <v>-0.15641021825706786</v>
      </c>
      <c r="D17">
        <f>IF(Rules!$B$6=Rules!$D$6,2*(SUM(Stand!D19:D26)+Rules!$B$5*Stand!D27+Stand!D51)/(9+Rules!$B$5),HS!D17)</f>
        <v>-0.12030774273351591</v>
      </c>
      <c r="E17">
        <f>IF(Rules!$B$6=Rules!$D$6,2*(SUM(Stand!E19:E26)+Rules!$B$5*Stand!E27+Stand!E51)/(9+Rules!$B$5),HS!E17)</f>
        <v>-8.3444052932191204E-2</v>
      </c>
      <c r="F17">
        <f>IF(Rules!$B$6=Rules!$D$6,2*(SUM(Stand!F19:F26)+Rules!$B$5*Stand!F27+Stand!F51)/(9+Rules!$B$5),HS!F17)</f>
        <v>-4.6323554721567961E-2</v>
      </c>
      <c r="G17">
        <f>IF(Rules!$B$6=Rules!$D$6,2*(SUM(Stand!G19:G26)+Rules!$B$5*Stand!G27+Stand!G51)/(9+Rules!$B$5),HS!G17)</f>
        <v>-6.2291683630239514E-3</v>
      </c>
      <c r="H17">
        <f>IF(Rules!$B$6=Rules!$D$6,2*(SUM(Stand!H19:H26)+Rules!$B$5*Stand!H27+Stand!H51)/(9+Rules!$B$5),HS!H17)</f>
        <v>-0.10680898948269468</v>
      </c>
      <c r="I17">
        <f>IF(Rules!$B$6=Rules!$D$6,2*(SUM(Stand!I19:I26)+Rules!$B$5*Stand!I27+Stand!I51)/(9+Rules!$B$5),HS!I17)</f>
        <v>-0.38195097104844711</v>
      </c>
      <c r="J17">
        <f>IF(Rules!$B$6=Rules!$D$6,2*(SUM(Stand!J19:J26)+Rules!$B$5*Stand!J27+Stand!J51)/(9+Rules!$B$5),HS!J17)</f>
        <v>-0.42315423964521737</v>
      </c>
      <c r="K17">
        <f>IF(Rules!$B$6=Rules!$D$6,2*(SUM(Stand!K19:K26)+Rules!$B$5*Stand!K27+Stand!K51)/(9+Rules!$B$5),HS!K17)</f>
        <v>-0.46435750824198763</v>
      </c>
    </row>
    <row r="18" spans="1:11">
      <c r="A18">
        <v>18</v>
      </c>
      <c r="B18">
        <f>IF(Rules!$B$6=Rules!$D$6,2*(SUM(Stand!B20:B27)+Rules!$B$5*Stand!B28+Stand!B52)/(9+Rules!$B$5),HS!B18)</f>
        <v>-0.24150883119675959</v>
      </c>
      <c r="C18">
        <f>IF(Rules!$B$6=Rules!$D$6,2*(SUM(Stand!C20:C27)+Rules!$B$5*Stand!C28+Stand!C52)/(9+Rules!$B$5),HS!C18)</f>
        <v>0.11027005064085793</v>
      </c>
      <c r="D18">
        <f>IF(Rules!$B$6=Rules!$D$6,2*(SUM(Stand!D20:D27)+Rules!$B$5*Stand!D28+Stand!D52)/(9+Rules!$B$5),HS!D18)</f>
        <v>0.13797729703756356</v>
      </c>
      <c r="E18">
        <f>IF(Rules!$B$6=Rules!$D$6,2*(SUM(Stand!E20:E27)+Rules!$B$5*Stand!E28+Stand!E52)/(9+Rules!$B$5),HS!E18)</f>
        <v>0.16626900252257676</v>
      </c>
      <c r="F18">
        <f>IF(Rules!$B$6=Rules!$D$6,2*(SUM(Stand!F20:F27)+Rules!$B$5*Stand!F28+Stand!F52)/(9+Rules!$B$5),HS!F18)</f>
        <v>0.19494598568825822</v>
      </c>
      <c r="G18">
        <f>IF(Rules!$B$6=Rules!$D$6,2*(SUM(Stand!G20:G27)+Rules!$B$5*Stand!G28+Stand!G52)/(9+Rules!$B$5),HS!G18)</f>
        <v>0.22344619530395254</v>
      </c>
      <c r="H18">
        <f>IF(Rules!$B$6=Rules!$D$6,2*(SUM(Stand!H20:H27)+Rules!$B$5*Stand!H28+Stand!H52)/(9+Rules!$B$5),HS!H18)</f>
        <v>0.3995541673365518</v>
      </c>
      <c r="I18">
        <f>IF(Rules!$B$6=Rules!$D$6,2*(SUM(Stand!I20:I27)+Rules!$B$5*Stand!I28+Stand!I52)/(9+Rules!$B$5),HS!I18)</f>
        <v>0.10595134861912359</v>
      </c>
      <c r="J18">
        <f>IF(Rules!$B$6=Rules!$D$6,2*(SUM(Stand!J20:J27)+Rules!$B$5*Stand!J28+Stand!J52)/(9+Rules!$B$5),HS!J18)</f>
        <v>-0.18316335667343331</v>
      </c>
      <c r="K18">
        <f>IF(Rules!$B$6=Rules!$D$6,2*(SUM(Stand!K20:K27)+Rules!$B$5*Stand!K28+Stand!K52)/(9+Rules!$B$5),HS!K18)</f>
        <v>-0.24150883119675959</v>
      </c>
    </row>
    <row r="19" spans="1:11">
      <c r="A19">
        <v>19</v>
      </c>
      <c r="B19">
        <f>IF(Rules!$B$6=Rules!$D$6,2*(SUM(Stand!B21:B28)+Rules!$B$5*Stand!B29+Stand!B53)/(9+Rules!$B$5),HS!B19)</f>
        <v>-1.8660154151531549E-2</v>
      </c>
      <c r="C19">
        <f>IF(Rules!$B$6=Rules!$D$6,2*(SUM(Stand!C21:C28)+Rules!$B$5*Stand!C29+Stand!C53)/(9+Rules!$B$5),HS!C19)</f>
        <v>0.37811050632056864</v>
      </c>
      <c r="D19">
        <f>IF(Rules!$B$6=Rules!$D$6,2*(SUM(Stand!D21:D28)+Rules!$B$5*Stand!D29+Stand!D53)/(9+Rules!$B$5),HS!D19)</f>
        <v>0.39698952530936887</v>
      </c>
      <c r="E19">
        <f>IF(Rules!$B$6=Rules!$D$6,2*(SUM(Stand!E21:E28)+Rules!$B$5*Stand!E29+Stand!E53)/(9+Rules!$B$5),HS!E19)</f>
        <v>0.41633218577399039</v>
      </c>
      <c r="F19">
        <f>IF(Rules!$B$6=Rules!$D$6,2*(SUM(Stand!F21:F28)+Rules!$B$5*Stand!F29+Stand!F53)/(9+Rules!$B$5),HS!F19)</f>
        <v>0.43621552609808445</v>
      </c>
      <c r="G19">
        <f>IF(Rules!$B$6=Rules!$D$6,2*(SUM(Stand!G21:G28)+Rules!$B$5*Stand!G29+Stand!G53)/(9+Rules!$B$5),HS!G19)</f>
        <v>0.45312155897092921</v>
      </c>
      <c r="H19">
        <f>IF(Rules!$B$6=Rules!$D$6,2*(SUM(Stand!H21:H28)+Rules!$B$5*Stand!H29+Stand!H53)/(9+Rules!$B$5),HS!H19)</f>
        <v>0.6159764957534315</v>
      </c>
      <c r="I19">
        <f>IF(Rules!$B$6=Rules!$D$6,2*(SUM(Stand!I21:I28)+Rules!$B$5*Stand!I29+Stand!I53)/(9+Rules!$B$5),HS!I19)</f>
        <v>0.5938536682866945</v>
      </c>
      <c r="J19">
        <f>IF(Rules!$B$6=Rules!$D$6,2*(SUM(Stand!J21:J28)+Rules!$B$5*Stand!J29+Stand!J53)/(9+Rules!$B$5),HS!J19)</f>
        <v>0.28759675706758142</v>
      </c>
      <c r="K19">
        <f>IF(Rules!$B$6=Rules!$D$6,2*(SUM(Stand!K21:K28)+Rules!$B$5*Stand!K29+Stand!K53)/(9+Rules!$B$5),HS!K19)</f>
        <v>-1.8660154151531536E-2</v>
      </c>
    </row>
    <row r="20" spans="1:11">
      <c r="A20">
        <v>20</v>
      </c>
      <c r="B20">
        <f>IF(Rules!$B$6=Rules!$D$6,2*(SUM(Stand!B22:B29)+Rules!$B$5*Stand!B30+Stand!B54)/(9+Rules!$B$5),HS!B20)</f>
        <v>0.20418852289369649</v>
      </c>
      <c r="C20">
        <f>IF(Rules!$B$6=Rules!$D$6,2*(SUM(Stand!C22:C29)+Rules!$B$5*Stand!C30+Stand!C54)/(9+Rules!$B$5),HS!C20)</f>
        <v>0.63507006739682603</v>
      </c>
      <c r="D20">
        <f>IF(Rules!$B$6=Rules!$D$6,2*(SUM(Stand!D22:D29)+Rules!$B$5*Stand!D30+Stand!D54)/(9+Rules!$B$5),HS!D20)</f>
        <v>0.64584804747844671</v>
      </c>
      <c r="E20">
        <f>IF(Rules!$B$6=Rules!$D$6,2*(SUM(Stand!E22:E29)+Rules!$B$5*Stand!E30+Stand!E54)/(9+Rules!$B$5),HS!E20)</f>
        <v>0.65694191851596806</v>
      </c>
      <c r="F20">
        <f>IF(Rules!$B$6=Rules!$D$6,2*(SUM(Stand!F22:F29)+Rules!$B$5*Stand!F30+Stand!F54)/(9+Rules!$B$5),HS!F20)</f>
        <v>0.66838174379512039</v>
      </c>
      <c r="G20">
        <f>IF(Rules!$B$6=Rules!$D$6,2*(SUM(Stand!G22:G29)+Rules!$B$5*Stand!G30+Stand!G54)/(9+Rules!$B$5),HS!G20)</f>
        <v>0.67824526128151064</v>
      </c>
      <c r="H20">
        <f>IF(Rules!$B$6=Rules!$D$6,2*(SUM(Stand!H22:H29)+Rules!$B$5*Stand!H30+Stand!H54)/(9+Rules!$B$5),HS!H20)</f>
        <v>0.77322722653717491</v>
      </c>
      <c r="I20">
        <f>IF(Rules!$B$6=Rules!$D$6,2*(SUM(Stand!I22:I29)+Rules!$B$5*Stand!I30+Stand!I54)/(9+Rules!$B$5),HS!I20)</f>
        <v>0.79181515955189841</v>
      </c>
      <c r="J20">
        <f>IF(Rules!$B$6=Rules!$D$6,2*(SUM(Stand!J22:J29)+Rules!$B$5*Stand!J30+Stand!J54)/(9+Rules!$B$5),HS!J20)</f>
        <v>0.75835687080859626</v>
      </c>
      <c r="K20">
        <f>IF(Rules!$B$6=Rules!$D$6,2*(SUM(Stand!K22:K29)+Rules!$B$5*Stand!K30+Stand!K54)/(9+Rules!$B$5),HS!K20)</f>
        <v>0.43495775366292722</v>
      </c>
    </row>
    <row r="21" spans="1:11">
      <c r="A21">
        <v>21</v>
      </c>
      <c r="B21">
        <f>IF(Rules!$B$6=Rules!$D$6,2*(SUM(Stand!B23:B30)+Rules!$B$5*Stand!B31+Stand!B55)/(9+Rules!$B$5),HS!B21)</f>
        <v>0.65780643070815525</v>
      </c>
      <c r="C21">
        <f>IF(Rules!$B$6=Rules!$D$6,2*(SUM(Stand!C23:C30)+Rules!$B$5*Stand!C31+Stand!C55)/(9+Rules!$B$5),HS!C21)</f>
        <v>0.88036767955403561</v>
      </c>
      <c r="D21">
        <f>IF(Rules!$B$6=Rules!$D$6,2*(SUM(Stand!D23:D30)+Rules!$B$5*Stand!D31+Stand!D55)/(9+Rules!$B$5),HS!D21)</f>
        <v>0.88382567504407128</v>
      </c>
      <c r="E21">
        <f>IF(Rules!$B$6=Rules!$D$6,2*(SUM(Stand!E23:E30)+Rules!$B$5*Stand!E31+Stand!E55)/(9+Rules!$B$5),HS!E21)</f>
        <v>0.8873979451552183</v>
      </c>
      <c r="F21">
        <f>IF(Rules!$B$6=Rules!$D$6,2*(SUM(Stand!F23:F30)+Rules!$B$5*Stand!F31+Stand!F55)/(9+Rules!$B$5),HS!F21)</f>
        <v>0.89109451098272041</v>
      </c>
      <c r="G21">
        <f>IF(Rules!$B$6=Rules!$D$6,2*(SUM(Stand!G23:G30)+Rules!$B$5*Stand!G31+Stand!G55)/(9+Rules!$B$5),HS!G21)</f>
        <v>0.89426564087930194</v>
      </c>
      <c r="H21">
        <f>IF(Rules!$B$6=Rules!$D$6,2*(SUM(Stand!H23:H30)+Rules!$B$5*Stand!H31+Stand!H55)/(9+Rules!$B$5),HS!H21)</f>
        <v>0.92592629596452325</v>
      </c>
      <c r="I21">
        <f>IF(Rules!$B$6=Rules!$D$6,2*(SUM(Stand!I23:I30)+Rules!$B$5*Stand!I31+Stand!I55)/(9+Rules!$B$5),HS!I21)</f>
        <v>0.93060505318396614</v>
      </c>
      <c r="J21">
        <f>IF(Rules!$B$6=Rules!$D$6,2*(SUM(Stand!J23:J30)+Rules!$B$5*Stand!J31+Stand!J55)/(9+Rules!$B$5),HS!J21)</f>
        <v>0.93917615614724415</v>
      </c>
      <c r="K21">
        <f>IF(Rules!$B$6=Rules!$D$6,2*(SUM(Stand!K23:K30)+Rules!$B$5*Stand!K31+Stand!K55)/(9+Rules!$B$5),HS!K21)</f>
        <v>0.88857566147738598</v>
      </c>
    </row>
    <row r="22" spans="1:11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>
      <c r="A34">
        <v>11</v>
      </c>
      <c r="B34">
        <f>IF(Rules!$B$6=Rules!$D$6,2*(SUM(Stand!B35:B43)+Rules!$B$5*Stand!B44)/(9+Rules!$B$5),HS!B34)</f>
        <v>7.4082476325384949E-2</v>
      </c>
      <c r="C34">
        <f>IF(Rules!$B$6=Rules!$D$6,2*(SUM(Stand!C35:C43)+Rules!$B$5*Stand!C44)/(9+Rules!$B$5),HS!C34)</f>
        <v>0.36718433729443645</v>
      </c>
      <c r="D34">
        <f>IF(Rules!$B$6=Rules!$D$6,2*(SUM(Stand!D35:D43)+Rules!$B$5*Stand!D44)/(9+Rules!$B$5),HS!D34)</f>
        <v>0.38546672777840169</v>
      </c>
      <c r="E34">
        <f>IF(Rules!$B$6=Rules!$D$6,2*(SUM(Stand!E35:E43)+Rules!$B$5*Stand!E44)/(9+Rules!$B$5),HS!E34)</f>
        <v>0.40466216034858221</v>
      </c>
      <c r="F34">
        <f>IF(Rules!$B$6=Rules!$D$6,2*(SUM(Stand!F35:F43)+Rules!$B$5*Stand!F44)/(9+Rules!$B$5),HS!F34)</f>
        <v>0.42492736008576909</v>
      </c>
      <c r="G34">
        <f>IF(Rules!$B$6=Rules!$D$6,2*(SUM(Stand!G35:G43)+Rules!$B$5*Stand!G44)/(9+Rules!$B$5),HS!G34)</f>
        <v>0.44516685699434155</v>
      </c>
      <c r="H34">
        <f>IF(Rules!$B$6=Rules!$D$6,2*(SUM(Stand!H35:H43)+Rules!$B$5*Stand!H44)/(9+Rules!$B$5),HS!H34)</f>
        <v>0.45736852128859351</v>
      </c>
      <c r="I34">
        <f>IF(Rules!$B$6=Rules!$D$6,2*(SUM(Stand!I35:I43)+Rules!$B$5*Stand!I44)/(9+Rules!$B$5),HS!I34)</f>
        <v>0.40074805174057659</v>
      </c>
      <c r="J34">
        <f>IF(Rules!$B$6=Rules!$D$6,2*(SUM(Stand!J35:J43)+Rules!$B$5*Stand!J44)/(9+Rules!$B$5),HS!J34)</f>
        <v>0.32142328174266549</v>
      </c>
      <c r="K34">
        <f>IF(Rules!$B$6=Rules!$D$6,2*(SUM(Stand!K35:K43)+Rules!$B$5*Stand!K44)/(9+Rules!$B$5),HS!K34)</f>
        <v>0.19656557835630536</v>
      </c>
    </row>
    <row r="35" spans="1:11">
      <c r="A35">
        <v>12</v>
      </c>
      <c r="B35">
        <f>IF(Rules!$B$6=Rules!$D$6,2*(SUM(Stand!B36:B44)+Rules!$B$5*Stand!B45)/(9+Rules!$B$5),HS!B35)</f>
        <v>-0.20521353107155851</v>
      </c>
      <c r="C35">
        <f>IF(Rules!$B$6=Rules!$D$6,2*(SUM(Stand!C36:C44)+Rules!$B$5*Stand!C45)/(9+Rules!$B$5),HS!C35)</f>
        <v>7.9806247413893E-2</v>
      </c>
      <c r="D35">
        <f>IF(Rules!$B$6=Rules!$D$6,2*(SUM(Stand!D36:D44)+Rules!$B$5*Stand!D45)/(9+Rules!$B$5),HS!D35)</f>
        <v>0.10168040931703339</v>
      </c>
      <c r="E35">
        <f>IF(Rules!$B$6=Rules!$D$6,2*(SUM(Stand!E36:E44)+Rules!$B$5*Stand!E45)/(9+Rules!$B$5),HS!E35)</f>
        <v>0.12678682176669251</v>
      </c>
      <c r="F35">
        <f>IF(Rules!$B$6=Rules!$D$6,2*(SUM(Stand!F36:F44)+Rules!$B$5*Stand!F45)/(9+Rules!$B$5),HS!F35)</f>
        <v>0.15657444079812161</v>
      </c>
      <c r="G35">
        <f>IF(Rules!$B$6=Rules!$D$6,2*(SUM(Stand!G36:G44)+Rules!$B$5*Stand!G45)/(9+Rules!$B$5),HS!G35)</f>
        <v>0.18715034410732034</v>
      </c>
      <c r="H35">
        <f>IF(Rules!$B$6=Rules!$D$6,2*(SUM(Stand!H36:H44)+Rules!$B$5*Stand!H45)/(9+Rules!$B$5),HS!H35)</f>
        <v>0.16547293077063496</v>
      </c>
      <c r="I35">
        <f>IF(Rules!$B$6=Rules!$D$6,2*(SUM(Stand!I36:I44)+Rules!$B$5*Stand!I45)/(9+Rules!$B$5),HS!I35)</f>
        <v>9.5115020927032307E-2</v>
      </c>
      <c r="J35">
        <f>IF(Rules!$B$6=Rules!$D$6,2*(SUM(Stand!J36:J44)+Rules!$B$5*Stand!J45)/(9+Rules!$B$5),HS!J35)</f>
        <v>6.5790841226897296E-5</v>
      </c>
      <c r="K35">
        <f>IF(Rules!$B$6=Rules!$D$6,2*(SUM(Stand!K36:K44)+Rules!$B$5*Stand!K45)/(9+Rules!$B$5),HS!K35)</f>
        <v>-0.12808280155666141</v>
      </c>
    </row>
    <row r="36" spans="1:11">
      <c r="A36">
        <v>13</v>
      </c>
      <c r="B36">
        <f>IF(Rules!$B$6=Rules!$D$6,2*(SUM(Stand!B37:B45)+Rules!$B$5*Stand!B46)/(9+Rules!$B$5),HS!B36)</f>
        <v>-0.23472177802444921</v>
      </c>
      <c r="C36">
        <f>IF(Rules!$B$6=Rules!$D$6,2*(SUM(Stand!C37:C45)+Rules!$B$5*Stand!C46)/(9+Rules!$B$5),HS!C36)</f>
        <v>4.6611316056980476E-2</v>
      </c>
      <c r="D36">
        <f>IF(Rules!$B$6=Rules!$D$6,2*(SUM(Stand!D37:D45)+Rules!$B$5*Stand!D46)/(9+Rules!$B$5),HS!D36)</f>
        <v>7.4096482508153511E-2</v>
      </c>
      <c r="E36">
        <f>IF(Rules!$B$6=Rules!$D$6,2*(SUM(Stand!E37:E45)+Rules!$B$5*Stand!E46)/(9+Rules!$B$5),HS!E36)</f>
        <v>0.10302707120599627</v>
      </c>
      <c r="F36">
        <f>IF(Rules!$B$6=Rules!$D$6,2*(SUM(Stand!F37:F45)+Rules!$B$5*Stand!F46)/(9+Rules!$B$5),HS!F36)</f>
        <v>0.13362751686623553</v>
      </c>
      <c r="G36">
        <f>IF(Rules!$B$6=Rules!$D$6,2*(SUM(Stand!G37:G45)+Rules!$B$5*Stand!G46)/(9+Rules!$B$5),HS!G36)</f>
        <v>0.16513483022847522</v>
      </c>
      <c r="H36">
        <f>IF(Rules!$B$6=Rules!$D$6,2*(SUM(Stand!H37:H45)+Rules!$B$5*Stand!H46)/(9+Rules!$B$5),HS!H36)</f>
        <v>0.12238569517899196</v>
      </c>
      <c r="I36">
        <f>IF(Rules!$B$6=Rules!$D$6,2*(SUM(Stand!I37:I45)+Rules!$B$5*Stand!I46)/(9+Rules!$B$5),HS!I36)</f>
        <v>5.4057070196311334E-2</v>
      </c>
      <c r="J36">
        <f>IF(Rules!$B$6=Rules!$D$6,2*(SUM(Stand!J37:J45)+Rules!$B$5*Stand!J46)/(9+Rules!$B$5),HS!J36)</f>
        <v>-3.7694688127479885E-2</v>
      </c>
      <c r="K36">
        <f>IF(Rules!$B$6=Rules!$D$6,2*(SUM(Stand!K37:K45)+Rules!$B$5*Stand!K46)/(9+Rules!$B$5),HS!K36)</f>
        <v>-0.16080628455762785</v>
      </c>
    </row>
    <row r="37" spans="1:11">
      <c r="A37">
        <v>14</v>
      </c>
      <c r="B37">
        <f>IF(Rules!$B$6=Rules!$D$6,2*(SUM(Stand!B38:B46)+Rules!$B$5*Stand!B47)/(9+Rules!$B$5),HS!B37)</f>
        <v>-0.26406959413166387</v>
      </c>
      <c r="C37">
        <f>IF(Rules!$B$6=Rules!$D$6,2*(SUM(Stand!C38:C46)+Rules!$B$5*Stand!C47)/(9+Rules!$B$5),HS!C37)</f>
        <v>2.2814486278603666E-2</v>
      </c>
      <c r="D37">
        <f>IF(Rules!$B$6=Rules!$D$6,2*(SUM(Stand!D38:D46)+Rules!$B$5*Stand!D47)/(9+Rules!$B$5),HS!D37)</f>
        <v>5.1187035629558814E-2</v>
      </c>
      <c r="E37">
        <f>IF(Rules!$B$6=Rules!$D$6,2*(SUM(Stand!E38:E46)+Rules!$B$5*Stand!E47)/(9+Rules!$B$5),HS!E37)</f>
        <v>8.0964445685349773E-2</v>
      </c>
      <c r="F37">
        <f>IF(Rules!$B$6=Rules!$D$6,2*(SUM(Stand!F38:F46)+Rules!$B$5*Stand!F47)/(9+Rules!$B$5),HS!F37)</f>
        <v>0.11231965892948416</v>
      </c>
      <c r="G37">
        <f>IF(Rules!$B$6=Rules!$D$6,2*(SUM(Stand!G38:G46)+Rules!$B$5*Stand!G47)/(9+Rules!$B$5),HS!G37)</f>
        <v>0.1446918530552618</v>
      </c>
      <c r="H37">
        <f>IF(Rules!$B$6=Rules!$D$6,2*(SUM(Stand!H38:H46)+Rules!$B$5*Stand!H47)/(9+Rules!$B$5),HS!H37)</f>
        <v>7.9507488494468148E-2</v>
      </c>
      <c r="I37">
        <f>IF(Rules!$B$6=Rules!$D$6,2*(SUM(Stand!I38:I46)+Rules!$B$5*Stand!I47)/(9+Rules!$B$5),HS!I37)</f>
        <v>1.3277219463208478E-2</v>
      </c>
      <c r="J37">
        <f>IF(Rules!$B$6=Rules!$D$6,2*(SUM(Stand!J38:J46)+Rules!$B$5*Stand!J47)/(9+Rules!$B$5),HS!J37)</f>
        <v>-7.516318944168382E-2</v>
      </c>
      <c r="K37">
        <f>IF(Rules!$B$6=Rules!$D$6,2*(SUM(Stand!K38:K46)+Rules!$B$5*Stand!K47)/(9+Rules!$B$5),HS!K37)</f>
        <v>-0.1933035414076569</v>
      </c>
    </row>
    <row r="38" spans="1:11">
      <c r="A38">
        <v>15</v>
      </c>
      <c r="B38">
        <f>IF(Rules!$B$6=Rules!$D$6,2*(SUM(Stand!B39:B47)+Rules!$B$5*Stand!B48)/(9+Rules!$B$5),HS!B38)</f>
        <v>-0.29312934580507005</v>
      </c>
      <c r="C38">
        <f>IF(Rules!$B$6=Rules!$D$6,2*(SUM(Stand!C39:C47)+Rules!$B$5*Stand!C48)/(9+Rules!$B$5),HS!C38)</f>
        <v>7.1743005582518391E-4</v>
      </c>
      <c r="D38">
        <f>IF(Rules!$B$6=Rules!$D$6,2*(SUM(Stand!D39:D47)+Rules!$B$5*Stand!D48)/(9+Rules!$B$5),HS!D38)</f>
        <v>2.9913977813720842E-2</v>
      </c>
      <c r="E38">
        <f>IF(Rules!$B$6=Rules!$D$6,2*(SUM(Stand!E39:E47)+Rules!$B$5*Stand!E48)/(9+Rules!$B$5),HS!E38)</f>
        <v>6.047772198760662E-2</v>
      </c>
      <c r="F38">
        <f>IF(Rules!$B$6=Rules!$D$6,2*(SUM(Stand!F39:F47)+Rules!$B$5*Stand!F48)/(9+Rules!$B$5),HS!F38)</f>
        <v>9.2533790845357913E-2</v>
      </c>
      <c r="G38">
        <f>IF(Rules!$B$6=Rules!$D$6,2*(SUM(Stand!G39:G47)+Rules!$B$5*Stand!G48)/(9+Rules!$B$5),HS!G38)</f>
        <v>0.12570908853727794</v>
      </c>
      <c r="H38">
        <f>IF(Rules!$B$6=Rules!$D$6,2*(SUM(Stand!H39:H47)+Rules!$B$5*Stand!H48)/(9+Rules!$B$5),HS!H38)</f>
        <v>3.7028282279269235E-2</v>
      </c>
      <c r="I38">
        <f>IF(Rules!$B$6=Rules!$D$6,2*(SUM(Stand!I39:I47)+Rules!$B$5*Stand!I48)/(9+Rules!$B$5),HS!I38)</f>
        <v>-2.7054780502901672E-2</v>
      </c>
      <c r="J38">
        <f>IF(Rules!$B$6=Rules!$D$6,2*(SUM(Stand!J39:J47)+Rules!$B$5*Stand!J48)/(9+Rules!$B$5),HS!J38)</f>
        <v>-0.11218876868994289</v>
      </c>
      <c r="K38">
        <f>IF(Rules!$B$6=Rules!$D$6,2*(SUM(Stand!K39:K47)+Rules!$B$5*Stand!K48)/(9+Rules!$B$5),HS!K38)</f>
        <v>-0.22543993358238781</v>
      </c>
    </row>
    <row r="39" spans="1:11">
      <c r="A39">
        <v>16</v>
      </c>
      <c r="B39">
        <f>IF(Rules!$B$6=Rules!$D$6,2*(SUM(Stand!B40:B48)+Rules!$B$5*Stand!B49)/(9+Rules!$B$5),HS!B39)</f>
        <v>-0.31409107314591783</v>
      </c>
      <c r="C39">
        <f>IF(Rules!$B$6=Rules!$D$6,2*(SUM(Stand!C40:C48)+Rules!$B$5*Stand!C49)/(9+Rules!$B$5),HS!C39)</f>
        <v>-1.9801265008183407E-2</v>
      </c>
      <c r="D39">
        <f>IF(Rules!$B$6=Rules!$D$6,2*(SUM(Stand!D40:D48)+Rules!$B$5*Stand!D49)/(9+Rules!$B$5),HS!D39)</f>
        <v>1.0160424127585613E-2</v>
      </c>
      <c r="E39">
        <f>IF(Rules!$B$6=Rules!$D$6,2*(SUM(Stand!E40:E48)+Rules!$B$5*Stand!E49)/(9+Rules!$B$5),HS!E39)</f>
        <v>4.1454335696845056E-2</v>
      </c>
      <c r="F39">
        <f>IF(Rules!$B$6=Rules!$D$6,2*(SUM(Stand!F40:F48)+Rules!$B$5*Stand!F49)/(9+Rules!$B$5),HS!F39)</f>
        <v>7.4161199052954929E-2</v>
      </c>
      <c r="G39">
        <f>IF(Rules!$B$6=Rules!$D$6,2*(SUM(Stand!G40:G48)+Rules!$B$5*Stand!G49)/(9+Rules!$B$5),HS!G39)</f>
        <v>0.10808223577057864</v>
      </c>
      <c r="H39">
        <f>IF(Rules!$B$6=Rules!$D$6,2*(SUM(Stand!H40:H48)+Rules!$B$5*Stand!H49)/(9+Rules!$B$5),HS!H39)</f>
        <v>-4.8901571730158942E-3</v>
      </c>
      <c r="I39">
        <f>IF(Rules!$B$6=Rules!$D$6,2*(SUM(Stand!I40:I48)+Rules!$B$5*Stand!I49)/(9+Rules!$B$5),HS!I39)</f>
        <v>-6.6794847920094103E-2</v>
      </c>
      <c r="J39">
        <f>IF(Rules!$B$6=Rules!$D$6,2*(SUM(Stand!J40:J48)+Rules!$B$5*Stand!J49)/(9+Rules!$B$5),HS!J39)</f>
        <v>-0.14864353463007471</v>
      </c>
      <c r="K39">
        <f>IF(Rules!$B$6=Rules!$D$6,2*(SUM(Stand!K40:K48)+Rules!$B$5*Stand!K49)/(9+Rules!$B$5),HS!K39)</f>
        <v>-0.25710121084742421</v>
      </c>
    </row>
    <row r="40" spans="1:11">
      <c r="A40">
        <v>17</v>
      </c>
      <c r="B40">
        <f>IF(Rules!$B$6=Rules!$D$6,2*(SUM(Stand!B41:B49)+Rules!$B$5*Stand!B50)/(9+Rules!$B$5),HS!B40)</f>
        <v>-0.30094774596936263</v>
      </c>
      <c r="C40">
        <f>IF(Rules!$B$6=Rules!$D$6,2*(SUM(Stand!C41:C49)+Rules!$B$5*Stand!C50)/(9+Rules!$B$5),HS!C40)</f>
        <v>-1.673172543840738E-3</v>
      </c>
      <c r="D40">
        <f>IF(Rules!$B$6=Rules!$D$6,2*(SUM(Stand!D41:D49)+Rules!$B$5*Stand!D50)/(9+Rules!$B$5),HS!D40)</f>
        <v>2.7911561721504739E-2</v>
      </c>
      <c r="E40">
        <f>IF(Rules!$B$6=Rules!$D$6,2*(SUM(Stand!E41:E49)+Rules!$B$5*Stand!E50)/(9+Rules!$B$5),HS!E40)</f>
        <v>5.876280075567035E-2</v>
      </c>
      <c r="F40">
        <f>IF(Rules!$B$6=Rules!$D$6,2*(SUM(Stand!F41:F49)+Rules!$B$5*Stand!F50)/(9+Rules!$B$5),HS!F40)</f>
        <v>9.0917775110499491E-2</v>
      </c>
      <c r="G40">
        <f>IF(Rules!$B$6=Rules!$D$6,2*(SUM(Stand!G41:G49)+Rules!$B$5*Stand!G50)/(9+Rules!$B$5),HS!G40)</f>
        <v>0.12452521015392595</v>
      </c>
      <c r="H40">
        <f>IF(Rules!$B$6=Rules!$D$6,2*(SUM(Stand!H41:H49)+Rules!$B$5*Stand!H50)/(9+Rules!$B$5),HS!H40)</f>
        <v>5.3823463716116654E-2</v>
      </c>
      <c r="I40">
        <f>IF(Rules!$B$6=Rules!$D$6,2*(SUM(Stand!I41:I49)+Rules!$B$5*Stand!I50)/(9+Rules!$B$5),HS!I40)</f>
        <v>-7.2915398729642075E-2</v>
      </c>
      <c r="J40">
        <f>IF(Rules!$B$6=Rules!$D$6,2*(SUM(Stand!J41:J49)+Rules!$B$5*Stand!J50)/(9+Rules!$B$5),HS!J40)</f>
        <v>-0.14978689218213323</v>
      </c>
      <c r="K40">
        <f>IF(Rules!$B$6=Rules!$D$6,2*(SUM(Stand!K41:K49)+Rules!$B$5*Stand!K50)/(9+Rules!$B$5),HS!K40)</f>
        <v>-0.24941602102444038</v>
      </c>
    </row>
    <row r="41" spans="1:11">
      <c r="A41">
        <v>18</v>
      </c>
      <c r="B41">
        <f>IF(Rules!$B$6=Rules!$D$6,2*(SUM(Stand!B42:B50)+Rules!$B$5*Stand!B51)/(9+Rules!$B$5),HS!B41)</f>
        <v>-0.24150883119675959</v>
      </c>
      <c r="C41">
        <f>IF(Rules!$B$6=Rules!$D$6,2*(SUM(Stand!C42:C50)+Rules!$B$5*Stand!C51)/(9+Rules!$B$5),HS!C41)</f>
        <v>0.11027005064085793</v>
      </c>
      <c r="D41">
        <f>IF(Rules!$B$6=Rules!$D$6,2*(SUM(Stand!D42:D50)+Rules!$B$5*Stand!D51)/(9+Rules!$B$5),HS!D41)</f>
        <v>0.13797729703756356</v>
      </c>
      <c r="E41">
        <f>IF(Rules!$B$6=Rules!$D$6,2*(SUM(Stand!E42:E50)+Rules!$B$5*Stand!E51)/(9+Rules!$B$5),HS!E41)</f>
        <v>0.16626900252257676</v>
      </c>
      <c r="F41">
        <f>IF(Rules!$B$6=Rules!$D$6,2*(SUM(Stand!F42:F50)+Rules!$B$5*Stand!F51)/(9+Rules!$B$5),HS!F41)</f>
        <v>0.19494598568825822</v>
      </c>
      <c r="G41">
        <f>IF(Rules!$B$6=Rules!$D$6,2*(SUM(Stand!G42:G50)+Rules!$B$5*Stand!G51)/(9+Rules!$B$5),HS!G41)</f>
        <v>0.22344619530395254</v>
      </c>
      <c r="H41">
        <f>IF(Rules!$B$6=Rules!$D$6,2*(SUM(Stand!H42:H50)+Rules!$B$5*Stand!H51)/(9+Rules!$B$5),HS!H41)</f>
        <v>0.3995541673365518</v>
      </c>
      <c r="I41">
        <f>IF(Rules!$B$6=Rules!$D$6,2*(SUM(Stand!I42:I50)+Rules!$B$5*Stand!I51)/(9+Rules!$B$5),HS!I41)</f>
        <v>0.10595134861912359</v>
      </c>
      <c r="J41">
        <f>IF(Rules!$B$6=Rules!$D$6,2*(SUM(Stand!J42:J50)+Rules!$B$5*Stand!J51)/(9+Rules!$B$5),HS!J41)</f>
        <v>-0.10074430758041522</v>
      </c>
      <c r="K41">
        <f>IF(Rules!$B$6=Rules!$D$6,2*(SUM(Stand!K42:K50)+Rules!$B$5*Stand!K51)/(9+Rules!$B$5),HS!K41)</f>
        <v>-0.20109793381277147</v>
      </c>
    </row>
    <row r="42" spans="1:11">
      <c r="A42">
        <v>19</v>
      </c>
      <c r="B42">
        <f>2*(SUM(Stand!B43:B51)+Rules!$B$5*Stand!B52)/(9+Rules!$B$5)</f>
        <v>-0.43037249788708148</v>
      </c>
      <c r="C42">
        <f>2*(SUM(Stand!C43:C51)+Rules!$B$5*Stand!C52)/(9+Rules!$B$5)</f>
        <v>0.23831047698699243</v>
      </c>
      <c r="D42">
        <f>2*(SUM(Stand!D43:D51)+Rules!$B$5*Stand!D52)/(9+Rules!$B$5)</f>
        <v>0.29263423216971984</v>
      </c>
      <c r="E42">
        <f>2*(SUM(Stand!E43:E51)+Rules!$B$5*Stand!E52)/(9+Rules!$B$5)</f>
        <v>0.34819155783727074</v>
      </c>
      <c r="F42">
        <f>2*(SUM(Stand!F43:F51)+Rules!$B$5*Stand!F52)/(9+Rules!$B$5)</f>
        <v>0.4045458952146847</v>
      </c>
      <c r="G42">
        <f>2*(SUM(Stand!G43:G51)+Rules!$B$5*Stand!G52)/(9+Rules!$B$5)</f>
        <v>0.46105844830813802</v>
      </c>
      <c r="H42">
        <f>2*(SUM(Stand!H43:H51)+Rules!$B$5*Stand!H52)/(9+Rules!$B$5)</f>
        <v>0.31983519492071005</v>
      </c>
      <c r="I42">
        <f>2*(SUM(Stand!I43:I51)+Rules!$B$5*Stand!I52)/(9+Rules!$B$5)</f>
        <v>0.19526887476388202</v>
      </c>
      <c r="J42">
        <f>2*(SUM(Stand!J43:J51)+Rules!$B$5*Stand!J52)/(9+Rules!$B$5)</f>
        <v>-7.2945530268927972E-2</v>
      </c>
      <c r="K42">
        <f>2*(SUM(Stand!K43:K51)+Rules!$B$5*Stand!K52)/(9+Rules!$B$5)</f>
        <v>-0.3593665807273182</v>
      </c>
    </row>
    <row r="43" spans="1:11">
      <c r="A43">
        <v>20</v>
      </c>
      <c r="B43">
        <f>2*(SUM(Stand!B44:B52)+Rules!$B$5*Stand!B53)/(9+Rules!$B$5)</f>
        <v>-0.32751926232774553</v>
      </c>
      <c r="C43">
        <f>2*(SUM(Stand!C44:C52)+Rules!$B$5*Stand!C53)/(9+Rules!$B$5)</f>
        <v>0.35690719748372668</v>
      </c>
      <c r="D43">
        <f>2*(SUM(Stand!D44:D52)+Rules!$B$5*Stand!D53)/(9+Rules!$B$5)</f>
        <v>0.40749201163237114</v>
      </c>
      <c r="E43">
        <f>2*(SUM(Stand!E44:E52)+Rules!$B$5*Stand!E53)/(9+Rules!$B$5)</f>
        <v>0.45924220371818347</v>
      </c>
      <c r="F43">
        <f>2*(SUM(Stand!F44:F52)+Rules!$B$5*Stand!F53)/(9+Rules!$B$5)</f>
        <v>0.51169953415177827</v>
      </c>
      <c r="G43">
        <f>2*(SUM(Stand!G44:G52)+Rules!$B$5*Stand!G53)/(9+Rules!$B$5)</f>
        <v>0.56496169552840636</v>
      </c>
      <c r="H43">
        <f>2*(SUM(Stand!H44:H52)+Rules!$B$5*Stand!H53)/(9+Rules!$B$5)</f>
        <v>0.39241245528243773</v>
      </c>
      <c r="I43">
        <f>2*(SUM(Stand!I44:I52)+Rules!$B$5*Stand!I53)/(9+Rules!$B$5)</f>
        <v>0.28663571688628381</v>
      </c>
      <c r="J43">
        <f>2*(SUM(Stand!J44:J52)+Rules!$B$5*Stand!J53)/(9+Rules!$B$5)</f>
        <v>0.1443283683807712</v>
      </c>
      <c r="K43">
        <f>2*(SUM(Stand!K44:K52)+Rules!$B$5*Stand!K53)/(9+Rules!$B$5)</f>
        <v>-0.15000446942833717</v>
      </c>
    </row>
    <row r="44" spans="1:11">
      <c r="A44">
        <v>21</v>
      </c>
      <c r="B44">
        <f>2*(SUM(Stand!B45:B53)+Rules!$B$5*Stand!B54)/(9+Rules!$B$5)</f>
        <v>-0.11815715102876453</v>
      </c>
      <c r="C44">
        <f>2*(SUM(Stand!C45:C53)+Rules!$B$5*Stand!C54)/(9+Rules!$B$5)</f>
        <v>0.47012148001782339</v>
      </c>
      <c r="D44">
        <f>2*(SUM(Stand!D45:D53)+Rules!$B$5*Stand!D54)/(9+Rules!$B$5)</f>
        <v>0.51732783973958252</v>
      </c>
      <c r="E44">
        <f>2*(SUM(Stand!E45:E53)+Rules!$B$5*Stand!E54)/(9+Rules!$B$5)</f>
        <v>0.56560652370552977</v>
      </c>
      <c r="F44">
        <f>2*(SUM(Stand!F45:F53)+Rules!$B$5*Stand!F54)/(9+Rules!$B$5)</f>
        <v>0.61449004208451674</v>
      </c>
      <c r="G44">
        <f>2*(SUM(Stand!G45:G53)+Rules!$B$5*Stand!G54)/(9+Rules!$B$5)</f>
        <v>0.66466340918892541</v>
      </c>
      <c r="H44">
        <f>2*(SUM(Stand!H45:H53)+Rules!$B$5*Stand!H54)/(9+Rules!$B$5)</f>
        <v>0.46288894886429088</v>
      </c>
      <c r="I44">
        <f>2*(SUM(Stand!I45:I53)+Rules!$B$5*Stand!I54)/(9+Rules!$B$5)</f>
        <v>0.35069259087031512</v>
      </c>
      <c r="J44">
        <f>2*(SUM(Stand!J45:J53)+Rules!$B$5*Stand!J54)/(9+Rules!$B$5)</f>
        <v>0.22778342315245487</v>
      </c>
      <c r="K44">
        <f>2*(SUM(Stand!K45:K53)+Rules!$B$5*Stand!K54)/(9+Rules!$B$5)</f>
        <v>5.9357641870643733E-2</v>
      </c>
    </row>
    <row r="45" spans="1:11">
      <c r="A45">
        <v>22</v>
      </c>
      <c r="B45">
        <f>B12</f>
        <v>-0.46566058377683939</v>
      </c>
      <c r="C45">
        <f t="shared" ref="C45:K45" si="0">C12</f>
        <v>-0.25375147059276615</v>
      </c>
      <c r="D45">
        <f t="shared" si="0"/>
        <v>-0.23401617638713501</v>
      </c>
      <c r="E45">
        <f t="shared" si="0"/>
        <v>-0.20584968608305471</v>
      </c>
      <c r="F45">
        <f t="shared" si="0"/>
        <v>-0.16468249424828357</v>
      </c>
      <c r="G45">
        <f t="shared" si="0"/>
        <v>-0.12106685019651225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-0.42069618899826788</v>
      </c>
    </row>
    <row r="46" spans="1:11">
      <c r="A46">
        <v>23</v>
      </c>
      <c r="B46">
        <f t="shared" ref="B46:K54" si="1">B13</f>
        <v>-0.50382768493563657</v>
      </c>
      <c r="C46">
        <f t="shared" si="1"/>
        <v>-0.28654430084029509</v>
      </c>
      <c r="D46">
        <f t="shared" si="1"/>
        <v>-0.24663577379217239</v>
      </c>
      <c r="E46">
        <f t="shared" si="1"/>
        <v>-0.20584968608305471</v>
      </c>
      <c r="F46">
        <f t="shared" si="1"/>
        <v>-0.16468249424828357</v>
      </c>
      <c r="G46">
        <f t="shared" si="1"/>
        <v>-0.12106685019651225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-0.46207503264124877</v>
      </c>
    </row>
    <row r="47" spans="1:11">
      <c r="A47">
        <v>24</v>
      </c>
      <c r="B47">
        <f t="shared" si="1"/>
        <v>-0.53926856458309114</v>
      </c>
      <c r="C47">
        <f t="shared" si="1"/>
        <v>-0.28654430084029509</v>
      </c>
      <c r="D47">
        <f t="shared" si="1"/>
        <v>-0.24663577379217239</v>
      </c>
      <c r="E47">
        <f t="shared" si="1"/>
        <v>-0.20584968608305471</v>
      </c>
      <c r="F47">
        <f t="shared" si="1"/>
        <v>-0.16468249424828357</v>
      </c>
      <c r="G47">
        <f t="shared" si="1"/>
        <v>-0.12106685019651225</v>
      </c>
      <c r="H47">
        <f t="shared" si="1"/>
        <v>-0.3212819579256434</v>
      </c>
      <c r="I47">
        <f t="shared" si="1"/>
        <v>-0.37191909208726714</v>
      </c>
      <c r="J47">
        <f t="shared" si="1"/>
        <v>-0.43092981848423528</v>
      </c>
      <c r="K47">
        <f t="shared" si="1"/>
        <v>-0.50049824459544523</v>
      </c>
    </row>
    <row r="48" spans="1:11">
      <c r="A48">
        <v>25</v>
      </c>
      <c r="B48">
        <f t="shared" si="1"/>
        <v>-0.572177952827156</v>
      </c>
      <c r="C48">
        <f t="shared" si="1"/>
        <v>-0.28654430084029509</v>
      </c>
      <c r="D48">
        <f t="shared" si="1"/>
        <v>-0.24663577379217239</v>
      </c>
      <c r="E48">
        <f t="shared" si="1"/>
        <v>-0.20584968608305471</v>
      </c>
      <c r="F48">
        <f t="shared" si="1"/>
        <v>-0.16468249424828357</v>
      </c>
      <c r="G48">
        <f t="shared" si="1"/>
        <v>-0.12106685019651225</v>
      </c>
      <c r="H48">
        <f t="shared" si="1"/>
        <v>-0.36976181807381175</v>
      </c>
      <c r="I48">
        <f t="shared" si="1"/>
        <v>-0.41678201408103371</v>
      </c>
      <c r="J48">
        <f t="shared" si="1"/>
        <v>-0.47157768859250415</v>
      </c>
      <c r="K48">
        <f t="shared" si="1"/>
        <v>-0.53617694141005634</v>
      </c>
    </row>
    <row r="49" spans="1:11">
      <c r="A49">
        <v>26</v>
      </c>
      <c r="B49">
        <f t="shared" si="1"/>
        <v>-0.57578184676460165</v>
      </c>
      <c r="C49">
        <f t="shared" si="1"/>
        <v>-0.28654430084029509</v>
      </c>
      <c r="D49">
        <f t="shared" si="1"/>
        <v>-0.24663577379217239</v>
      </c>
      <c r="E49">
        <f t="shared" si="1"/>
        <v>-0.20584968608305471</v>
      </c>
      <c r="F49">
        <f t="shared" si="1"/>
        <v>-0.16468249424828357</v>
      </c>
      <c r="G49">
        <f t="shared" si="1"/>
        <v>-0.12106685019651225</v>
      </c>
      <c r="H49">
        <f t="shared" si="1"/>
        <v>-0.41477883106853947</v>
      </c>
      <c r="I49">
        <f t="shared" si="1"/>
        <v>-0.45844044164667419</v>
      </c>
      <c r="J49">
        <f t="shared" si="1"/>
        <v>-0.50932213940732529</v>
      </c>
      <c r="K49">
        <f t="shared" si="1"/>
        <v>-0.56930715988076652</v>
      </c>
    </row>
    <row r="50" spans="1:11">
      <c r="A50">
        <v>27</v>
      </c>
      <c r="B50">
        <f t="shared" si="1"/>
        <v>-0.46435750824198752</v>
      </c>
      <c r="C50">
        <f t="shared" si="1"/>
        <v>-0.15641021825706786</v>
      </c>
      <c r="D50">
        <f t="shared" si="1"/>
        <v>-0.12030774273351591</v>
      </c>
      <c r="E50">
        <f t="shared" si="1"/>
        <v>-8.3444052932191204E-2</v>
      </c>
      <c r="F50">
        <f t="shared" si="1"/>
        <v>-4.6323554721567961E-2</v>
      </c>
      <c r="G50">
        <f t="shared" si="1"/>
        <v>-6.2291683630239514E-3</v>
      </c>
      <c r="H50">
        <f t="shared" si="1"/>
        <v>-0.10680898948269468</v>
      </c>
      <c r="I50">
        <f t="shared" si="1"/>
        <v>-0.38195097104844711</v>
      </c>
      <c r="J50">
        <f t="shared" si="1"/>
        <v>-0.42315423964521737</v>
      </c>
      <c r="K50">
        <f t="shared" si="1"/>
        <v>-0.46435750824198763</v>
      </c>
    </row>
    <row r="51" spans="1:11">
      <c r="A51">
        <v>28</v>
      </c>
      <c r="B51">
        <f t="shared" si="1"/>
        <v>-0.24150883119675959</v>
      </c>
      <c r="C51">
        <f t="shared" si="1"/>
        <v>0.11027005064085793</v>
      </c>
      <c r="D51">
        <f t="shared" si="1"/>
        <v>0.13797729703756356</v>
      </c>
      <c r="E51">
        <f t="shared" si="1"/>
        <v>0.16626900252257676</v>
      </c>
      <c r="F51">
        <f t="shared" si="1"/>
        <v>0.19494598568825822</v>
      </c>
      <c r="G51">
        <f t="shared" si="1"/>
        <v>0.22344619530395254</v>
      </c>
      <c r="H51">
        <f t="shared" si="1"/>
        <v>0.3995541673365518</v>
      </c>
      <c r="I51">
        <f t="shared" si="1"/>
        <v>0.10595134861912359</v>
      </c>
      <c r="J51">
        <f t="shared" si="1"/>
        <v>-0.18316335667343331</v>
      </c>
      <c r="K51">
        <f t="shared" si="1"/>
        <v>-0.24150883119675959</v>
      </c>
    </row>
    <row r="52" spans="1:11">
      <c r="A52">
        <v>29</v>
      </c>
      <c r="B52">
        <f t="shared" si="1"/>
        <v>-1.8660154151531549E-2</v>
      </c>
      <c r="C52">
        <f t="shared" si="1"/>
        <v>0.37811050632056864</v>
      </c>
      <c r="D52">
        <f t="shared" si="1"/>
        <v>0.39698952530936887</v>
      </c>
      <c r="E52">
        <f t="shared" si="1"/>
        <v>0.41633218577399039</v>
      </c>
      <c r="F52">
        <f t="shared" si="1"/>
        <v>0.43621552609808445</v>
      </c>
      <c r="G52">
        <f t="shared" si="1"/>
        <v>0.45312155897092921</v>
      </c>
      <c r="H52">
        <f t="shared" si="1"/>
        <v>0.6159764957534315</v>
      </c>
      <c r="I52">
        <f t="shared" si="1"/>
        <v>0.5938536682866945</v>
      </c>
      <c r="J52">
        <f t="shared" si="1"/>
        <v>0.28759675706758142</v>
      </c>
      <c r="K52">
        <f t="shared" si="1"/>
        <v>-1.8660154151531536E-2</v>
      </c>
    </row>
    <row r="53" spans="1:11">
      <c r="A53">
        <v>30</v>
      </c>
      <c r="B53">
        <f t="shared" si="1"/>
        <v>0.20418852289369649</v>
      </c>
      <c r="C53">
        <f t="shared" si="1"/>
        <v>0.63507006739682603</v>
      </c>
      <c r="D53">
        <f t="shared" si="1"/>
        <v>0.64584804747844671</v>
      </c>
      <c r="E53">
        <f t="shared" si="1"/>
        <v>0.65694191851596806</v>
      </c>
      <c r="F53">
        <f t="shared" si="1"/>
        <v>0.66838174379512039</v>
      </c>
      <c r="G53">
        <f t="shared" si="1"/>
        <v>0.67824526128151064</v>
      </c>
      <c r="H53">
        <f t="shared" si="1"/>
        <v>0.77322722653717491</v>
      </c>
      <c r="I53">
        <f t="shared" si="1"/>
        <v>0.79181515955189841</v>
      </c>
      <c r="J53">
        <f t="shared" si="1"/>
        <v>0.75835687080859626</v>
      </c>
      <c r="K53">
        <f t="shared" si="1"/>
        <v>0.43495775366292722</v>
      </c>
    </row>
    <row r="54" spans="1:11">
      <c r="A54">
        <v>31</v>
      </c>
      <c r="B54">
        <f t="shared" si="1"/>
        <v>0.65780643070815525</v>
      </c>
      <c r="C54">
        <f t="shared" si="1"/>
        <v>0.88036767955403561</v>
      </c>
      <c r="D54">
        <f t="shared" si="1"/>
        <v>0.88382567504407128</v>
      </c>
      <c r="E54">
        <f t="shared" si="1"/>
        <v>0.8873979451552183</v>
      </c>
      <c r="F54">
        <f t="shared" si="1"/>
        <v>0.89109451098272041</v>
      </c>
      <c r="G54">
        <f t="shared" si="1"/>
        <v>0.89426564087930194</v>
      </c>
      <c r="H54">
        <f t="shared" si="1"/>
        <v>0.92592629596452325</v>
      </c>
      <c r="I54">
        <f t="shared" si="1"/>
        <v>0.93060505318396614</v>
      </c>
      <c r="J54">
        <f t="shared" si="1"/>
        <v>0.93917615614724415</v>
      </c>
      <c r="K54">
        <f t="shared" si="1"/>
        <v>0.88857566147738598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54"/>
  <sheetViews>
    <sheetView workbookViewId="0">
      <selection activeCell="B4" sqref="B4:B11"/>
    </sheetView>
  </sheetViews>
  <sheetFormatPr baseColWidth="10" defaultColWidth="8.83203125" defaultRowHeight="16"/>
  <cols>
    <col min="12" max="12" width="4.83203125" customWidth="1"/>
    <col min="13" max="13" width="4.6640625" customWidth="1"/>
    <col min="14" max="24" width="4" style="31" customWidth="1"/>
  </cols>
  <sheetData>
    <row r="1" spans="1:24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>
      <c r="A2">
        <v>2</v>
      </c>
      <c r="B2">
        <f>MAX(Hit!B2,Stand!B2,Double!B2)</f>
        <v>-0.34456837192534162</v>
      </c>
      <c r="C2">
        <f>MAX(Hit!C2,Stand!C2,Double!C2)</f>
        <v>-7.6036139649632559E-2</v>
      </c>
      <c r="D2">
        <f>MAX(Hit!D2,Stand!D2,Double!D2)</f>
        <v>-4.9887284329707869E-2</v>
      </c>
      <c r="E2">
        <f>MAX(Hit!E2,Stand!E2,Double!E2)</f>
        <v>-2.016020969670709E-2</v>
      </c>
      <c r="F2">
        <f>MAX(Hit!F2,Stand!F2,Double!F2)</f>
        <v>1.4664203829548531E-2</v>
      </c>
      <c r="G2">
        <f>MAX(Hit!G2,Stand!G2,Double!G2)</f>
        <v>5.10276420282465E-2</v>
      </c>
      <c r="H2">
        <f>MAX(Hit!H2,Stand!H2,Double!H2)</f>
        <v>-2.7257021375862247E-2</v>
      </c>
      <c r="I2">
        <f>MAX(Hit!I2,Stand!I2,Double!I2)</f>
        <v>-0.10316172777512723</v>
      </c>
      <c r="J2">
        <f>MAX(Hit!J2,Stand!J2,Double!J2)</f>
        <v>-0.19004714305350842</v>
      </c>
      <c r="K2">
        <f>MAX(Hit!K2,Stand!K2,Double!K2)</f>
        <v>-0.29096372773977425</v>
      </c>
      <c r="N2" s="31">
        <v>2</v>
      </c>
      <c r="O2" s="31" t="str">
        <f>IF(B2=HS!B2,HS!O2,"D")</f>
        <v>H</v>
      </c>
      <c r="P2" s="31" t="str">
        <f>IF(C2=HS!C2,HS!P2,"D")</f>
        <v>H</v>
      </c>
      <c r="Q2" s="31" t="str">
        <f>IF(D2=HS!D2,HS!Q2,"D")</f>
        <v>H</v>
      </c>
      <c r="R2" s="31" t="str">
        <f>IF(E2=HS!E2,HS!R2,"D")</f>
        <v>H</v>
      </c>
      <c r="S2" s="31" t="str">
        <f>IF(F2=HS!F2,HS!S2,"D")</f>
        <v>H</v>
      </c>
      <c r="T2" s="31" t="str">
        <f>IF(G2=HS!G2,HS!T2,"D")</f>
        <v>H</v>
      </c>
      <c r="U2" s="31" t="str">
        <f>IF(H2=HS!H2,HS!U2,"D")</f>
        <v>H</v>
      </c>
      <c r="V2" s="31" t="str">
        <f>IF(I2=HS!I2,HS!V2,"D")</f>
        <v>H</v>
      </c>
      <c r="W2" s="31" t="str">
        <f>IF(J2=HS!J2,HS!W2,"D")</f>
        <v>H</v>
      </c>
      <c r="X2" s="31" t="str">
        <f>IF(K2=HS!K2,HS!X2,"D")</f>
        <v>H</v>
      </c>
    </row>
    <row r="3" spans="1:24">
      <c r="A3">
        <v>3</v>
      </c>
      <c r="B3">
        <f>MAX(Hit!B3,Stand!B3,Double!B3)</f>
        <v>-0.36474464099475529</v>
      </c>
      <c r="C3">
        <f>MAX(Hit!C3,Stand!C3,Double!C3)</f>
        <v>-9.8794923007326521E-2</v>
      </c>
      <c r="D3">
        <f>MAX(Hit!D3,Stand!D3,Double!D3)</f>
        <v>-6.7321319741442009E-2</v>
      </c>
      <c r="E3">
        <f>MAX(Hit!E3,Stand!E3,Double!E3)</f>
        <v>-3.4079494605979782E-2</v>
      </c>
      <c r="F3">
        <f>MAX(Hit!F3,Stand!F3,Double!F3)</f>
        <v>1.2204515413239724E-3</v>
      </c>
      <c r="G3">
        <f>MAX(Hit!G3,Stand!G3,Double!G3)</f>
        <v>3.8127730665612251E-2</v>
      </c>
      <c r="H3">
        <f>MAX(Hit!H3,Stand!H3,Double!H3)</f>
        <v>-5.7437588540356667E-2</v>
      </c>
      <c r="I3">
        <f>MAX(Hit!I3,Stand!I3,Double!I3)</f>
        <v>-0.13094188065020099</v>
      </c>
      <c r="J3">
        <f>MAX(Hit!J3,Stand!J3,Double!J3)</f>
        <v>-0.21507662281362433</v>
      </c>
      <c r="K3">
        <f>MAX(Hit!K3,Stand!K3,Double!K3)</f>
        <v>-0.31277980128259808</v>
      </c>
      <c r="N3" s="31">
        <v>3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>
      <c r="A4">
        <v>4</v>
      </c>
      <c r="B4">
        <f>MAX(Hit!B4,Stand!B4,Double!B4)</f>
        <v>-0.38538530661686615</v>
      </c>
      <c r="C4">
        <f>MAX(Hit!C4,Stand!C4,Double!C4)</f>
        <v>-0.11285543771123717</v>
      </c>
      <c r="D4">
        <f>MAX(Hit!D4,Stand!D4,Double!D4)</f>
        <v>-8.0761552533335321E-2</v>
      </c>
      <c r="E4">
        <f>MAX(Hit!E4,Stand!E4,Double!E4)</f>
        <v>-4.6961607783156195E-2</v>
      </c>
      <c r="F4">
        <f>MAX(Hit!F4,Stand!F4,Double!F4)</f>
        <v>-1.122157243811568E-2</v>
      </c>
      <c r="G4">
        <f>MAX(Hit!G4,Stand!G4,Double!G4)</f>
        <v>2.6189020344519497E-2</v>
      </c>
      <c r="H4">
        <f>MAX(Hit!H4,Stand!H4,Double!H4)</f>
        <v>-8.8279201058463722E-2</v>
      </c>
      <c r="I4">
        <f>MAX(Hit!I4,Stand!I4,Double!I4)</f>
        <v>-0.15933415266020512</v>
      </c>
      <c r="J4">
        <f>MAX(Hit!J4,Stand!J4,Double!J4)</f>
        <v>-0.24066617915336547</v>
      </c>
      <c r="K4">
        <f>MAX(Hit!K4,Stand!K4,Double!K4)</f>
        <v>-0.33509986436351097</v>
      </c>
      <c r="N4" s="31">
        <v>4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>
      <c r="A5">
        <v>5</v>
      </c>
      <c r="B5">
        <f>MAX(Hit!B5,Stand!B5,Double!B5)</f>
        <v>-0.40632230211141912</v>
      </c>
      <c r="C5">
        <f>MAX(Hit!C5,Stand!C5,Double!C5)</f>
        <v>-0.12585466591223504</v>
      </c>
      <c r="D5">
        <f>MAX(Hit!D5,Stand!D5,Double!D5)</f>
        <v>-9.3185805313397596E-2</v>
      </c>
      <c r="E5">
        <f>MAX(Hit!E5,Stand!E5,Double!E5)</f>
        <v>-5.8868938477504656E-2</v>
      </c>
      <c r="F5">
        <f>MAX(Hit!F5,Stand!F5,Double!F5)</f>
        <v>-2.2722050599694302E-2</v>
      </c>
      <c r="G5">
        <f>MAX(Hit!G5,Stand!G5,Double!G5)</f>
        <v>1.5153619459709739E-2</v>
      </c>
      <c r="H5">
        <f>MAX(Hit!H5,Stand!H5,Double!H5)</f>
        <v>-0.11944744188414852</v>
      </c>
      <c r="I5">
        <f>MAX(Hit!I5,Stand!I5,Double!I5)</f>
        <v>-0.18809330390318518</v>
      </c>
      <c r="J5">
        <f>MAX(Hit!J5,Stand!J5,Double!J5)</f>
        <v>-0.26661505335795899</v>
      </c>
      <c r="K5">
        <f>MAX(Hit!K5,Stand!K5,Double!K5)</f>
        <v>-0.3577434525808979</v>
      </c>
      <c r="N5" s="31">
        <v>5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>
      <c r="A6">
        <v>6</v>
      </c>
      <c r="B6">
        <f>MAX(Hit!B6,Stand!B6,Double!B6)</f>
        <v>-0.41968690347101079</v>
      </c>
      <c r="C6">
        <f>MAX(Hit!C6,Stand!C6,Double!C6)</f>
        <v>-0.1380730292913315</v>
      </c>
      <c r="D6">
        <f>MAX(Hit!D6,Stand!D6,Double!D6)</f>
        <v>-0.10487404133749784</v>
      </c>
      <c r="E6">
        <f>MAX(Hit!E6,Stand!E6,Double!E6)</f>
        <v>-7.0077773347286057E-2</v>
      </c>
      <c r="F6">
        <f>MAX(Hit!F6,Stand!F6,Double!F6)</f>
        <v>-3.3548869940164566E-2</v>
      </c>
      <c r="G6">
        <f>MAX(Hit!G6,Stand!G6,Double!G6)</f>
        <v>4.7665085393153788E-3</v>
      </c>
      <c r="H6">
        <f>MAX(Hit!H6,Stand!H6,Double!H6)</f>
        <v>-0.15193270723669944</v>
      </c>
      <c r="I6">
        <f>MAX(Hit!I6,Stand!I6,Double!I6)</f>
        <v>-0.21724188132078476</v>
      </c>
      <c r="J6">
        <f>MAX(Hit!J6,Stand!J6,Double!J6)</f>
        <v>-0.29264070019772598</v>
      </c>
      <c r="K6">
        <f>MAX(Hit!K6,Stand!K6,Double!K6)</f>
        <v>-0.38050766229289529</v>
      </c>
      <c r="N6" s="31">
        <v>6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>
      <c r="A7">
        <v>7</v>
      </c>
      <c r="B7">
        <f>MAX(Hit!B7,Stand!B7,Double!B7)</f>
        <v>-0.39971038372569095</v>
      </c>
      <c r="C7">
        <f>MAX(Hit!C7,Stand!C7,Double!C7)</f>
        <v>-0.10957748444769842</v>
      </c>
      <c r="D7">
        <f>MAX(Hit!D7,Stand!D7,Double!D7)</f>
        <v>-7.6937567884950209E-2</v>
      </c>
      <c r="E7">
        <f>MAX(Hit!E7,Stand!E7,Double!E7)</f>
        <v>-4.2826367717071351E-2</v>
      </c>
      <c r="F7">
        <f>MAX(Hit!F7,Stand!F7,Double!F7)</f>
        <v>-7.17726676462546E-3</v>
      </c>
      <c r="G7">
        <f>MAX(Hit!G7,Stand!G7,Double!G7)</f>
        <v>3.0408566151961865E-2</v>
      </c>
      <c r="H7">
        <f>MAX(Hit!H7,Stand!H7,Double!H7)</f>
        <v>-6.8807799580427764E-2</v>
      </c>
      <c r="I7">
        <f>MAX(Hit!I7,Stand!I7,Double!I7)</f>
        <v>-0.21060476872434966</v>
      </c>
      <c r="J7">
        <f>MAX(Hit!J7,Stand!J7,Double!J7)</f>
        <v>-0.28536544048687662</v>
      </c>
      <c r="K7">
        <f>MAX(Hit!K7,Stand!K7,Double!K7)</f>
        <v>-0.36507789921394679</v>
      </c>
      <c r="N7" s="31">
        <v>7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H</v>
      </c>
      <c r="R7" s="31" t="str">
        <f>IF(E7=HS!E7,HS!R7,"D")</f>
        <v>H</v>
      </c>
      <c r="S7" s="31" t="str">
        <f>IF(F7=HS!F7,HS!S7,"D")</f>
        <v>H</v>
      </c>
      <c r="T7" s="31" t="str">
        <f>IF(G7=HS!G7,HS!T7,"D")</f>
        <v>H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>
      <c r="A8">
        <v>8</v>
      </c>
      <c r="B8">
        <f>MAX(Hit!B8,Stand!B8,Double!B8)</f>
        <v>-0.33034033459070061</v>
      </c>
      <c r="C8">
        <f>MAX(Hit!C8,Stand!C8,Double!C8)</f>
        <v>-2.4506830289917444E-2</v>
      </c>
      <c r="D8">
        <f>MAX(Hit!D8,Stand!D8,Double!D8)</f>
        <v>5.5679308753931881E-3</v>
      </c>
      <c r="E8">
        <f>MAX(Hit!E8,Stand!E8,Double!E8)</f>
        <v>3.7010775094514566E-2</v>
      </c>
      <c r="F8">
        <f>MAX(Hit!F8,Stand!F8,Double!F8)</f>
        <v>6.9950633154329159E-2</v>
      </c>
      <c r="G8">
        <f>MAX(Hit!G8,Stand!G8,Double!G8)</f>
        <v>0.10385811332306308</v>
      </c>
      <c r="H8">
        <f>MAX(Hit!H8,Stand!H8,Double!H8)</f>
        <v>8.2207439363742862E-2</v>
      </c>
      <c r="I8">
        <f>MAX(Hit!I8,Stand!I8,Double!I8)</f>
        <v>-5.989827565865629E-2</v>
      </c>
      <c r="J8">
        <f>MAX(Hit!J8,Stand!J8,Double!J8)</f>
        <v>-0.2101863319982176</v>
      </c>
      <c r="K8">
        <f>MAX(Hit!K8,Stand!K8,Double!K8)</f>
        <v>-0.30177738614031369</v>
      </c>
      <c r="N8" s="31">
        <v>8</v>
      </c>
      <c r="O8" s="31" t="str">
        <f>IF(B8=HS!B8,HS!O8,"D")</f>
        <v>H</v>
      </c>
      <c r="P8" s="31" t="str">
        <f>IF(C8=HS!C8,HS!P8,"D")</f>
        <v>H</v>
      </c>
      <c r="Q8" s="31" t="str">
        <f>IF(D8=HS!D8,HS!Q8,"D")</f>
        <v>H</v>
      </c>
      <c r="R8" s="31" t="str">
        <f>IF(E8=HS!E8,HS!R8,"D")</f>
        <v>H</v>
      </c>
      <c r="S8" s="31" t="str">
        <f>IF(F8=HS!F8,HS!S8,"D")</f>
        <v>H</v>
      </c>
      <c r="T8" s="31" t="str">
        <f>IF(G8=HS!G8,HS!T8,"D")</f>
        <v>H</v>
      </c>
      <c r="U8" s="31" t="str">
        <f>IF(H8=HS!H8,HS!U8,"D")</f>
        <v>H</v>
      </c>
      <c r="V8" s="31" t="str">
        <f>IF(I8=HS!I8,HS!V8,"D")</f>
        <v>H</v>
      </c>
      <c r="W8" s="31" t="str">
        <f>IF(J8=HS!J8,HS!W8,"D")</f>
        <v>H</v>
      </c>
      <c r="X8" s="31" t="str">
        <f>IF(K8=HS!K8,HS!X8,"D")</f>
        <v>H</v>
      </c>
    </row>
    <row r="9" spans="1:24">
      <c r="A9">
        <v>9</v>
      </c>
      <c r="B9">
        <f>MAX(Hit!B9,Stand!B9,Double!B9)</f>
        <v>-0.25192476177072076</v>
      </c>
      <c r="C9">
        <f>MAX(Hit!C9,Stand!C9,Double!C9)</f>
        <v>7.2232808963193215E-2</v>
      </c>
      <c r="D9">
        <f>MAX(Hit!D9,Stand!D9,Double!D9)</f>
        <v>0.11871708619491314</v>
      </c>
      <c r="E9">
        <f>MAX(Hit!E9,Stand!E9,Double!E9)</f>
        <v>0.17999961456984417</v>
      </c>
      <c r="F9">
        <f>MAX(Hit!F9,Stand!F9,Double!F9)</f>
        <v>0.24211866364068418</v>
      </c>
      <c r="G9">
        <f>MAX(Hit!G9,Stand!G9,Double!G9)</f>
        <v>0.30485344968108963</v>
      </c>
      <c r="H9">
        <f>MAX(Hit!H9,Stand!H9,Double!H9)</f>
        <v>0.17186785993695267</v>
      </c>
      <c r="I9">
        <f>MAX(Hit!I9,Stand!I9,Double!I9)</f>
        <v>9.8376217435392585E-2</v>
      </c>
      <c r="J9">
        <f>MAX(Hit!J9,Stand!J9,Double!J9)</f>
        <v>-5.217805346265169E-2</v>
      </c>
      <c r="K9">
        <f>MAX(Hit!K9,Stand!K9,Double!K9)</f>
        <v>-0.21343169035706566</v>
      </c>
      <c r="N9" s="31">
        <v>9</v>
      </c>
      <c r="O9" s="31" t="str">
        <f>IF(B9=HS!B9,HS!O9,"D")</f>
        <v>H</v>
      </c>
      <c r="P9" s="31" t="str">
        <f>IF(C9=HS!C9,HS!P9,"D")</f>
        <v>H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H</v>
      </c>
      <c r="V9" s="31" t="str">
        <f>IF(I9=HS!I9,HS!V9,"D")</f>
        <v>H</v>
      </c>
      <c r="W9" s="31" t="str">
        <f>IF(J9=HS!J9,HS!W9,"D")</f>
        <v>H</v>
      </c>
      <c r="X9" s="31" t="str">
        <f>IF(K9=HS!K9,HS!X9,"D")</f>
        <v>H</v>
      </c>
    </row>
    <row r="10" spans="1:24">
      <c r="A10">
        <v>10</v>
      </c>
      <c r="B10">
        <f>MAX(Hit!B10,Stand!B10,Double!B10)</f>
        <v>-0.14666789263035868</v>
      </c>
      <c r="C10">
        <f>MAX(Hit!C10,Stand!C10,Double!C10)</f>
        <v>0.35690719748372668</v>
      </c>
      <c r="D10">
        <f>MAX(Hit!D10,Stand!D10,Double!D10)</f>
        <v>0.40749201163237114</v>
      </c>
      <c r="E10">
        <f>MAX(Hit!E10,Stand!E10,Double!E10)</f>
        <v>0.45924220371818347</v>
      </c>
      <c r="F10">
        <f>MAX(Hit!F10,Stand!F10,Double!F10)</f>
        <v>0.51169953415177827</v>
      </c>
      <c r="G10">
        <f>MAX(Hit!G10,Stand!G10,Double!G10)</f>
        <v>0.56496169552840625</v>
      </c>
      <c r="H10">
        <f>MAX(Hit!H10,Stand!H10,Double!H10)</f>
        <v>0.39241245528243773</v>
      </c>
      <c r="I10">
        <f>MAX(Hit!I10,Stand!I10,Double!I10)</f>
        <v>0.28663571688628381</v>
      </c>
      <c r="J10">
        <f>MAX(Hit!J10,Stand!J10,Double!J10)</f>
        <v>0.1443283683807712</v>
      </c>
      <c r="K10">
        <f>MAX(Hit!K10,Stand!K10,Double!K10)</f>
        <v>-4.4990260383613007E-2</v>
      </c>
      <c r="N10" s="31">
        <v>10</v>
      </c>
      <c r="O10" s="31" t="str">
        <f>IF(B10=HS!B10,HS!O10,"D")</f>
        <v>H</v>
      </c>
      <c r="P10" s="31" t="str">
        <f>IF(C10=HS!C10,HS!P10,"D")</f>
        <v>D</v>
      </c>
      <c r="Q10" s="31" t="str">
        <f>IF(D10=HS!D10,HS!Q10,"D")</f>
        <v>D</v>
      </c>
      <c r="R10" s="31" t="str">
        <f>IF(E10=HS!E10,HS!R10,"D")</f>
        <v>D</v>
      </c>
      <c r="S10" s="31" t="str">
        <f>IF(F10=HS!F10,HS!S10,"D")</f>
        <v>D</v>
      </c>
      <c r="T10" s="31" t="str">
        <f>IF(G10=HS!G10,HS!T10,"D")</f>
        <v>D</v>
      </c>
      <c r="U10" s="31" t="str">
        <f>IF(H10=HS!H10,HS!U10,"D")</f>
        <v>D</v>
      </c>
      <c r="V10" s="31" t="str">
        <f>IF(I10=HS!I10,HS!V10,"D")</f>
        <v>D</v>
      </c>
      <c r="W10" s="31" t="str">
        <f>IF(J10=HS!J10,HS!W10,"D")</f>
        <v>D</v>
      </c>
      <c r="X10" s="31" t="str">
        <f>IF(K10=HS!K10,HS!X10,"D")</f>
        <v>H</v>
      </c>
    </row>
    <row r="11" spans="1:24">
      <c r="A11">
        <v>11</v>
      </c>
      <c r="B11">
        <f>MAX(Hit!B11,Stand!B11,Double!B11)</f>
        <v>-4.1986836980868178E-2</v>
      </c>
      <c r="C11">
        <f>MAX(Hit!C11,Stand!C11,Double!C11)</f>
        <v>0.47012148001782339</v>
      </c>
      <c r="D11">
        <f>MAX(Hit!D11,Stand!D11,Double!D11)</f>
        <v>0.51732783973958252</v>
      </c>
      <c r="E11">
        <f>MAX(Hit!E11,Stand!E11,Double!E11)</f>
        <v>0.56560652370552988</v>
      </c>
      <c r="F11">
        <f>MAX(Hit!F11,Stand!F11,Double!F11)</f>
        <v>0.61449004208451674</v>
      </c>
      <c r="G11">
        <f>MAX(Hit!G11,Stand!G11,Double!G11)</f>
        <v>0.66466340918892541</v>
      </c>
      <c r="H11">
        <f>MAX(Hit!H11,Stand!H11,Double!H11)</f>
        <v>0.46288894886429077</v>
      </c>
      <c r="I11">
        <f>MAX(Hit!I11,Stand!I11,Double!I11)</f>
        <v>0.35069259087031512</v>
      </c>
      <c r="J11">
        <f>MAX(Hit!J11,Stand!J11,Double!J11)</f>
        <v>0.22778342315245487</v>
      </c>
      <c r="K11">
        <f>MAX(Hit!K11,Stand!K11,Double!K11)</f>
        <v>5.9690795265877464E-2</v>
      </c>
      <c r="N11" s="31">
        <v>11</v>
      </c>
      <c r="O11" s="31" t="str">
        <f>IF(B11=HS!B11,HS!O11,"D")</f>
        <v>H</v>
      </c>
      <c r="P11" s="31" t="str">
        <f>IF(C11=HS!C11,HS!P11,"D")</f>
        <v>D</v>
      </c>
      <c r="Q11" s="31" t="str">
        <f>IF(D11=HS!D11,HS!Q11,"D")</f>
        <v>D</v>
      </c>
      <c r="R11" s="31" t="str">
        <f>IF(E11=HS!E11,HS!R11,"D")</f>
        <v>D</v>
      </c>
      <c r="S11" s="31" t="str">
        <f>IF(F11=HS!F11,HS!S11,"D")</f>
        <v>D</v>
      </c>
      <c r="T11" s="31" t="str">
        <f>IF(G11=HS!G11,HS!T11,"D")</f>
        <v>D</v>
      </c>
      <c r="U11" s="31" t="str">
        <f>IF(H11=HS!H11,HS!U11,"D")</f>
        <v>D</v>
      </c>
      <c r="V11" s="31" t="str">
        <f>IF(I11=HS!I11,HS!V11,"D")</f>
        <v>D</v>
      </c>
      <c r="W11" s="31" t="str">
        <f>IF(J11=HS!J11,HS!W11,"D")</f>
        <v>D</v>
      </c>
      <c r="X11" s="31" t="str">
        <f>IF(K11=HS!K11,HS!X11,"D")</f>
        <v>H</v>
      </c>
    </row>
    <row r="12" spans="1:24">
      <c r="A12">
        <v>12</v>
      </c>
      <c r="B12">
        <f>MAX(Hit!B12,Stand!B12,Double!B12)</f>
        <v>-0.46566058377683939</v>
      </c>
      <c r="C12">
        <f>MAX(Hit!C12,Stand!C12,Double!C12)</f>
        <v>-0.25375147059276615</v>
      </c>
      <c r="D12">
        <f>MAX(Hit!D12,Stand!D12,Double!D12)</f>
        <v>-0.23401617638713501</v>
      </c>
      <c r="E12">
        <f>MAX(Hit!E12,Stand!E12,Double!E12)</f>
        <v>-0.20584968608305471</v>
      </c>
      <c r="F12">
        <f>MAX(Hit!F12,Stand!F12,Double!F12)</f>
        <v>-0.16468249424828357</v>
      </c>
      <c r="G12">
        <f>MAX(Hit!G12,Stand!G12,Double!G12)</f>
        <v>-0.12106685019651225</v>
      </c>
      <c r="H12">
        <f>MAX(Hit!H12,Stand!H12,Double!H12)</f>
        <v>-0.21284771451731424</v>
      </c>
      <c r="I12">
        <f>MAX(Hit!I12,Stand!I12,Double!I12)</f>
        <v>-0.27157480502428616</v>
      </c>
      <c r="J12">
        <f>MAX(Hit!J12,Stand!J12,Double!J12)</f>
        <v>-0.3400132806089356</v>
      </c>
      <c r="K12">
        <f>MAX(Hit!K12,Stand!K12,Double!K12)</f>
        <v>-0.42069618899826788</v>
      </c>
      <c r="N12" s="31">
        <v>12</v>
      </c>
      <c r="O12" s="31" t="str">
        <f>IF(B12=HS!B12,HS!O12,"D")</f>
        <v>H</v>
      </c>
      <c r="P12" s="31" t="str">
        <f>IF(C12=HS!C12,HS!P12,"D")</f>
        <v>H</v>
      </c>
      <c r="Q12" s="31" t="str">
        <f>IF(D12=HS!D12,HS!Q12,"D")</f>
        <v>H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>
      <c r="A13">
        <v>13</v>
      </c>
      <c r="B13">
        <f>MAX(Hit!B13,Stand!B13,Double!B13)</f>
        <v>-0.50382768493563657</v>
      </c>
      <c r="C13">
        <f>MAX(Hit!C13,Stand!C13,Double!C13)</f>
        <v>-0.28654430084029509</v>
      </c>
      <c r="D13">
        <f>MAX(Hit!D13,Stand!D13,Double!D13)</f>
        <v>-0.24663577379217239</v>
      </c>
      <c r="E13">
        <f>MAX(Hit!E13,Stand!E13,Double!E13)</f>
        <v>-0.20584968608305471</v>
      </c>
      <c r="F13">
        <f>MAX(Hit!F13,Stand!F13,Double!F13)</f>
        <v>-0.16468249424828357</v>
      </c>
      <c r="G13">
        <f>MAX(Hit!G13,Stand!G13,Double!G13)</f>
        <v>-0.12106685019651225</v>
      </c>
      <c r="H13">
        <f>MAX(Hit!H13,Stand!H13,Double!H13)</f>
        <v>-0.26907287776607752</v>
      </c>
      <c r="I13">
        <f>MAX(Hit!I13,Stand!I13,Double!I13)</f>
        <v>-0.32360517609397998</v>
      </c>
      <c r="J13">
        <f>MAX(Hit!J13,Stand!J13,Double!J13)</f>
        <v>-0.38715518913686875</v>
      </c>
      <c r="K13">
        <f>MAX(Hit!K13,Stand!K13,Double!K13)</f>
        <v>-0.46207503264124877</v>
      </c>
      <c r="N13" s="31">
        <v>13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>
      <c r="A14">
        <v>14</v>
      </c>
      <c r="B14">
        <f>MAX(Hit!B14,Stand!B14,Double!B14)</f>
        <v>-0.53926856458309114</v>
      </c>
      <c r="C14">
        <f>MAX(Hit!C14,Stand!C14,Double!C14)</f>
        <v>-0.28654430084029509</v>
      </c>
      <c r="D14">
        <f>MAX(Hit!D14,Stand!D14,Double!D14)</f>
        <v>-0.24663577379217239</v>
      </c>
      <c r="E14">
        <f>MAX(Hit!E14,Stand!E14,Double!E14)</f>
        <v>-0.20584968608305471</v>
      </c>
      <c r="F14">
        <f>MAX(Hit!F14,Stand!F14,Double!F14)</f>
        <v>-0.16468249424828357</v>
      </c>
      <c r="G14">
        <f>MAX(Hit!G14,Stand!G14,Double!G14)</f>
        <v>-0.12106685019651225</v>
      </c>
      <c r="H14">
        <f>MAX(Hit!H14,Stand!H14,Double!H14)</f>
        <v>-0.3212819579256434</v>
      </c>
      <c r="I14">
        <f>MAX(Hit!I14,Stand!I14,Double!I14)</f>
        <v>-0.37191909208726714</v>
      </c>
      <c r="J14">
        <f>MAX(Hit!J14,Stand!J14,Double!J14)</f>
        <v>-0.43092981848423528</v>
      </c>
      <c r="K14">
        <f>MAX(Hit!K14,Stand!K14,Double!K14)</f>
        <v>-0.50049824459544523</v>
      </c>
      <c r="N14" s="31">
        <v>14</v>
      </c>
      <c r="O14" s="31" t="str">
        <f>IF(B14=HS!B14,HS!O14,"D")</f>
        <v>H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>
      <c r="A15">
        <v>15</v>
      </c>
      <c r="B15">
        <f>MAX(Hit!B15,Stand!B15,Double!B15)</f>
        <v>-0.572177952827156</v>
      </c>
      <c r="C15">
        <f>MAX(Hit!C15,Stand!C15,Double!C15)</f>
        <v>-0.28654430084029509</v>
      </c>
      <c r="D15">
        <f>MAX(Hit!D15,Stand!D15,Double!D15)</f>
        <v>-0.24663577379217239</v>
      </c>
      <c r="E15">
        <f>MAX(Hit!E15,Stand!E15,Double!E15)</f>
        <v>-0.20584968608305471</v>
      </c>
      <c r="F15">
        <f>MAX(Hit!F15,Stand!F15,Double!F15)</f>
        <v>-0.16468249424828357</v>
      </c>
      <c r="G15">
        <f>MAX(Hit!G15,Stand!G15,Double!G15)</f>
        <v>-0.12106685019651225</v>
      </c>
      <c r="H15">
        <f>MAX(Hit!H15,Stand!H15,Double!H15)</f>
        <v>-0.36976181807381175</v>
      </c>
      <c r="I15">
        <f>MAX(Hit!I15,Stand!I15,Double!I15)</f>
        <v>-0.41678201408103371</v>
      </c>
      <c r="J15">
        <f>MAX(Hit!J15,Stand!J15,Double!J15)</f>
        <v>-0.47157768859250415</v>
      </c>
      <c r="K15">
        <f>MAX(Hit!K15,Stand!K15,Double!K15)</f>
        <v>-0.53617694141005634</v>
      </c>
      <c r="N15" s="31">
        <v>15</v>
      </c>
      <c r="O15" s="31" t="str">
        <f>IF(B15=HS!B15,HS!O15,"D")</f>
        <v>H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H</v>
      </c>
      <c r="V15" s="31" t="str">
        <f>IF(I15=HS!I15,HS!V15,"D")</f>
        <v>H</v>
      </c>
      <c r="W15" s="31" t="str">
        <f>IF(J15=HS!J15,HS!W15,"D")</f>
        <v>H</v>
      </c>
      <c r="X15" s="31" t="str">
        <f>IF(K15=HS!K15,HS!X15,"D")</f>
        <v>H</v>
      </c>
    </row>
    <row r="16" spans="1:24">
      <c r="A16">
        <v>16</v>
      </c>
      <c r="B16">
        <f>MAX(Hit!B16,Stand!B16,Double!B16)</f>
        <v>-0.57578184676460165</v>
      </c>
      <c r="C16">
        <f>MAX(Hit!C16,Stand!C16,Double!C16)</f>
        <v>-0.28654430084029509</v>
      </c>
      <c r="D16">
        <f>MAX(Hit!D16,Stand!D16,Double!D16)</f>
        <v>-0.24663577379217239</v>
      </c>
      <c r="E16">
        <f>MAX(Hit!E16,Stand!E16,Double!E16)</f>
        <v>-0.20584968608305471</v>
      </c>
      <c r="F16">
        <f>MAX(Hit!F16,Stand!F16,Double!F16)</f>
        <v>-0.16468249424828357</v>
      </c>
      <c r="G16">
        <f>MAX(Hit!G16,Stand!G16,Double!G16)</f>
        <v>-0.12106685019651225</v>
      </c>
      <c r="H16">
        <f>MAX(Hit!H16,Stand!H16,Double!H16)</f>
        <v>-0.41477883106853947</v>
      </c>
      <c r="I16">
        <f>MAX(Hit!I16,Stand!I16,Double!I16)</f>
        <v>-0.45844044164667419</v>
      </c>
      <c r="J16">
        <f>MAX(Hit!J16,Stand!J16,Double!J16)</f>
        <v>-0.50932213940732529</v>
      </c>
      <c r="K16">
        <f>MAX(Hit!K16,Stand!K16,Double!K16)</f>
        <v>-0.56930715988076652</v>
      </c>
      <c r="N16" s="31">
        <v>16</v>
      </c>
      <c r="O16" s="31" t="str">
        <f>IF(B16=HS!B16,HS!O16,"D")</f>
        <v>S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H</v>
      </c>
      <c r="V16" s="31" t="str">
        <f>IF(I16=HS!I16,HS!V16,"D")</f>
        <v>H</v>
      </c>
      <c r="W16" s="31" t="str">
        <f>IF(J16=HS!J16,HS!W16,"D")</f>
        <v>H</v>
      </c>
      <c r="X16" s="31" t="str">
        <f>IF(K16=HS!K16,HS!X16,"D")</f>
        <v>H</v>
      </c>
    </row>
    <row r="17" spans="1:24">
      <c r="A17">
        <v>17</v>
      </c>
      <c r="B17">
        <f>MAX(Hit!B17,Stand!B17,Double!B17)</f>
        <v>-0.46435750824198752</v>
      </c>
      <c r="C17">
        <f>MAX(Hit!C17,Stand!C17,Double!C17)</f>
        <v>-0.15641021825706786</v>
      </c>
      <c r="D17">
        <f>MAX(Hit!D17,Stand!D17,Double!D17)</f>
        <v>-0.12030774273351591</v>
      </c>
      <c r="E17">
        <f>MAX(Hit!E17,Stand!E17,Double!E17)</f>
        <v>-8.3444052932191204E-2</v>
      </c>
      <c r="F17">
        <f>MAX(Hit!F17,Stand!F17,Double!F17)</f>
        <v>-4.6323554721567961E-2</v>
      </c>
      <c r="G17">
        <f>MAX(Hit!G17,Stand!G17,Double!G17)</f>
        <v>-6.2291683630239514E-3</v>
      </c>
      <c r="H17">
        <f>MAX(Hit!H17,Stand!H17,Double!H17)</f>
        <v>-0.10680898948269468</v>
      </c>
      <c r="I17">
        <f>MAX(Hit!I17,Stand!I17,Double!I17)</f>
        <v>-0.38195097104844711</v>
      </c>
      <c r="J17">
        <f>MAX(Hit!J17,Stand!J17,Double!J17)</f>
        <v>-0.42315423964521737</v>
      </c>
      <c r="K17">
        <f>MAX(Hit!K17,Stand!K17,Double!K17)</f>
        <v>-0.46435750824198763</v>
      </c>
      <c r="N17" s="31">
        <v>17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>
      <c r="A18">
        <v>18</v>
      </c>
      <c r="B18">
        <f>MAX(Hit!B18,Stand!B18,Double!B18)</f>
        <v>-0.24150883119675959</v>
      </c>
      <c r="C18">
        <f>MAX(Hit!C18,Stand!C18,Double!C18)</f>
        <v>0.11027005064085793</v>
      </c>
      <c r="D18">
        <f>MAX(Hit!D18,Stand!D18,Double!D18)</f>
        <v>0.13797729703756356</v>
      </c>
      <c r="E18">
        <f>MAX(Hit!E18,Stand!E18,Double!E18)</f>
        <v>0.16626900252257676</v>
      </c>
      <c r="F18">
        <f>MAX(Hit!F18,Stand!F18,Double!F18)</f>
        <v>0.19494598568825822</v>
      </c>
      <c r="G18">
        <f>MAX(Hit!G18,Stand!G18,Double!G18)</f>
        <v>0.22344619530395254</v>
      </c>
      <c r="H18">
        <f>MAX(Hit!H18,Stand!H18,Double!H18)</f>
        <v>0.3995541673365518</v>
      </c>
      <c r="I18">
        <f>MAX(Hit!I18,Stand!I18,Double!I18)</f>
        <v>0.10595134861912359</v>
      </c>
      <c r="J18">
        <f>MAX(Hit!J18,Stand!J18,Double!J18)</f>
        <v>-0.18316335667343331</v>
      </c>
      <c r="K18">
        <f>MAX(Hit!K18,Stand!K18,Double!K18)</f>
        <v>-0.24150883119675959</v>
      </c>
      <c r="N18" s="31">
        <v>18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>
      <c r="A19">
        <v>19</v>
      </c>
      <c r="B19">
        <f>MAX(Hit!B19,Stand!B19,Double!B19)</f>
        <v>-1.8660154151531549E-2</v>
      </c>
      <c r="C19">
        <f>MAX(Hit!C19,Stand!C19,Double!C19)</f>
        <v>0.37811050632056864</v>
      </c>
      <c r="D19">
        <f>MAX(Hit!D19,Stand!D19,Double!D19)</f>
        <v>0.39698952530936887</v>
      </c>
      <c r="E19">
        <f>MAX(Hit!E19,Stand!E19,Double!E19)</f>
        <v>0.41633218577399039</v>
      </c>
      <c r="F19">
        <f>MAX(Hit!F19,Stand!F19,Double!F19)</f>
        <v>0.43621552609808445</v>
      </c>
      <c r="G19">
        <f>MAX(Hit!G19,Stand!G19,Double!G19)</f>
        <v>0.45312155897092921</v>
      </c>
      <c r="H19">
        <f>MAX(Hit!H19,Stand!H19,Double!H19)</f>
        <v>0.6159764957534315</v>
      </c>
      <c r="I19">
        <f>MAX(Hit!I19,Stand!I19,Double!I19)</f>
        <v>0.5938536682866945</v>
      </c>
      <c r="J19">
        <f>MAX(Hit!J19,Stand!J19,Double!J19)</f>
        <v>0.28759675706758142</v>
      </c>
      <c r="K19">
        <f>MAX(Hit!K19,Stand!K19,Double!K19)</f>
        <v>-1.8660154151531536E-2</v>
      </c>
      <c r="N19" s="31">
        <v>19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>
      <c r="A20">
        <v>20</v>
      </c>
      <c r="B20">
        <f>MAX(Hit!B20,Stand!B20,Double!B20)</f>
        <v>0.20418852289369649</v>
      </c>
      <c r="C20">
        <f>MAX(Hit!C20,Stand!C20,Double!C20)</f>
        <v>0.63507006739682603</v>
      </c>
      <c r="D20">
        <f>MAX(Hit!D20,Stand!D20,Double!D20)</f>
        <v>0.64584804747844671</v>
      </c>
      <c r="E20">
        <f>MAX(Hit!E20,Stand!E20,Double!E20)</f>
        <v>0.65694191851596806</v>
      </c>
      <c r="F20">
        <f>MAX(Hit!F20,Stand!F20,Double!F20)</f>
        <v>0.66838174379512039</v>
      </c>
      <c r="G20">
        <f>MAX(Hit!G20,Stand!G20,Double!G20)</f>
        <v>0.67824526128151064</v>
      </c>
      <c r="H20">
        <f>MAX(Hit!H20,Stand!H20,Double!H20)</f>
        <v>0.77322722653717491</v>
      </c>
      <c r="I20">
        <f>MAX(Hit!I20,Stand!I20,Double!I20)</f>
        <v>0.79181515955189841</v>
      </c>
      <c r="J20">
        <f>MAX(Hit!J20,Stand!J20,Double!J20)</f>
        <v>0.75835687080859626</v>
      </c>
      <c r="K20">
        <f>MAX(Hit!K20,Stand!K20,Double!K20)</f>
        <v>0.43495775366292722</v>
      </c>
      <c r="N20" s="31">
        <v>20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>
      <c r="A21">
        <v>21</v>
      </c>
      <c r="B21">
        <f>MAX(Hit!B21,Stand!B21,Double!B21)</f>
        <v>0.65780643070815525</v>
      </c>
      <c r="C21">
        <f>MAX(Hit!C21,Stand!C21,Double!C21)</f>
        <v>0.88036767955403561</v>
      </c>
      <c r="D21">
        <f>MAX(Hit!D21,Stand!D21,Double!D21)</f>
        <v>0.88382567504407128</v>
      </c>
      <c r="E21">
        <f>MAX(Hit!E21,Stand!E21,Double!E21)</f>
        <v>0.8873979451552183</v>
      </c>
      <c r="F21">
        <f>MAX(Hit!F21,Stand!F21,Double!F21)</f>
        <v>0.89109451098272041</v>
      </c>
      <c r="G21">
        <f>MAX(Hit!G21,Stand!G21,Double!G21)</f>
        <v>0.89426564087930194</v>
      </c>
      <c r="H21">
        <f>MAX(Hit!H21,Stand!H21,Double!H21)</f>
        <v>0.92592629596452325</v>
      </c>
      <c r="I21">
        <f>MAX(Hit!I21,Stand!I21,Double!I21)</f>
        <v>0.93060505318396614</v>
      </c>
      <c r="J21">
        <f>MAX(Hit!J21,Stand!J21,Double!J21)</f>
        <v>0.93917615614724415</v>
      </c>
      <c r="K21">
        <f>MAX(Hit!K21,Stand!K21,Double!K21)</f>
        <v>0.88857566147738598</v>
      </c>
      <c r="N21" s="31">
        <v>21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>
      <c r="A22">
        <v>22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22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>
      <c r="A23">
        <v>23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23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>
      <c r="A24">
        <v>24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24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>
      <c r="A25">
        <v>25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25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>
      <c r="A26">
        <v>26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26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>
      <c r="A27">
        <v>27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27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>
      <c r="A28">
        <v>28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28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>
      <c r="A29">
        <v>29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29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0" spans="1:24">
      <c r="A30">
        <v>30</v>
      </c>
      <c r="B30">
        <f>MAX(Hit!B30,Stand!B30,Double!B30)</f>
        <v>-1</v>
      </c>
      <c r="C30">
        <f>MAX(Hit!C30,Stand!C30,Double!C30)</f>
        <v>-1</v>
      </c>
      <c r="D30">
        <f>MAX(Hit!D30,Stand!D30,Double!D30)</f>
        <v>-1</v>
      </c>
      <c r="E30">
        <f>MAX(Hit!E30,Stand!E30,Double!E30)</f>
        <v>-1</v>
      </c>
      <c r="F30">
        <f>MAX(Hit!F30,Stand!F30,Double!F30)</f>
        <v>-1</v>
      </c>
      <c r="G30">
        <f>MAX(Hit!G30,Stand!G30,Double!G30)</f>
        <v>-1</v>
      </c>
      <c r="H30">
        <f>MAX(Hit!H30,Stand!H30,Double!H30)</f>
        <v>-1</v>
      </c>
      <c r="I30">
        <f>MAX(Hit!I30,Stand!I30,Double!I30)</f>
        <v>-1</v>
      </c>
      <c r="J30">
        <f>MAX(Hit!J30,Stand!J30,Double!J30)</f>
        <v>-1</v>
      </c>
      <c r="K30">
        <f>MAX(Hit!K30,Stand!K30,Double!K30)</f>
        <v>-1</v>
      </c>
      <c r="N30" s="31">
        <v>30</v>
      </c>
      <c r="O30" s="31" t="str">
        <f>IF(B30=HS!B30,HS!O30,"D")</f>
        <v>S</v>
      </c>
      <c r="P30" s="31" t="str">
        <f>IF(C30=HS!C30,HS!P30,"D")</f>
        <v>S</v>
      </c>
      <c r="Q30" s="31" t="str">
        <f>IF(D30=HS!D30,HS!Q30,"D")</f>
        <v>S</v>
      </c>
      <c r="R30" s="31" t="str">
        <f>IF(E30=HS!E30,HS!R30,"D")</f>
        <v>S</v>
      </c>
      <c r="S30" s="31" t="str">
        <f>IF(F30=HS!F30,HS!S30,"D")</f>
        <v>S</v>
      </c>
      <c r="T30" s="31" t="str">
        <f>IF(G30=HS!G30,HS!T30,"D")</f>
        <v>S</v>
      </c>
      <c r="U30" s="31" t="str">
        <f>IF(H30=HS!H30,HS!U30,"D")</f>
        <v>S</v>
      </c>
      <c r="V30" s="31" t="str">
        <f>IF(I30=HS!I30,HS!V30,"D")</f>
        <v>S</v>
      </c>
      <c r="W30" s="31" t="str">
        <f>IF(J30=HS!J30,HS!W30,"D")</f>
        <v>S</v>
      </c>
      <c r="X30" s="31" t="str">
        <f>IF(K30=HS!K30,HS!X30,"D")</f>
        <v>S</v>
      </c>
    </row>
    <row r="31" spans="1:24">
      <c r="A31">
        <v>31</v>
      </c>
      <c r="B31">
        <f>MAX(Hit!B31,Stand!B31,Double!B31)</f>
        <v>-1</v>
      </c>
      <c r="C31">
        <f>MAX(Hit!C31,Stand!C31,Double!C31)</f>
        <v>-1</v>
      </c>
      <c r="D31">
        <f>MAX(Hit!D31,Stand!D31,Double!D31)</f>
        <v>-1</v>
      </c>
      <c r="E31">
        <f>MAX(Hit!E31,Stand!E31,Double!E31)</f>
        <v>-1</v>
      </c>
      <c r="F31">
        <f>MAX(Hit!F31,Stand!F31,Double!F31)</f>
        <v>-1</v>
      </c>
      <c r="G31">
        <f>MAX(Hit!G31,Stand!G31,Double!G31)</f>
        <v>-1</v>
      </c>
      <c r="H31">
        <f>MAX(Hit!H31,Stand!H31,Double!H31)</f>
        <v>-1</v>
      </c>
      <c r="I31">
        <f>MAX(Hit!I31,Stand!I31,Double!I31)</f>
        <v>-1</v>
      </c>
      <c r="J31">
        <f>MAX(Hit!J31,Stand!J31,Double!J31)</f>
        <v>-1</v>
      </c>
      <c r="K31">
        <f>MAX(Hit!K31,Stand!K31,Double!K31)</f>
        <v>-1</v>
      </c>
      <c r="N31" s="31">
        <v>31</v>
      </c>
      <c r="O31" s="31" t="str">
        <f>IF(B31=HS!B31,HS!O31,"D")</f>
        <v>S</v>
      </c>
      <c r="P31" s="31" t="str">
        <f>IF(C31=HS!C31,HS!P31,"D")</f>
        <v>S</v>
      </c>
      <c r="Q31" s="31" t="str">
        <f>IF(D31=HS!D31,HS!Q31,"D")</f>
        <v>S</v>
      </c>
      <c r="R31" s="31" t="str">
        <f>IF(E31=HS!E31,HS!R31,"D")</f>
        <v>S</v>
      </c>
      <c r="S31" s="31" t="str">
        <f>IF(F31=HS!F31,HS!S31,"D")</f>
        <v>S</v>
      </c>
      <c r="T31" s="31" t="str">
        <f>IF(G31=HS!G31,HS!T31,"D")</f>
        <v>S</v>
      </c>
      <c r="U31" s="31" t="str">
        <f>IF(H31=HS!H31,HS!U31,"D")</f>
        <v>S</v>
      </c>
      <c r="V31" s="31" t="str">
        <f>IF(I31=HS!I31,HS!V31,"D")</f>
        <v>S</v>
      </c>
      <c r="W31" s="31" t="str">
        <f>IF(J31=HS!J31,HS!W31,"D")</f>
        <v>S</v>
      </c>
      <c r="X31" s="31" t="str">
        <f>IF(K31=HS!K31,HS!X31,"D")</f>
        <v>S</v>
      </c>
    </row>
    <row r="33" spans="1:24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>
      <c r="A34">
        <v>11</v>
      </c>
      <c r="B34">
        <f>MAX(Hit!B34,Stand!B34,Double!B34)</f>
        <v>7.4082476325384949E-2</v>
      </c>
      <c r="C34">
        <f>MAX(Hit!C34,Stand!C34,Double!C34)</f>
        <v>0.36718433729443645</v>
      </c>
      <c r="D34">
        <f>MAX(Hit!D34,Stand!D34,Double!D34)</f>
        <v>0.38546672777840169</v>
      </c>
      <c r="E34">
        <f>MAX(Hit!E34,Stand!E34,Double!E34)</f>
        <v>0.40466216034858221</v>
      </c>
      <c r="F34">
        <f>MAX(Hit!F34,Stand!F34,Double!F34)</f>
        <v>0.42492736008576909</v>
      </c>
      <c r="G34">
        <f>MAX(Hit!G34,Stand!G34,Double!G34)</f>
        <v>0.44516685699434155</v>
      </c>
      <c r="H34">
        <f>MAX(Hit!H34,Stand!H34,Double!H34)</f>
        <v>0.45736852128859351</v>
      </c>
      <c r="I34">
        <f>MAX(Hit!I34,Stand!I34,Double!I34)</f>
        <v>0.40074805174057659</v>
      </c>
      <c r="J34">
        <f>MAX(Hit!J34,Stand!J34,Double!J34)</f>
        <v>0.32142328174266549</v>
      </c>
      <c r="K34">
        <f>MAX(Hit!K34,Stand!K34,Double!K34)</f>
        <v>0.19656557835630536</v>
      </c>
      <c r="N34" s="31">
        <v>11</v>
      </c>
      <c r="O34" s="31" t="str">
        <f>IF(B34=HS!B34,HS!O34,"D")</f>
        <v>H</v>
      </c>
      <c r="P34" s="31" t="str">
        <f>IF(C34=HS!C34,HS!P34,"D")</f>
        <v>H</v>
      </c>
      <c r="Q34" s="31" t="str">
        <f>IF(D34=HS!D34,HS!Q34,"D")</f>
        <v>H</v>
      </c>
      <c r="R34" s="31" t="str">
        <f>IF(E34=HS!E34,HS!R34,"D")</f>
        <v>H</v>
      </c>
      <c r="S34" s="31" t="str">
        <f>IF(F34=HS!F34,HS!S34,"D")</f>
        <v>H</v>
      </c>
      <c r="T34" s="31" t="str">
        <f>IF(G34=HS!G34,HS!T34,"D")</f>
        <v>H</v>
      </c>
      <c r="U34" s="31" t="str">
        <f>IF(H34=HS!H34,HS!U34,"D")</f>
        <v>H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>
      <c r="A35">
        <v>12</v>
      </c>
      <c r="B35">
        <f>MAX(Hit!B35,Stand!B35,Double!B35)</f>
        <v>-0.20521353107155851</v>
      </c>
      <c r="C35">
        <f>MAX(Hit!C35,Stand!C35,Double!C35)</f>
        <v>7.9806247413893E-2</v>
      </c>
      <c r="D35">
        <f>MAX(Hit!D35,Stand!D35,Double!D35)</f>
        <v>0.10168040931703339</v>
      </c>
      <c r="E35">
        <f>MAX(Hit!E35,Stand!E35,Double!E35)</f>
        <v>0.12678682176669251</v>
      </c>
      <c r="F35">
        <f>MAX(Hit!F35,Stand!F35,Double!F35)</f>
        <v>0.15657444079812161</v>
      </c>
      <c r="G35">
        <f>MAX(Hit!G35,Stand!G35,Double!G35)</f>
        <v>0.18715034410732034</v>
      </c>
      <c r="H35">
        <f>MAX(Hit!H35,Stand!H35,Double!H35)</f>
        <v>0.16547293077063496</v>
      </c>
      <c r="I35">
        <f>MAX(Hit!I35,Stand!I35,Double!I35)</f>
        <v>9.5115020927032307E-2</v>
      </c>
      <c r="J35">
        <f>MAX(Hit!J35,Stand!J35,Double!J35)</f>
        <v>6.5790841226897296E-5</v>
      </c>
      <c r="K35">
        <f>MAX(Hit!K35,Stand!K35,Double!K35)</f>
        <v>-0.12808280155666141</v>
      </c>
      <c r="N35" s="31">
        <v>12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H</v>
      </c>
      <c r="T35" s="31" t="str">
        <f>IF(G35=HS!G35,HS!T35,"D")</f>
        <v>H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>
      <c r="A36">
        <v>13</v>
      </c>
      <c r="B36">
        <f>MAX(Hit!B36,Stand!B36,Double!B36)</f>
        <v>-0.23472177802444921</v>
      </c>
      <c r="C36">
        <f>MAX(Hit!C36,Stand!C36,Double!C36)</f>
        <v>4.6611316056980476E-2</v>
      </c>
      <c r="D36">
        <f>MAX(Hit!D36,Stand!D36,Double!D36)</f>
        <v>7.4096482508153511E-2</v>
      </c>
      <c r="E36">
        <f>MAX(Hit!E36,Stand!E36,Double!E36)</f>
        <v>0.10302707120599627</v>
      </c>
      <c r="F36">
        <f>MAX(Hit!F36,Stand!F36,Double!F36)</f>
        <v>0.13362751686623553</v>
      </c>
      <c r="G36">
        <f>MAX(Hit!G36,Stand!G36,Double!G36)</f>
        <v>0.16513483022847522</v>
      </c>
      <c r="H36">
        <f>MAX(Hit!H36,Stand!H36,Double!H36)</f>
        <v>0.12238569517899196</v>
      </c>
      <c r="I36">
        <f>MAX(Hit!I36,Stand!I36,Double!I36)</f>
        <v>5.4057070196311334E-2</v>
      </c>
      <c r="J36">
        <f>MAX(Hit!J36,Stand!J36,Double!J36)</f>
        <v>-3.7694688127479885E-2</v>
      </c>
      <c r="K36">
        <f>MAX(Hit!K36,Stand!K36,Double!K36)</f>
        <v>-0.16080628455762785</v>
      </c>
      <c r="N36" s="31">
        <v>13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H</v>
      </c>
      <c r="S36" s="31" t="str">
        <f>IF(F36=HS!F36,HS!S36,"D")</f>
        <v>H</v>
      </c>
      <c r="T36" s="31" t="str">
        <f>IF(G36=HS!G36,HS!T36,"D")</f>
        <v>H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>
      <c r="A37">
        <v>14</v>
      </c>
      <c r="B37">
        <f>MAX(Hit!B37,Stand!B37,Double!B37)</f>
        <v>-0.26406959413166387</v>
      </c>
      <c r="C37">
        <f>MAX(Hit!C37,Stand!C37,Double!C37)</f>
        <v>2.2814486278603666E-2</v>
      </c>
      <c r="D37">
        <f>MAX(Hit!D37,Stand!D37,Double!D37)</f>
        <v>5.1187035629558814E-2</v>
      </c>
      <c r="E37">
        <f>MAX(Hit!E37,Stand!E37,Double!E37)</f>
        <v>8.0964445685349773E-2</v>
      </c>
      <c r="F37">
        <f>MAX(Hit!F37,Stand!F37,Double!F37)</f>
        <v>0.11231965892948416</v>
      </c>
      <c r="G37">
        <f>MAX(Hit!G37,Stand!G37,Double!G37)</f>
        <v>0.1446918530552618</v>
      </c>
      <c r="H37">
        <f>MAX(Hit!H37,Stand!H37,Double!H37)</f>
        <v>7.9507488494468148E-2</v>
      </c>
      <c r="I37">
        <f>MAX(Hit!I37,Stand!I37,Double!I37)</f>
        <v>1.3277219463208478E-2</v>
      </c>
      <c r="J37">
        <f>MAX(Hit!J37,Stand!J37,Double!J37)</f>
        <v>-7.516318944168382E-2</v>
      </c>
      <c r="K37">
        <f>MAX(Hit!K37,Stand!K37,Double!K37)</f>
        <v>-0.1933035414076569</v>
      </c>
      <c r="N37" s="31">
        <v>14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H</v>
      </c>
      <c r="R37" s="31" t="str">
        <f>IF(E37=HS!E37,HS!R37,"D")</f>
        <v>H</v>
      </c>
      <c r="S37" s="31" t="str">
        <f>IF(F37=HS!F37,HS!S37,"D")</f>
        <v>H</v>
      </c>
      <c r="T37" s="31" t="str">
        <f>IF(G37=HS!G37,HS!T37,"D")</f>
        <v>H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>
      <c r="A38">
        <v>15</v>
      </c>
      <c r="B38">
        <f>MAX(Hit!B38,Stand!B38,Double!B38)</f>
        <v>-0.29312934580507005</v>
      </c>
      <c r="C38">
        <f>MAX(Hit!C38,Stand!C38,Double!C38)</f>
        <v>7.1743005582518391E-4</v>
      </c>
      <c r="D38">
        <f>MAX(Hit!D38,Stand!D38,Double!D38)</f>
        <v>2.9913977813720842E-2</v>
      </c>
      <c r="E38">
        <f>MAX(Hit!E38,Stand!E38,Double!E38)</f>
        <v>6.047772198760662E-2</v>
      </c>
      <c r="F38">
        <f>MAX(Hit!F38,Stand!F38,Double!F38)</f>
        <v>9.2533790845357913E-2</v>
      </c>
      <c r="G38">
        <f>MAX(Hit!G38,Stand!G38,Double!G38)</f>
        <v>0.12570908853727794</v>
      </c>
      <c r="H38">
        <f>MAX(Hit!H38,Stand!H38,Double!H38)</f>
        <v>3.7028282279269235E-2</v>
      </c>
      <c r="I38">
        <f>MAX(Hit!I38,Stand!I38,Double!I38)</f>
        <v>-2.7054780502901672E-2</v>
      </c>
      <c r="J38">
        <f>MAX(Hit!J38,Stand!J38,Double!J38)</f>
        <v>-0.11218876868994289</v>
      </c>
      <c r="K38">
        <f>MAX(Hit!K38,Stand!K38,Double!K38)</f>
        <v>-0.22543993358238781</v>
      </c>
      <c r="N38" s="31">
        <v>15</v>
      </c>
      <c r="O38" s="31" t="str">
        <f>IF(B38=HS!B38,HS!O38,"D")</f>
        <v>H</v>
      </c>
      <c r="P38" s="31" t="str">
        <f>IF(C38=HS!C38,HS!P38,"D")</f>
        <v>H</v>
      </c>
      <c r="Q38" s="31" t="str">
        <f>IF(D38=HS!D38,HS!Q38,"D")</f>
        <v>H</v>
      </c>
      <c r="R38" s="31" t="str">
        <f>IF(E38=HS!E38,HS!R38,"D")</f>
        <v>H</v>
      </c>
      <c r="S38" s="31" t="str">
        <f>IF(F38=HS!F38,HS!S38,"D")</f>
        <v>H</v>
      </c>
      <c r="T38" s="31" t="str">
        <f>IF(G38=HS!G38,HS!T38,"D")</f>
        <v>H</v>
      </c>
      <c r="U38" s="31" t="str">
        <f>IF(H38=HS!H38,HS!U38,"D")</f>
        <v>H</v>
      </c>
      <c r="V38" s="31" t="str">
        <f>IF(I38=HS!I38,HS!V38,"D")</f>
        <v>H</v>
      </c>
      <c r="W38" s="31" t="str">
        <f>IF(J38=HS!J38,HS!W38,"D")</f>
        <v>H</v>
      </c>
      <c r="X38" s="31" t="str">
        <f>IF(K38=HS!K38,HS!X38,"D")</f>
        <v>H</v>
      </c>
    </row>
    <row r="39" spans="1:24">
      <c r="A39">
        <v>16</v>
      </c>
      <c r="B39">
        <f>MAX(Hit!B39,Stand!B39,Double!B39)</f>
        <v>-0.31409107314591783</v>
      </c>
      <c r="C39">
        <f>MAX(Hit!C39,Stand!C39,Double!C39)</f>
        <v>-1.9801265008183407E-2</v>
      </c>
      <c r="D39">
        <f>MAX(Hit!D39,Stand!D39,Double!D39)</f>
        <v>1.0160424127585613E-2</v>
      </c>
      <c r="E39">
        <f>MAX(Hit!E39,Stand!E39,Double!E39)</f>
        <v>4.1454335696845056E-2</v>
      </c>
      <c r="F39">
        <f>MAX(Hit!F39,Stand!F39,Double!F39)</f>
        <v>7.4161199052954929E-2</v>
      </c>
      <c r="G39">
        <f>MAX(Hit!G39,Stand!G39,Double!G39)</f>
        <v>0.10808223577057864</v>
      </c>
      <c r="H39">
        <f>MAX(Hit!H39,Stand!H39,Double!H39)</f>
        <v>-4.8901571730158942E-3</v>
      </c>
      <c r="I39">
        <f>MAX(Hit!I39,Stand!I39,Double!I39)</f>
        <v>-6.6794847920094103E-2</v>
      </c>
      <c r="J39">
        <f>MAX(Hit!J39,Stand!J39,Double!J39)</f>
        <v>-0.14864353463007471</v>
      </c>
      <c r="K39">
        <f>MAX(Hit!K39,Stand!K39,Double!K39)</f>
        <v>-0.25710121084742421</v>
      </c>
      <c r="N39" s="31">
        <v>16</v>
      </c>
      <c r="O39" s="31" t="str">
        <f>IF(B39=HS!B39,HS!O39,"D")</f>
        <v>H</v>
      </c>
      <c r="P39" s="31" t="str">
        <f>IF(C39=HS!C39,HS!P39,"D")</f>
        <v>H</v>
      </c>
      <c r="Q39" s="31" t="str">
        <f>IF(D39=HS!D39,HS!Q39,"D")</f>
        <v>H</v>
      </c>
      <c r="R39" s="31" t="str">
        <f>IF(E39=HS!E39,HS!R39,"D")</f>
        <v>H</v>
      </c>
      <c r="S39" s="31" t="str">
        <f>IF(F39=HS!F39,HS!S39,"D")</f>
        <v>H</v>
      </c>
      <c r="T39" s="31" t="str">
        <f>IF(G39=HS!G39,HS!T39,"D")</f>
        <v>H</v>
      </c>
      <c r="U39" s="31" t="str">
        <f>IF(H39=HS!H39,HS!U39,"D")</f>
        <v>H</v>
      </c>
      <c r="V39" s="31" t="str">
        <f>IF(I39=HS!I39,HS!V39,"D")</f>
        <v>H</v>
      </c>
      <c r="W39" s="31" t="str">
        <f>IF(J39=HS!J39,HS!W39,"D")</f>
        <v>H</v>
      </c>
      <c r="X39" s="31" t="str">
        <f>IF(K39=HS!K39,HS!X39,"D")</f>
        <v>H</v>
      </c>
    </row>
    <row r="40" spans="1:24">
      <c r="A40">
        <v>17</v>
      </c>
      <c r="B40">
        <f>MAX(Hit!B40,Stand!B40,Double!B40)</f>
        <v>-0.30094774596936263</v>
      </c>
      <c r="C40">
        <f>MAX(Hit!C40,Stand!C40,Double!C40)</f>
        <v>-1.673172543840738E-3</v>
      </c>
      <c r="D40">
        <f>MAX(Hit!D40,Stand!D40,Double!D40)</f>
        <v>2.7911561721504739E-2</v>
      </c>
      <c r="E40">
        <f>MAX(Hit!E40,Stand!E40,Double!E40)</f>
        <v>5.876280075567035E-2</v>
      </c>
      <c r="F40">
        <f>MAX(Hit!F40,Stand!F40,Double!F40)</f>
        <v>9.0917775110499491E-2</v>
      </c>
      <c r="G40">
        <f>MAX(Hit!G40,Stand!G40,Double!G40)</f>
        <v>0.12452521015392595</v>
      </c>
      <c r="H40">
        <f>MAX(Hit!H40,Stand!H40,Double!H40)</f>
        <v>5.3823463716116654E-2</v>
      </c>
      <c r="I40">
        <f>MAX(Hit!I40,Stand!I40,Double!I40)</f>
        <v>-7.2915398729642075E-2</v>
      </c>
      <c r="J40">
        <f>MAX(Hit!J40,Stand!J40,Double!J40)</f>
        <v>-0.14978689218213323</v>
      </c>
      <c r="K40">
        <f>MAX(Hit!K40,Stand!K40,Double!K40)</f>
        <v>-0.24941602102444038</v>
      </c>
      <c r="N40" s="31">
        <v>17</v>
      </c>
      <c r="O40" s="31" t="str">
        <f>IF(B40=HS!B40,HS!O40,"D")</f>
        <v>H</v>
      </c>
      <c r="P40" s="31" t="str">
        <f>IF(C40=HS!C40,HS!P40,"D")</f>
        <v>H</v>
      </c>
      <c r="Q40" s="31" t="str">
        <f>IF(D40=HS!D40,HS!Q40,"D")</f>
        <v>H</v>
      </c>
      <c r="R40" s="31" t="str">
        <f>IF(E40=HS!E40,HS!R40,"D")</f>
        <v>H</v>
      </c>
      <c r="S40" s="31" t="str">
        <f>IF(F40=HS!F40,HS!S40,"D")</f>
        <v>H</v>
      </c>
      <c r="T40" s="31" t="str">
        <f>IF(G40=HS!G40,HS!T40,"D")</f>
        <v>H</v>
      </c>
      <c r="U40" s="31" t="str">
        <f>IF(H40=HS!H40,HS!U40,"D")</f>
        <v>H</v>
      </c>
      <c r="V40" s="31" t="str">
        <f>IF(I40=HS!I40,HS!V40,"D")</f>
        <v>H</v>
      </c>
      <c r="W40" s="31" t="str">
        <f>IF(J40=HS!J40,HS!W40,"D")</f>
        <v>H</v>
      </c>
      <c r="X40" s="31" t="str">
        <f>IF(K40=HS!K40,HS!X40,"D")</f>
        <v>H</v>
      </c>
    </row>
    <row r="41" spans="1:24">
      <c r="A41">
        <v>18</v>
      </c>
      <c r="B41">
        <f>MAX(Hit!B41,Stand!B41,Double!B41)</f>
        <v>-0.24150883119675959</v>
      </c>
      <c r="C41">
        <f>MAX(Hit!C41,Stand!C41,Double!C41)</f>
        <v>0.11027005064085793</v>
      </c>
      <c r="D41">
        <f>MAX(Hit!D41,Stand!D41,Double!D41)</f>
        <v>0.13797729703756356</v>
      </c>
      <c r="E41">
        <f>MAX(Hit!E41,Stand!E41,Double!E41)</f>
        <v>0.16626900252257676</v>
      </c>
      <c r="F41">
        <f>MAX(Hit!F41,Stand!F41,Double!F41)</f>
        <v>0.19494598568825822</v>
      </c>
      <c r="G41">
        <f>MAX(Hit!G41,Stand!G41,Double!G41)</f>
        <v>0.22344619530395254</v>
      </c>
      <c r="H41">
        <f>MAX(Hit!H41,Stand!H41,Double!H41)</f>
        <v>0.3995541673365518</v>
      </c>
      <c r="I41">
        <f>MAX(Hit!I41,Stand!I41,Double!I41)</f>
        <v>0.10595134861912359</v>
      </c>
      <c r="J41">
        <f>MAX(Hit!J41,Stand!J41,Double!J41)</f>
        <v>-0.10074430758041522</v>
      </c>
      <c r="K41">
        <f>MAX(Hit!K41,Stand!K41,Double!K41)</f>
        <v>-0.20109793381277147</v>
      </c>
      <c r="N41" s="31">
        <v>18</v>
      </c>
      <c r="O41" s="31" t="str">
        <f>IF(B41=HS!B41,HS!O41,"D")</f>
        <v>S</v>
      </c>
      <c r="P41" s="31" t="str">
        <f>IF(C41=HS!C41,HS!P41,"D")</f>
        <v>S</v>
      </c>
      <c r="Q41" s="31" t="str">
        <f>IF(D41=HS!D41,HS!Q41,"D")</f>
        <v>S</v>
      </c>
      <c r="R41" s="31" t="str">
        <f>IF(E41=HS!E41,HS!R41,"D")</f>
        <v>S</v>
      </c>
      <c r="S41" s="31" t="str">
        <f>IF(F41=HS!F41,HS!S41,"D")</f>
        <v>S</v>
      </c>
      <c r="T41" s="31" t="str">
        <f>IF(G41=HS!G41,HS!T41,"D")</f>
        <v>S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H</v>
      </c>
      <c r="X41" s="31" t="str">
        <f>IF(K41=HS!K41,HS!X41,"D")</f>
        <v>H</v>
      </c>
    </row>
    <row r="42" spans="1:24">
      <c r="A42">
        <v>19</v>
      </c>
      <c r="B42">
        <f>MAX(Hit!B42,Stand!B42,Double!B42)</f>
        <v>-1.8660154151531549E-2</v>
      </c>
      <c r="C42">
        <f>MAX(Hit!C42,Stand!C42,Double!C42)</f>
        <v>0.37811050632056864</v>
      </c>
      <c r="D42">
        <f>MAX(Hit!D42,Stand!D42,Double!D42)</f>
        <v>0.39698952530936887</v>
      </c>
      <c r="E42">
        <f>MAX(Hit!E42,Stand!E42,Double!E42)</f>
        <v>0.41633218577399039</v>
      </c>
      <c r="F42">
        <f>MAX(Hit!F42,Stand!F42,Double!F42)</f>
        <v>0.43621552609808445</v>
      </c>
      <c r="G42">
        <f>MAX(Hit!G42,Stand!G42,Double!G42)</f>
        <v>0.46105844830813802</v>
      </c>
      <c r="H42">
        <f>MAX(Hit!H42,Stand!H42,Double!H42)</f>
        <v>0.6159764957534315</v>
      </c>
      <c r="I42">
        <f>MAX(Hit!I42,Stand!I42,Double!I42)</f>
        <v>0.5938536682866945</v>
      </c>
      <c r="J42">
        <f>MAX(Hit!J42,Stand!J42,Double!J42)</f>
        <v>0.28759675706758142</v>
      </c>
      <c r="K42">
        <f>MAX(Hit!K42,Stand!K42,Double!K42)</f>
        <v>-1.8660154151531536E-2</v>
      </c>
      <c r="N42" s="31">
        <v>19</v>
      </c>
      <c r="O42" s="31" t="str">
        <f>IF(B42=HS!B42,HS!O42,"D")</f>
        <v>S</v>
      </c>
      <c r="P42" s="31" t="str">
        <f>IF(C42=HS!C42,HS!P42,"D")</f>
        <v>S</v>
      </c>
      <c r="Q42" s="31" t="str">
        <f>IF(D42=HS!D42,HS!Q42,"D")</f>
        <v>S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D</v>
      </c>
      <c r="U42" s="31" t="str">
        <f>IF(H42=HS!H42,HS!U42,"D")</f>
        <v>S</v>
      </c>
      <c r="V42" s="31" t="str">
        <f>IF(I42=HS!I42,HS!V42,"D")</f>
        <v>S</v>
      </c>
      <c r="W42" s="31" t="str">
        <f>IF(J42=HS!J42,HS!W42,"D")</f>
        <v>S</v>
      </c>
      <c r="X42" s="31" t="str">
        <f>IF(K42=HS!K42,HS!X42,"D")</f>
        <v>S</v>
      </c>
    </row>
    <row r="43" spans="1:24">
      <c r="A43">
        <v>20</v>
      </c>
      <c r="B43">
        <f>MAX(Hit!B43,Stand!B43,Double!B43)</f>
        <v>0.20418852289369649</v>
      </c>
      <c r="C43">
        <f>MAX(Hit!C43,Stand!C43,Double!C43)</f>
        <v>0.63507006739682603</v>
      </c>
      <c r="D43">
        <f>MAX(Hit!D43,Stand!D43,Double!D43)</f>
        <v>0.64584804747844671</v>
      </c>
      <c r="E43">
        <f>MAX(Hit!E43,Stand!E43,Double!E43)</f>
        <v>0.65694191851596806</v>
      </c>
      <c r="F43">
        <f>MAX(Hit!F43,Stand!F43,Double!F43)</f>
        <v>0.66838174379512039</v>
      </c>
      <c r="G43">
        <f>MAX(Hit!G43,Stand!G43,Double!G43)</f>
        <v>0.67824526128151064</v>
      </c>
      <c r="H43">
        <f>MAX(Hit!H43,Stand!H43,Double!H43)</f>
        <v>0.77322722653717491</v>
      </c>
      <c r="I43">
        <f>MAX(Hit!I43,Stand!I43,Double!I43)</f>
        <v>0.79181515955189841</v>
      </c>
      <c r="J43">
        <f>MAX(Hit!J43,Stand!J43,Double!J43)</f>
        <v>0.75835687080859626</v>
      </c>
      <c r="K43">
        <f>MAX(Hit!K43,Stand!K43,Double!K43)</f>
        <v>0.43495775366292722</v>
      </c>
      <c r="N43" s="31">
        <v>20</v>
      </c>
      <c r="O43" s="31" t="str">
        <f>IF(B43=HS!B43,HS!O43,"D")</f>
        <v>S</v>
      </c>
      <c r="P43" s="31" t="str">
        <f>IF(C43=HS!C43,HS!P43,"D")</f>
        <v>S</v>
      </c>
      <c r="Q43" s="31" t="str">
        <f>IF(D43=HS!D43,HS!Q43,"D")</f>
        <v>S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S</v>
      </c>
      <c r="V43" s="31" t="str">
        <f>IF(I43=HS!I43,HS!V43,"D")</f>
        <v>S</v>
      </c>
      <c r="W43" s="31" t="str">
        <f>IF(J43=HS!J43,HS!W43,"D")</f>
        <v>S</v>
      </c>
      <c r="X43" s="31" t="str">
        <f>IF(K43=HS!K43,HS!X43,"D")</f>
        <v>S</v>
      </c>
    </row>
    <row r="44" spans="1:24">
      <c r="A44">
        <v>21</v>
      </c>
      <c r="B44">
        <f>MAX(Hit!B44,Stand!B44,Double!B44)</f>
        <v>0.65780643070815525</v>
      </c>
      <c r="C44">
        <f>MAX(Hit!C44,Stand!C44,Double!C44)</f>
        <v>0.88036767955403561</v>
      </c>
      <c r="D44">
        <f>MAX(Hit!D44,Stand!D44,Double!D44)</f>
        <v>0.88382567504407128</v>
      </c>
      <c r="E44">
        <f>MAX(Hit!E44,Stand!E44,Double!E44)</f>
        <v>0.8873979451552183</v>
      </c>
      <c r="F44">
        <f>MAX(Hit!F44,Stand!F44,Double!F44)</f>
        <v>0.89109451098272041</v>
      </c>
      <c r="G44">
        <f>MAX(Hit!G44,Stand!G44,Double!G44)</f>
        <v>0.89426564087930194</v>
      </c>
      <c r="H44">
        <f>MAX(Hit!H44,Stand!H44,Double!H44)</f>
        <v>0.92592629596452325</v>
      </c>
      <c r="I44">
        <f>MAX(Hit!I44,Stand!I44,Double!I44)</f>
        <v>0.93060505318396614</v>
      </c>
      <c r="J44">
        <f>MAX(Hit!J44,Stand!J44,Double!J44)</f>
        <v>0.93917615614724415</v>
      </c>
      <c r="K44">
        <f>MAX(Hit!K44,Stand!K44,Double!K44)</f>
        <v>0.88857566147738598</v>
      </c>
      <c r="N44" s="31">
        <v>21</v>
      </c>
      <c r="O44" s="31" t="str">
        <f>IF(B44=HS!B44,HS!O44,"D")</f>
        <v>S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S</v>
      </c>
      <c r="V44" s="31" t="str">
        <f>IF(I44=HS!I44,HS!V44,"D")</f>
        <v>S</v>
      </c>
      <c r="W44" s="31" t="str">
        <f>IF(J44=HS!J44,HS!W44,"D")</f>
        <v>S</v>
      </c>
      <c r="X44" s="31" t="str">
        <f>IF(K44=HS!K44,HS!X44,"D")</f>
        <v>S</v>
      </c>
    </row>
    <row r="45" spans="1:24">
      <c r="A45">
        <v>22</v>
      </c>
      <c r="B45">
        <f>MAX(Hit!B45,Stand!B45,Double!B45)</f>
        <v>-0.46566058377683939</v>
      </c>
      <c r="C45">
        <f>MAX(Hit!C45,Stand!C45,Double!C45)</f>
        <v>-0.25375147059276615</v>
      </c>
      <c r="D45">
        <f>MAX(Hit!D45,Stand!D45,Double!D45)</f>
        <v>-0.23401617638713501</v>
      </c>
      <c r="E45">
        <f>MAX(Hit!E45,Stand!E45,Double!E45)</f>
        <v>-0.20584968608305471</v>
      </c>
      <c r="F45">
        <f>MAX(Hit!F45,Stand!F45,Double!F45)</f>
        <v>-0.16468249424828357</v>
      </c>
      <c r="G45">
        <f>MAX(Hit!G45,Stand!G45,Double!G45)</f>
        <v>-0.12106685019651225</v>
      </c>
      <c r="H45">
        <f>MAX(Hit!H45,Stand!H45,Double!H45)</f>
        <v>-0.21284771451731424</v>
      </c>
      <c r="I45">
        <f>MAX(Hit!I45,Stand!I45,Double!I45)</f>
        <v>-0.27157480502428616</v>
      </c>
      <c r="J45">
        <f>MAX(Hit!J45,Stand!J45,Double!J45)</f>
        <v>-0.3400132806089356</v>
      </c>
      <c r="K45">
        <f>MAX(Hit!K45,Stand!K45,Double!K45)</f>
        <v>-0.42069618899826788</v>
      </c>
      <c r="N45" s="31">
        <v>22</v>
      </c>
      <c r="O45" s="31" t="str">
        <f>IF(B45=HS!B45,HS!O45,"D")</f>
        <v>H</v>
      </c>
      <c r="P45" s="31" t="str">
        <f>IF(C45=HS!C45,HS!P45,"D")</f>
        <v>H</v>
      </c>
      <c r="Q45" s="31" t="str">
        <f>IF(D45=HS!D45,HS!Q45,"D")</f>
        <v>H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>
      <c r="A46">
        <v>23</v>
      </c>
      <c r="B46">
        <f>MAX(Hit!B46,Stand!B46,Double!B46)</f>
        <v>-0.50382768493563657</v>
      </c>
      <c r="C46">
        <f>MAX(Hit!C46,Stand!C46,Double!C46)</f>
        <v>-0.28654430084029509</v>
      </c>
      <c r="D46">
        <f>MAX(Hit!D46,Stand!D46,Double!D46)</f>
        <v>-0.24663577379217239</v>
      </c>
      <c r="E46">
        <f>MAX(Hit!E46,Stand!E46,Double!E46)</f>
        <v>-0.20584968608305471</v>
      </c>
      <c r="F46">
        <f>MAX(Hit!F46,Stand!F46,Double!F46)</f>
        <v>-0.16468249424828357</v>
      </c>
      <c r="G46">
        <f>MAX(Hit!G46,Stand!G46,Double!G46)</f>
        <v>-0.12106685019651225</v>
      </c>
      <c r="H46">
        <f>MAX(Hit!H46,Stand!H46,Double!H46)</f>
        <v>-0.26907287776607752</v>
      </c>
      <c r="I46">
        <f>MAX(Hit!I46,Stand!I46,Double!I46)</f>
        <v>-0.32360517609397998</v>
      </c>
      <c r="J46">
        <f>MAX(Hit!J46,Stand!J46,Double!J46)</f>
        <v>-0.38715518913686875</v>
      </c>
      <c r="K46">
        <f>MAX(Hit!K46,Stand!K46,Double!K46)</f>
        <v>-0.46207503264124877</v>
      </c>
      <c r="N46" s="31">
        <v>23</v>
      </c>
      <c r="O46" s="31" t="str">
        <f>IF(B46=HS!B46,HS!O46,"D")</f>
        <v>H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>
      <c r="A47">
        <v>24</v>
      </c>
      <c r="B47">
        <f>MAX(Hit!B47,Stand!B47,Double!B47)</f>
        <v>-0.53926856458309114</v>
      </c>
      <c r="C47">
        <f>MAX(Hit!C47,Stand!C47,Double!C47)</f>
        <v>-0.28654430084029509</v>
      </c>
      <c r="D47">
        <f>MAX(Hit!D47,Stand!D47,Double!D47)</f>
        <v>-0.24663577379217239</v>
      </c>
      <c r="E47">
        <f>MAX(Hit!E47,Stand!E47,Double!E47)</f>
        <v>-0.20584968608305471</v>
      </c>
      <c r="F47">
        <f>MAX(Hit!F47,Stand!F47,Double!F47)</f>
        <v>-0.16468249424828357</v>
      </c>
      <c r="G47">
        <f>MAX(Hit!G47,Stand!G47,Double!G47)</f>
        <v>-0.12106685019651225</v>
      </c>
      <c r="H47">
        <f>MAX(Hit!H47,Stand!H47,Double!H47)</f>
        <v>-0.3212819579256434</v>
      </c>
      <c r="I47">
        <f>MAX(Hit!I47,Stand!I47,Double!I47)</f>
        <v>-0.37191909208726714</v>
      </c>
      <c r="J47">
        <f>MAX(Hit!J47,Stand!J47,Double!J47)</f>
        <v>-0.43092981848423528</v>
      </c>
      <c r="K47">
        <f>MAX(Hit!K47,Stand!K47,Double!K47)</f>
        <v>-0.50049824459544523</v>
      </c>
      <c r="N47" s="31">
        <v>24</v>
      </c>
      <c r="O47" s="31" t="str">
        <f>IF(B47=HS!B47,HS!O47,"D")</f>
        <v>H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H</v>
      </c>
      <c r="V47" s="31" t="str">
        <f>IF(I47=HS!I47,HS!V47,"D")</f>
        <v>H</v>
      </c>
      <c r="W47" s="31" t="str">
        <f>IF(J47=HS!J47,HS!W47,"D")</f>
        <v>H</v>
      </c>
      <c r="X47" s="31" t="str">
        <f>IF(K47=HS!K47,HS!X47,"D")</f>
        <v>H</v>
      </c>
    </row>
    <row r="48" spans="1:24">
      <c r="A48">
        <v>25</v>
      </c>
      <c r="B48">
        <f>MAX(Hit!B48,Stand!B48,Double!B48)</f>
        <v>-0.572177952827156</v>
      </c>
      <c r="C48">
        <f>MAX(Hit!C48,Stand!C48,Double!C48)</f>
        <v>-0.28654430084029509</v>
      </c>
      <c r="D48">
        <f>MAX(Hit!D48,Stand!D48,Double!D48)</f>
        <v>-0.24663577379217239</v>
      </c>
      <c r="E48">
        <f>MAX(Hit!E48,Stand!E48,Double!E48)</f>
        <v>-0.20584968608305471</v>
      </c>
      <c r="F48">
        <f>MAX(Hit!F48,Stand!F48,Double!F48)</f>
        <v>-0.16468249424828357</v>
      </c>
      <c r="G48">
        <f>MAX(Hit!G48,Stand!G48,Double!G48)</f>
        <v>-0.12106685019651225</v>
      </c>
      <c r="H48">
        <f>MAX(Hit!H48,Stand!H48,Double!H48)</f>
        <v>-0.36976181807381175</v>
      </c>
      <c r="I48">
        <f>MAX(Hit!I48,Stand!I48,Double!I48)</f>
        <v>-0.41678201408103371</v>
      </c>
      <c r="J48">
        <f>MAX(Hit!J48,Stand!J48,Double!J48)</f>
        <v>-0.47157768859250415</v>
      </c>
      <c r="K48">
        <f>MAX(Hit!K48,Stand!K48,Double!K48)</f>
        <v>-0.53617694141005634</v>
      </c>
      <c r="N48" s="31">
        <v>25</v>
      </c>
      <c r="O48" s="31" t="str">
        <f>IF(B48=HS!B48,HS!O48,"D")</f>
        <v>H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H</v>
      </c>
      <c r="V48" s="31" t="str">
        <f>IF(I48=HS!I48,HS!V48,"D")</f>
        <v>H</v>
      </c>
      <c r="W48" s="31" t="str">
        <f>IF(J48=HS!J48,HS!W48,"D")</f>
        <v>H</v>
      </c>
      <c r="X48" s="31" t="str">
        <f>IF(K48=HS!K48,HS!X48,"D")</f>
        <v>H</v>
      </c>
    </row>
    <row r="49" spans="1:24">
      <c r="A49">
        <v>26</v>
      </c>
      <c r="B49">
        <f>MAX(Hit!B49,Stand!B49,Double!B49)</f>
        <v>-0.57578184676460165</v>
      </c>
      <c r="C49">
        <f>MAX(Hit!C49,Stand!C49,Double!C49)</f>
        <v>-0.28654430084029509</v>
      </c>
      <c r="D49">
        <f>MAX(Hit!D49,Stand!D49,Double!D49)</f>
        <v>-0.24663577379217239</v>
      </c>
      <c r="E49">
        <f>MAX(Hit!E49,Stand!E49,Double!E49)</f>
        <v>-0.20584968608305471</v>
      </c>
      <c r="F49">
        <f>MAX(Hit!F49,Stand!F49,Double!F49)</f>
        <v>-0.16468249424828357</v>
      </c>
      <c r="G49">
        <f>MAX(Hit!G49,Stand!G49,Double!G49)</f>
        <v>-0.12106685019651225</v>
      </c>
      <c r="H49">
        <f>MAX(Hit!H49,Stand!H49,Double!H49)</f>
        <v>-0.41477883106853947</v>
      </c>
      <c r="I49">
        <f>MAX(Hit!I49,Stand!I49,Double!I49)</f>
        <v>-0.45844044164667419</v>
      </c>
      <c r="J49">
        <f>MAX(Hit!J49,Stand!J49,Double!J49)</f>
        <v>-0.50932213940732529</v>
      </c>
      <c r="K49">
        <f>MAX(Hit!K49,Stand!K49,Double!K49)</f>
        <v>-0.56930715988076652</v>
      </c>
      <c r="N49" s="31">
        <v>26</v>
      </c>
      <c r="O49" s="31" t="str">
        <f>IF(B49=HS!B49,HS!O49,"D")</f>
        <v>S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H</v>
      </c>
      <c r="V49" s="31" t="str">
        <f>IF(I49=HS!I49,HS!V49,"D")</f>
        <v>H</v>
      </c>
      <c r="W49" s="31" t="str">
        <f>IF(J49=HS!J49,HS!W49,"D")</f>
        <v>H</v>
      </c>
      <c r="X49" s="31" t="str">
        <f>IF(K49=HS!K49,HS!X49,"D")</f>
        <v>H</v>
      </c>
    </row>
    <row r="50" spans="1:24">
      <c r="A50">
        <v>27</v>
      </c>
      <c r="B50">
        <f>MAX(Hit!B50,Stand!B50,Double!B50)</f>
        <v>-0.46435750824198752</v>
      </c>
      <c r="C50">
        <f>MAX(Hit!C50,Stand!C50,Double!C50)</f>
        <v>-0.15641021825706786</v>
      </c>
      <c r="D50">
        <f>MAX(Hit!D50,Stand!D50,Double!D50)</f>
        <v>-0.12030774273351591</v>
      </c>
      <c r="E50">
        <f>MAX(Hit!E50,Stand!E50,Double!E50)</f>
        <v>-8.3444052932191204E-2</v>
      </c>
      <c r="F50">
        <f>MAX(Hit!F50,Stand!F50,Double!F50)</f>
        <v>-4.6323554721567961E-2</v>
      </c>
      <c r="G50">
        <f>MAX(Hit!G50,Stand!G50,Double!G50)</f>
        <v>-6.2291683630239514E-3</v>
      </c>
      <c r="H50">
        <f>MAX(Hit!H50,Stand!H50,Double!H50)</f>
        <v>-0.10680898948269468</v>
      </c>
      <c r="I50">
        <f>MAX(Hit!I50,Stand!I50,Double!I50)</f>
        <v>-0.38195097104844711</v>
      </c>
      <c r="J50">
        <f>MAX(Hit!J50,Stand!J50,Double!J50)</f>
        <v>-0.42315423964521737</v>
      </c>
      <c r="K50">
        <f>MAX(Hit!K50,Stand!K50,Double!K50)</f>
        <v>-0.46435750824198763</v>
      </c>
      <c r="N50" s="31">
        <v>27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>
      <c r="A51">
        <v>28</v>
      </c>
      <c r="B51">
        <f>MAX(Hit!B51,Stand!B51,Double!B51)</f>
        <v>-0.24150883119675959</v>
      </c>
      <c r="C51">
        <f>MAX(Hit!C51,Stand!C51,Double!C51)</f>
        <v>0.11027005064085793</v>
      </c>
      <c r="D51">
        <f>MAX(Hit!D51,Stand!D51,Double!D51)</f>
        <v>0.13797729703756356</v>
      </c>
      <c r="E51">
        <f>MAX(Hit!E51,Stand!E51,Double!E51)</f>
        <v>0.16626900252257676</v>
      </c>
      <c r="F51">
        <f>MAX(Hit!F51,Stand!F51,Double!F51)</f>
        <v>0.19494598568825822</v>
      </c>
      <c r="G51">
        <f>MAX(Hit!G51,Stand!G51,Double!G51)</f>
        <v>0.22344619530395254</v>
      </c>
      <c r="H51">
        <f>MAX(Hit!H51,Stand!H51,Double!H51)</f>
        <v>0.3995541673365518</v>
      </c>
      <c r="I51">
        <f>MAX(Hit!I51,Stand!I51,Double!I51)</f>
        <v>0.10595134861912359</v>
      </c>
      <c r="J51">
        <f>MAX(Hit!J51,Stand!J51,Double!J51)</f>
        <v>-0.18316335667343331</v>
      </c>
      <c r="K51">
        <f>MAX(Hit!K51,Stand!K51,Double!K51)</f>
        <v>-0.24150883119675959</v>
      </c>
      <c r="N51" s="31">
        <v>28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>
      <c r="A52">
        <v>29</v>
      </c>
      <c r="B52">
        <f>MAX(Hit!B52,Stand!B52,Double!B52)</f>
        <v>-1.8660154151531549E-2</v>
      </c>
      <c r="C52">
        <f>MAX(Hit!C52,Stand!C52,Double!C52)</f>
        <v>0.37811050632056864</v>
      </c>
      <c r="D52">
        <f>MAX(Hit!D52,Stand!D52,Double!D52)</f>
        <v>0.39698952530936887</v>
      </c>
      <c r="E52">
        <f>MAX(Hit!E52,Stand!E52,Double!E52)</f>
        <v>0.41633218577399039</v>
      </c>
      <c r="F52">
        <f>MAX(Hit!F52,Stand!F52,Double!F52)</f>
        <v>0.43621552609808445</v>
      </c>
      <c r="G52">
        <f>MAX(Hit!G52,Stand!G52,Double!G52)</f>
        <v>0.45312155897092921</v>
      </c>
      <c r="H52">
        <f>MAX(Hit!H52,Stand!H52,Double!H52)</f>
        <v>0.6159764957534315</v>
      </c>
      <c r="I52">
        <f>MAX(Hit!I52,Stand!I52,Double!I52)</f>
        <v>0.5938536682866945</v>
      </c>
      <c r="J52">
        <f>MAX(Hit!J52,Stand!J52,Double!J52)</f>
        <v>0.28759675706758142</v>
      </c>
      <c r="K52">
        <f>MAX(Hit!K52,Stand!K52,Double!K52)</f>
        <v>-1.8660154151531536E-2</v>
      </c>
      <c r="N52" s="31">
        <v>29</v>
      </c>
      <c r="O52" s="31" t="str">
        <f>IF(B52=HS!B52,HS!O52,"D")</f>
        <v>S</v>
      </c>
      <c r="P52" s="31" t="str">
        <f>IF(C52=HS!C52,HS!P52,"D")</f>
        <v>S</v>
      </c>
      <c r="Q52" s="31" t="str">
        <f>IF(D52=HS!D52,HS!Q52,"D")</f>
        <v>S</v>
      </c>
      <c r="R52" s="31" t="str">
        <f>IF(E52=HS!E52,HS!R52,"D")</f>
        <v>S</v>
      </c>
      <c r="S52" s="31" t="str">
        <f>IF(F52=HS!F52,HS!S52,"D")</f>
        <v>S</v>
      </c>
      <c r="T52" s="31" t="str">
        <f>IF(G52=HS!G52,HS!T52,"D")</f>
        <v>S</v>
      </c>
      <c r="U52" s="31" t="str">
        <f>IF(H52=HS!H52,HS!U52,"D")</f>
        <v>S</v>
      </c>
      <c r="V52" s="31" t="str">
        <f>IF(I52=HS!I52,HS!V52,"D")</f>
        <v>S</v>
      </c>
      <c r="W52" s="31" t="str">
        <f>IF(J52=HS!J52,HS!W52,"D")</f>
        <v>S</v>
      </c>
      <c r="X52" s="31" t="str">
        <f>IF(K52=HS!K52,HS!X52,"D")</f>
        <v>S</v>
      </c>
    </row>
    <row r="53" spans="1:24">
      <c r="A53">
        <v>30</v>
      </c>
      <c r="B53">
        <f>MAX(Hit!B53,Stand!B53,Double!B53)</f>
        <v>0.20418852289369649</v>
      </c>
      <c r="C53">
        <f>MAX(Hit!C53,Stand!C53,Double!C53)</f>
        <v>0.63507006739682603</v>
      </c>
      <c r="D53">
        <f>MAX(Hit!D53,Stand!D53,Double!D53)</f>
        <v>0.64584804747844671</v>
      </c>
      <c r="E53">
        <f>MAX(Hit!E53,Stand!E53,Double!E53)</f>
        <v>0.65694191851596806</v>
      </c>
      <c r="F53">
        <f>MAX(Hit!F53,Stand!F53,Double!F53)</f>
        <v>0.66838174379512039</v>
      </c>
      <c r="G53">
        <f>MAX(Hit!G53,Stand!G53,Double!G53)</f>
        <v>0.67824526128151064</v>
      </c>
      <c r="H53">
        <f>MAX(Hit!H53,Stand!H53,Double!H53)</f>
        <v>0.77322722653717491</v>
      </c>
      <c r="I53">
        <f>MAX(Hit!I53,Stand!I53,Double!I53)</f>
        <v>0.79181515955189841</v>
      </c>
      <c r="J53">
        <f>MAX(Hit!J53,Stand!J53,Double!J53)</f>
        <v>0.75835687080859626</v>
      </c>
      <c r="K53">
        <f>MAX(Hit!K53,Stand!K53,Double!K53)</f>
        <v>0.43495775366292722</v>
      </c>
      <c r="N53" s="31">
        <v>30</v>
      </c>
      <c r="O53" s="31" t="str">
        <f>IF(B53=HS!B53,HS!O53,"D")</f>
        <v>S</v>
      </c>
      <c r="P53" s="31" t="str">
        <f>IF(C53=HS!C53,HS!P53,"D")</f>
        <v>S</v>
      </c>
      <c r="Q53" s="31" t="str">
        <f>IF(D53=HS!D53,HS!Q53,"D")</f>
        <v>S</v>
      </c>
      <c r="R53" s="31" t="str">
        <f>IF(E53=HS!E53,HS!R53,"D")</f>
        <v>S</v>
      </c>
      <c r="S53" s="31" t="str">
        <f>IF(F53=HS!F53,HS!S53,"D")</f>
        <v>S</v>
      </c>
      <c r="T53" s="31" t="str">
        <f>IF(G53=HS!G53,HS!T53,"D")</f>
        <v>S</v>
      </c>
      <c r="U53" s="31" t="str">
        <f>IF(H53=HS!H53,HS!U53,"D")</f>
        <v>S</v>
      </c>
      <c r="V53" s="31" t="str">
        <f>IF(I53=HS!I53,HS!V53,"D")</f>
        <v>S</v>
      </c>
      <c r="W53" s="31" t="str">
        <f>IF(J53=HS!J53,HS!W53,"D")</f>
        <v>S</v>
      </c>
      <c r="X53" s="31" t="str">
        <f>IF(K53=HS!K53,HS!X53,"D")</f>
        <v>S</v>
      </c>
    </row>
    <row r="54" spans="1:24">
      <c r="A54">
        <v>31</v>
      </c>
      <c r="B54">
        <f>MAX(Hit!B54,Stand!B54,Double!B54)</f>
        <v>0.65780643070815525</v>
      </c>
      <c r="C54">
        <f>MAX(Hit!C54,Stand!C54,Double!C54)</f>
        <v>0.88036767955403561</v>
      </c>
      <c r="D54">
        <f>MAX(Hit!D54,Stand!D54,Double!D54)</f>
        <v>0.88382567504407128</v>
      </c>
      <c r="E54">
        <f>MAX(Hit!E54,Stand!E54,Double!E54)</f>
        <v>0.8873979451552183</v>
      </c>
      <c r="F54">
        <f>MAX(Hit!F54,Stand!F54,Double!F54)</f>
        <v>0.89109451098272041</v>
      </c>
      <c r="G54">
        <f>MAX(Hit!G54,Stand!G54,Double!G54)</f>
        <v>0.89426564087930194</v>
      </c>
      <c r="H54">
        <f>MAX(Hit!H54,Stand!H54,Double!H54)</f>
        <v>0.92592629596452325</v>
      </c>
      <c r="I54">
        <f>MAX(Hit!I54,Stand!I54,Double!I54)</f>
        <v>0.93060505318396614</v>
      </c>
      <c r="J54">
        <f>MAX(Hit!J54,Stand!J54,Double!J54)</f>
        <v>0.93917615614724415</v>
      </c>
      <c r="K54">
        <f>MAX(Hit!K54,Stand!K54,Double!K54)</f>
        <v>0.88857566147738598</v>
      </c>
      <c r="N54" s="31">
        <v>31</v>
      </c>
      <c r="O54" s="31" t="str">
        <f>IF(B54=HS!B54,HS!O54,"D")</f>
        <v>S</v>
      </c>
      <c r="P54" s="31" t="str">
        <f>IF(C54=HS!C54,HS!P54,"D")</f>
        <v>S</v>
      </c>
      <c r="Q54" s="31" t="str">
        <f>IF(D54=HS!D54,HS!Q54,"D")</f>
        <v>S</v>
      </c>
      <c r="R54" s="31" t="str">
        <f>IF(E54=HS!E54,HS!R54,"D")</f>
        <v>S</v>
      </c>
      <c r="S54" s="31" t="str">
        <f>IF(F54=HS!F54,HS!S54,"D")</f>
        <v>S</v>
      </c>
      <c r="T54" s="31" t="str">
        <f>IF(G54=HS!G54,HS!T54,"D")</f>
        <v>S</v>
      </c>
      <c r="U54" s="31" t="str">
        <f>IF(H54=HS!H54,HS!U54,"D")</f>
        <v>S</v>
      </c>
      <c r="V54" s="31" t="str">
        <f>IF(I54=HS!I54,HS!V54,"D")</f>
        <v>S</v>
      </c>
      <c r="W54" s="31" t="str">
        <f>IF(J54=HS!J54,HS!W54,"D")</f>
        <v>S</v>
      </c>
      <c r="X54" s="31" t="str">
        <f>IF(K54=HS!K54,HS!X54,"D")</f>
        <v>S</v>
      </c>
    </row>
  </sheetData>
  <sheetProtection sheet="1" objects="1" scenarios="1"/>
  <phoneticPr fontId="16" type="noConversion"/>
  <conditionalFormatting sqref="O2:X31">
    <cfRule type="containsText" dxfId="715" priority="16" operator="containsText" text="S">
      <formula>NOT(ISERROR(SEARCH("S",O2)))</formula>
    </cfRule>
    <cfRule type="containsText" dxfId="714" priority="17" operator="containsText" text="H">
      <formula>NOT(ISERROR(SEARCH("H",O2)))</formula>
    </cfRule>
  </conditionalFormatting>
  <conditionalFormatting sqref="O2:X31">
    <cfRule type="containsText" dxfId="713" priority="13" operator="containsText" text="D">
      <formula>NOT(ISERROR(SEARCH("D",O2)))</formula>
    </cfRule>
  </conditionalFormatting>
  <conditionalFormatting sqref="O34:X54">
    <cfRule type="containsText" dxfId="712" priority="2" operator="containsText" text="S">
      <formula>NOT(ISERROR(SEARCH("S",O34)))</formula>
    </cfRule>
    <cfRule type="containsText" dxfId="711" priority="3" operator="containsText" text="H">
      <formula>NOT(ISERROR(SEARCH("H",O34)))</formula>
    </cfRule>
  </conditionalFormatting>
  <conditionalFormatting sqref="O34:X54">
    <cfRule type="containsText" dxfId="710" priority="1" operator="containsText" text="D">
      <formula>NOT(ISERROR(SEARCH("D",O34)))</formula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54"/>
  <sheetViews>
    <sheetView workbookViewId="0">
      <selection activeCell="K9" sqref="K9"/>
    </sheetView>
  </sheetViews>
  <sheetFormatPr baseColWidth="10" defaultColWidth="8.83203125" defaultRowHeight="16"/>
  <sheetData>
    <row r="1" spans="1:11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2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>
      <c r="A3">
        <v>3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>
      <c r="A4">
        <v>4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>
      <c r="A5">
        <v>5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>
      <c r="A6">
        <v>6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>
      <c r="A7">
        <v>7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>
      <c r="A8">
        <v>8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>
      <c r="A9">
        <v>9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>
      <c r="A10">
        <v>10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>
      <c r="A11">
        <v>11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>
      <c r="A12">
        <v>12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>
      <c r="A13">
        <v>13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>
      <c r="A14">
        <v>14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>
      <c r="A15">
        <v>15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>
      <c r="A16">
        <v>16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>
      <c r="A17">
        <v>17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>
      <c r="A18">
        <v>18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>
      <c r="A19">
        <v>19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>
      <c r="A20">
        <v>20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>
      <c r="A21">
        <v>21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>
      <c r="A22">
        <v>22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>
      <c r="A23">
        <v>23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>
      <c r="A24">
        <v>24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>
      <c r="A25">
        <v>25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>
      <c r="A26">
        <v>26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>
      <c r="A27">
        <v>27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>
      <c r="A28">
        <v>28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>
      <c r="A29">
        <v>29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0" spans="1:11">
      <c r="A30">
        <v>30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</row>
    <row r="31" spans="1:11">
      <c r="A31">
        <v>31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</row>
    <row r="33" spans="1:11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>
      <c r="A34">
        <v>11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>
      <c r="A35">
        <v>12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>
      <c r="A36">
        <v>13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>
      <c r="A37">
        <v>14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>
      <c r="A38">
        <v>15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>
      <c r="A39">
        <v>16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>
      <c r="A40">
        <v>17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>
      <c r="A41">
        <v>18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>
      <c r="A42">
        <v>19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>
      <c r="A43">
        <v>20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>
      <c r="A44">
        <v>21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>
      <c r="A45">
        <v>22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>
      <c r="A46">
        <v>23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>
      <c r="A47">
        <v>24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>
      <c r="A48">
        <v>25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>
      <c r="A49">
        <v>26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>
      <c r="A50">
        <v>27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>
      <c r="A51">
        <v>28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>
      <c r="A52">
        <v>29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</row>
    <row r="53" spans="1:11">
      <c r="A53">
        <v>30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</row>
    <row r="54" spans="1:11">
      <c r="A54">
        <v>31</v>
      </c>
      <c r="B54">
        <v>-0.5</v>
      </c>
      <c r="C54">
        <v>-0.5</v>
      </c>
      <c r="D54">
        <v>-0.5</v>
      </c>
      <c r="E54">
        <v>-0.5</v>
      </c>
      <c r="F54">
        <v>-0.5</v>
      </c>
      <c r="G54">
        <v>-0.5</v>
      </c>
      <c r="H54">
        <v>-0.5</v>
      </c>
      <c r="I54">
        <v>-0.5</v>
      </c>
      <c r="J54">
        <v>-0.5</v>
      </c>
      <c r="K54">
        <v>-0.5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54"/>
  <sheetViews>
    <sheetView workbookViewId="0">
      <selection activeCell="O1" sqref="O1:O1048576"/>
    </sheetView>
  </sheetViews>
  <sheetFormatPr baseColWidth="10" defaultColWidth="8.83203125" defaultRowHeight="16"/>
  <cols>
    <col min="12" max="12" width="4.83203125" customWidth="1"/>
    <col min="13" max="13" width="4.6640625" customWidth="1"/>
    <col min="14" max="24" width="4" style="31" customWidth="1"/>
  </cols>
  <sheetData>
    <row r="1" spans="1:24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>
      <c r="A2">
        <v>2</v>
      </c>
      <c r="B2">
        <f>IF(AND(Rules!$B$8=Rules!$D$8,Rules!$B$7=Rules!$D$7),MAX(Hit!B2,Stand!B2,Double!B2,Surrender!B2),MAX(Hit!B2,Stand!B2,Double!B2))</f>
        <v>-0.34456837192534162</v>
      </c>
      <c r="C2">
        <f>IF(Rules!$B$7=Rules!$D$7,MAX(Hit!C2,Stand!C2,Double!C2,Surrender!C2),MAX(Hit!C2,Stand!C2,Double!C2))</f>
        <v>-7.6036139649632559E-2</v>
      </c>
      <c r="D2">
        <f>IF(Rules!$B$7=Rules!$D$7,MAX(Hit!D2,Stand!D2,Double!D2,Surrender!D2),MAX(Hit!D2,Stand!D2,Double!D2))</f>
        <v>-4.9887284329707869E-2</v>
      </c>
      <c r="E2">
        <f>IF(Rules!$B$7=Rules!$D$7,MAX(Hit!E2,Stand!E2,Double!E2,Surrender!E2),MAX(Hit!E2,Stand!E2,Double!E2))</f>
        <v>-2.016020969670709E-2</v>
      </c>
      <c r="F2">
        <f>IF(Rules!$B$7=Rules!$D$7,MAX(Hit!F2,Stand!F2,Double!F2,Surrender!F2),MAX(Hit!F2,Stand!F2,Double!F2))</f>
        <v>1.4664203829548531E-2</v>
      </c>
      <c r="G2">
        <f>IF(Rules!$B$7=Rules!$D$7,MAX(Hit!G2,Stand!G2,Double!G2,Surrender!G2),MAX(Hit!G2,Stand!G2,Double!G2))</f>
        <v>5.10276420282465E-2</v>
      </c>
      <c r="H2">
        <f>IF(Rules!$B$7=Rules!$D$7,MAX(Hit!H2,Stand!H2,Double!H2,Surrender!H2),MAX(Hit!H2,Stand!H2,Double!H2))</f>
        <v>-2.7257021375862247E-2</v>
      </c>
      <c r="I2">
        <f>IF(Rules!$B$7=Rules!$D$7,MAX(Hit!I2,Stand!I2,Double!I2,Surrender!I2),MAX(Hit!I2,Stand!I2,Double!I2))</f>
        <v>-0.10316172777512723</v>
      </c>
      <c r="J2">
        <f>IF(Rules!$B$7=Rules!$D$7,MAX(Hit!J2,Stand!J2,Double!J2,Surrender!J2),MAX(Hit!J2,Stand!J2,Double!J2))</f>
        <v>-0.19004714305350842</v>
      </c>
      <c r="K2">
        <f>IF(Rules!$B$7=Rules!$D$7,MAX(Hit!K2,Stand!K2,Double!K2,Surrender!K2),MAX(Hit!K2,Stand!K2,Double!K2))</f>
        <v>-0.29096372773977425</v>
      </c>
      <c r="N2" s="31">
        <v>2</v>
      </c>
      <c r="O2" s="31" t="str">
        <f>IF(B2=Surrender!B2,"R",HSD!O2)</f>
        <v>H</v>
      </c>
      <c r="P2" s="31" t="str">
        <f>IF(C2=Surrender!C2,"R",HSD!P2)</f>
        <v>H</v>
      </c>
      <c r="Q2" s="31" t="str">
        <f>IF(D2=Surrender!D2,"R",HSD!Q2)</f>
        <v>H</v>
      </c>
      <c r="R2" s="31" t="str">
        <f>IF(E2=Surrender!E2,"R",HSD!R2)</f>
        <v>H</v>
      </c>
      <c r="S2" s="31" t="str">
        <f>IF(F2=Surrender!F2,"R",HSD!S2)</f>
        <v>H</v>
      </c>
      <c r="T2" s="31" t="str">
        <f>IF(G2=Surrender!G2,"R",HSD!T2)</f>
        <v>H</v>
      </c>
      <c r="U2" s="31" t="str">
        <f>IF(H2=Surrender!H2,"R",HSD!U2)</f>
        <v>H</v>
      </c>
      <c r="V2" s="31" t="str">
        <f>IF(I2=Surrender!I2,"R",HSD!V2)</f>
        <v>H</v>
      </c>
      <c r="W2" s="31" t="str">
        <f>IF(J2=Surrender!J2,"R",HSD!W2)</f>
        <v>H</v>
      </c>
      <c r="X2" s="31" t="str">
        <f>IF(K2=Surrender!K2,"R",HSD!X2)</f>
        <v>H</v>
      </c>
    </row>
    <row r="3" spans="1:24">
      <c r="A3">
        <v>3</v>
      </c>
      <c r="B3">
        <f>IF(AND(Rules!$B$8=Rules!$D$8,Rules!$B$7=Rules!$D$7),MAX(Hit!B3,Stand!B3,Double!B3,Surrender!B3),MAX(Hit!B3,Stand!B3,Double!B3))</f>
        <v>-0.36474464099475529</v>
      </c>
      <c r="C3">
        <f>IF(Rules!$B$7=Rules!$D$7,MAX(Hit!C3,Stand!C3,Double!C3,Surrender!C3),MAX(Hit!C3,Stand!C3,Double!C3))</f>
        <v>-9.8794923007326521E-2</v>
      </c>
      <c r="D3">
        <f>IF(Rules!$B$7=Rules!$D$7,MAX(Hit!D3,Stand!D3,Double!D3,Surrender!D3),MAX(Hit!D3,Stand!D3,Double!D3))</f>
        <v>-6.7321319741442009E-2</v>
      </c>
      <c r="E3">
        <f>IF(Rules!$B$7=Rules!$D$7,MAX(Hit!E3,Stand!E3,Double!E3,Surrender!E3),MAX(Hit!E3,Stand!E3,Double!E3))</f>
        <v>-3.4079494605979782E-2</v>
      </c>
      <c r="F3">
        <f>IF(Rules!$B$7=Rules!$D$7,MAX(Hit!F3,Stand!F3,Double!F3,Surrender!F3),MAX(Hit!F3,Stand!F3,Double!F3))</f>
        <v>1.2204515413239724E-3</v>
      </c>
      <c r="G3">
        <f>IF(Rules!$B$7=Rules!$D$7,MAX(Hit!G3,Stand!G3,Double!G3,Surrender!G3),MAX(Hit!G3,Stand!G3,Double!G3))</f>
        <v>3.8127730665612251E-2</v>
      </c>
      <c r="H3">
        <f>IF(Rules!$B$7=Rules!$D$7,MAX(Hit!H3,Stand!H3,Double!H3,Surrender!H3),MAX(Hit!H3,Stand!H3,Double!H3))</f>
        <v>-5.7437588540356667E-2</v>
      </c>
      <c r="I3">
        <f>IF(Rules!$B$7=Rules!$D$7,MAX(Hit!I3,Stand!I3,Double!I3,Surrender!I3),MAX(Hit!I3,Stand!I3,Double!I3))</f>
        <v>-0.13094188065020099</v>
      </c>
      <c r="J3">
        <f>IF(Rules!$B$7=Rules!$D$7,MAX(Hit!J3,Stand!J3,Double!J3,Surrender!J3),MAX(Hit!J3,Stand!J3,Double!J3))</f>
        <v>-0.21507662281362433</v>
      </c>
      <c r="K3">
        <f>IF(Rules!$B$7=Rules!$D$7,MAX(Hit!K3,Stand!K3,Double!K3,Surrender!K3),MAX(Hit!K3,Stand!K3,Double!K3))</f>
        <v>-0.31277980128259808</v>
      </c>
      <c r="N3" s="31">
        <v>3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>
      <c r="A4">
        <v>4</v>
      </c>
      <c r="B4">
        <f>IF(AND(Rules!$B$8=Rules!$D$8,Rules!$B$7=Rules!$D$7),MAX(Hit!B4,Stand!B4,Double!B4,Surrender!B4),MAX(Hit!B4,Stand!B4,Double!B4))</f>
        <v>-0.38538530661686615</v>
      </c>
      <c r="C4">
        <f>IF(Rules!$B$7=Rules!$D$7,MAX(Hit!C4,Stand!C4,Double!C4,Surrender!C4),MAX(Hit!C4,Stand!C4,Double!C4))</f>
        <v>-0.11285543771123717</v>
      </c>
      <c r="D4">
        <f>IF(Rules!$B$7=Rules!$D$7,MAX(Hit!D4,Stand!D4,Double!D4,Surrender!D4),MAX(Hit!D4,Stand!D4,Double!D4))</f>
        <v>-8.0761552533335321E-2</v>
      </c>
      <c r="E4">
        <f>IF(Rules!$B$7=Rules!$D$7,MAX(Hit!E4,Stand!E4,Double!E4,Surrender!E4),MAX(Hit!E4,Stand!E4,Double!E4))</f>
        <v>-4.6961607783156195E-2</v>
      </c>
      <c r="F4">
        <f>IF(Rules!$B$7=Rules!$D$7,MAX(Hit!F4,Stand!F4,Double!F4,Surrender!F4),MAX(Hit!F4,Stand!F4,Double!F4))</f>
        <v>-1.122157243811568E-2</v>
      </c>
      <c r="G4">
        <f>IF(Rules!$B$7=Rules!$D$7,MAX(Hit!G4,Stand!G4,Double!G4,Surrender!G4),MAX(Hit!G4,Stand!G4,Double!G4))</f>
        <v>2.6189020344519497E-2</v>
      </c>
      <c r="H4">
        <f>IF(Rules!$B$7=Rules!$D$7,MAX(Hit!H4,Stand!H4,Double!H4,Surrender!H4),MAX(Hit!H4,Stand!H4,Double!H4))</f>
        <v>-8.8279201058463722E-2</v>
      </c>
      <c r="I4">
        <f>IF(Rules!$B$7=Rules!$D$7,MAX(Hit!I4,Stand!I4,Double!I4,Surrender!I4),MAX(Hit!I4,Stand!I4,Double!I4))</f>
        <v>-0.15933415266020512</v>
      </c>
      <c r="J4">
        <f>IF(Rules!$B$7=Rules!$D$7,MAX(Hit!J4,Stand!J4,Double!J4,Surrender!J4),MAX(Hit!J4,Stand!J4,Double!J4))</f>
        <v>-0.24066617915336547</v>
      </c>
      <c r="K4">
        <f>IF(Rules!$B$7=Rules!$D$7,MAX(Hit!K4,Stand!K4,Double!K4,Surrender!K4),MAX(Hit!K4,Stand!K4,Double!K4))</f>
        <v>-0.33509986436351097</v>
      </c>
      <c r="N4" s="31">
        <v>4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>
      <c r="A5">
        <v>5</v>
      </c>
      <c r="B5">
        <f>IF(AND(Rules!$B$8=Rules!$D$8,Rules!$B$7=Rules!$D$7),MAX(Hit!B5,Stand!B5,Double!B5,Surrender!B5),MAX(Hit!B5,Stand!B5,Double!B5))</f>
        <v>-0.40632230211141912</v>
      </c>
      <c r="C5">
        <f>IF(Rules!$B$7=Rules!$D$7,MAX(Hit!C5,Stand!C5,Double!C5,Surrender!C5),MAX(Hit!C5,Stand!C5,Double!C5))</f>
        <v>-0.12585466591223504</v>
      </c>
      <c r="D5">
        <f>IF(Rules!$B$7=Rules!$D$7,MAX(Hit!D5,Stand!D5,Double!D5,Surrender!D5),MAX(Hit!D5,Stand!D5,Double!D5))</f>
        <v>-9.3185805313397596E-2</v>
      </c>
      <c r="E5">
        <f>IF(Rules!$B$7=Rules!$D$7,MAX(Hit!E5,Stand!E5,Double!E5,Surrender!E5),MAX(Hit!E5,Stand!E5,Double!E5))</f>
        <v>-5.8868938477504656E-2</v>
      </c>
      <c r="F5">
        <f>IF(Rules!$B$7=Rules!$D$7,MAX(Hit!F5,Stand!F5,Double!F5,Surrender!F5),MAX(Hit!F5,Stand!F5,Double!F5))</f>
        <v>-2.2722050599694302E-2</v>
      </c>
      <c r="G5">
        <f>IF(Rules!$B$7=Rules!$D$7,MAX(Hit!G5,Stand!G5,Double!G5,Surrender!G5),MAX(Hit!G5,Stand!G5,Double!G5))</f>
        <v>1.5153619459709739E-2</v>
      </c>
      <c r="H5">
        <f>IF(Rules!$B$7=Rules!$D$7,MAX(Hit!H5,Stand!H5,Double!H5,Surrender!H5),MAX(Hit!H5,Stand!H5,Double!H5))</f>
        <v>-0.11944744188414852</v>
      </c>
      <c r="I5">
        <f>IF(Rules!$B$7=Rules!$D$7,MAX(Hit!I5,Stand!I5,Double!I5,Surrender!I5),MAX(Hit!I5,Stand!I5,Double!I5))</f>
        <v>-0.18809330390318518</v>
      </c>
      <c r="J5">
        <f>IF(Rules!$B$7=Rules!$D$7,MAX(Hit!J5,Stand!J5,Double!J5,Surrender!J5),MAX(Hit!J5,Stand!J5,Double!J5))</f>
        <v>-0.26661505335795899</v>
      </c>
      <c r="K5">
        <f>IF(Rules!$B$7=Rules!$D$7,MAX(Hit!K5,Stand!K5,Double!K5,Surrender!K5),MAX(Hit!K5,Stand!K5,Double!K5))</f>
        <v>-0.3577434525808979</v>
      </c>
      <c r="N5" s="31">
        <v>5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>
      <c r="A6">
        <v>6</v>
      </c>
      <c r="B6">
        <f>IF(AND(Rules!$B$8=Rules!$D$8,Rules!$B$7=Rules!$D$7),MAX(Hit!B6,Stand!B6,Double!B6,Surrender!B6),MAX(Hit!B6,Stand!B6,Double!B6))</f>
        <v>-0.41968690347101079</v>
      </c>
      <c r="C6">
        <f>IF(Rules!$B$7=Rules!$D$7,MAX(Hit!C6,Stand!C6,Double!C6,Surrender!C6),MAX(Hit!C6,Stand!C6,Double!C6))</f>
        <v>-0.1380730292913315</v>
      </c>
      <c r="D6">
        <f>IF(Rules!$B$7=Rules!$D$7,MAX(Hit!D6,Stand!D6,Double!D6,Surrender!D6),MAX(Hit!D6,Stand!D6,Double!D6))</f>
        <v>-0.10487404133749784</v>
      </c>
      <c r="E6">
        <f>IF(Rules!$B$7=Rules!$D$7,MAX(Hit!E6,Stand!E6,Double!E6,Surrender!E6),MAX(Hit!E6,Stand!E6,Double!E6))</f>
        <v>-7.0077773347286057E-2</v>
      </c>
      <c r="F6">
        <f>IF(Rules!$B$7=Rules!$D$7,MAX(Hit!F6,Stand!F6,Double!F6,Surrender!F6),MAX(Hit!F6,Stand!F6,Double!F6))</f>
        <v>-3.3548869940164566E-2</v>
      </c>
      <c r="G6">
        <f>IF(Rules!$B$7=Rules!$D$7,MAX(Hit!G6,Stand!G6,Double!G6,Surrender!G6),MAX(Hit!G6,Stand!G6,Double!G6))</f>
        <v>4.7665085393153788E-3</v>
      </c>
      <c r="H6">
        <f>IF(Rules!$B$7=Rules!$D$7,MAX(Hit!H6,Stand!H6,Double!H6,Surrender!H6),MAX(Hit!H6,Stand!H6,Double!H6))</f>
        <v>-0.15193270723669944</v>
      </c>
      <c r="I6">
        <f>IF(Rules!$B$7=Rules!$D$7,MAX(Hit!I6,Stand!I6,Double!I6,Surrender!I6),MAX(Hit!I6,Stand!I6,Double!I6))</f>
        <v>-0.21724188132078476</v>
      </c>
      <c r="J6">
        <f>IF(Rules!$B$7=Rules!$D$7,MAX(Hit!J6,Stand!J6,Double!J6,Surrender!J6),MAX(Hit!J6,Stand!J6,Double!J6))</f>
        <v>-0.29264070019772598</v>
      </c>
      <c r="K6">
        <f>IF(Rules!$B$7=Rules!$D$7,MAX(Hit!K6,Stand!K6,Double!K6,Surrender!K6),MAX(Hit!K6,Stand!K6,Double!K6))</f>
        <v>-0.38050766229289529</v>
      </c>
      <c r="N6" s="31">
        <v>6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>
      <c r="A7">
        <v>7</v>
      </c>
      <c r="B7">
        <f>IF(AND(Rules!$B$8=Rules!$D$8,Rules!$B$7=Rules!$D$7),MAX(Hit!B7,Stand!B7,Double!B7,Surrender!B7),MAX(Hit!B7,Stand!B7,Double!B7))</f>
        <v>-0.39971038372569095</v>
      </c>
      <c r="C7">
        <f>IF(Rules!$B$7=Rules!$D$7,MAX(Hit!C7,Stand!C7,Double!C7,Surrender!C7),MAX(Hit!C7,Stand!C7,Double!C7))</f>
        <v>-0.10957748444769842</v>
      </c>
      <c r="D7">
        <f>IF(Rules!$B$7=Rules!$D$7,MAX(Hit!D7,Stand!D7,Double!D7,Surrender!D7),MAX(Hit!D7,Stand!D7,Double!D7))</f>
        <v>-7.6937567884950209E-2</v>
      </c>
      <c r="E7">
        <f>IF(Rules!$B$7=Rules!$D$7,MAX(Hit!E7,Stand!E7,Double!E7,Surrender!E7),MAX(Hit!E7,Stand!E7,Double!E7))</f>
        <v>-4.2826367717071351E-2</v>
      </c>
      <c r="F7">
        <f>IF(Rules!$B$7=Rules!$D$7,MAX(Hit!F7,Stand!F7,Double!F7,Surrender!F7),MAX(Hit!F7,Stand!F7,Double!F7))</f>
        <v>-7.17726676462546E-3</v>
      </c>
      <c r="G7">
        <f>IF(Rules!$B$7=Rules!$D$7,MAX(Hit!G7,Stand!G7,Double!G7,Surrender!G7),MAX(Hit!G7,Stand!G7,Double!G7))</f>
        <v>3.0408566151961865E-2</v>
      </c>
      <c r="H7">
        <f>IF(Rules!$B$7=Rules!$D$7,MAX(Hit!H7,Stand!H7,Double!H7,Surrender!H7),MAX(Hit!H7,Stand!H7,Double!H7))</f>
        <v>-6.8807799580427764E-2</v>
      </c>
      <c r="I7">
        <f>IF(Rules!$B$7=Rules!$D$7,MAX(Hit!I7,Stand!I7,Double!I7,Surrender!I7),MAX(Hit!I7,Stand!I7,Double!I7))</f>
        <v>-0.21060476872434966</v>
      </c>
      <c r="J7">
        <f>IF(Rules!$B$7=Rules!$D$7,MAX(Hit!J7,Stand!J7,Double!J7,Surrender!J7),MAX(Hit!J7,Stand!J7,Double!J7))</f>
        <v>-0.28536544048687662</v>
      </c>
      <c r="K7">
        <f>IF(Rules!$B$7=Rules!$D$7,MAX(Hit!K7,Stand!K7,Double!K7,Surrender!K7),MAX(Hit!K7,Stand!K7,Double!K7))</f>
        <v>-0.36507789921394679</v>
      </c>
      <c r="N7" s="31">
        <v>7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H</v>
      </c>
      <c r="R7" s="31" t="str">
        <f>IF(E7=Surrender!E7,"R",HSD!R7)</f>
        <v>H</v>
      </c>
      <c r="S7" s="31" t="str">
        <f>IF(F7=Surrender!F7,"R",HSD!S7)</f>
        <v>H</v>
      </c>
      <c r="T7" s="31" t="str">
        <f>IF(G7=Surrender!G7,"R",HSD!T7)</f>
        <v>H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>
      <c r="A8">
        <v>8</v>
      </c>
      <c r="B8">
        <f>IF(AND(Rules!$B$8=Rules!$D$8,Rules!$B$7=Rules!$D$7),MAX(Hit!B8,Stand!B8,Double!B8,Surrender!B8),MAX(Hit!B8,Stand!B8,Double!B8))</f>
        <v>-0.33034033459070061</v>
      </c>
      <c r="C8">
        <f>IF(Rules!$B$7=Rules!$D$7,MAX(Hit!C8,Stand!C8,Double!C8,Surrender!C8),MAX(Hit!C8,Stand!C8,Double!C8))</f>
        <v>-2.4506830289917444E-2</v>
      </c>
      <c r="D8">
        <f>IF(Rules!$B$7=Rules!$D$7,MAX(Hit!D8,Stand!D8,Double!D8,Surrender!D8),MAX(Hit!D8,Stand!D8,Double!D8))</f>
        <v>5.5679308753931881E-3</v>
      </c>
      <c r="E8">
        <f>IF(Rules!$B$7=Rules!$D$7,MAX(Hit!E8,Stand!E8,Double!E8,Surrender!E8),MAX(Hit!E8,Stand!E8,Double!E8))</f>
        <v>3.7010775094514566E-2</v>
      </c>
      <c r="F8">
        <f>IF(Rules!$B$7=Rules!$D$7,MAX(Hit!F8,Stand!F8,Double!F8,Surrender!F8),MAX(Hit!F8,Stand!F8,Double!F8))</f>
        <v>6.9950633154329159E-2</v>
      </c>
      <c r="G8">
        <f>IF(Rules!$B$7=Rules!$D$7,MAX(Hit!G8,Stand!G8,Double!G8,Surrender!G8),MAX(Hit!G8,Stand!G8,Double!G8))</f>
        <v>0.10385811332306308</v>
      </c>
      <c r="H8">
        <f>IF(Rules!$B$7=Rules!$D$7,MAX(Hit!H8,Stand!H8,Double!H8,Surrender!H8),MAX(Hit!H8,Stand!H8,Double!H8))</f>
        <v>8.2207439363742862E-2</v>
      </c>
      <c r="I8">
        <f>IF(Rules!$B$7=Rules!$D$7,MAX(Hit!I8,Stand!I8,Double!I8,Surrender!I8),MAX(Hit!I8,Stand!I8,Double!I8))</f>
        <v>-5.989827565865629E-2</v>
      </c>
      <c r="J8">
        <f>IF(Rules!$B$7=Rules!$D$7,MAX(Hit!J8,Stand!J8,Double!J8,Surrender!J8),MAX(Hit!J8,Stand!J8,Double!J8))</f>
        <v>-0.2101863319982176</v>
      </c>
      <c r="K8">
        <f>IF(Rules!$B$7=Rules!$D$7,MAX(Hit!K8,Stand!K8,Double!K8,Surrender!K8),MAX(Hit!K8,Stand!K8,Double!K8))</f>
        <v>-0.30177738614031369</v>
      </c>
      <c r="N8" s="31">
        <v>8</v>
      </c>
      <c r="O8" s="31" t="str">
        <f>IF(B8=Surrender!B8,"R",HSD!O8)</f>
        <v>H</v>
      </c>
      <c r="P8" s="31" t="str">
        <f>IF(C8=Surrender!C8,"R",HSD!P8)</f>
        <v>H</v>
      </c>
      <c r="Q8" s="31" t="str">
        <f>IF(D8=Surrender!D8,"R",HSD!Q8)</f>
        <v>H</v>
      </c>
      <c r="R8" s="31" t="str">
        <f>IF(E8=Surrender!E8,"R",HSD!R8)</f>
        <v>H</v>
      </c>
      <c r="S8" s="31" t="str">
        <f>IF(F8=Surrender!F8,"R",HSD!S8)</f>
        <v>H</v>
      </c>
      <c r="T8" s="31" t="str">
        <f>IF(G8=Surrender!G8,"R",HSD!T8)</f>
        <v>H</v>
      </c>
      <c r="U8" s="31" t="str">
        <f>IF(H8=Surrender!H8,"R",HSD!U8)</f>
        <v>H</v>
      </c>
      <c r="V8" s="31" t="str">
        <f>IF(I8=Surrender!I8,"R",HSD!V8)</f>
        <v>H</v>
      </c>
      <c r="W8" s="31" t="str">
        <f>IF(J8=Surrender!J8,"R",HSD!W8)</f>
        <v>H</v>
      </c>
      <c r="X8" s="31" t="str">
        <f>IF(K8=Surrender!K8,"R",HSD!X8)</f>
        <v>H</v>
      </c>
    </row>
    <row r="9" spans="1:24">
      <c r="A9">
        <v>9</v>
      </c>
      <c r="B9">
        <f>IF(AND(Rules!$B$8=Rules!$D$8,Rules!$B$7=Rules!$D$7),MAX(Hit!B9,Stand!B9,Double!B9,Surrender!B9),MAX(Hit!B9,Stand!B9,Double!B9))</f>
        <v>-0.25192476177072076</v>
      </c>
      <c r="C9">
        <f>IF(Rules!$B$7=Rules!$D$7,MAX(Hit!C9,Stand!C9,Double!C9,Surrender!C9),MAX(Hit!C9,Stand!C9,Double!C9))</f>
        <v>7.2232808963193215E-2</v>
      </c>
      <c r="D9">
        <f>IF(Rules!$B$7=Rules!$D$7,MAX(Hit!D9,Stand!D9,Double!D9,Surrender!D9),MAX(Hit!D9,Stand!D9,Double!D9))</f>
        <v>0.11871708619491314</v>
      </c>
      <c r="E9">
        <f>IF(Rules!$B$7=Rules!$D$7,MAX(Hit!E9,Stand!E9,Double!E9,Surrender!E9),MAX(Hit!E9,Stand!E9,Double!E9))</f>
        <v>0.17999961456984417</v>
      </c>
      <c r="F9">
        <f>IF(Rules!$B$7=Rules!$D$7,MAX(Hit!F9,Stand!F9,Double!F9,Surrender!F9),MAX(Hit!F9,Stand!F9,Double!F9))</f>
        <v>0.24211866364068418</v>
      </c>
      <c r="G9">
        <f>IF(Rules!$B$7=Rules!$D$7,MAX(Hit!G9,Stand!G9,Double!G9,Surrender!G9),MAX(Hit!G9,Stand!G9,Double!G9))</f>
        <v>0.30485344968108963</v>
      </c>
      <c r="H9">
        <f>IF(Rules!$B$7=Rules!$D$7,MAX(Hit!H9,Stand!H9,Double!H9,Surrender!H9),MAX(Hit!H9,Stand!H9,Double!H9))</f>
        <v>0.17186785993695267</v>
      </c>
      <c r="I9">
        <f>IF(Rules!$B$7=Rules!$D$7,MAX(Hit!I9,Stand!I9,Double!I9,Surrender!I9),MAX(Hit!I9,Stand!I9,Double!I9))</f>
        <v>9.8376217435392585E-2</v>
      </c>
      <c r="J9">
        <f>IF(Rules!$B$7=Rules!$D$7,MAX(Hit!J9,Stand!J9,Double!J9,Surrender!J9),MAX(Hit!J9,Stand!J9,Double!J9))</f>
        <v>-5.217805346265169E-2</v>
      </c>
      <c r="K9">
        <f>IF(Rules!$B$7=Rules!$D$7,MAX(Hit!K9,Stand!K9,Double!K9,Surrender!K9),MAX(Hit!K9,Stand!K9,Double!K9))</f>
        <v>-0.21343169035706566</v>
      </c>
      <c r="N9" s="31">
        <v>9</v>
      </c>
      <c r="O9" s="31" t="str">
        <f>IF(B9=Surrender!B9,"R",HSD!O9)</f>
        <v>H</v>
      </c>
      <c r="P9" s="31" t="str">
        <f>IF(C9=Surrender!C9,"R",HSD!P9)</f>
        <v>H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H</v>
      </c>
      <c r="V9" s="31" t="str">
        <f>IF(I9=Surrender!I9,"R",HSD!V9)</f>
        <v>H</v>
      </c>
      <c r="W9" s="31" t="str">
        <f>IF(J9=Surrender!J9,"R",HSD!W9)</f>
        <v>H</v>
      </c>
      <c r="X9" s="31" t="str">
        <f>IF(K9=Surrender!K9,"R",HSD!X9)</f>
        <v>H</v>
      </c>
    </row>
    <row r="10" spans="1:24">
      <c r="A10">
        <v>10</v>
      </c>
      <c r="B10">
        <f>IF(AND(Rules!$B$8=Rules!$D$8,Rules!$B$7=Rules!$D$7),MAX(Hit!B10,Stand!B10,Double!B10,Surrender!B10),MAX(Hit!B10,Stand!B10,Double!B10))</f>
        <v>-0.14666789263035868</v>
      </c>
      <c r="C10">
        <f>IF(Rules!$B$7=Rules!$D$7,MAX(Hit!C10,Stand!C10,Double!C10,Surrender!C10),MAX(Hit!C10,Stand!C10,Double!C10))</f>
        <v>0.35690719748372668</v>
      </c>
      <c r="D10">
        <f>IF(Rules!$B$7=Rules!$D$7,MAX(Hit!D10,Stand!D10,Double!D10,Surrender!D10),MAX(Hit!D10,Stand!D10,Double!D10))</f>
        <v>0.40749201163237114</v>
      </c>
      <c r="E10">
        <f>IF(Rules!$B$7=Rules!$D$7,MAX(Hit!E10,Stand!E10,Double!E10,Surrender!E10),MAX(Hit!E10,Stand!E10,Double!E10))</f>
        <v>0.45924220371818347</v>
      </c>
      <c r="F10">
        <f>IF(Rules!$B$7=Rules!$D$7,MAX(Hit!F10,Stand!F10,Double!F10,Surrender!F10),MAX(Hit!F10,Stand!F10,Double!F10))</f>
        <v>0.51169953415177827</v>
      </c>
      <c r="G10">
        <f>IF(Rules!$B$7=Rules!$D$7,MAX(Hit!G10,Stand!G10,Double!G10,Surrender!G10),MAX(Hit!G10,Stand!G10,Double!G10))</f>
        <v>0.56496169552840625</v>
      </c>
      <c r="H10">
        <f>IF(Rules!$B$7=Rules!$D$7,MAX(Hit!H10,Stand!H10,Double!H10,Surrender!H10),MAX(Hit!H10,Stand!H10,Double!H10))</f>
        <v>0.39241245528243773</v>
      </c>
      <c r="I10">
        <f>IF(Rules!$B$7=Rules!$D$7,MAX(Hit!I10,Stand!I10,Double!I10,Surrender!I10),MAX(Hit!I10,Stand!I10,Double!I10))</f>
        <v>0.28663571688628381</v>
      </c>
      <c r="J10">
        <f>IF(Rules!$B$7=Rules!$D$7,MAX(Hit!J10,Stand!J10,Double!J10,Surrender!J10),MAX(Hit!J10,Stand!J10,Double!J10))</f>
        <v>0.1443283683807712</v>
      </c>
      <c r="K10">
        <f>IF(Rules!$B$7=Rules!$D$7,MAX(Hit!K10,Stand!K10,Double!K10,Surrender!K10),MAX(Hit!K10,Stand!K10,Double!K10))</f>
        <v>-4.4990260383613007E-2</v>
      </c>
      <c r="N10" s="31">
        <v>10</v>
      </c>
      <c r="O10" s="31" t="str">
        <f>IF(B10=Surrender!B10,"R",HSD!O10)</f>
        <v>H</v>
      </c>
      <c r="P10" s="31" t="str">
        <f>IF(C10=Surrender!C10,"R",HSD!P10)</f>
        <v>D</v>
      </c>
      <c r="Q10" s="31" t="str">
        <f>IF(D10=Surrender!D10,"R",HSD!Q10)</f>
        <v>D</v>
      </c>
      <c r="R10" s="31" t="str">
        <f>IF(E10=Surrender!E10,"R",HSD!R10)</f>
        <v>D</v>
      </c>
      <c r="S10" s="31" t="str">
        <f>IF(F10=Surrender!F10,"R",HSD!S10)</f>
        <v>D</v>
      </c>
      <c r="T10" s="31" t="str">
        <f>IF(G10=Surrender!G10,"R",HSD!T10)</f>
        <v>D</v>
      </c>
      <c r="U10" s="31" t="str">
        <f>IF(H10=Surrender!H10,"R",HSD!U10)</f>
        <v>D</v>
      </c>
      <c r="V10" s="31" t="str">
        <f>IF(I10=Surrender!I10,"R",HSD!V10)</f>
        <v>D</v>
      </c>
      <c r="W10" s="31" t="str">
        <f>IF(J10=Surrender!J10,"R",HSD!W10)</f>
        <v>D</v>
      </c>
      <c r="X10" s="31" t="str">
        <f>IF(K10=Surrender!K10,"R",HSD!X10)</f>
        <v>H</v>
      </c>
    </row>
    <row r="11" spans="1:24">
      <c r="A11">
        <v>11</v>
      </c>
      <c r="B11">
        <f>IF(AND(Rules!$B$8=Rules!$D$8,Rules!$B$7=Rules!$D$7),MAX(Hit!B11,Stand!B11,Double!B11,Surrender!B11),MAX(Hit!B11,Stand!B11,Double!B11))</f>
        <v>-4.1986836980868178E-2</v>
      </c>
      <c r="C11">
        <f>IF(Rules!$B$7=Rules!$D$7,MAX(Hit!C11,Stand!C11,Double!C11,Surrender!C11),MAX(Hit!C11,Stand!C11,Double!C11))</f>
        <v>0.47012148001782339</v>
      </c>
      <c r="D11">
        <f>IF(Rules!$B$7=Rules!$D$7,MAX(Hit!D11,Stand!D11,Double!D11,Surrender!D11),MAX(Hit!D11,Stand!D11,Double!D11))</f>
        <v>0.51732783973958252</v>
      </c>
      <c r="E11">
        <f>IF(Rules!$B$7=Rules!$D$7,MAX(Hit!E11,Stand!E11,Double!E11,Surrender!E11),MAX(Hit!E11,Stand!E11,Double!E11))</f>
        <v>0.56560652370552988</v>
      </c>
      <c r="F11">
        <f>IF(Rules!$B$7=Rules!$D$7,MAX(Hit!F11,Stand!F11,Double!F11,Surrender!F11),MAX(Hit!F11,Stand!F11,Double!F11))</f>
        <v>0.61449004208451674</v>
      </c>
      <c r="G11">
        <f>IF(Rules!$B$7=Rules!$D$7,MAX(Hit!G11,Stand!G11,Double!G11,Surrender!G11),MAX(Hit!G11,Stand!G11,Double!G11))</f>
        <v>0.66466340918892541</v>
      </c>
      <c r="H11">
        <f>IF(Rules!$B$7=Rules!$D$7,MAX(Hit!H11,Stand!H11,Double!H11,Surrender!H11),MAX(Hit!H11,Stand!H11,Double!H11))</f>
        <v>0.46288894886429077</v>
      </c>
      <c r="I11">
        <f>IF(Rules!$B$7=Rules!$D$7,MAX(Hit!I11,Stand!I11,Double!I11,Surrender!I11),MAX(Hit!I11,Stand!I11,Double!I11))</f>
        <v>0.35069259087031512</v>
      </c>
      <c r="J11">
        <f>IF(Rules!$B$7=Rules!$D$7,MAX(Hit!J11,Stand!J11,Double!J11,Surrender!J11),MAX(Hit!J11,Stand!J11,Double!J11))</f>
        <v>0.22778342315245487</v>
      </c>
      <c r="K11">
        <f>IF(Rules!$B$7=Rules!$D$7,MAX(Hit!K11,Stand!K11,Double!K11,Surrender!K11),MAX(Hit!K11,Stand!K11,Double!K11))</f>
        <v>5.9690795265877464E-2</v>
      </c>
      <c r="N11" s="31">
        <v>11</v>
      </c>
      <c r="O11" s="31" t="str">
        <f>IF(B11=Surrender!B11,"R",HSD!O11)</f>
        <v>H</v>
      </c>
      <c r="P11" s="31" t="str">
        <f>IF(C11=Surrender!C11,"R",HSD!P11)</f>
        <v>D</v>
      </c>
      <c r="Q11" s="31" t="str">
        <f>IF(D11=Surrender!D11,"R",HSD!Q11)</f>
        <v>D</v>
      </c>
      <c r="R11" s="31" t="str">
        <f>IF(E11=Surrender!E11,"R",HSD!R11)</f>
        <v>D</v>
      </c>
      <c r="S11" s="31" t="str">
        <f>IF(F11=Surrender!F11,"R",HSD!S11)</f>
        <v>D</v>
      </c>
      <c r="T11" s="31" t="str">
        <f>IF(G11=Surrender!G11,"R",HSD!T11)</f>
        <v>D</v>
      </c>
      <c r="U11" s="31" t="str">
        <f>IF(H11=Surrender!H11,"R",HSD!U11)</f>
        <v>D</v>
      </c>
      <c r="V11" s="31" t="str">
        <f>IF(I11=Surrender!I11,"R",HSD!V11)</f>
        <v>D</v>
      </c>
      <c r="W11" s="31" t="str">
        <f>IF(J11=Surrender!J11,"R",HSD!W11)</f>
        <v>D</v>
      </c>
      <c r="X11" s="31" t="str">
        <f>IF(K11=Surrender!K11,"R",HSD!X11)</f>
        <v>H</v>
      </c>
    </row>
    <row r="12" spans="1:24">
      <c r="A12">
        <v>12</v>
      </c>
      <c r="B12">
        <f>IF(AND(Rules!$B$8=Rules!$D$8,Rules!$B$7=Rules!$D$7),MAX(Hit!B12,Stand!B12,Double!B12,Surrender!B12),MAX(Hit!B12,Stand!B12,Double!B12))</f>
        <v>-0.46566058377683939</v>
      </c>
      <c r="C12">
        <f>IF(Rules!$B$7=Rules!$D$7,MAX(Hit!C12,Stand!C12,Double!C12,Surrender!C12),MAX(Hit!C12,Stand!C12,Double!C12))</f>
        <v>-0.25375147059276615</v>
      </c>
      <c r="D12">
        <f>IF(Rules!$B$7=Rules!$D$7,MAX(Hit!D12,Stand!D12,Double!D12,Surrender!D12),MAX(Hit!D12,Stand!D12,Double!D12))</f>
        <v>-0.23401617638713501</v>
      </c>
      <c r="E12">
        <f>IF(Rules!$B$7=Rules!$D$7,MAX(Hit!E12,Stand!E12,Double!E12,Surrender!E12),MAX(Hit!E12,Stand!E12,Double!E12))</f>
        <v>-0.20584968608305471</v>
      </c>
      <c r="F12">
        <f>IF(Rules!$B$7=Rules!$D$7,MAX(Hit!F12,Stand!F12,Double!F12,Surrender!F12),MAX(Hit!F12,Stand!F12,Double!F12))</f>
        <v>-0.16468249424828357</v>
      </c>
      <c r="G12">
        <f>IF(Rules!$B$7=Rules!$D$7,MAX(Hit!G12,Stand!G12,Double!G12,Surrender!G12),MAX(Hit!G12,Stand!G12,Double!G12))</f>
        <v>-0.12106685019651225</v>
      </c>
      <c r="H12">
        <f>IF(Rules!$B$7=Rules!$D$7,MAX(Hit!H12,Stand!H12,Double!H12,Surrender!H12),MAX(Hit!H12,Stand!H12,Double!H12))</f>
        <v>-0.21284771451731424</v>
      </c>
      <c r="I12">
        <f>IF(Rules!$B$7=Rules!$D$7,MAX(Hit!I12,Stand!I12,Double!I12,Surrender!I12),MAX(Hit!I12,Stand!I12,Double!I12))</f>
        <v>-0.27157480502428616</v>
      </c>
      <c r="J12">
        <f>IF(Rules!$B$7=Rules!$D$7,MAX(Hit!J12,Stand!J12,Double!J12,Surrender!J12),MAX(Hit!J12,Stand!J12,Double!J12))</f>
        <v>-0.3400132806089356</v>
      </c>
      <c r="K12">
        <f>IF(Rules!$B$7=Rules!$D$7,MAX(Hit!K12,Stand!K12,Double!K12,Surrender!K12),MAX(Hit!K12,Stand!K12,Double!K12))</f>
        <v>-0.42069618899826788</v>
      </c>
      <c r="N12" s="31">
        <v>12</v>
      </c>
      <c r="O12" s="31" t="str">
        <f>IF(B12=Surrender!B12,"R",HSD!O12)</f>
        <v>H</v>
      </c>
      <c r="P12" s="31" t="str">
        <f>IF(C12=Surrender!C12,"R",HSD!P12)</f>
        <v>H</v>
      </c>
      <c r="Q12" s="31" t="str">
        <f>IF(D12=Surrender!D12,"R",HSD!Q12)</f>
        <v>H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>
      <c r="A13">
        <v>13</v>
      </c>
      <c r="B13">
        <f>IF(AND(Rules!$B$8=Rules!$D$8,Rules!$B$7=Rules!$D$7),MAX(Hit!B13,Stand!B13,Double!B13,Surrender!B13),MAX(Hit!B13,Stand!B13,Double!B13))</f>
        <v>-0.50382768493563657</v>
      </c>
      <c r="C13">
        <f>IF(Rules!$B$7=Rules!$D$7,MAX(Hit!C13,Stand!C13,Double!C13,Surrender!C13),MAX(Hit!C13,Stand!C13,Double!C13))</f>
        <v>-0.28654430084029509</v>
      </c>
      <c r="D13">
        <f>IF(Rules!$B$7=Rules!$D$7,MAX(Hit!D13,Stand!D13,Double!D13,Surrender!D13),MAX(Hit!D13,Stand!D13,Double!D13))</f>
        <v>-0.24663577379217239</v>
      </c>
      <c r="E13">
        <f>IF(Rules!$B$7=Rules!$D$7,MAX(Hit!E13,Stand!E13,Double!E13,Surrender!E13),MAX(Hit!E13,Stand!E13,Double!E13))</f>
        <v>-0.20584968608305471</v>
      </c>
      <c r="F13">
        <f>IF(Rules!$B$7=Rules!$D$7,MAX(Hit!F13,Stand!F13,Double!F13,Surrender!F13),MAX(Hit!F13,Stand!F13,Double!F13))</f>
        <v>-0.16468249424828357</v>
      </c>
      <c r="G13">
        <f>IF(Rules!$B$7=Rules!$D$7,MAX(Hit!G13,Stand!G13,Double!G13,Surrender!G13),MAX(Hit!G13,Stand!G13,Double!G13))</f>
        <v>-0.12106685019651225</v>
      </c>
      <c r="H13">
        <f>IF(Rules!$B$7=Rules!$D$7,MAX(Hit!H13,Stand!H13,Double!H13,Surrender!H13),MAX(Hit!H13,Stand!H13,Double!H13))</f>
        <v>-0.26907287776607752</v>
      </c>
      <c r="I13">
        <f>IF(Rules!$B$7=Rules!$D$7,MAX(Hit!I13,Stand!I13,Double!I13,Surrender!I13),MAX(Hit!I13,Stand!I13,Double!I13))</f>
        <v>-0.32360517609397998</v>
      </c>
      <c r="J13">
        <f>IF(Rules!$B$7=Rules!$D$7,MAX(Hit!J13,Stand!J13,Double!J13,Surrender!J13),MAX(Hit!J13,Stand!J13,Double!J13))</f>
        <v>-0.38715518913686875</v>
      </c>
      <c r="K13">
        <f>IF(Rules!$B$7=Rules!$D$7,MAX(Hit!K13,Stand!K13,Double!K13,Surrender!K13),MAX(Hit!K13,Stand!K13,Double!K13))</f>
        <v>-0.46207503264124877</v>
      </c>
      <c r="N13" s="31">
        <v>13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>
      <c r="A14">
        <v>14</v>
      </c>
      <c r="B14">
        <f>IF(AND(Rules!$B$8=Rules!$D$8,Rules!$B$7=Rules!$D$7),MAX(Hit!B14,Stand!B14,Double!B14,Surrender!B14),MAX(Hit!B14,Stand!B14,Double!B14))</f>
        <v>-0.53926856458309114</v>
      </c>
      <c r="C14">
        <f>IF(Rules!$B$7=Rules!$D$7,MAX(Hit!C14,Stand!C14,Double!C14,Surrender!C14),MAX(Hit!C14,Stand!C14,Double!C14))</f>
        <v>-0.28654430084029509</v>
      </c>
      <c r="D14">
        <f>IF(Rules!$B$7=Rules!$D$7,MAX(Hit!D14,Stand!D14,Double!D14,Surrender!D14),MAX(Hit!D14,Stand!D14,Double!D14))</f>
        <v>-0.24663577379217239</v>
      </c>
      <c r="E14">
        <f>IF(Rules!$B$7=Rules!$D$7,MAX(Hit!E14,Stand!E14,Double!E14,Surrender!E14),MAX(Hit!E14,Stand!E14,Double!E14))</f>
        <v>-0.20584968608305471</v>
      </c>
      <c r="F14">
        <f>IF(Rules!$B$7=Rules!$D$7,MAX(Hit!F14,Stand!F14,Double!F14,Surrender!F14),MAX(Hit!F14,Stand!F14,Double!F14))</f>
        <v>-0.16468249424828357</v>
      </c>
      <c r="G14">
        <f>IF(Rules!$B$7=Rules!$D$7,MAX(Hit!G14,Stand!G14,Double!G14,Surrender!G14),MAX(Hit!G14,Stand!G14,Double!G14))</f>
        <v>-0.12106685019651225</v>
      </c>
      <c r="H14">
        <f>IF(Rules!$B$7=Rules!$D$7,MAX(Hit!H14,Stand!H14,Double!H14,Surrender!H14),MAX(Hit!H14,Stand!H14,Double!H14))</f>
        <v>-0.3212819579256434</v>
      </c>
      <c r="I14">
        <f>IF(Rules!$B$7=Rules!$D$7,MAX(Hit!I14,Stand!I14,Double!I14,Surrender!I14),MAX(Hit!I14,Stand!I14,Double!I14))</f>
        <v>-0.37191909208726714</v>
      </c>
      <c r="J14">
        <f>IF(Rules!$B$7=Rules!$D$7,MAX(Hit!J14,Stand!J14,Double!J14,Surrender!J14),MAX(Hit!J14,Stand!J14,Double!J14))</f>
        <v>-0.43092981848423528</v>
      </c>
      <c r="K14">
        <f>IF(Rules!$B$7=Rules!$D$7,MAX(Hit!K14,Stand!K14,Double!K14,Surrender!K14),MAX(Hit!K14,Stand!K14,Double!K14))</f>
        <v>-0.50049824459544523</v>
      </c>
      <c r="N14" s="31">
        <v>14</v>
      </c>
      <c r="O14" s="31" t="str">
        <f>IF(B14=Surrender!B14,"R",HSD!O14)</f>
        <v>H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>
      <c r="A15">
        <v>15</v>
      </c>
      <c r="B15">
        <f>IF(AND(Rules!$B$8=Rules!$D$8,Rules!$B$7=Rules!$D$7),MAX(Hit!B15,Stand!B15,Double!B15,Surrender!B15),MAX(Hit!B15,Stand!B15,Double!B15))</f>
        <v>-0.572177952827156</v>
      </c>
      <c r="C15">
        <f>IF(Rules!$B$7=Rules!$D$7,MAX(Hit!C15,Stand!C15,Double!C15,Surrender!C15),MAX(Hit!C15,Stand!C15,Double!C15))</f>
        <v>-0.28654430084029509</v>
      </c>
      <c r="D15">
        <f>IF(Rules!$B$7=Rules!$D$7,MAX(Hit!D15,Stand!D15,Double!D15,Surrender!D15),MAX(Hit!D15,Stand!D15,Double!D15))</f>
        <v>-0.24663577379217239</v>
      </c>
      <c r="E15">
        <f>IF(Rules!$B$7=Rules!$D$7,MAX(Hit!E15,Stand!E15,Double!E15,Surrender!E15),MAX(Hit!E15,Stand!E15,Double!E15))</f>
        <v>-0.20584968608305471</v>
      </c>
      <c r="F15">
        <f>IF(Rules!$B$7=Rules!$D$7,MAX(Hit!F15,Stand!F15,Double!F15,Surrender!F15),MAX(Hit!F15,Stand!F15,Double!F15))</f>
        <v>-0.16468249424828357</v>
      </c>
      <c r="G15">
        <f>IF(Rules!$B$7=Rules!$D$7,MAX(Hit!G15,Stand!G15,Double!G15,Surrender!G15),MAX(Hit!G15,Stand!G15,Double!G15))</f>
        <v>-0.12106685019651225</v>
      </c>
      <c r="H15">
        <f>IF(Rules!$B$7=Rules!$D$7,MAX(Hit!H15,Stand!H15,Double!H15,Surrender!H15),MAX(Hit!H15,Stand!H15,Double!H15))</f>
        <v>-0.36976181807381175</v>
      </c>
      <c r="I15">
        <f>IF(Rules!$B$7=Rules!$D$7,MAX(Hit!I15,Stand!I15,Double!I15,Surrender!I15),MAX(Hit!I15,Stand!I15,Double!I15))</f>
        <v>-0.41678201408103371</v>
      </c>
      <c r="J15">
        <f>IF(Rules!$B$7=Rules!$D$7,MAX(Hit!J15,Stand!J15,Double!J15,Surrender!J15),MAX(Hit!J15,Stand!J15,Double!J15))</f>
        <v>-0.47157768859250415</v>
      </c>
      <c r="K15">
        <f>IF(Rules!$B$7=Rules!$D$7,MAX(Hit!K15,Stand!K15,Double!K15,Surrender!K15),MAX(Hit!K15,Stand!K15,Double!K15))</f>
        <v>-0.53617694141005634</v>
      </c>
      <c r="N15" s="31">
        <v>15</v>
      </c>
      <c r="O15" s="31" t="str">
        <f>IF(B15=Surrender!B15,"R",HSD!O15)</f>
        <v>H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H</v>
      </c>
      <c r="V15" s="31" t="str">
        <f>IF(I15=Surrender!I15,"R",HSD!V15)</f>
        <v>H</v>
      </c>
      <c r="W15" s="31" t="str">
        <f>IF(J15=Surrender!J15,"R",HSD!W15)</f>
        <v>H</v>
      </c>
      <c r="X15" s="31" t="str">
        <f>IF(K15=Surrender!K15,"R",HSD!X15)</f>
        <v>H</v>
      </c>
    </row>
    <row r="16" spans="1:24">
      <c r="A16">
        <v>16</v>
      </c>
      <c r="B16">
        <f>IF(AND(Rules!$B$8=Rules!$D$8,Rules!$B$7=Rules!$D$7),MAX(Hit!B16,Stand!B16,Double!B16,Surrender!B16),MAX(Hit!B16,Stand!B16,Double!B16))</f>
        <v>-0.57578184676460165</v>
      </c>
      <c r="C16">
        <f>IF(Rules!$B$7=Rules!$D$7,MAX(Hit!C16,Stand!C16,Double!C16,Surrender!C16),MAX(Hit!C16,Stand!C16,Double!C16))</f>
        <v>-0.28654430084029509</v>
      </c>
      <c r="D16">
        <f>IF(Rules!$B$7=Rules!$D$7,MAX(Hit!D16,Stand!D16,Double!D16,Surrender!D16),MAX(Hit!D16,Stand!D16,Double!D16))</f>
        <v>-0.24663577379217239</v>
      </c>
      <c r="E16">
        <f>IF(Rules!$B$7=Rules!$D$7,MAX(Hit!E16,Stand!E16,Double!E16,Surrender!E16),MAX(Hit!E16,Stand!E16,Double!E16))</f>
        <v>-0.20584968608305471</v>
      </c>
      <c r="F16">
        <f>IF(Rules!$B$7=Rules!$D$7,MAX(Hit!F16,Stand!F16,Double!F16,Surrender!F16),MAX(Hit!F16,Stand!F16,Double!F16))</f>
        <v>-0.16468249424828357</v>
      </c>
      <c r="G16">
        <f>IF(Rules!$B$7=Rules!$D$7,MAX(Hit!G16,Stand!G16,Double!G16,Surrender!G16),MAX(Hit!G16,Stand!G16,Double!G16))</f>
        <v>-0.12106685019651225</v>
      </c>
      <c r="H16">
        <f>IF(Rules!$B$7=Rules!$D$7,MAX(Hit!H16,Stand!H16,Double!H16,Surrender!H16),MAX(Hit!H16,Stand!H16,Double!H16))</f>
        <v>-0.41477883106853947</v>
      </c>
      <c r="I16">
        <f>IF(Rules!$B$7=Rules!$D$7,MAX(Hit!I16,Stand!I16,Double!I16,Surrender!I16),MAX(Hit!I16,Stand!I16,Double!I16))</f>
        <v>-0.45844044164667419</v>
      </c>
      <c r="J16">
        <f>IF(Rules!$B$7=Rules!$D$7,MAX(Hit!J16,Stand!J16,Double!J16,Surrender!J16),MAX(Hit!J16,Stand!J16,Double!J16))</f>
        <v>-0.50932213940732529</v>
      </c>
      <c r="K16">
        <f>IF(Rules!$B$7=Rules!$D$7,MAX(Hit!K16,Stand!K16,Double!K16,Surrender!K16),MAX(Hit!K16,Stand!K16,Double!K16))</f>
        <v>-0.56930715988076652</v>
      </c>
      <c r="N16" s="31">
        <v>16</v>
      </c>
      <c r="O16" s="31" t="str">
        <f>IF(B16=Surrender!B16,"R",HSD!O16)</f>
        <v>S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H</v>
      </c>
      <c r="V16" s="31" t="str">
        <f>IF(I16=Surrender!I16,"R",HSD!V16)</f>
        <v>H</v>
      </c>
      <c r="W16" s="31" t="str">
        <f>IF(J16=Surrender!J16,"R",HSD!W16)</f>
        <v>H</v>
      </c>
      <c r="X16" s="31" t="str">
        <f>IF(K16=Surrender!K16,"R",HSD!X16)</f>
        <v>H</v>
      </c>
    </row>
    <row r="17" spans="1:24">
      <c r="A17">
        <v>17</v>
      </c>
      <c r="B17">
        <f>IF(AND(Rules!$B$8=Rules!$D$8,Rules!$B$7=Rules!$D$7),MAX(Hit!B17,Stand!B17,Double!B17,Surrender!B17),MAX(Hit!B17,Stand!B17,Double!B17))</f>
        <v>-0.46435750824198752</v>
      </c>
      <c r="C17">
        <f>IF(Rules!$B$7=Rules!$D$7,MAX(Hit!C17,Stand!C17,Double!C17,Surrender!C17),MAX(Hit!C17,Stand!C17,Double!C17))</f>
        <v>-0.15641021825706786</v>
      </c>
      <c r="D17">
        <f>IF(Rules!$B$7=Rules!$D$7,MAX(Hit!D17,Stand!D17,Double!D17,Surrender!D17),MAX(Hit!D17,Stand!D17,Double!D17))</f>
        <v>-0.12030774273351591</v>
      </c>
      <c r="E17">
        <f>IF(Rules!$B$7=Rules!$D$7,MAX(Hit!E17,Stand!E17,Double!E17,Surrender!E17),MAX(Hit!E17,Stand!E17,Double!E17))</f>
        <v>-8.3444052932191204E-2</v>
      </c>
      <c r="F17">
        <f>IF(Rules!$B$7=Rules!$D$7,MAX(Hit!F17,Stand!F17,Double!F17,Surrender!F17),MAX(Hit!F17,Stand!F17,Double!F17))</f>
        <v>-4.6323554721567961E-2</v>
      </c>
      <c r="G17">
        <f>IF(Rules!$B$7=Rules!$D$7,MAX(Hit!G17,Stand!G17,Double!G17,Surrender!G17),MAX(Hit!G17,Stand!G17,Double!G17))</f>
        <v>-6.2291683630239514E-3</v>
      </c>
      <c r="H17">
        <f>IF(Rules!$B$7=Rules!$D$7,MAX(Hit!H17,Stand!H17,Double!H17,Surrender!H17),MAX(Hit!H17,Stand!H17,Double!H17))</f>
        <v>-0.10680898948269468</v>
      </c>
      <c r="I17">
        <f>IF(Rules!$B$7=Rules!$D$7,MAX(Hit!I17,Stand!I17,Double!I17,Surrender!I17),MAX(Hit!I17,Stand!I17,Double!I17))</f>
        <v>-0.38195097104844711</v>
      </c>
      <c r="J17">
        <f>IF(Rules!$B$7=Rules!$D$7,MAX(Hit!J17,Stand!J17,Double!J17,Surrender!J17),MAX(Hit!J17,Stand!J17,Double!J17))</f>
        <v>-0.42315423964521737</v>
      </c>
      <c r="K17">
        <f>IF(Rules!$B$7=Rules!$D$7,MAX(Hit!K17,Stand!K17,Double!K17,Surrender!K17),MAX(Hit!K17,Stand!K17,Double!K17))</f>
        <v>-0.46435750824198763</v>
      </c>
      <c r="N17" s="31">
        <v>17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>
      <c r="A18">
        <v>18</v>
      </c>
      <c r="B18">
        <f>IF(AND(Rules!$B$8=Rules!$D$8,Rules!$B$7=Rules!$D$7),MAX(Hit!B18,Stand!B18,Double!B18,Surrender!B18),MAX(Hit!B18,Stand!B18,Double!B18))</f>
        <v>-0.24150883119675959</v>
      </c>
      <c r="C18">
        <f>IF(Rules!$B$7=Rules!$D$7,MAX(Hit!C18,Stand!C18,Double!C18,Surrender!C18),MAX(Hit!C18,Stand!C18,Double!C18))</f>
        <v>0.11027005064085793</v>
      </c>
      <c r="D18">
        <f>IF(Rules!$B$7=Rules!$D$7,MAX(Hit!D18,Stand!D18,Double!D18,Surrender!D18),MAX(Hit!D18,Stand!D18,Double!D18))</f>
        <v>0.13797729703756356</v>
      </c>
      <c r="E18">
        <f>IF(Rules!$B$7=Rules!$D$7,MAX(Hit!E18,Stand!E18,Double!E18,Surrender!E18),MAX(Hit!E18,Stand!E18,Double!E18))</f>
        <v>0.16626900252257676</v>
      </c>
      <c r="F18">
        <f>IF(Rules!$B$7=Rules!$D$7,MAX(Hit!F18,Stand!F18,Double!F18,Surrender!F18),MAX(Hit!F18,Stand!F18,Double!F18))</f>
        <v>0.19494598568825822</v>
      </c>
      <c r="G18">
        <f>IF(Rules!$B$7=Rules!$D$7,MAX(Hit!G18,Stand!G18,Double!G18,Surrender!G18),MAX(Hit!G18,Stand!G18,Double!G18))</f>
        <v>0.22344619530395254</v>
      </c>
      <c r="H18">
        <f>IF(Rules!$B$7=Rules!$D$7,MAX(Hit!H18,Stand!H18,Double!H18,Surrender!H18),MAX(Hit!H18,Stand!H18,Double!H18))</f>
        <v>0.3995541673365518</v>
      </c>
      <c r="I18">
        <f>IF(Rules!$B$7=Rules!$D$7,MAX(Hit!I18,Stand!I18,Double!I18,Surrender!I18),MAX(Hit!I18,Stand!I18,Double!I18))</f>
        <v>0.10595134861912359</v>
      </c>
      <c r="J18">
        <f>IF(Rules!$B$7=Rules!$D$7,MAX(Hit!J18,Stand!J18,Double!J18,Surrender!J18),MAX(Hit!J18,Stand!J18,Double!J18))</f>
        <v>-0.18316335667343331</v>
      </c>
      <c r="K18">
        <f>IF(Rules!$B$7=Rules!$D$7,MAX(Hit!K18,Stand!K18,Double!K18,Surrender!K18),MAX(Hit!K18,Stand!K18,Double!K18))</f>
        <v>-0.24150883119675959</v>
      </c>
      <c r="N18" s="31">
        <v>18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>
      <c r="A19">
        <v>19</v>
      </c>
      <c r="B19">
        <f>IF(AND(Rules!$B$8=Rules!$D$8,Rules!$B$7=Rules!$D$7),MAX(Hit!B19,Stand!B19,Double!B19,Surrender!B19),MAX(Hit!B19,Stand!B19,Double!B19))</f>
        <v>-1.8660154151531549E-2</v>
      </c>
      <c r="C19">
        <f>IF(Rules!$B$7=Rules!$D$7,MAX(Hit!C19,Stand!C19,Double!C19,Surrender!C19),MAX(Hit!C19,Stand!C19,Double!C19))</f>
        <v>0.37811050632056864</v>
      </c>
      <c r="D19">
        <f>IF(Rules!$B$7=Rules!$D$7,MAX(Hit!D19,Stand!D19,Double!D19,Surrender!D19),MAX(Hit!D19,Stand!D19,Double!D19))</f>
        <v>0.39698952530936887</v>
      </c>
      <c r="E19">
        <f>IF(Rules!$B$7=Rules!$D$7,MAX(Hit!E19,Stand!E19,Double!E19,Surrender!E19),MAX(Hit!E19,Stand!E19,Double!E19))</f>
        <v>0.41633218577399039</v>
      </c>
      <c r="F19">
        <f>IF(Rules!$B$7=Rules!$D$7,MAX(Hit!F19,Stand!F19,Double!F19,Surrender!F19),MAX(Hit!F19,Stand!F19,Double!F19))</f>
        <v>0.43621552609808445</v>
      </c>
      <c r="G19">
        <f>IF(Rules!$B$7=Rules!$D$7,MAX(Hit!G19,Stand!G19,Double!G19,Surrender!G19),MAX(Hit!G19,Stand!G19,Double!G19))</f>
        <v>0.45312155897092921</v>
      </c>
      <c r="H19">
        <f>IF(Rules!$B$7=Rules!$D$7,MAX(Hit!H19,Stand!H19,Double!H19,Surrender!H19),MAX(Hit!H19,Stand!H19,Double!H19))</f>
        <v>0.6159764957534315</v>
      </c>
      <c r="I19">
        <f>IF(Rules!$B$7=Rules!$D$7,MAX(Hit!I19,Stand!I19,Double!I19,Surrender!I19),MAX(Hit!I19,Stand!I19,Double!I19))</f>
        <v>0.5938536682866945</v>
      </c>
      <c r="J19">
        <f>IF(Rules!$B$7=Rules!$D$7,MAX(Hit!J19,Stand!J19,Double!J19,Surrender!J19),MAX(Hit!J19,Stand!J19,Double!J19))</f>
        <v>0.28759675706758142</v>
      </c>
      <c r="K19">
        <f>IF(Rules!$B$7=Rules!$D$7,MAX(Hit!K19,Stand!K19,Double!K19,Surrender!K19),MAX(Hit!K19,Stand!K19,Double!K19))</f>
        <v>-1.8660154151531536E-2</v>
      </c>
      <c r="N19" s="31">
        <v>19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>
      <c r="A20">
        <v>20</v>
      </c>
      <c r="B20">
        <f>IF(AND(Rules!$B$8=Rules!$D$8,Rules!$B$7=Rules!$D$7),MAX(Hit!B20,Stand!B20,Double!B20,Surrender!B20),MAX(Hit!B20,Stand!B20,Double!B20))</f>
        <v>0.20418852289369649</v>
      </c>
      <c r="C20">
        <f>IF(Rules!$B$7=Rules!$D$7,MAX(Hit!C20,Stand!C20,Double!C20,Surrender!C20),MAX(Hit!C20,Stand!C20,Double!C20))</f>
        <v>0.63507006739682603</v>
      </c>
      <c r="D20">
        <f>IF(Rules!$B$7=Rules!$D$7,MAX(Hit!D20,Stand!D20,Double!D20,Surrender!D20),MAX(Hit!D20,Stand!D20,Double!D20))</f>
        <v>0.64584804747844671</v>
      </c>
      <c r="E20">
        <f>IF(Rules!$B$7=Rules!$D$7,MAX(Hit!E20,Stand!E20,Double!E20,Surrender!E20),MAX(Hit!E20,Stand!E20,Double!E20))</f>
        <v>0.65694191851596806</v>
      </c>
      <c r="F20">
        <f>IF(Rules!$B$7=Rules!$D$7,MAX(Hit!F20,Stand!F20,Double!F20,Surrender!F20),MAX(Hit!F20,Stand!F20,Double!F20))</f>
        <v>0.66838174379512039</v>
      </c>
      <c r="G20">
        <f>IF(Rules!$B$7=Rules!$D$7,MAX(Hit!G20,Stand!G20,Double!G20,Surrender!G20),MAX(Hit!G20,Stand!G20,Double!G20))</f>
        <v>0.67824526128151064</v>
      </c>
      <c r="H20">
        <f>IF(Rules!$B$7=Rules!$D$7,MAX(Hit!H20,Stand!H20,Double!H20,Surrender!H20),MAX(Hit!H20,Stand!H20,Double!H20))</f>
        <v>0.77322722653717491</v>
      </c>
      <c r="I20">
        <f>IF(Rules!$B$7=Rules!$D$7,MAX(Hit!I20,Stand!I20,Double!I20,Surrender!I20),MAX(Hit!I20,Stand!I20,Double!I20))</f>
        <v>0.79181515955189841</v>
      </c>
      <c r="J20">
        <f>IF(Rules!$B$7=Rules!$D$7,MAX(Hit!J20,Stand!J20,Double!J20,Surrender!J20),MAX(Hit!J20,Stand!J20,Double!J20))</f>
        <v>0.75835687080859626</v>
      </c>
      <c r="K20">
        <f>IF(Rules!$B$7=Rules!$D$7,MAX(Hit!K20,Stand!K20,Double!K20,Surrender!K20),MAX(Hit!K20,Stand!K20,Double!K20))</f>
        <v>0.43495775366292722</v>
      </c>
      <c r="N20" s="31">
        <v>20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>
      <c r="A21">
        <v>21</v>
      </c>
      <c r="B21">
        <f>IF(AND(Rules!$B$8=Rules!$D$8,Rules!$B$7=Rules!$D$7),MAX(Hit!B21,Stand!B21,Double!B21,Surrender!B21),MAX(Hit!B21,Stand!B21,Double!B21))</f>
        <v>0.65780643070815525</v>
      </c>
      <c r="C21">
        <f>IF(Rules!$B$7=Rules!$D$7,MAX(Hit!C21,Stand!C21,Double!C21,Surrender!C21),MAX(Hit!C21,Stand!C21,Double!C21))</f>
        <v>0.88036767955403561</v>
      </c>
      <c r="D21">
        <f>IF(Rules!$B$7=Rules!$D$7,MAX(Hit!D21,Stand!D21,Double!D21,Surrender!D21),MAX(Hit!D21,Stand!D21,Double!D21))</f>
        <v>0.88382567504407128</v>
      </c>
      <c r="E21">
        <f>IF(Rules!$B$7=Rules!$D$7,MAX(Hit!E21,Stand!E21,Double!E21,Surrender!E21),MAX(Hit!E21,Stand!E21,Double!E21))</f>
        <v>0.8873979451552183</v>
      </c>
      <c r="F21">
        <f>IF(Rules!$B$7=Rules!$D$7,MAX(Hit!F21,Stand!F21,Double!F21,Surrender!F21),MAX(Hit!F21,Stand!F21,Double!F21))</f>
        <v>0.89109451098272041</v>
      </c>
      <c r="G21">
        <f>IF(Rules!$B$7=Rules!$D$7,MAX(Hit!G21,Stand!G21,Double!G21,Surrender!G21),MAX(Hit!G21,Stand!G21,Double!G21))</f>
        <v>0.89426564087930194</v>
      </c>
      <c r="H21">
        <f>IF(Rules!$B$7=Rules!$D$7,MAX(Hit!H21,Stand!H21,Double!H21,Surrender!H21),MAX(Hit!H21,Stand!H21,Double!H21))</f>
        <v>0.92592629596452325</v>
      </c>
      <c r="I21">
        <f>IF(Rules!$B$7=Rules!$D$7,MAX(Hit!I21,Stand!I21,Double!I21,Surrender!I21),MAX(Hit!I21,Stand!I21,Double!I21))</f>
        <v>0.93060505318396614</v>
      </c>
      <c r="J21">
        <f>IF(Rules!$B$7=Rules!$D$7,MAX(Hit!J21,Stand!J21,Double!J21,Surrender!J21),MAX(Hit!J21,Stand!J21,Double!J21))</f>
        <v>0.93917615614724415</v>
      </c>
      <c r="K21">
        <f>IF(Rules!$B$7=Rules!$D$7,MAX(Hit!K21,Stand!K21,Double!K21,Surrender!K21),MAX(Hit!K21,Stand!K21,Double!K21))</f>
        <v>0.88857566147738598</v>
      </c>
      <c r="N21" s="31">
        <v>21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>
      <c r="A22">
        <v>22</v>
      </c>
      <c r="B22">
        <f>IF(AND(Rules!$B$8=Rules!$D$8,Rules!$B$7=Rules!$D$7),MAX(Hit!B22,Stand!B22,Double!B22,Surrender!B22),MAX(Hit!B22,Stand!B22,Double!B22))</f>
        <v>-1</v>
      </c>
      <c r="C22">
        <f>IF(Rules!$B$7=Rules!$D$7,MAX(Hit!C22,Stand!C22,Double!C22,Surrender!C22),MAX(Hit!C22,Stand!C22,Double!C22))</f>
        <v>-1</v>
      </c>
      <c r="D22">
        <f>IF(Rules!$B$7=Rules!$D$7,MAX(Hit!D22,Stand!D22,Double!D22,Surrender!D22),MAX(Hit!D22,Stand!D22,Double!D22))</f>
        <v>-1</v>
      </c>
      <c r="E22">
        <f>IF(Rules!$B$7=Rules!$D$7,MAX(Hit!E22,Stand!E22,Double!E22,Surrender!E22),MAX(Hit!E22,Stand!E22,Double!E22))</f>
        <v>-1</v>
      </c>
      <c r="F22">
        <f>IF(Rules!$B$7=Rules!$D$7,MAX(Hit!F22,Stand!F22,Double!F22,Surrender!F22),MAX(Hit!F22,Stand!F22,Double!F22))</f>
        <v>-1</v>
      </c>
      <c r="G22">
        <f>IF(Rules!$B$7=Rules!$D$7,MAX(Hit!G22,Stand!G22,Double!G22,Surrender!G22),MAX(Hit!G22,Stand!G22,Double!G22))</f>
        <v>-1</v>
      </c>
      <c r="H22">
        <f>IF(Rules!$B$7=Rules!$D$7,MAX(Hit!H22,Stand!H22,Double!H22,Surrender!H22),MAX(Hit!H22,Stand!H22,Double!H22))</f>
        <v>-1</v>
      </c>
      <c r="I22">
        <f>IF(Rules!$B$7=Rules!$D$7,MAX(Hit!I22,Stand!I22,Double!I22,Surrender!I22),MAX(Hit!I22,Stand!I22,Double!I22))</f>
        <v>-1</v>
      </c>
      <c r="J22">
        <f>IF(Rules!$B$7=Rules!$D$7,MAX(Hit!J22,Stand!J22,Double!J22,Surrender!J22),MAX(Hit!J22,Stand!J22,Double!J22))</f>
        <v>-1</v>
      </c>
      <c r="K22">
        <f>IF(Rules!$B$7=Rules!$D$7,MAX(Hit!K22,Stand!K22,Double!K22,Surrender!K22),MAX(Hit!K22,Stand!K22,Double!K22))</f>
        <v>-1</v>
      </c>
      <c r="N22" s="31">
        <v>22</v>
      </c>
      <c r="O22" s="31" t="str">
        <f>IF(B22=Surrender!B22,"R",HSD!O22)</f>
        <v>S</v>
      </c>
      <c r="P22" s="31" t="str">
        <f>IF(C22=Surrender!C22,"R",HSD!P22)</f>
        <v>S</v>
      </c>
      <c r="Q22" s="31" t="str">
        <f>IF(D22=Surrender!D22,"R",HSD!Q22)</f>
        <v>S</v>
      </c>
      <c r="R22" s="31" t="str">
        <f>IF(E22=Surrender!E22,"R",HSD!R22)</f>
        <v>S</v>
      </c>
      <c r="S22" s="31" t="str">
        <f>IF(F22=Surrender!F22,"R",HSD!S22)</f>
        <v>S</v>
      </c>
      <c r="T22" s="31" t="str">
        <f>IF(G22=Surrender!G22,"R",HSD!T22)</f>
        <v>S</v>
      </c>
      <c r="U22" s="31" t="str">
        <f>IF(H22=Surrender!H22,"R",HSD!U22)</f>
        <v>S</v>
      </c>
      <c r="V22" s="31" t="str">
        <f>IF(I22=Surrender!I22,"R",HSD!V22)</f>
        <v>S</v>
      </c>
      <c r="W22" s="31" t="str">
        <f>IF(J22=Surrender!J22,"R",HSD!W22)</f>
        <v>S</v>
      </c>
      <c r="X22" s="31" t="str">
        <f>IF(K22=Surrender!K22,"R",HSD!X22)</f>
        <v>S</v>
      </c>
    </row>
    <row r="23" spans="1:24">
      <c r="A23">
        <v>23</v>
      </c>
      <c r="B23">
        <f>IF(AND(Rules!$B$8=Rules!$D$8,Rules!$B$7=Rules!$D$7),MAX(Hit!B23,Stand!B23,Double!B23,Surrender!B23),MAX(Hit!B23,Stand!B23,Double!B23))</f>
        <v>-1</v>
      </c>
      <c r="C23">
        <f>IF(Rules!$B$7=Rules!$D$7,MAX(Hit!C23,Stand!C23,Double!C23,Surrender!C23),MAX(Hit!C23,Stand!C23,Double!C23))</f>
        <v>-1</v>
      </c>
      <c r="D23">
        <f>IF(Rules!$B$7=Rules!$D$7,MAX(Hit!D23,Stand!D23,Double!D23,Surrender!D23),MAX(Hit!D23,Stand!D23,Double!D23))</f>
        <v>-1</v>
      </c>
      <c r="E23">
        <f>IF(Rules!$B$7=Rules!$D$7,MAX(Hit!E23,Stand!E23,Double!E23,Surrender!E23),MAX(Hit!E23,Stand!E23,Double!E23))</f>
        <v>-1</v>
      </c>
      <c r="F23">
        <f>IF(Rules!$B$7=Rules!$D$7,MAX(Hit!F23,Stand!F23,Double!F23,Surrender!F23),MAX(Hit!F23,Stand!F23,Double!F23))</f>
        <v>-1</v>
      </c>
      <c r="G23">
        <f>IF(Rules!$B$7=Rules!$D$7,MAX(Hit!G23,Stand!G23,Double!G23,Surrender!G23),MAX(Hit!G23,Stand!G23,Double!G23))</f>
        <v>-1</v>
      </c>
      <c r="H23">
        <f>IF(Rules!$B$7=Rules!$D$7,MAX(Hit!H23,Stand!H23,Double!H23,Surrender!H23),MAX(Hit!H23,Stand!H23,Double!H23))</f>
        <v>-1</v>
      </c>
      <c r="I23">
        <f>IF(Rules!$B$7=Rules!$D$7,MAX(Hit!I23,Stand!I23,Double!I23,Surrender!I23),MAX(Hit!I23,Stand!I23,Double!I23))</f>
        <v>-1</v>
      </c>
      <c r="J23">
        <f>IF(Rules!$B$7=Rules!$D$7,MAX(Hit!J23,Stand!J23,Double!J23,Surrender!J23),MAX(Hit!J23,Stand!J23,Double!J23))</f>
        <v>-1</v>
      </c>
      <c r="K23">
        <f>IF(Rules!$B$7=Rules!$D$7,MAX(Hit!K23,Stand!K23,Double!K23,Surrender!K23),MAX(Hit!K23,Stand!K23,Double!K23))</f>
        <v>-1</v>
      </c>
      <c r="N23" s="31">
        <v>23</v>
      </c>
      <c r="O23" s="31" t="str">
        <f>IF(B23=Surrender!B23,"R",HSD!O23)</f>
        <v>S</v>
      </c>
      <c r="P23" s="31" t="str">
        <f>IF(C23=Surrender!C23,"R",HSD!P23)</f>
        <v>S</v>
      </c>
      <c r="Q23" s="31" t="str">
        <f>IF(D23=Surrender!D23,"R",HSD!Q23)</f>
        <v>S</v>
      </c>
      <c r="R23" s="31" t="str">
        <f>IF(E23=Surrender!E23,"R",HSD!R23)</f>
        <v>S</v>
      </c>
      <c r="S23" s="31" t="str">
        <f>IF(F23=Surrender!F23,"R",HSD!S23)</f>
        <v>S</v>
      </c>
      <c r="T23" s="31" t="str">
        <f>IF(G23=Surrender!G23,"R",HSD!T23)</f>
        <v>S</v>
      </c>
      <c r="U23" s="31" t="str">
        <f>IF(H23=Surrender!H23,"R",HSD!U23)</f>
        <v>S</v>
      </c>
      <c r="V23" s="31" t="str">
        <f>IF(I23=Surrender!I23,"R",HSD!V23)</f>
        <v>S</v>
      </c>
      <c r="W23" s="31" t="str">
        <f>IF(J23=Surrender!J23,"R",HSD!W23)</f>
        <v>S</v>
      </c>
      <c r="X23" s="31" t="str">
        <f>IF(K23=Surrender!K23,"R",HSD!X23)</f>
        <v>S</v>
      </c>
    </row>
    <row r="24" spans="1:24">
      <c r="A24">
        <v>24</v>
      </c>
      <c r="B24">
        <f>IF(AND(Rules!$B$8=Rules!$D$8,Rules!$B$7=Rules!$D$7),MAX(Hit!B24,Stand!B24,Double!B24,Surrender!B24),MAX(Hit!B24,Stand!B24,Double!B24))</f>
        <v>-1</v>
      </c>
      <c r="C24">
        <f>IF(Rules!$B$7=Rules!$D$7,MAX(Hit!C24,Stand!C24,Double!C24,Surrender!C24),MAX(Hit!C24,Stand!C24,Double!C24))</f>
        <v>-1</v>
      </c>
      <c r="D24">
        <f>IF(Rules!$B$7=Rules!$D$7,MAX(Hit!D24,Stand!D24,Double!D24,Surrender!D24),MAX(Hit!D24,Stand!D24,Double!D24))</f>
        <v>-1</v>
      </c>
      <c r="E24">
        <f>IF(Rules!$B$7=Rules!$D$7,MAX(Hit!E24,Stand!E24,Double!E24,Surrender!E24),MAX(Hit!E24,Stand!E24,Double!E24))</f>
        <v>-1</v>
      </c>
      <c r="F24">
        <f>IF(Rules!$B$7=Rules!$D$7,MAX(Hit!F24,Stand!F24,Double!F24,Surrender!F24),MAX(Hit!F24,Stand!F24,Double!F24))</f>
        <v>-1</v>
      </c>
      <c r="G24">
        <f>IF(Rules!$B$7=Rules!$D$7,MAX(Hit!G24,Stand!G24,Double!G24,Surrender!G24),MAX(Hit!G24,Stand!G24,Double!G24))</f>
        <v>-1</v>
      </c>
      <c r="H24">
        <f>IF(Rules!$B$7=Rules!$D$7,MAX(Hit!H24,Stand!H24,Double!H24,Surrender!H24),MAX(Hit!H24,Stand!H24,Double!H24))</f>
        <v>-1</v>
      </c>
      <c r="I24">
        <f>IF(Rules!$B$7=Rules!$D$7,MAX(Hit!I24,Stand!I24,Double!I24,Surrender!I24),MAX(Hit!I24,Stand!I24,Double!I24))</f>
        <v>-1</v>
      </c>
      <c r="J24">
        <f>IF(Rules!$B$7=Rules!$D$7,MAX(Hit!J24,Stand!J24,Double!J24,Surrender!J24),MAX(Hit!J24,Stand!J24,Double!J24))</f>
        <v>-1</v>
      </c>
      <c r="K24">
        <f>IF(Rules!$B$7=Rules!$D$7,MAX(Hit!K24,Stand!K24,Double!K24,Surrender!K24),MAX(Hit!K24,Stand!K24,Double!K24))</f>
        <v>-1</v>
      </c>
      <c r="N24" s="31">
        <v>24</v>
      </c>
      <c r="O24" s="31" t="str">
        <f>IF(B24=Surrender!B24,"R",HSD!O24)</f>
        <v>S</v>
      </c>
      <c r="P24" s="31" t="str">
        <f>IF(C24=Surrender!C24,"R",HSD!P24)</f>
        <v>S</v>
      </c>
      <c r="Q24" s="31" t="str">
        <f>IF(D24=Surrender!D24,"R",HSD!Q24)</f>
        <v>S</v>
      </c>
      <c r="R24" s="31" t="str">
        <f>IF(E24=Surrender!E24,"R",HSD!R24)</f>
        <v>S</v>
      </c>
      <c r="S24" s="31" t="str">
        <f>IF(F24=Surrender!F24,"R",HSD!S24)</f>
        <v>S</v>
      </c>
      <c r="T24" s="31" t="str">
        <f>IF(G24=Surrender!G24,"R",HSD!T24)</f>
        <v>S</v>
      </c>
      <c r="U24" s="31" t="str">
        <f>IF(H24=Surrender!H24,"R",HSD!U24)</f>
        <v>S</v>
      </c>
      <c r="V24" s="31" t="str">
        <f>IF(I24=Surrender!I24,"R",HSD!V24)</f>
        <v>S</v>
      </c>
      <c r="W24" s="31" t="str">
        <f>IF(J24=Surrender!J24,"R",HSD!W24)</f>
        <v>S</v>
      </c>
      <c r="X24" s="31" t="str">
        <f>IF(K24=Surrender!K24,"R",HSD!X24)</f>
        <v>S</v>
      </c>
    </row>
    <row r="25" spans="1:24">
      <c r="A25">
        <v>25</v>
      </c>
      <c r="B25">
        <f>IF(AND(Rules!$B$8=Rules!$D$8,Rules!$B$7=Rules!$D$7),MAX(Hit!B25,Stand!B25,Double!B25,Surrender!B25),MAX(Hit!B25,Stand!B25,Double!B25))</f>
        <v>-1</v>
      </c>
      <c r="C25">
        <f>IF(Rules!$B$7=Rules!$D$7,MAX(Hit!C25,Stand!C25,Double!C25,Surrender!C25),MAX(Hit!C25,Stand!C25,Double!C25))</f>
        <v>-1</v>
      </c>
      <c r="D25">
        <f>IF(Rules!$B$7=Rules!$D$7,MAX(Hit!D25,Stand!D25,Double!D25,Surrender!D25),MAX(Hit!D25,Stand!D25,Double!D25))</f>
        <v>-1</v>
      </c>
      <c r="E25">
        <f>IF(Rules!$B$7=Rules!$D$7,MAX(Hit!E25,Stand!E25,Double!E25,Surrender!E25),MAX(Hit!E25,Stand!E25,Double!E25))</f>
        <v>-1</v>
      </c>
      <c r="F25">
        <f>IF(Rules!$B$7=Rules!$D$7,MAX(Hit!F25,Stand!F25,Double!F25,Surrender!F25),MAX(Hit!F25,Stand!F25,Double!F25))</f>
        <v>-1</v>
      </c>
      <c r="G25">
        <f>IF(Rules!$B$7=Rules!$D$7,MAX(Hit!G25,Stand!G25,Double!G25,Surrender!G25),MAX(Hit!G25,Stand!G25,Double!G25))</f>
        <v>-1</v>
      </c>
      <c r="H25">
        <f>IF(Rules!$B$7=Rules!$D$7,MAX(Hit!H25,Stand!H25,Double!H25,Surrender!H25),MAX(Hit!H25,Stand!H25,Double!H25))</f>
        <v>-1</v>
      </c>
      <c r="I25">
        <f>IF(Rules!$B$7=Rules!$D$7,MAX(Hit!I25,Stand!I25,Double!I25,Surrender!I25),MAX(Hit!I25,Stand!I25,Double!I25))</f>
        <v>-1</v>
      </c>
      <c r="J25">
        <f>IF(Rules!$B$7=Rules!$D$7,MAX(Hit!J25,Stand!J25,Double!J25,Surrender!J25),MAX(Hit!J25,Stand!J25,Double!J25))</f>
        <v>-1</v>
      </c>
      <c r="K25">
        <f>IF(Rules!$B$7=Rules!$D$7,MAX(Hit!K25,Stand!K25,Double!K25,Surrender!K25),MAX(Hit!K25,Stand!K25,Double!K25))</f>
        <v>-1</v>
      </c>
      <c r="N25" s="31">
        <v>25</v>
      </c>
      <c r="O25" s="31" t="str">
        <f>IF(B25=Surrender!B25,"R",HSD!O25)</f>
        <v>S</v>
      </c>
      <c r="P25" s="31" t="str">
        <f>IF(C25=Surrender!C25,"R",HSD!P25)</f>
        <v>S</v>
      </c>
      <c r="Q25" s="31" t="str">
        <f>IF(D25=Surrender!D25,"R",HSD!Q25)</f>
        <v>S</v>
      </c>
      <c r="R25" s="31" t="str">
        <f>IF(E25=Surrender!E25,"R",HSD!R25)</f>
        <v>S</v>
      </c>
      <c r="S25" s="31" t="str">
        <f>IF(F25=Surrender!F25,"R",HSD!S25)</f>
        <v>S</v>
      </c>
      <c r="T25" s="31" t="str">
        <f>IF(G25=Surrender!G25,"R",HSD!T25)</f>
        <v>S</v>
      </c>
      <c r="U25" s="31" t="str">
        <f>IF(H25=Surrender!H25,"R",HSD!U25)</f>
        <v>S</v>
      </c>
      <c r="V25" s="31" t="str">
        <f>IF(I25=Surrender!I25,"R",HSD!V25)</f>
        <v>S</v>
      </c>
      <c r="W25" s="31" t="str">
        <f>IF(J25=Surrender!J25,"R",HSD!W25)</f>
        <v>S</v>
      </c>
      <c r="X25" s="31" t="str">
        <f>IF(K25=Surrender!K25,"R",HSD!X25)</f>
        <v>S</v>
      </c>
    </row>
    <row r="26" spans="1:24">
      <c r="A26">
        <v>26</v>
      </c>
      <c r="B26">
        <f>IF(AND(Rules!$B$8=Rules!$D$8,Rules!$B$7=Rules!$D$7),MAX(Hit!B26,Stand!B26,Double!B26,Surrender!B26),MAX(Hit!B26,Stand!B26,Double!B26))</f>
        <v>-1</v>
      </c>
      <c r="C26">
        <f>IF(Rules!$B$7=Rules!$D$7,MAX(Hit!C26,Stand!C26,Double!C26,Surrender!C26),MAX(Hit!C26,Stand!C26,Double!C26))</f>
        <v>-1</v>
      </c>
      <c r="D26">
        <f>IF(Rules!$B$7=Rules!$D$7,MAX(Hit!D26,Stand!D26,Double!D26,Surrender!D26),MAX(Hit!D26,Stand!D26,Double!D26))</f>
        <v>-1</v>
      </c>
      <c r="E26">
        <f>IF(Rules!$B$7=Rules!$D$7,MAX(Hit!E26,Stand!E26,Double!E26,Surrender!E26),MAX(Hit!E26,Stand!E26,Double!E26))</f>
        <v>-1</v>
      </c>
      <c r="F26">
        <f>IF(Rules!$B$7=Rules!$D$7,MAX(Hit!F26,Stand!F26,Double!F26,Surrender!F26),MAX(Hit!F26,Stand!F26,Double!F26))</f>
        <v>-1</v>
      </c>
      <c r="G26">
        <f>IF(Rules!$B$7=Rules!$D$7,MAX(Hit!G26,Stand!G26,Double!G26,Surrender!G26),MAX(Hit!G26,Stand!G26,Double!G26))</f>
        <v>-1</v>
      </c>
      <c r="H26">
        <f>IF(Rules!$B$7=Rules!$D$7,MAX(Hit!H26,Stand!H26,Double!H26,Surrender!H26),MAX(Hit!H26,Stand!H26,Double!H26))</f>
        <v>-1</v>
      </c>
      <c r="I26">
        <f>IF(Rules!$B$7=Rules!$D$7,MAX(Hit!I26,Stand!I26,Double!I26,Surrender!I26),MAX(Hit!I26,Stand!I26,Double!I26))</f>
        <v>-1</v>
      </c>
      <c r="J26">
        <f>IF(Rules!$B$7=Rules!$D$7,MAX(Hit!J26,Stand!J26,Double!J26,Surrender!J26),MAX(Hit!J26,Stand!J26,Double!J26))</f>
        <v>-1</v>
      </c>
      <c r="K26">
        <f>IF(Rules!$B$7=Rules!$D$7,MAX(Hit!K26,Stand!K26,Double!K26,Surrender!K26),MAX(Hit!K26,Stand!K26,Double!K26))</f>
        <v>-1</v>
      </c>
      <c r="N26" s="31">
        <v>26</v>
      </c>
      <c r="O26" s="31" t="str">
        <f>IF(B26=Surrender!B26,"R",HSD!O26)</f>
        <v>S</v>
      </c>
      <c r="P26" s="31" t="str">
        <f>IF(C26=Surrender!C26,"R",HSD!P26)</f>
        <v>S</v>
      </c>
      <c r="Q26" s="31" t="str">
        <f>IF(D26=Surrender!D26,"R",HSD!Q26)</f>
        <v>S</v>
      </c>
      <c r="R26" s="31" t="str">
        <f>IF(E26=Surrender!E26,"R",HSD!R26)</f>
        <v>S</v>
      </c>
      <c r="S26" s="31" t="str">
        <f>IF(F26=Surrender!F26,"R",HSD!S26)</f>
        <v>S</v>
      </c>
      <c r="T26" s="31" t="str">
        <f>IF(G26=Surrender!G26,"R",HSD!T26)</f>
        <v>S</v>
      </c>
      <c r="U26" s="31" t="str">
        <f>IF(H26=Surrender!H26,"R",HSD!U26)</f>
        <v>S</v>
      </c>
      <c r="V26" s="31" t="str">
        <f>IF(I26=Surrender!I26,"R",HSD!V26)</f>
        <v>S</v>
      </c>
      <c r="W26" s="31" t="str">
        <f>IF(J26=Surrender!J26,"R",HSD!W26)</f>
        <v>S</v>
      </c>
      <c r="X26" s="31" t="str">
        <f>IF(K26=Surrender!K26,"R",HSD!X26)</f>
        <v>S</v>
      </c>
    </row>
    <row r="27" spans="1:24">
      <c r="A27">
        <v>27</v>
      </c>
      <c r="B27">
        <f>IF(AND(Rules!$B$8=Rules!$D$8,Rules!$B$7=Rules!$D$7),MAX(Hit!B27,Stand!B27,Double!B27,Surrender!B27),MAX(Hit!B27,Stand!B27,Double!B27))</f>
        <v>-1</v>
      </c>
      <c r="C27">
        <f>IF(Rules!$B$7=Rules!$D$7,MAX(Hit!C27,Stand!C27,Double!C27,Surrender!C27),MAX(Hit!C27,Stand!C27,Double!C27))</f>
        <v>-1</v>
      </c>
      <c r="D27">
        <f>IF(Rules!$B$7=Rules!$D$7,MAX(Hit!D27,Stand!D27,Double!D27,Surrender!D27),MAX(Hit!D27,Stand!D27,Double!D27))</f>
        <v>-1</v>
      </c>
      <c r="E27">
        <f>IF(Rules!$B$7=Rules!$D$7,MAX(Hit!E27,Stand!E27,Double!E27,Surrender!E27),MAX(Hit!E27,Stand!E27,Double!E27))</f>
        <v>-1</v>
      </c>
      <c r="F27">
        <f>IF(Rules!$B$7=Rules!$D$7,MAX(Hit!F27,Stand!F27,Double!F27,Surrender!F27),MAX(Hit!F27,Stand!F27,Double!F27))</f>
        <v>-1</v>
      </c>
      <c r="G27">
        <f>IF(Rules!$B$7=Rules!$D$7,MAX(Hit!G27,Stand!G27,Double!G27,Surrender!G27),MAX(Hit!G27,Stand!G27,Double!G27))</f>
        <v>-1</v>
      </c>
      <c r="H27">
        <f>IF(Rules!$B$7=Rules!$D$7,MAX(Hit!H27,Stand!H27,Double!H27,Surrender!H27),MAX(Hit!H27,Stand!H27,Double!H27))</f>
        <v>-1</v>
      </c>
      <c r="I27">
        <f>IF(Rules!$B$7=Rules!$D$7,MAX(Hit!I27,Stand!I27,Double!I27,Surrender!I27),MAX(Hit!I27,Stand!I27,Double!I27))</f>
        <v>-1</v>
      </c>
      <c r="J27">
        <f>IF(Rules!$B$7=Rules!$D$7,MAX(Hit!J27,Stand!J27,Double!J27,Surrender!J27),MAX(Hit!J27,Stand!J27,Double!J27))</f>
        <v>-1</v>
      </c>
      <c r="K27">
        <f>IF(Rules!$B$7=Rules!$D$7,MAX(Hit!K27,Stand!K27,Double!K27,Surrender!K27),MAX(Hit!K27,Stand!K27,Double!K27))</f>
        <v>-1</v>
      </c>
      <c r="N27" s="31">
        <v>27</v>
      </c>
      <c r="O27" s="31" t="str">
        <f>IF(B27=Surrender!B27,"R",HSD!O27)</f>
        <v>S</v>
      </c>
      <c r="P27" s="31" t="str">
        <f>IF(C27=Surrender!C27,"R",HSD!P27)</f>
        <v>S</v>
      </c>
      <c r="Q27" s="31" t="str">
        <f>IF(D27=Surrender!D27,"R",HSD!Q27)</f>
        <v>S</v>
      </c>
      <c r="R27" s="31" t="str">
        <f>IF(E27=Surrender!E27,"R",HSD!R27)</f>
        <v>S</v>
      </c>
      <c r="S27" s="31" t="str">
        <f>IF(F27=Surrender!F27,"R",HSD!S27)</f>
        <v>S</v>
      </c>
      <c r="T27" s="31" t="str">
        <f>IF(G27=Surrender!G27,"R",HSD!T27)</f>
        <v>S</v>
      </c>
      <c r="U27" s="31" t="str">
        <f>IF(H27=Surrender!H27,"R",HSD!U27)</f>
        <v>S</v>
      </c>
      <c r="V27" s="31" t="str">
        <f>IF(I27=Surrender!I27,"R",HSD!V27)</f>
        <v>S</v>
      </c>
      <c r="W27" s="31" t="str">
        <f>IF(J27=Surrender!J27,"R",HSD!W27)</f>
        <v>S</v>
      </c>
      <c r="X27" s="31" t="str">
        <f>IF(K27=Surrender!K27,"R",HSD!X27)</f>
        <v>S</v>
      </c>
    </row>
    <row r="28" spans="1:24">
      <c r="A28">
        <v>28</v>
      </c>
      <c r="B28">
        <f>IF(AND(Rules!$B$8=Rules!$D$8,Rules!$B$7=Rules!$D$7),MAX(Hit!B28,Stand!B28,Double!B28,Surrender!B28),MAX(Hit!B28,Stand!B28,Double!B28))</f>
        <v>-1</v>
      </c>
      <c r="C28">
        <f>IF(Rules!$B$7=Rules!$D$7,MAX(Hit!C28,Stand!C28,Double!C28,Surrender!C28),MAX(Hit!C28,Stand!C28,Double!C28))</f>
        <v>-1</v>
      </c>
      <c r="D28">
        <f>IF(Rules!$B$7=Rules!$D$7,MAX(Hit!D28,Stand!D28,Double!D28,Surrender!D28),MAX(Hit!D28,Stand!D28,Double!D28))</f>
        <v>-1</v>
      </c>
      <c r="E28">
        <f>IF(Rules!$B$7=Rules!$D$7,MAX(Hit!E28,Stand!E28,Double!E28,Surrender!E28),MAX(Hit!E28,Stand!E28,Double!E28))</f>
        <v>-1</v>
      </c>
      <c r="F28">
        <f>IF(Rules!$B$7=Rules!$D$7,MAX(Hit!F28,Stand!F28,Double!F28,Surrender!F28),MAX(Hit!F28,Stand!F28,Double!F28))</f>
        <v>-1</v>
      </c>
      <c r="G28">
        <f>IF(Rules!$B$7=Rules!$D$7,MAX(Hit!G28,Stand!G28,Double!G28,Surrender!G28),MAX(Hit!G28,Stand!G28,Double!G28))</f>
        <v>-1</v>
      </c>
      <c r="H28">
        <f>IF(Rules!$B$7=Rules!$D$7,MAX(Hit!H28,Stand!H28,Double!H28,Surrender!H28),MAX(Hit!H28,Stand!H28,Double!H28))</f>
        <v>-1</v>
      </c>
      <c r="I28">
        <f>IF(Rules!$B$7=Rules!$D$7,MAX(Hit!I28,Stand!I28,Double!I28,Surrender!I28),MAX(Hit!I28,Stand!I28,Double!I28))</f>
        <v>-1</v>
      </c>
      <c r="J28">
        <f>IF(Rules!$B$7=Rules!$D$7,MAX(Hit!J28,Stand!J28,Double!J28,Surrender!J28),MAX(Hit!J28,Stand!J28,Double!J28))</f>
        <v>-1</v>
      </c>
      <c r="K28">
        <f>IF(Rules!$B$7=Rules!$D$7,MAX(Hit!K28,Stand!K28,Double!K28,Surrender!K28),MAX(Hit!K28,Stand!K28,Double!K28))</f>
        <v>-1</v>
      </c>
      <c r="N28" s="31">
        <v>28</v>
      </c>
      <c r="O28" s="31" t="str">
        <f>IF(B28=Surrender!B28,"R",HSD!O28)</f>
        <v>S</v>
      </c>
      <c r="P28" s="31" t="str">
        <f>IF(C28=Surrender!C28,"R",HSD!P28)</f>
        <v>S</v>
      </c>
      <c r="Q28" s="31" t="str">
        <f>IF(D28=Surrender!D28,"R",HSD!Q28)</f>
        <v>S</v>
      </c>
      <c r="R28" s="31" t="str">
        <f>IF(E28=Surrender!E28,"R",HSD!R28)</f>
        <v>S</v>
      </c>
      <c r="S28" s="31" t="str">
        <f>IF(F28=Surrender!F28,"R",HSD!S28)</f>
        <v>S</v>
      </c>
      <c r="T28" s="31" t="str">
        <f>IF(G28=Surrender!G28,"R",HSD!T28)</f>
        <v>S</v>
      </c>
      <c r="U28" s="31" t="str">
        <f>IF(H28=Surrender!H28,"R",HSD!U28)</f>
        <v>S</v>
      </c>
      <c r="V28" s="31" t="str">
        <f>IF(I28=Surrender!I28,"R",HSD!V28)</f>
        <v>S</v>
      </c>
      <c r="W28" s="31" t="str">
        <f>IF(J28=Surrender!J28,"R",HSD!W28)</f>
        <v>S</v>
      </c>
      <c r="X28" s="31" t="str">
        <f>IF(K28=Surrender!K28,"R",HSD!X28)</f>
        <v>S</v>
      </c>
    </row>
    <row r="29" spans="1:24">
      <c r="A29">
        <v>29</v>
      </c>
      <c r="B29">
        <f>IF(AND(Rules!$B$8=Rules!$D$8,Rules!$B$7=Rules!$D$7),MAX(Hit!B29,Stand!B29,Double!B29,Surrender!B29),MAX(Hit!B29,Stand!B29,Double!B29))</f>
        <v>-1</v>
      </c>
      <c r="C29">
        <f>IF(Rules!$B$7=Rules!$D$7,MAX(Hit!C29,Stand!C29,Double!C29,Surrender!C29),MAX(Hit!C29,Stand!C29,Double!C29))</f>
        <v>-1</v>
      </c>
      <c r="D29">
        <f>IF(Rules!$B$7=Rules!$D$7,MAX(Hit!D29,Stand!D29,Double!D29,Surrender!D29),MAX(Hit!D29,Stand!D29,Double!D29))</f>
        <v>-1</v>
      </c>
      <c r="E29">
        <f>IF(Rules!$B$7=Rules!$D$7,MAX(Hit!E29,Stand!E29,Double!E29,Surrender!E29),MAX(Hit!E29,Stand!E29,Double!E29))</f>
        <v>-1</v>
      </c>
      <c r="F29">
        <f>IF(Rules!$B$7=Rules!$D$7,MAX(Hit!F29,Stand!F29,Double!F29,Surrender!F29),MAX(Hit!F29,Stand!F29,Double!F29))</f>
        <v>-1</v>
      </c>
      <c r="G29">
        <f>IF(Rules!$B$7=Rules!$D$7,MAX(Hit!G29,Stand!G29,Double!G29,Surrender!G29),MAX(Hit!G29,Stand!G29,Double!G29))</f>
        <v>-1</v>
      </c>
      <c r="H29">
        <f>IF(Rules!$B$7=Rules!$D$7,MAX(Hit!H29,Stand!H29,Double!H29,Surrender!H29),MAX(Hit!H29,Stand!H29,Double!H29))</f>
        <v>-1</v>
      </c>
      <c r="I29">
        <f>IF(Rules!$B$7=Rules!$D$7,MAX(Hit!I29,Stand!I29,Double!I29,Surrender!I29),MAX(Hit!I29,Stand!I29,Double!I29))</f>
        <v>-1</v>
      </c>
      <c r="J29">
        <f>IF(Rules!$B$7=Rules!$D$7,MAX(Hit!J29,Stand!J29,Double!J29,Surrender!J29),MAX(Hit!J29,Stand!J29,Double!J29))</f>
        <v>-1</v>
      </c>
      <c r="K29">
        <f>IF(Rules!$B$7=Rules!$D$7,MAX(Hit!K29,Stand!K29,Double!K29,Surrender!K29),MAX(Hit!K29,Stand!K29,Double!K29))</f>
        <v>-1</v>
      </c>
      <c r="N29" s="31">
        <v>29</v>
      </c>
      <c r="O29" s="31" t="str">
        <f>IF(B29=Surrender!B29,"R",HSD!O29)</f>
        <v>S</v>
      </c>
      <c r="P29" s="31" t="str">
        <f>IF(C29=Surrender!C29,"R",HSD!P29)</f>
        <v>S</v>
      </c>
      <c r="Q29" s="31" t="str">
        <f>IF(D29=Surrender!D29,"R",HSD!Q29)</f>
        <v>S</v>
      </c>
      <c r="R29" s="31" t="str">
        <f>IF(E29=Surrender!E29,"R",HSD!R29)</f>
        <v>S</v>
      </c>
      <c r="S29" s="31" t="str">
        <f>IF(F29=Surrender!F29,"R",HSD!S29)</f>
        <v>S</v>
      </c>
      <c r="T29" s="31" t="str">
        <f>IF(G29=Surrender!G29,"R",HSD!T29)</f>
        <v>S</v>
      </c>
      <c r="U29" s="31" t="str">
        <f>IF(H29=Surrender!H29,"R",HSD!U29)</f>
        <v>S</v>
      </c>
      <c r="V29" s="31" t="str">
        <f>IF(I29=Surrender!I29,"R",HSD!V29)</f>
        <v>S</v>
      </c>
      <c r="W29" s="31" t="str">
        <f>IF(J29=Surrender!J29,"R",HSD!W29)</f>
        <v>S</v>
      </c>
      <c r="X29" s="31" t="str">
        <f>IF(K29=Surrender!K29,"R",HSD!X29)</f>
        <v>S</v>
      </c>
    </row>
    <row r="30" spans="1:24">
      <c r="A30">
        <v>30</v>
      </c>
      <c r="B30">
        <f>IF(AND(Rules!$B$8=Rules!$D$8,Rules!$B$7=Rules!$D$7),MAX(Hit!B30,Stand!B30,Double!B30,Surrender!B30),MAX(Hit!B30,Stand!B30,Double!B30))</f>
        <v>-1</v>
      </c>
      <c r="C30">
        <f>IF(Rules!$B$7=Rules!$D$7,MAX(Hit!C30,Stand!C30,Double!C30,Surrender!C30),MAX(Hit!C30,Stand!C30,Double!C30))</f>
        <v>-1</v>
      </c>
      <c r="D30">
        <f>IF(Rules!$B$7=Rules!$D$7,MAX(Hit!D30,Stand!D30,Double!D30,Surrender!D30),MAX(Hit!D30,Stand!D30,Double!D30))</f>
        <v>-1</v>
      </c>
      <c r="E30">
        <f>IF(Rules!$B$7=Rules!$D$7,MAX(Hit!E30,Stand!E30,Double!E30,Surrender!E30),MAX(Hit!E30,Stand!E30,Double!E30))</f>
        <v>-1</v>
      </c>
      <c r="F30">
        <f>IF(Rules!$B$7=Rules!$D$7,MAX(Hit!F30,Stand!F30,Double!F30,Surrender!F30),MAX(Hit!F30,Stand!F30,Double!F30))</f>
        <v>-1</v>
      </c>
      <c r="G30">
        <f>IF(Rules!$B$7=Rules!$D$7,MAX(Hit!G30,Stand!G30,Double!G30,Surrender!G30),MAX(Hit!G30,Stand!G30,Double!G30))</f>
        <v>-1</v>
      </c>
      <c r="H30">
        <f>IF(Rules!$B$7=Rules!$D$7,MAX(Hit!H30,Stand!H30,Double!H30,Surrender!H30),MAX(Hit!H30,Stand!H30,Double!H30))</f>
        <v>-1</v>
      </c>
      <c r="I30">
        <f>IF(Rules!$B$7=Rules!$D$7,MAX(Hit!I30,Stand!I30,Double!I30,Surrender!I30),MAX(Hit!I30,Stand!I30,Double!I30))</f>
        <v>-1</v>
      </c>
      <c r="J30">
        <f>IF(Rules!$B$7=Rules!$D$7,MAX(Hit!J30,Stand!J30,Double!J30,Surrender!J30),MAX(Hit!J30,Stand!J30,Double!J30))</f>
        <v>-1</v>
      </c>
      <c r="K30">
        <f>IF(Rules!$B$7=Rules!$D$7,MAX(Hit!K30,Stand!K30,Double!K30,Surrender!K30),MAX(Hit!K30,Stand!K30,Double!K30))</f>
        <v>-1</v>
      </c>
      <c r="N30" s="31">
        <v>30</v>
      </c>
      <c r="O30" s="31" t="str">
        <f>IF(B30=Surrender!B30,"R",HSD!O30)</f>
        <v>S</v>
      </c>
      <c r="P30" s="31" t="str">
        <f>IF(C30=Surrender!C30,"R",HSD!P30)</f>
        <v>S</v>
      </c>
      <c r="Q30" s="31" t="str">
        <f>IF(D30=Surrender!D30,"R",HSD!Q30)</f>
        <v>S</v>
      </c>
      <c r="R30" s="31" t="str">
        <f>IF(E30=Surrender!E30,"R",HSD!R30)</f>
        <v>S</v>
      </c>
      <c r="S30" s="31" t="str">
        <f>IF(F30=Surrender!F30,"R",HSD!S30)</f>
        <v>S</v>
      </c>
      <c r="T30" s="31" t="str">
        <f>IF(G30=Surrender!G30,"R",HSD!T30)</f>
        <v>S</v>
      </c>
      <c r="U30" s="31" t="str">
        <f>IF(H30=Surrender!H30,"R",HSD!U30)</f>
        <v>S</v>
      </c>
      <c r="V30" s="31" t="str">
        <f>IF(I30=Surrender!I30,"R",HSD!V30)</f>
        <v>S</v>
      </c>
      <c r="W30" s="31" t="str">
        <f>IF(J30=Surrender!J30,"R",HSD!W30)</f>
        <v>S</v>
      </c>
      <c r="X30" s="31" t="str">
        <f>IF(K30=Surrender!K30,"R",HSD!X30)</f>
        <v>S</v>
      </c>
    </row>
    <row r="31" spans="1:24">
      <c r="A31">
        <v>31</v>
      </c>
      <c r="B31">
        <f>IF(AND(Rules!$B$8=Rules!$D$8,Rules!$B$7=Rules!$D$7),MAX(Hit!B31,Stand!B31,Double!B31,Surrender!B31),MAX(Hit!B31,Stand!B31,Double!B31))</f>
        <v>-1</v>
      </c>
      <c r="C31">
        <f>IF(Rules!$B$7=Rules!$D$7,MAX(Hit!C31,Stand!C31,Double!C31,Surrender!C31),MAX(Hit!C31,Stand!C31,Double!C31))</f>
        <v>-1</v>
      </c>
      <c r="D31">
        <f>IF(Rules!$B$7=Rules!$D$7,MAX(Hit!D31,Stand!D31,Double!D31,Surrender!D31),MAX(Hit!D31,Stand!D31,Double!D31))</f>
        <v>-1</v>
      </c>
      <c r="E31">
        <f>IF(Rules!$B$7=Rules!$D$7,MAX(Hit!E31,Stand!E31,Double!E31,Surrender!E31),MAX(Hit!E31,Stand!E31,Double!E31))</f>
        <v>-1</v>
      </c>
      <c r="F31">
        <f>IF(Rules!$B$7=Rules!$D$7,MAX(Hit!F31,Stand!F31,Double!F31,Surrender!F31),MAX(Hit!F31,Stand!F31,Double!F31))</f>
        <v>-1</v>
      </c>
      <c r="G31">
        <f>IF(Rules!$B$7=Rules!$D$7,MAX(Hit!G31,Stand!G31,Double!G31,Surrender!G31),MAX(Hit!G31,Stand!G31,Double!G31))</f>
        <v>-1</v>
      </c>
      <c r="H31">
        <f>IF(Rules!$B$7=Rules!$D$7,MAX(Hit!H31,Stand!H31,Double!H31,Surrender!H31),MAX(Hit!H31,Stand!H31,Double!H31))</f>
        <v>-1</v>
      </c>
      <c r="I31">
        <f>IF(Rules!$B$7=Rules!$D$7,MAX(Hit!I31,Stand!I31,Double!I31,Surrender!I31),MAX(Hit!I31,Stand!I31,Double!I31))</f>
        <v>-1</v>
      </c>
      <c r="J31">
        <f>IF(Rules!$B$7=Rules!$D$7,MAX(Hit!J31,Stand!J31,Double!J31,Surrender!J31),MAX(Hit!J31,Stand!J31,Double!J31))</f>
        <v>-1</v>
      </c>
      <c r="K31">
        <f>IF(Rules!$B$7=Rules!$D$7,MAX(Hit!K31,Stand!K31,Double!K31,Surrender!K31),MAX(Hit!K31,Stand!K31,Double!K31))</f>
        <v>-1</v>
      </c>
      <c r="N31" s="31">
        <v>31</v>
      </c>
      <c r="O31" s="31" t="str">
        <f>IF(B31=Surrender!B31,"R",HSD!O31)</f>
        <v>S</v>
      </c>
      <c r="P31" s="31" t="str">
        <f>IF(C31=Surrender!C31,"R",HSD!P31)</f>
        <v>S</v>
      </c>
      <c r="Q31" s="31" t="str">
        <f>IF(D31=Surrender!D31,"R",HSD!Q31)</f>
        <v>S</v>
      </c>
      <c r="R31" s="31" t="str">
        <f>IF(E31=Surrender!E31,"R",HSD!R31)</f>
        <v>S</v>
      </c>
      <c r="S31" s="31" t="str">
        <f>IF(F31=Surrender!F31,"R",HSD!S31)</f>
        <v>S</v>
      </c>
      <c r="T31" s="31" t="str">
        <f>IF(G31=Surrender!G31,"R",HSD!T31)</f>
        <v>S</v>
      </c>
      <c r="U31" s="31" t="str">
        <f>IF(H31=Surrender!H31,"R",HSD!U31)</f>
        <v>S</v>
      </c>
      <c r="V31" s="31" t="str">
        <f>IF(I31=Surrender!I31,"R",HSD!V31)</f>
        <v>S</v>
      </c>
      <c r="W31" s="31" t="str">
        <f>IF(J31=Surrender!J31,"R",HSD!W31)</f>
        <v>S</v>
      </c>
      <c r="X31" s="31" t="str">
        <f>IF(K31=Surrender!K31,"R",HSD!X31)</f>
        <v>S</v>
      </c>
    </row>
    <row r="33" spans="1:24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>
      <c r="A34">
        <v>11</v>
      </c>
      <c r="B34">
        <f>IF(AND(Rules!$B$8=Rules!$D$8,Rules!$B$7=Rules!$D$7),MAX(Hit!B34,Stand!B34,Double!B34,Surrender!B34),MAX(Hit!B34,Stand!B34,Double!B34))</f>
        <v>7.4082476325384949E-2</v>
      </c>
      <c r="C34">
        <f>IF(Rules!$B$7=Rules!$D$7,MAX(Hit!C34,Stand!C34,Double!C34,Surrender!C34),MAX(Hit!C34,Stand!C34,Double!C34))</f>
        <v>0.36718433729443645</v>
      </c>
      <c r="D34">
        <f>IF(Rules!$B$7=Rules!$D$7,MAX(Hit!D34,Stand!D34,Double!D34,Surrender!D34),MAX(Hit!D34,Stand!D34,Double!D34))</f>
        <v>0.38546672777840169</v>
      </c>
      <c r="E34">
        <f>IF(Rules!$B$7=Rules!$D$7,MAX(Hit!E34,Stand!E34,Double!E34,Surrender!E34),MAX(Hit!E34,Stand!E34,Double!E34))</f>
        <v>0.40466216034858221</v>
      </c>
      <c r="F34">
        <f>IF(Rules!$B$7=Rules!$D$7,MAX(Hit!F34,Stand!F34,Double!F34,Surrender!F34),MAX(Hit!F34,Stand!F34,Double!F34))</f>
        <v>0.42492736008576909</v>
      </c>
      <c r="G34">
        <f>IF(Rules!$B$7=Rules!$D$7,MAX(Hit!G34,Stand!G34,Double!G34,Surrender!G34),MAX(Hit!G34,Stand!G34,Double!G34))</f>
        <v>0.44516685699434155</v>
      </c>
      <c r="H34">
        <f>IF(Rules!$B$7=Rules!$D$7,MAX(Hit!H34,Stand!H34,Double!H34,Surrender!H34),MAX(Hit!H34,Stand!H34,Double!H34))</f>
        <v>0.45736852128859351</v>
      </c>
      <c r="I34">
        <f>IF(Rules!$B$7=Rules!$D$7,MAX(Hit!I34,Stand!I34,Double!I34,Surrender!I34),MAX(Hit!I34,Stand!I34,Double!I34))</f>
        <v>0.40074805174057659</v>
      </c>
      <c r="J34">
        <f>IF(Rules!$B$7=Rules!$D$7,MAX(Hit!J34,Stand!J34,Double!J34,Surrender!J34),MAX(Hit!J34,Stand!J34,Double!J34))</f>
        <v>0.32142328174266549</v>
      </c>
      <c r="K34">
        <f>IF(Rules!$B$7=Rules!$D$7,MAX(Hit!K34,Stand!K34,Double!K34,Surrender!K34),MAX(Hit!K34,Stand!K34,Double!K34))</f>
        <v>0.19656557835630536</v>
      </c>
      <c r="N34" s="31">
        <v>11</v>
      </c>
      <c r="O34" s="31" t="str">
        <f>IF(B34=Surrender!B34,"R",HSD!O34)</f>
        <v>H</v>
      </c>
      <c r="P34" s="31" t="str">
        <f>IF(C34=Surrender!C34,"R",HSD!P34)</f>
        <v>H</v>
      </c>
      <c r="Q34" s="31" t="str">
        <f>IF(D34=Surrender!D34,"R",HSD!Q34)</f>
        <v>H</v>
      </c>
      <c r="R34" s="31" t="str">
        <f>IF(E34=Surrender!E34,"R",HSD!R34)</f>
        <v>H</v>
      </c>
      <c r="S34" s="31" t="str">
        <f>IF(F34=Surrender!F34,"R",HSD!S34)</f>
        <v>H</v>
      </c>
      <c r="T34" s="31" t="str">
        <f>IF(G34=Surrender!G34,"R",HSD!T34)</f>
        <v>H</v>
      </c>
      <c r="U34" s="31" t="str">
        <f>IF(H34=Surrender!H34,"R",HSD!U34)</f>
        <v>H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>
      <c r="A35">
        <v>12</v>
      </c>
      <c r="B35">
        <f>IF(AND(Rules!$B$8=Rules!$D$8,Rules!$B$7=Rules!$D$7),MAX(Hit!B35,Stand!B35,Double!B35,Surrender!B35),MAX(Hit!B35,Stand!B35,Double!B35))</f>
        <v>-0.20521353107155851</v>
      </c>
      <c r="C35">
        <f>IF(Rules!$B$7=Rules!$D$7,MAX(Hit!C35,Stand!C35,Double!C35,Surrender!C35),MAX(Hit!C35,Stand!C35,Double!C35))</f>
        <v>7.9806247413893E-2</v>
      </c>
      <c r="D35">
        <f>IF(Rules!$B$7=Rules!$D$7,MAX(Hit!D35,Stand!D35,Double!D35,Surrender!D35),MAX(Hit!D35,Stand!D35,Double!D35))</f>
        <v>0.10168040931703339</v>
      </c>
      <c r="E35">
        <f>IF(Rules!$B$7=Rules!$D$7,MAX(Hit!E35,Stand!E35,Double!E35,Surrender!E35),MAX(Hit!E35,Stand!E35,Double!E35))</f>
        <v>0.12678682176669251</v>
      </c>
      <c r="F35">
        <f>IF(Rules!$B$7=Rules!$D$7,MAX(Hit!F35,Stand!F35,Double!F35,Surrender!F35),MAX(Hit!F35,Stand!F35,Double!F35))</f>
        <v>0.15657444079812161</v>
      </c>
      <c r="G35">
        <f>IF(Rules!$B$7=Rules!$D$7,MAX(Hit!G35,Stand!G35,Double!G35,Surrender!G35),MAX(Hit!G35,Stand!G35,Double!G35))</f>
        <v>0.18715034410732034</v>
      </c>
      <c r="H35">
        <f>IF(Rules!$B$7=Rules!$D$7,MAX(Hit!H35,Stand!H35,Double!H35,Surrender!H35),MAX(Hit!H35,Stand!H35,Double!H35))</f>
        <v>0.16547293077063496</v>
      </c>
      <c r="I35">
        <f>IF(Rules!$B$7=Rules!$D$7,MAX(Hit!I35,Stand!I35,Double!I35,Surrender!I35),MAX(Hit!I35,Stand!I35,Double!I35))</f>
        <v>9.5115020927032307E-2</v>
      </c>
      <c r="J35">
        <f>IF(Rules!$B$7=Rules!$D$7,MAX(Hit!J35,Stand!J35,Double!J35,Surrender!J35),MAX(Hit!J35,Stand!J35,Double!J35))</f>
        <v>6.5790841226897296E-5</v>
      </c>
      <c r="K35">
        <f>IF(Rules!$B$7=Rules!$D$7,MAX(Hit!K35,Stand!K35,Double!K35,Surrender!K35),MAX(Hit!K35,Stand!K35,Double!K35))</f>
        <v>-0.12808280155666141</v>
      </c>
      <c r="N35" s="31">
        <v>12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H</v>
      </c>
      <c r="T35" s="31" t="str">
        <f>IF(G35=Surrender!G35,"R",HSD!T35)</f>
        <v>H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>
      <c r="A36">
        <v>13</v>
      </c>
      <c r="B36">
        <f>IF(AND(Rules!$B$8=Rules!$D$8,Rules!$B$7=Rules!$D$7),MAX(Hit!B36,Stand!B36,Double!B36,Surrender!B36),MAX(Hit!B36,Stand!B36,Double!B36))</f>
        <v>-0.23472177802444921</v>
      </c>
      <c r="C36">
        <f>IF(Rules!$B$7=Rules!$D$7,MAX(Hit!C36,Stand!C36,Double!C36,Surrender!C36),MAX(Hit!C36,Stand!C36,Double!C36))</f>
        <v>4.6611316056980476E-2</v>
      </c>
      <c r="D36">
        <f>IF(Rules!$B$7=Rules!$D$7,MAX(Hit!D36,Stand!D36,Double!D36,Surrender!D36),MAX(Hit!D36,Stand!D36,Double!D36))</f>
        <v>7.4096482508153511E-2</v>
      </c>
      <c r="E36">
        <f>IF(Rules!$B$7=Rules!$D$7,MAX(Hit!E36,Stand!E36,Double!E36,Surrender!E36),MAX(Hit!E36,Stand!E36,Double!E36))</f>
        <v>0.10302707120599627</v>
      </c>
      <c r="F36">
        <f>IF(Rules!$B$7=Rules!$D$7,MAX(Hit!F36,Stand!F36,Double!F36,Surrender!F36),MAX(Hit!F36,Stand!F36,Double!F36))</f>
        <v>0.13362751686623553</v>
      </c>
      <c r="G36">
        <f>IF(Rules!$B$7=Rules!$D$7,MAX(Hit!G36,Stand!G36,Double!G36,Surrender!G36),MAX(Hit!G36,Stand!G36,Double!G36))</f>
        <v>0.16513483022847522</v>
      </c>
      <c r="H36">
        <f>IF(Rules!$B$7=Rules!$D$7,MAX(Hit!H36,Stand!H36,Double!H36,Surrender!H36),MAX(Hit!H36,Stand!H36,Double!H36))</f>
        <v>0.12238569517899196</v>
      </c>
      <c r="I36">
        <f>IF(Rules!$B$7=Rules!$D$7,MAX(Hit!I36,Stand!I36,Double!I36,Surrender!I36),MAX(Hit!I36,Stand!I36,Double!I36))</f>
        <v>5.4057070196311334E-2</v>
      </c>
      <c r="J36">
        <f>IF(Rules!$B$7=Rules!$D$7,MAX(Hit!J36,Stand!J36,Double!J36,Surrender!J36),MAX(Hit!J36,Stand!J36,Double!J36))</f>
        <v>-3.7694688127479885E-2</v>
      </c>
      <c r="K36">
        <f>IF(Rules!$B$7=Rules!$D$7,MAX(Hit!K36,Stand!K36,Double!K36,Surrender!K36),MAX(Hit!K36,Stand!K36,Double!K36))</f>
        <v>-0.16080628455762785</v>
      </c>
      <c r="N36" s="31">
        <v>13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H</v>
      </c>
      <c r="S36" s="31" t="str">
        <f>IF(F36=Surrender!F36,"R",HSD!S36)</f>
        <v>H</v>
      </c>
      <c r="T36" s="31" t="str">
        <f>IF(G36=Surrender!G36,"R",HSD!T36)</f>
        <v>H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>
      <c r="A37">
        <v>14</v>
      </c>
      <c r="B37">
        <f>IF(AND(Rules!$B$8=Rules!$D$8,Rules!$B$7=Rules!$D$7),MAX(Hit!B37,Stand!B37,Double!B37,Surrender!B37),MAX(Hit!B37,Stand!B37,Double!B37))</f>
        <v>-0.26406959413166387</v>
      </c>
      <c r="C37">
        <f>IF(Rules!$B$7=Rules!$D$7,MAX(Hit!C37,Stand!C37,Double!C37,Surrender!C37),MAX(Hit!C37,Stand!C37,Double!C37))</f>
        <v>2.2814486278603666E-2</v>
      </c>
      <c r="D37">
        <f>IF(Rules!$B$7=Rules!$D$7,MAX(Hit!D37,Stand!D37,Double!D37,Surrender!D37),MAX(Hit!D37,Stand!D37,Double!D37))</f>
        <v>5.1187035629558814E-2</v>
      </c>
      <c r="E37">
        <f>IF(Rules!$B$7=Rules!$D$7,MAX(Hit!E37,Stand!E37,Double!E37,Surrender!E37),MAX(Hit!E37,Stand!E37,Double!E37))</f>
        <v>8.0964445685349773E-2</v>
      </c>
      <c r="F37">
        <f>IF(Rules!$B$7=Rules!$D$7,MAX(Hit!F37,Stand!F37,Double!F37,Surrender!F37),MAX(Hit!F37,Stand!F37,Double!F37))</f>
        <v>0.11231965892948416</v>
      </c>
      <c r="G37">
        <f>IF(Rules!$B$7=Rules!$D$7,MAX(Hit!G37,Stand!G37,Double!G37,Surrender!G37),MAX(Hit!G37,Stand!G37,Double!G37))</f>
        <v>0.1446918530552618</v>
      </c>
      <c r="H37">
        <f>IF(Rules!$B$7=Rules!$D$7,MAX(Hit!H37,Stand!H37,Double!H37,Surrender!H37),MAX(Hit!H37,Stand!H37,Double!H37))</f>
        <v>7.9507488494468148E-2</v>
      </c>
      <c r="I37">
        <f>IF(Rules!$B$7=Rules!$D$7,MAX(Hit!I37,Stand!I37,Double!I37,Surrender!I37),MAX(Hit!I37,Stand!I37,Double!I37))</f>
        <v>1.3277219463208478E-2</v>
      </c>
      <c r="J37">
        <f>IF(Rules!$B$7=Rules!$D$7,MAX(Hit!J37,Stand!J37,Double!J37,Surrender!J37),MAX(Hit!J37,Stand!J37,Double!J37))</f>
        <v>-7.516318944168382E-2</v>
      </c>
      <c r="K37">
        <f>IF(Rules!$B$7=Rules!$D$7,MAX(Hit!K37,Stand!K37,Double!K37,Surrender!K37),MAX(Hit!K37,Stand!K37,Double!K37))</f>
        <v>-0.1933035414076569</v>
      </c>
      <c r="N37" s="31">
        <v>14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H</v>
      </c>
      <c r="R37" s="31" t="str">
        <f>IF(E37=Surrender!E37,"R",HSD!R37)</f>
        <v>H</v>
      </c>
      <c r="S37" s="31" t="str">
        <f>IF(F37=Surrender!F37,"R",HSD!S37)</f>
        <v>H</v>
      </c>
      <c r="T37" s="31" t="str">
        <f>IF(G37=Surrender!G37,"R",HSD!T37)</f>
        <v>H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>
      <c r="A38">
        <v>15</v>
      </c>
      <c r="B38">
        <f>IF(AND(Rules!$B$8=Rules!$D$8,Rules!$B$7=Rules!$D$7),MAX(Hit!B38,Stand!B38,Double!B38,Surrender!B38),MAX(Hit!B38,Stand!B38,Double!B38))</f>
        <v>-0.29312934580507005</v>
      </c>
      <c r="C38">
        <f>IF(Rules!$B$7=Rules!$D$7,MAX(Hit!C38,Stand!C38,Double!C38,Surrender!C38),MAX(Hit!C38,Stand!C38,Double!C38))</f>
        <v>7.1743005582518391E-4</v>
      </c>
      <c r="D38">
        <f>IF(Rules!$B$7=Rules!$D$7,MAX(Hit!D38,Stand!D38,Double!D38,Surrender!D38),MAX(Hit!D38,Stand!D38,Double!D38))</f>
        <v>2.9913977813720842E-2</v>
      </c>
      <c r="E38">
        <f>IF(Rules!$B$7=Rules!$D$7,MAX(Hit!E38,Stand!E38,Double!E38,Surrender!E38),MAX(Hit!E38,Stand!E38,Double!E38))</f>
        <v>6.047772198760662E-2</v>
      </c>
      <c r="F38">
        <f>IF(Rules!$B$7=Rules!$D$7,MAX(Hit!F38,Stand!F38,Double!F38,Surrender!F38),MAX(Hit!F38,Stand!F38,Double!F38))</f>
        <v>9.2533790845357913E-2</v>
      </c>
      <c r="G38">
        <f>IF(Rules!$B$7=Rules!$D$7,MAX(Hit!G38,Stand!G38,Double!G38,Surrender!G38),MAX(Hit!G38,Stand!G38,Double!G38))</f>
        <v>0.12570908853727794</v>
      </c>
      <c r="H38">
        <f>IF(Rules!$B$7=Rules!$D$7,MAX(Hit!H38,Stand!H38,Double!H38,Surrender!H38),MAX(Hit!H38,Stand!H38,Double!H38))</f>
        <v>3.7028282279269235E-2</v>
      </c>
      <c r="I38">
        <f>IF(Rules!$B$7=Rules!$D$7,MAX(Hit!I38,Stand!I38,Double!I38,Surrender!I38),MAX(Hit!I38,Stand!I38,Double!I38))</f>
        <v>-2.7054780502901672E-2</v>
      </c>
      <c r="J38">
        <f>IF(Rules!$B$7=Rules!$D$7,MAX(Hit!J38,Stand!J38,Double!J38,Surrender!J38),MAX(Hit!J38,Stand!J38,Double!J38))</f>
        <v>-0.11218876868994289</v>
      </c>
      <c r="K38">
        <f>IF(Rules!$B$7=Rules!$D$7,MAX(Hit!K38,Stand!K38,Double!K38,Surrender!K38),MAX(Hit!K38,Stand!K38,Double!K38))</f>
        <v>-0.22543993358238781</v>
      </c>
      <c r="N38" s="31">
        <v>15</v>
      </c>
      <c r="O38" s="31" t="str">
        <f>IF(B38=Surrender!B38,"R",HSD!O38)</f>
        <v>H</v>
      </c>
      <c r="P38" s="31" t="str">
        <f>IF(C38=Surrender!C38,"R",HSD!P38)</f>
        <v>H</v>
      </c>
      <c r="Q38" s="31" t="str">
        <f>IF(D38=Surrender!D38,"R",HSD!Q38)</f>
        <v>H</v>
      </c>
      <c r="R38" s="31" t="str">
        <f>IF(E38=Surrender!E38,"R",HSD!R38)</f>
        <v>H</v>
      </c>
      <c r="S38" s="31" t="str">
        <f>IF(F38=Surrender!F38,"R",HSD!S38)</f>
        <v>H</v>
      </c>
      <c r="T38" s="31" t="str">
        <f>IF(G38=Surrender!G38,"R",HSD!T38)</f>
        <v>H</v>
      </c>
      <c r="U38" s="31" t="str">
        <f>IF(H38=Surrender!H38,"R",HSD!U38)</f>
        <v>H</v>
      </c>
      <c r="V38" s="31" t="str">
        <f>IF(I38=Surrender!I38,"R",HSD!V38)</f>
        <v>H</v>
      </c>
      <c r="W38" s="31" t="str">
        <f>IF(J38=Surrender!J38,"R",HSD!W38)</f>
        <v>H</v>
      </c>
      <c r="X38" s="31" t="str">
        <f>IF(K38=Surrender!K38,"R",HSD!X38)</f>
        <v>H</v>
      </c>
    </row>
    <row r="39" spans="1:24">
      <c r="A39">
        <v>16</v>
      </c>
      <c r="B39">
        <f>IF(AND(Rules!$B$8=Rules!$D$8,Rules!$B$7=Rules!$D$7),MAX(Hit!B39,Stand!B39,Double!B39,Surrender!B39),MAX(Hit!B39,Stand!B39,Double!B39))</f>
        <v>-0.31409107314591783</v>
      </c>
      <c r="C39">
        <f>IF(Rules!$B$7=Rules!$D$7,MAX(Hit!C39,Stand!C39,Double!C39,Surrender!C39),MAX(Hit!C39,Stand!C39,Double!C39))</f>
        <v>-1.9801265008183407E-2</v>
      </c>
      <c r="D39">
        <f>IF(Rules!$B$7=Rules!$D$7,MAX(Hit!D39,Stand!D39,Double!D39,Surrender!D39),MAX(Hit!D39,Stand!D39,Double!D39))</f>
        <v>1.0160424127585613E-2</v>
      </c>
      <c r="E39">
        <f>IF(Rules!$B$7=Rules!$D$7,MAX(Hit!E39,Stand!E39,Double!E39,Surrender!E39),MAX(Hit!E39,Stand!E39,Double!E39))</f>
        <v>4.1454335696845056E-2</v>
      </c>
      <c r="F39">
        <f>IF(Rules!$B$7=Rules!$D$7,MAX(Hit!F39,Stand!F39,Double!F39,Surrender!F39),MAX(Hit!F39,Stand!F39,Double!F39))</f>
        <v>7.4161199052954929E-2</v>
      </c>
      <c r="G39">
        <f>IF(Rules!$B$7=Rules!$D$7,MAX(Hit!G39,Stand!G39,Double!G39,Surrender!G39),MAX(Hit!G39,Stand!G39,Double!G39))</f>
        <v>0.10808223577057864</v>
      </c>
      <c r="H39">
        <f>IF(Rules!$B$7=Rules!$D$7,MAX(Hit!H39,Stand!H39,Double!H39,Surrender!H39),MAX(Hit!H39,Stand!H39,Double!H39))</f>
        <v>-4.8901571730158942E-3</v>
      </c>
      <c r="I39">
        <f>IF(Rules!$B$7=Rules!$D$7,MAX(Hit!I39,Stand!I39,Double!I39,Surrender!I39),MAX(Hit!I39,Stand!I39,Double!I39))</f>
        <v>-6.6794847920094103E-2</v>
      </c>
      <c r="J39">
        <f>IF(Rules!$B$7=Rules!$D$7,MAX(Hit!J39,Stand!J39,Double!J39,Surrender!J39),MAX(Hit!J39,Stand!J39,Double!J39))</f>
        <v>-0.14864353463007471</v>
      </c>
      <c r="K39">
        <f>IF(Rules!$B$7=Rules!$D$7,MAX(Hit!K39,Stand!K39,Double!K39,Surrender!K39),MAX(Hit!K39,Stand!K39,Double!K39))</f>
        <v>-0.25710121084742421</v>
      </c>
      <c r="N39" s="31">
        <v>16</v>
      </c>
      <c r="O39" s="31" t="str">
        <f>IF(B39=Surrender!B39,"R",HSD!O39)</f>
        <v>H</v>
      </c>
      <c r="P39" s="31" t="str">
        <f>IF(C39=Surrender!C39,"R",HSD!P39)</f>
        <v>H</v>
      </c>
      <c r="Q39" s="31" t="str">
        <f>IF(D39=Surrender!D39,"R",HSD!Q39)</f>
        <v>H</v>
      </c>
      <c r="R39" s="31" t="str">
        <f>IF(E39=Surrender!E39,"R",HSD!R39)</f>
        <v>H</v>
      </c>
      <c r="S39" s="31" t="str">
        <f>IF(F39=Surrender!F39,"R",HSD!S39)</f>
        <v>H</v>
      </c>
      <c r="T39" s="31" t="str">
        <f>IF(G39=Surrender!G39,"R",HSD!T39)</f>
        <v>H</v>
      </c>
      <c r="U39" s="31" t="str">
        <f>IF(H39=Surrender!H39,"R",HSD!U39)</f>
        <v>H</v>
      </c>
      <c r="V39" s="31" t="str">
        <f>IF(I39=Surrender!I39,"R",HSD!V39)</f>
        <v>H</v>
      </c>
      <c r="W39" s="31" t="str">
        <f>IF(J39=Surrender!J39,"R",HSD!W39)</f>
        <v>H</v>
      </c>
      <c r="X39" s="31" t="str">
        <f>IF(K39=Surrender!K39,"R",HSD!X39)</f>
        <v>H</v>
      </c>
    </row>
    <row r="40" spans="1:24">
      <c r="A40">
        <v>17</v>
      </c>
      <c r="B40">
        <f>IF(AND(Rules!$B$8=Rules!$D$8,Rules!$B$7=Rules!$D$7),MAX(Hit!B40,Stand!B40,Double!B40,Surrender!B40),MAX(Hit!B40,Stand!B40,Double!B40))</f>
        <v>-0.30094774596936263</v>
      </c>
      <c r="C40">
        <f>IF(Rules!$B$7=Rules!$D$7,MAX(Hit!C40,Stand!C40,Double!C40,Surrender!C40),MAX(Hit!C40,Stand!C40,Double!C40))</f>
        <v>-1.673172543840738E-3</v>
      </c>
      <c r="D40">
        <f>IF(Rules!$B$7=Rules!$D$7,MAX(Hit!D40,Stand!D40,Double!D40,Surrender!D40),MAX(Hit!D40,Stand!D40,Double!D40))</f>
        <v>2.7911561721504739E-2</v>
      </c>
      <c r="E40">
        <f>IF(Rules!$B$7=Rules!$D$7,MAX(Hit!E40,Stand!E40,Double!E40,Surrender!E40),MAX(Hit!E40,Stand!E40,Double!E40))</f>
        <v>5.876280075567035E-2</v>
      </c>
      <c r="F40">
        <f>IF(Rules!$B$7=Rules!$D$7,MAX(Hit!F40,Stand!F40,Double!F40,Surrender!F40),MAX(Hit!F40,Stand!F40,Double!F40))</f>
        <v>9.0917775110499491E-2</v>
      </c>
      <c r="G40">
        <f>IF(Rules!$B$7=Rules!$D$7,MAX(Hit!G40,Stand!G40,Double!G40,Surrender!G40),MAX(Hit!G40,Stand!G40,Double!G40))</f>
        <v>0.12452521015392595</v>
      </c>
      <c r="H40">
        <f>IF(Rules!$B$7=Rules!$D$7,MAX(Hit!H40,Stand!H40,Double!H40,Surrender!H40),MAX(Hit!H40,Stand!H40,Double!H40))</f>
        <v>5.3823463716116654E-2</v>
      </c>
      <c r="I40">
        <f>IF(Rules!$B$7=Rules!$D$7,MAX(Hit!I40,Stand!I40,Double!I40,Surrender!I40),MAX(Hit!I40,Stand!I40,Double!I40))</f>
        <v>-7.2915398729642075E-2</v>
      </c>
      <c r="J40">
        <f>IF(Rules!$B$7=Rules!$D$7,MAX(Hit!J40,Stand!J40,Double!J40,Surrender!J40),MAX(Hit!J40,Stand!J40,Double!J40))</f>
        <v>-0.14978689218213323</v>
      </c>
      <c r="K40">
        <f>IF(Rules!$B$7=Rules!$D$7,MAX(Hit!K40,Stand!K40,Double!K40,Surrender!K40),MAX(Hit!K40,Stand!K40,Double!K40))</f>
        <v>-0.24941602102444038</v>
      </c>
      <c r="N40" s="31">
        <v>17</v>
      </c>
      <c r="O40" s="31" t="str">
        <f>IF(B40=Surrender!B40,"R",HSD!O40)</f>
        <v>H</v>
      </c>
      <c r="P40" s="31" t="str">
        <f>IF(C40=Surrender!C40,"R",HSD!P40)</f>
        <v>H</v>
      </c>
      <c r="Q40" s="31" t="str">
        <f>IF(D40=Surrender!D40,"R",HSD!Q40)</f>
        <v>H</v>
      </c>
      <c r="R40" s="31" t="str">
        <f>IF(E40=Surrender!E40,"R",HSD!R40)</f>
        <v>H</v>
      </c>
      <c r="S40" s="31" t="str">
        <f>IF(F40=Surrender!F40,"R",HSD!S40)</f>
        <v>H</v>
      </c>
      <c r="T40" s="31" t="str">
        <f>IF(G40=Surrender!G40,"R",HSD!T40)</f>
        <v>H</v>
      </c>
      <c r="U40" s="31" t="str">
        <f>IF(H40=Surrender!H40,"R",HSD!U40)</f>
        <v>H</v>
      </c>
      <c r="V40" s="31" t="str">
        <f>IF(I40=Surrender!I40,"R",HSD!V40)</f>
        <v>H</v>
      </c>
      <c r="W40" s="31" t="str">
        <f>IF(J40=Surrender!J40,"R",HSD!W40)</f>
        <v>H</v>
      </c>
      <c r="X40" s="31" t="str">
        <f>IF(K40=Surrender!K40,"R",HSD!X40)</f>
        <v>H</v>
      </c>
    </row>
    <row r="41" spans="1:24">
      <c r="A41">
        <v>18</v>
      </c>
      <c r="B41">
        <f>IF(AND(Rules!$B$8=Rules!$D$8,Rules!$B$7=Rules!$D$7),MAX(Hit!B41,Stand!B41,Double!B41,Surrender!B41),MAX(Hit!B41,Stand!B41,Double!B41))</f>
        <v>-0.24150883119675959</v>
      </c>
      <c r="C41">
        <f>IF(Rules!$B$7=Rules!$D$7,MAX(Hit!C41,Stand!C41,Double!C41,Surrender!C41),MAX(Hit!C41,Stand!C41,Double!C41))</f>
        <v>0.11027005064085793</v>
      </c>
      <c r="D41">
        <f>IF(Rules!$B$7=Rules!$D$7,MAX(Hit!D41,Stand!D41,Double!D41,Surrender!D41),MAX(Hit!D41,Stand!D41,Double!D41))</f>
        <v>0.13797729703756356</v>
      </c>
      <c r="E41">
        <f>IF(Rules!$B$7=Rules!$D$7,MAX(Hit!E41,Stand!E41,Double!E41,Surrender!E41),MAX(Hit!E41,Stand!E41,Double!E41))</f>
        <v>0.16626900252257676</v>
      </c>
      <c r="F41">
        <f>IF(Rules!$B$7=Rules!$D$7,MAX(Hit!F41,Stand!F41,Double!F41,Surrender!F41),MAX(Hit!F41,Stand!F41,Double!F41))</f>
        <v>0.19494598568825822</v>
      </c>
      <c r="G41">
        <f>IF(Rules!$B$7=Rules!$D$7,MAX(Hit!G41,Stand!G41,Double!G41,Surrender!G41),MAX(Hit!G41,Stand!G41,Double!G41))</f>
        <v>0.22344619530395254</v>
      </c>
      <c r="H41">
        <f>IF(Rules!$B$7=Rules!$D$7,MAX(Hit!H41,Stand!H41,Double!H41,Surrender!H41),MAX(Hit!H41,Stand!H41,Double!H41))</f>
        <v>0.3995541673365518</v>
      </c>
      <c r="I41">
        <f>IF(Rules!$B$7=Rules!$D$7,MAX(Hit!I41,Stand!I41,Double!I41,Surrender!I41),MAX(Hit!I41,Stand!I41,Double!I41))</f>
        <v>0.10595134861912359</v>
      </c>
      <c r="J41">
        <f>IF(Rules!$B$7=Rules!$D$7,MAX(Hit!J41,Stand!J41,Double!J41,Surrender!J41),MAX(Hit!J41,Stand!J41,Double!J41))</f>
        <v>-0.10074430758041522</v>
      </c>
      <c r="K41">
        <f>IF(Rules!$B$7=Rules!$D$7,MAX(Hit!K41,Stand!K41,Double!K41,Surrender!K41),MAX(Hit!K41,Stand!K41,Double!K41))</f>
        <v>-0.20109793381277147</v>
      </c>
      <c r="N41" s="31">
        <v>18</v>
      </c>
      <c r="O41" s="31" t="str">
        <f>IF(B41=Surrender!B41,"R",HSD!O41)</f>
        <v>S</v>
      </c>
      <c r="P41" s="31" t="str">
        <f>IF(C41=Surrender!C41,"R",HSD!P41)</f>
        <v>S</v>
      </c>
      <c r="Q41" s="31" t="str">
        <f>IF(D41=Surrender!D41,"R",HSD!Q41)</f>
        <v>S</v>
      </c>
      <c r="R41" s="31" t="str">
        <f>IF(E41=Surrender!E41,"R",HSD!R41)</f>
        <v>S</v>
      </c>
      <c r="S41" s="31" t="str">
        <f>IF(F41=Surrender!F41,"R",HSD!S41)</f>
        <v>S</v>
      </c>
      <c r="T41" s="31" t="str">
        <f>IF(G41=Surrender!G41,"R",HSD!T41)</f>
        <v>S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H</v>
      </c>
      <c r="X41" s="31" t="str">
        <f>IF(K41=Surrender!K41,"R",HSD!X41)</f>
        <v>H</v>
      </c>
    </row>
    <row r="42" spans="1:24">
      <c r="A42">
        <v>19</v>
      </c>
      <c r="B42">
        <f>IF(AND(Rules!$B$8=Rules!$D$8,Rules!$B$7=Rules!$D$7),MAX(Hit!B42,Stand!B42,Double!B42,Surrender!B42),MAX(Hit!B42,Stand!B42,Double!B42))</f>
        <v>-1.8660154151531549E-2</v>
      </c>
      <c r="C42">
        <f>IF(Rules!$B$7=Rules!$D$7,MAX(Hit!C42,Stand!C42,Double!C42,Surrender!C42),MAX(Hit!C42,Stand!C42,Double!C42))</f>
        <v>0.37811050632056864</v>
      </c>
      <c r="D42">
        <f>IF(Rules!$B$7=Rules!$D$7,MAX(Hit!D42,Stand!D42,Double!D42,Surrender!D42),MAX(Hit!D42,Stand!D42,Double!D42))</f>
        <v>0.39698952530936887</v>
      </c>
      <c r="E42">
        <f>IF(Rules!$B$7=Rules!$D$7,MAX(Hit!E42,Stand!E42,Double!E42,Surrender!E42),MAX(Hit!E42,Stand!E42,Double!E42))</f>
        <v>0.41633218577399039</v>
      </c>
      <c r="F42">
        <f>IF(Rules!$B$7=Rules!$D$7,MAX(Hit!F42,Stand!F42,Double!F42,Surrender!F42),MAX(Hit!F42,Stand!F42,Double!F42))</f>
        <v>0.43621552609808445</v>
      </c>
      <c r="G42">
        <f>IF(Rules!$B$7=Rules!$D$7,MAX(Hit!G42,Stand!G42,Double!G42,Surrender!G42),MAX(Hit!G42,Stand!G42,Double!G42))</f>
        <v>0.46105844830813802</v>
      </c>
      <c r="H42">
        <f>IF(Rules!$B$7=Rules!$D$7,MAX(Hit!H42,Stand!H42,Double!H42,Surrender!H42),MAX(Hit!H42,Stand!H42,Double!H42))</f>
        <v>0.6159764957534315</v>
      </c>
      <c r="I42">
        <f>IF(Rules!$B$7=Rules!$D$7,MAX(Hit!I42,Stand!I42,Double!I42,Surrender!I42),MAX(Hit!I42,Stand!I42,Double!I42))</f>
        <v>0.5938536682866945</v>
      </c>
      <c r="J42">
        <f>IF(Rules!$B$7=Rules!$D$7,MAX(Hit!J42,Stand!J42,Double!J42,Surrender!J42),MAX(Hit!J42,Stand!J42,Double!J42))</f>
        <v>0.28759675706758142</v>
      </c>
      <c r="K42">
        <f>IF(Rules!$B$7=Rules!$D$7,MAX(Hit!K42,Stand!K42,Double!K42,Surrender!K42),MAX(Hit!K42,Stand!K42,Double!K42))</f>
        <v>-1.8660154151531536E-2</v>
      </c>
      <c r="N42" s="31">
        <v>19</v>
      </c>
      <c r="O42" s="31" t="str">
        <f>IF(B42=Surrender!B42,"R",HSD!O42)</f>
        <v>S</v>
      </c>
      <c r="P42" s="31" t="str">
        <f>IF(C42=Surrender!C42,"R",HSD!P42)</f>
        <v>S</v>
      </c>
      <c r="Q42" s="31" t="str">
        <f>IF(D42=Surrender!D42,"R",HSD!Q42)</f>
        <v>S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D</v>
      </c>
      <c r="U42" s="31" t="str">
        <f>IF(H42=Surrender!H42,"R",HSD!U42)</f>
        <v>S</v>
      </c>
      <c r="V42" s="31" t="str">
        <f>IF(I42=Surrender!I42,"R",HSD!V42)</f>
        <v>S</v>
      </c>
      <c r="W42" s="31" t="str">
        <f>IF(J42=Surrender!J42,"R",HSD!W42)</f>
        <v>S</v>
      </c>
      <c r="X42" s="31" t="str">
        <f>IF(K42=Surrender!K42,"R",HSD!X42)</f>
        <v>S</v>
      </c>
    </row>
    <row r="43" spans="1:24">
      <c r="A43">
        <v>20</v>
      </c>
      <c r="B43">
        <f>IF(AND(Rules!$B$8=Rules!$D$8,Rules!$B$7=Rules!$D$7),MAX(Hit!B43,Stand!B43,Double!B43,Surrender!B43),MAX(Hit!B43,Stand!B43,Double!B43))</f>
        <v>0.20418852289369649</v>
      </c>
      <c r="C43">
        <f>IF(Rules!$B$7=Rules!$D$7,MAX(Hit!C43,Stand!C43,Double!C43,Surrender!C43),MAX(Hit!C43,Stand!C43,Double!C43))</f>
        <v>0.63507006739682603</v>
      </c>
      <c r="D43">
        <f>IF(Rules!$B$7=Rules!$D$7,MAX(Hit!D43,Stand!D43,Double!D43,Surrender!D43),MAX(Hit!D43,Stand!D43,Double!D43))</f>
        <v>0.64584804747844671</v>
      </c>
      <c r="E43">
        <f>IF(Rules!$B$7=Rules!$D$7,MAX(Hit!E43,Stand!E43,Double!E43,Surrender!E43),MAX(Hit!E43,Stand!E43,Double!E43))</f>
        <v>0.65694191851596806</v>
      </c>
      <c r="F43">
        <f>IF(Rules!$B$7=Rules!$D$7,MAX(Hit!F43,Stand!F43,Double!F43,Surrender!F43),MAX(Hit!F43,Stand!F43,Double!F43))</f>
        <v>0.66838174379512039</v>
      </c>
      <c r="G43">
        <f>IF(Rules!$B$7=Rules!$D$7,MAX(Hit!G43,Stand!G43,Double!G43,Surrender!G43),MAX(Hit!G43,Stand!G43,Double!G43))</f>
        <v>0.67824526128151064</v>
      </c>
      <c r="H43">
        <f>IF(Rules!$B$7=Rules!$D$7,MAX(Hit!H43,Stand!H43,Double!H43,Surrender!H43),MAX(Hit!H43,Stand!H43,Double!H43))</f>
        <v>0.77322722653717491</v>
      </c>
      <c r="I43">
        <f>IF(Rules!$B$7=Rules!$D$7,MAX(Hit!I43,Stand!I43,Double!I43,Surrender!I43),MAX(Hit!I43,Stand!I43,Double!I43))</f>
        <v>0.79181515955189841</v>
      </c>
      <c r="J43">
        <f>IF(Rules!$B$7=Rules!$D$7,MAX(Hit!J43,Stand!J43,Double!J43,Surrender!J43),MAX(Hit!J43,Stand!J43,Double!J43))</f>
        <v>0.75835687080859626</v>
      </c>
      <c r="K43">
        <f>IF(Rules!$B$7=Rules!$D$7,MAX(Hit!K43,Stand!K43,Double!K43,Surrender!K43),MAX(Hit!K43,Stand!K43,Double!K43))</f>
        <v>0.43495775366292722</v>
      </c>
      <c r="N43" s="31">
        <v>20</v>
      </c>
      <c r="O43" s="31" t="str">
        <f>IF(B43=Surrender!B43,"R",HSD!O43)</f>
        <v>S</v>
      </c>
      <c r="P43" s="31" t="str">
        <f>IF(C43=Surrender!C43,"R",HSD!P43)</f>
        <v>S</v>
      </c>
      <c r="Q43" s="31" t="str">
        <f>IF(D43=Surrender!D43,"R",HSD!Q43)</f>
        <v>S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S</v>
      </c>
      <c r="V43" s="31" t="str">
        <f>IF(I43=Surrender!I43,"R",HSD!V43)</f>
        <v>S</v>
      </c>
      <c r="W43" s="31" t="str">
        <f>IF(J43=Surrender!J43,"R",HSD!W43)</f>
        <v>S</v>
      </c>
      <c r="X43" s="31" t="str">
        <f>IF(K43=Surrender!K43,"R",HSD!X43)</f>
        <v>S</v>
      </c>
    </row>
    <row r="44" spans="1:24">
      <c r="A44">
        <v>21</v>
      </c>
      <c r="B44">
        <f>IF(AND(Rules!$B$8=Rules!$D$8,Rules!$B$7=Rules!$D$7),MAX(Hit!B44,Stand!B44,Double!B44,Surrender!B44),MAX(Hit!B44,Stand!B44,Double!B44))</f>
        <v>0.65780643070815525</v>
      </c>
      <c r="C44">
        <f>IF(Rules!$B$7=Rules!$D$7,MAX(Hit!C44,Stand!C44,Double!C44,Surrender!C44),MAX(Hit!C44,Stand!C44,Double!C44))</f>
        <v>0.88036767955403561</v>
      </c>
      <c r="D44">
        <f>IF(Rules!$B$7=Rules!$D$7,MAX(Hit!D44,Stand!D44,Double!D44,Surrender!D44),MAX(Hit!D44,Stand!D44,Double!D44))</f>
        <v>0.88382567504407128</v>
      </c>
      <c r="E44">
        <f>IF(Rules!$B$7=Rules!$D$7,MAX(Hit!E44,Stand!E44,Double!E44,Surrender!E44),MAX(Hit!E44,Stand!E44,Double!E44))</f>
        <v>0.8873979451552183</v>
      </c>
      <c r="F44">
        <f>IF(Rules!$B$7=Rules!$D$7,MAX(Hit!F44,Stand!F44,Double!F44,Surrender!F44),MAX(Hit!F44,Stand!F44,Double!F44))</f>
        <v>0.89109451098272041</v>
      </c>
      <c r="G44">
        <f>IF(Rules!$B$7=Rules!$D$7,MAX(Hit!G44,Stand!G44,Double!G44,Surrender!G44),MAX(Hit!G44,Stand!G44,Double!G44))</f>
        <v>0.89426564087930194</v>
      </c>
      <c r="H44">
        <f>IF(Rules!$B$7=Rules!$D$7,MAX(Hit!H44,Stand!H44,Double!H44,Surrender!H44),MAX(Hit!H44,Stand!H44,Double!H44))</f>
        <v>0.92592629596452325</v>
      </c>
      <c r="I44">
        <f>IF(Rules!$B$7=Rules!$D$7,MAX(Hit!I44,Stand!I44,Double!I44,Surrender!I44),MAX(Hit!I44,Stand!I44,Double!I44))</f>
        <v>0.93060505318396614</v>
      </c>
      <c r="J44">
        <f>IF(Rules!$B$7=Rules!$D$7,MAX(Hit!J44,Stand!J44,Double!J44,Surrender!J44),MAX(Hit!J44,Stand!J44,Double!J44))</f>
        <v>0.93917615614724415</v>
      </c>
      <c r="K44">
        <f>IF(Rules!$B$7=Rules!$D$7,MAX(Hit!K44,Stand!K44,Double!K44,Surrender!K44),MAX(Hit!K44,Stand!K44,Double!K44))</f>
        <v>0.88857566147738598</v>
      </c>
      <c r="N44" s="31">
        <v>21</v>
      </c>
      <c r="O44" s="31" t="str">
        <f>IF(B44=Surrender!B44,"R",HSD!O44)</f>
        <v>S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S</v>
      </c>
      <c r="V44" s="31" t="str">
        <f>IF(I44=Surrender!I44,"R",HSD!V44)</f>
        <v>S</v>
      </c>
      <c r="W44" s="31" t="str">
        <f>IF(J44=Surrender!J44,"R",HSD!W44)</f>
        <v>S</v>
      </c>
      <c r="X44" s="31" t="str">
        <f>IF(K44=Surrender!K44,"R",HSD!X44)</f>
        <v>S</v>
      </c>
    </row>
    <row r="45" spans="1:24">
      <c r="A45">
        <v>22</v>
      </c>
      <c r="B45">
        <f>IF(AND(Rules!$B$8=Rules!$D$8,Rules!$B$7=Rules!$D$7),MAX(Hit!B45,Stand!B45,Double!B45,Surrender!B45),MAX(Hit!B45,Stand!B45,Double!B45))</f>
        <v>-0.46566058377683939</v>
      </c>
      <c r="C45">
        <f>IF(Rules!$B$7=Rules!$D$7,MAX(Hit!C45,Stand!C45,Double!C45,Surrender!C45),MAX(Hit!C45,Stand!C45,Double!C45))</f>
        <v>-0.25375147059276615</v>
      </c>
      <c r="D45">
        <f>IF(Rules!$B$7=Rules!$D$7,MAX(Hit!D45,Stand!D45,Double!D45,Surrender!D45),MAX(Hit!D45,Stand!D45,Double!D45))</f>
        <v>-0.23401617638713501</v>
      </c>
      <c r="E45">
        <f>IF(Rules!$B$7=Rules!$D$7,MAX(Hit!E45,Stand!E45,Double!E45,Surrender!E45),MAX(Hit!E45,Stand!E45,Double!E45))</f>
        <v>-0.20584968608305471</v>
      </c>
      <c r="F45">
        <f>IF(Rules!$B$7=Rules!$D$7,MAX(Hit!F45,Stand!F45,Double!F45,Surrender!F45),MAX(Hit!F45,Stand!F45,Double!F45))</f>
        <v>-0.16468249424828357</v>
      </c>
      <c r="G45">
        <f>IF(Rules!$B$7=Rules!$D$7,MAX(Hit!G45,Stand!G45,Double!G45,Surrender!G45),MAX(Hit!G45,Stand!G45,Double!G45))</f>
        <v>-0.12106685019651225</v>
      </c>
      <c r="H45">
        <f>IF(Rules!$B$7=Rules!$D$7,MAX(Hit!H45,Stand!H45,Double!H45,Surrender!H45),MAX(Hit!H45,Stand!H45,Double!H45))</f>
        <v>-0.21284771451731424</v>
      </c>
      <c r="I45">
        <f>IF(Rules!$B$7=Rules!$D$7,MAX(Hit!I45,Stand!I45,Double!I45,Surrender!I45),MAX(Hit!I45,Stand!I45,Double!I45))</f>
        <v>-0.27157480502428616</v>
      </c>
      <c r="J45">
        <f>IF(Rules!$B$7=Rules!$D$7,MAX(Hit!J45,Stand!J45,Double!J45,Surrender!J45),MAX(Hit!J45,Stand!J45,Double!J45))</f>
        <v>-0.3400132806089356</v>
      </c>
      <c r="K45">
        <f>IF(Rules!$B$7=Rules!$D$7,MAX(Hit!K45,Stand!K45,Double!K45,Surrender!K45),MAX(Hit!K45,Stand!K45,Double!K45))</f>
        <v>-0.42069618899826788</v>
      </c>
      <c r="N45" s="31">
        <v>22</v>
      </c>
      <c r="O45" s="31" t="str">
        <f>IF(B45=Surrender!B45,"R",HSD!O45)</f>
        <v>H</v>
      </c>
      <c r="P45" s="31" t="str">
        <f>IF(C45=Surrender!C45,"R",HSD!P45)</f>
        <v>H</v>
      </c>
      <c r="Q45" s="31" t="str">
        <f>IF(D45=Surrender!D45,"R",HSD!Q45)</f>
        <v>H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>
      <c r="A46">
        <v>23</v>
      </c>
      <c r="B46">
        <f>IF(AND(Rules!$B$8=Rules!$D$8,Rules!$B$7=Rules!$D$7),MAX(Hit!B46,Stand!B46,Double!B46,Surrender!B46),MAX(Hit!B46,Stand!B46,Double!B46))</f>
        <v>-0.50382768493563657</v>
      </c>
      <c r="C46">
        <f>IF(Rules!$B$7=Rules!$D$7,MAX(Hit!C46,Stand!C46,Double!C46,Surrender!C46),MAX(Hit!C46,Stand!C46,Double!C46))</f>
        <v>-0.28654430084029509</v>
      </c>
      <c r="D46">
        <f>IF(Rules!$B$7=Rules!$D$7,MAX(Hit!D46,Stand!D46,Double!D46,Surrender!D46),MAX(Hit!D46,Stand!D46,Double!D46))</f>
        <v>-0.24663577379217239</v>
      </c>
      <c r="E46">
        <f>IF(Rules!$B$7=Rules!$D$7,MAX(Hit!E46,Stand!E46,Double!E46,Surrender!E46),MAX(Hit!E46,Stand!E46,Double!E46))</f>
        <v>-0.20584968608305471</v>
      </c>
      <c r="F46">
        <f>IF(Rules!$B$7=Rules!$D$7,MAX(Hit!F46,Stand!F46,Double!F46,Surrender!F46),MAX(Hit!F46,Stand!F46,Double!F46))</f>
        <v>-0.16468249424828357</v>
      </c>
      <c r="G46">
        <f>IF(Rules!$B$7=Rules!$D$7,MAX(Hit!G46,Stand!G46,Double!G46,Surrender!G46),MAX(Hit!G46,Stand!G46,Double!G46))</f>
        <v>-0.12106685019651225</v>
      </c>
      <c r="H46">
        <f>IF(Rules!$B$7=Rules!$D$7,MAX(Hit!H46,Stand!H46,Double!H46,Surrender!H46),MAX(Hit!H46,Stand!H46,Double!H46))</f>
        <v>-0.26907287776607752</v>
      </c>
      <c r="I46">
        <f>IF(Rules!$B$7=Rules!$D$7,MAX(Hit!I46,Stand!I46,Double!I46,Surrender!I46),MAX(Hit!I46,Stand!I46,Double!I46))</f>
        <v>-0.32360517609397998</v>
      </c>
      <c r="J46">
        <f>IF(Rules!$B$7=Rules!$D$7,MAX(Hit!J46,Stand!J46,Double!J46,Surrender!J46),MAX(Hit!J46,Stand!J46,Double!J46))</f>
        <v>-0.38715518913686875</v>
      </c>
      <c r="K46">
        <f>IF(Rules!$B$7=Rules!$D$7,MAX(Hit!K46,Stand!K46,Double!K46,Surrender!K46),MAX(Hit!K46,Stand!K46,Double!K46))</f>
        <v>-0.46207503264124877</v>
      </c>
      <c r="N46" s="31">
        <v>23</v>
      </c>
      <c r="O46" s="31" t="str">
        <f>IF(B46=Surrender!B46,"R",HSD!O46)</f>
        <v>H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>
      <c r="A47">
        <v>24</v>
      </c>
      <c r="B47">
        <f>IF(AND(Rules!$B$8=Rules!$D$8,Rules!$B$7=Rules!$D$7),MAX(Hit!B47,Stand!B47,Double!B47,Surrender!B47),MAX(Hit!B47,Stand!B47,Double!B47))</f>
        <v>-0.53926856458309114</v>
      </c>
      <c r="C47">
        <f>IF(Rules!$B$7=Rules!$D$7,MAX(Hit!C47,Stand!C47,Double!C47,Surrender!C47),MAX(Hit!C47,Stand!C47,Double!C47))</f>
        <v>-0.28654430084029509</v>
      </c>
      <c r="D47">
        <f>IF(Rules!$B$7=Rules!$D$7,MAX(Hit!D47,Stand!D47,Double!D47,Surrender!D47),MAX(Hit!D47,Stand!D47,Double!D47))</f>
        <v>-0.24663577379217239</v>
      </c>
      <c r="E47">
        <f>IF(Rules!$B$7=Rules!$D$7,MAX(Hit!E47,Stand!E47,Double!E47,Surrender!E47),MAX(Hit!E47,Stand!E47,Double!E47))</f>
        <v>-0.20584968608305471</v>
      </c>
      <c r="F47">
        <f>IF(Rules!$B$7=Rules!$D$7,MAX(Hit!F47,Stand!F47,Double!F47,Surrender!F47),MAX(Hit!F47,Stand!F47,Double!F47))</f>
        <v>-0.16468249424828357</v>
      </c>
      <c r="G47">
        <f>IF(Rules!$B$7=Rules!$D$7,MAX(Hit!G47,Stand!G47,Double!G47,Surrender!G47),MAX(Hit!G47,Stand!G47,Double!G47))</f>
        <v>-0.12106685019651225</v>
      </c>
      <c r="H47">
        <f>IF(Rules!$B$7=Rules!$D$7,MAX(Hit!H47,Stand!H47,Double!H47,Surrender!H47),MAX(Hit!H47,Stand!H47,Double!H47))</f>
        <v>-0.3212819579256434</v>
      </c>
      <c r="I47">
        <f>IF(Rules!$B$7=Rules!$D$7,MAX(Hit!I47,Stand!I47,Double!I47,Surrender!I47),MAX(Hit!I47,Stand!I47,Double!I47))</f>
        <v>-0.37191909208726714</v>
      </c>
      <c r="J47">
        <f>IF(Rules!$B$7=Rules!$D$7,MAX(Hit!J47,Stand!J47,Double!J47,Surrender!J47),MAX(Hit!J47,Stand!J47,Double!J47))</f>
        <v>-0.43092981848423528</v>
      </c>
      <c r="K47">
        <f>IF(Rules!$B$7=Rules!$D$7,MAX(Hit!K47,Stand!K47,Double!K47,Surrender!K47),MAX(Hit!K47,Stand!K47,Double!K47))</f>
        <v>-0.50049824459544523</v>
      </c>
      <c r="N47" s="31">
        <v>24</v>
      </c>
      <c r="O47" s="31" t="str">
        <f>IF(B47=Surrender!B47,"R",HSD!O47)</f>
        <v>H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H</v>
      </c>
      <c r="V47" s="31" t="str">
        <f>IF(I47=Surrender!I47,"R",HSD!V47)</f>
        <v>H</v>
      </c>
      <c r="W47" s="31" t="str">
        <f>IF(J47=Surrender!J47,"R",HSD!W47)</f>
        <v>H</v>
      </c>
      <c r="X47" s="31" t="str">
        <f>IF(K47=Surrender!K47,"R",HSD!X47)</f>
        <v>H</v>
      </c>
    </row>
    <row r="48" spans="1:24">
      <c r="A48">
        <v>25</v>
      </c>
      <c r="B48">
        <f>IF(AND(Rules!$B$8=Rules!$D$8,Rules!$B$7=Rules!$D$7),MAX(Hit!B48,Stand!B48,Double!B48,Surrender!B48),MAX(Hit!B48,Stand!B48,Double!B48))</f>
        <v>-0.572177952827156</v>
      </c>
      <c r="C48">
        <f>IF(Rules!$B$7=Rules!$D$7,MAX(Hit!C48,Stand!C48,Double!C48,Surrender!C48),MAX(Hit!C48,Stand!C48,Double!C48))</f>
        <v>-0.28654430084029509</v>
      </c>
      <c r="D48">
        <f>IF(Rules!$B$7=Rules!$D$7,MAX(Hit!D48,Stand!D48,Double!D48,Surrender!D48),MAX(Hit!D48,Stand!D48,Double!D48))</f>
        <v>-0.24663577379217239</v>
      </c>
      <c r="E48">
        <f>IF(Rules!$B$7=Rules!$D$7,MAX(Hit!E48,Stand!E48,Double!E48,Surrender!E48),MAX(Hit!E48,Stand!E48,Double!E48))</f>
        <v>-0.20584968608305471</v>
      </c>
      <c r="F48">
        <f>IF(Rules!$B$7=Rules!$D$7,MAX(Hit!F48,Stand!F48,Double!F48,Surrender!F48),MAX(Hit!F48,Stand!F48,Double!F48))</f>
        <v>-0.16468249424828357</v>
      </c>
      <c r="G48">
        <f>IF(Rules!$B$7=Rules!$D$7,MAX(Hit!G48,Stand!G48,Double!G48,Surrender!G48),MAX(Hit!G48,Stand!G48,Double!G48))</f>
        <v>-0.12106685019651225</v>
      </c>
      <c r="H48">
        <f>IF(Rules!$B$7=Rules!$D$7,MAX(Hit!H48,Stand!H48,Double!H48,Surrender!H48),MAX(Hit!H48,Stand!H48,Double!H48))</f>
        <v>-0.36976181807381175</v>
      </c>
      <c r="I48">
        <f>IF(Rules!$B$7=Rules!$D$7,MAX(Hit!I48,Stand!I48,Double!I48,Surrender!I48),MAX(Hit!I48,Stand!I48,Double!I48))</f>
        <v>-0.41678201408103371</v>
      </c>
      <c r="J48">
        <f>IF(Rules!$B$7=Rules!$D$7,MAX(Hit!J48,Stand!J48,Double!J48,Surrender!J48),MAX(Hit!J48,Stand!J48,Double!J48))</f>
        <v>-0.47157768859250415</v>
      </c>
      <c r="K48">
        <f>IF(Rules!$B$7=Rules!$D$7,MAX(Hit!K48,Stand!K48,Double!K48,Surrender!K48),MAX(Hit!K48,Stand!K48,Double!K48))</f>
        <v>-0.53617694141005634</v>
      </c>
      <c r="N48" s="31">
        <v>25</v>
      </c>
      <c r="O48" s="31" t="str">
        <f>IF(B48=Surrender!B48,"R",HSD!O48)</f>
        <v>H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H</v>
      </c>
      <c r="V48" s="31" t="str">
        <f>IF(I48=Surrender!I48,"R",HSD!V48)</f>
        <v>H</v>
      </c>
      <c r="W48" s="31" t="str">
        <f>IF(J48=Surrender!J48,"R",HSD!W48)</f>
        <v>H</v>
      </c>
      <c r="X48" s="31" t="str">
        <f>IF(K48=Surrender!K48,"R",HSD!X48)</f>
        <v>H</v>
      </c>
    </row>
    <row r="49" spans="1:24">
      <c r="A49">
        <v>26</v>
      </c>
      <c r="B49">
        <f>IF(AND(Rules!$B$8=Rules!$D$8,Rules!$B$7=Rules!$D$7),MAX(Hit!B49,Stand!B49,Double!B49,Surrender!B49),MAX(Hit!B49,Stand!B49,Double!B49))</f>
        <v>-0.57578184676460165</v>
      </c>
      <c r="C49">
        <f>IF(Rules!$B$7=Rules!$D$7,MAX(Hit!C49,Stand!C49,Double!C49,Surrender!C49),MAX(Hit!C49,Stand!C49,Double!C49))</f>
        <v>-0.28654430084029509</v>
      </c>
      <c r="D49">
        <f>IF(Rules!$B$7=Rules!$D$7,MAX(Hit!D49,Stand!D49,Double!D49,Surrender!D49),MAX(Hit!D49,Stand!D49,Double!D49))</f>
        <v>-0.24663577379217239</v>
      </c>
      <c r="E49">
        <f>IF(Rules!$B$7=Rules!$D$7,MAX(Hit!E49,Stand!E49,Double!E49,Surrender!E49),MAX(Hit!E49,Stand!E49,Double!E49))</f>
        <v>-0.20584968608305471</v>
      </c>
      <c r="F49">
        <f>IF(Rules!$B$7=Rules!$D$7,MAX(Hit!F49,Stand!F49,Double!F49,Surrender!F49),MAX(Hit!F49,Stand!F49,Double!F49))</f>
        <v>-0.16468249424828357</v>
      </c>
      <c r="G49">
        <f>IF(Rules!$B$7=Rules!$D$7,MAX(Hit!G49,Stand!G49,Double!G49,Surrender!G49),MAX(Hit!G49,Stand!G49,Double!G49))</f>
        <v>-0.12106685019651225</v>
      </c>
      <c r="H49">
        <f>IF(Rules!$B$7=Rules!$D$7,MAX(Hit!H49,Stand!H49,Double!H49,Surrender!H49),MAX(Hit!H49,Stand!H49,Double!H49))</f>
        <v>-0.41477883106853947</v>
      </c>
      <c r="I49">
        <f>IF(Rules!$B$7=Rules!$D$7,MAX(Hit!I49,Stand!I49,Double!I49,Surrender!I49),MAX(Hit!I49,Stand!I49,Double!I49))</f>
        <v>-0.45844044164667419</v>
      </c>
      <c r="J49">
        <f>IF(Rules!$B$7=Rules!$D$7,MAX(Hit!J49,Stand!J49,Double!J49,Surrender!J49),MAX(Hit!J49,Stand!J49,Double!J49))</f>
        <v>-0.50932213940732529</v>
      </c>
      <c r="K49">
        <f>IF(Rules!$B$7=Rules!$D$7,MAX(Hit!K49,Stand!K49,Double!K49,Surrender!K49),MAX(Hit!K49,Stand!K49,Double!K49))</f>
        <v>-0.56930715988076652</v>
      </c>
      <c r="N49" s="31">
        <v>26</v>
      </c>
      <c r="O49" s="31" t="str">
        <f>IF(B49=Surrender!B49,"R",HSD!O49)</f>
        <v>S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H</v>
      </c>
      <c r="V49" s="31" t="str">
        <f>IF(I49=Surrender!I49,"R",HSD!V49)</f>
        <v>H</v>
      </c>
      <c r="W49" s="31" t="str">
        <f>IF(J49=Surrender!J49,"R",HSD!W49)</f>
        <v>H</v>
      </c>
      <c r="X49" s="31" t="str">
        <f>IF(K49=Surrender!K49,"R",HSD!X49)</f>
        <v>H</v>
      </c>
    </row>
    <row r="50" spans="1:24">
      <c r="A50">
        <v>27</v>
      </c>
      <c r="B50">
        <f>IF(AND(Rules!$B$8=Rules!$D$8,Rules!$B$7=Rules!$D$7),MAX(Hit!B50,Stand!B50,Double!B50,Surrender!B50),MAX(Hit!B50,Stand!B50,Double!B50))</f>
        <v>-0.46435750824198752</v>
      </c>
      <c r="C50">
        <f>IF(Rules!$B$7=Rules!$D$7,MAX(Hit!C50,Stand!C50,Double!C50,Surrender!C50),MAX(Hit!C50,Stand!C50,Double!C50))</f>
        <v>-0.15641021825706786</v>
      </c>
      <c r="D50">
        <f>IF(Rules!$B$7=Rules!$D$7,MAX(Hit!D50,Stand!D50,Double!D50,Surrender!D50),MAX(Hit!D50,Stand!D50,Double!D50))</f>
        <v>-0.12030774273351591</v>
      </c>
      <c r="E50">
        <f>IF(Rules!$B$7=Rules!$D$7,MAX(Hit!E50,Stand!E50,Double!E50,Surrender!E50),MAX(Hit!E50,Stand!E50,Double!E50))</f>
        <v>-8.3444052932191204E-2</v>
      </c>
      <c r="F50">
        <f>IF(Rules!$B$7=Rules!$D$7,MAX(Hit!F50,Stand!F50,Double!F50,Surrender!F50),MAX(Hit!F50,Stand!F50,Double!F50))</f>
        <v>-4.6323554721567961E-2</v>
      </c>
      <c r="G50">
        <f>IF(Rules!$B$7=Rules!$D$7,MAX(Hit!G50,Stand!G50,Double!G50,Surrender!G50),MAX(Hit!G50,Stand!G50,Double!G50))</f>
        <v>-6.2291683630239514E-3</v>
      </c>
      <c r="H50">
        <f>IF(Rules!$B$7=Rules!$D$7,MAX(Hit!H50,Stand!H50,Double!H50,Surrender!H50),MAX(Hit!H50,Stand!H50,Double!H50))</f>
        <v>-0.10680898948269468</v>
      </c>
      <c r="I50">
        <f>IF(Rules!$B$7=Rules!$D$7,MAX(Hit!I50,Stand!I50,Double!I50,Surrender!I50),MAX(Hit!I50,Stand!I50,Double!I50))</f>
        <v>-0.38195097104844711</v>
      </c>
      <c r="J50">
        <f>IF(Rules!$B$7=Rules!$D$7,MAX(Hit!J50,Stand!J50,Double!J50,Surrender!J50),MAX(Hit!J50,Stand!J50,Double!J50))</f>
        <v>-0.42315423964521737</v>
      </c>
      <c r="K50">
        <f>IF(Rules!$B$7=Rules!$D$7,MAX(Hit!K50,Stand!K50,Double!K50,Surrender!K50),MAX(Hit!K50,Stand!K50,Double!K50))</f>
        <v>-0.46435750824198763</v>
      </c>
      <c r="N50" s="31">
        <v>27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>
      <c r="A51">
        <v>28</v>
      </c>
      <c r="B51">
        <f>IF(AND(Rules!$B$8=Rules!$D$8,Rules!$B$7=Rules!$D$7),MAX(Hit!B51,Stand!B51,Double!B51,Surrender!B51),MAX(Hit!B51,Stand!B51,Double!B51))</f>
        <v>-0.24150883119675959</v>
      </c>
      <c r="C51">
        <f>IF(Rules!$B$7=Rules!$D$7,MAX(Hit!C51,Stand!C51,Double!C51,Surrender!C51),MAX(Hit!C51,Stand!C51,Double!C51))</f>
        <v>0.11027005064085793</v>
      </c>
      <c r="D51">
        <f>IF(Rules!$B$7=Rules!$D$7,MAX(Hit!D51,Stand!D51,Double!D51,Surrender!D51),MAX(Hit!D51,Stand!D51,Double!D51))</f>
        <v>0.13797729703756356</v>
      </c>
      <c r="E51">
        <f>IF(Rules!$B$7=Rules!$D$7,MAX(Hit!E51,Stand!E51,Double!E51,Surrender!E51),MAX(Hit!E51,Stand!E51,Double!E51))</f>
        <v>0.16626900252257676</v>
      </c>
      <c r="F51">
        <f>IF(Rules!$B$7=Rules!$D$7,MAX(Hit!F51,Stand!F51,Double!F51,Surrender!F51),MAX(Hit!F51,Stand!F51,Double!F51))</f>
        <v>0.19494598568825822</v>
      </c>
      <c r="G51">
        <f>IF(Rules!$B$7=Rules!$D$7,MAX(Hit!G51,Stand!G51,Double!G51,Surrender!G51),MAX(Hit!G51,Stand!G51,Double!G51))</f>
        <v>0.22344619530395254</v>
      </c>
      <c r="H51">
        <f>IF(Rules!$B$7=Rules!$D$7,MAX(Hit!H51,Stand!H51,Double!H51,Surrender!H51),MAX(Hit!H51,Stand!H51,Double!H51))</f>
        <v>0.3995541673365518</v>
      </c>
      <c r="I51">
        <f>IF(Rules!$B$7=Rules!$D$7,MAX(Hit!I51,Stand!I51,Double!I51,Surrender!I51),MAX(Hit!I51,Stand!I51,Double!I51))</f>
        <v>0.10595134861912359</v>
      </c>
      <c r="J51">
        <f>IF(Rules!$B$7=Rules!$D$7,MAX(Hit!J51,Stand!J51,Double!J51,Surrender!J51),MAX(Hit!J51,Stand!J51,Double!J51))</f>
        <v>-0.18316335667343331</v>
      </c>
      <c r="K51">
        <f>IF(Rules!$B$7=Rules!$D$7,MAX(Hit!K51,Stand!K51,Double!K51,Surrender!K51),MAX(Hit!K51,Stand!K51,Double!K51))</f>
        <v>-0.24150883119675959</v>
      </c>
      <c r="N51" s="31">
        <v>28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>
      <c r="A52">
        <v>29</v>
      </c>
      <c r="B52">
        <f>IF(AND(Rules!$B$8=Rules!$D$8,Rules!$B$7=Rules!$D$7),MAX(Hit!B52,Stand!B52,Double!B52,Surrender!B52),MAX(Hit!B52,Stand!B52,Double!B52))</f>
        <v>-1.8660154151531549E-2</v>
      </c>
      <c r="C52">
        <f>IF(Rules!$B$7=Rules!$D$7,MAX(Hit!C52,Stand!C52,Double!C52,Surrender!C52),MAX(Hit!C52,Stand!C52,Double!C52))</f>
        <v>0.37811050632056864</v>
      </c>
      <c r="D52">
        <f>IF(Rules!$B$7=Rules!$D$7,MAX(Hit!D52,Stand!D52,Double!D52,Surrender!D52),MAX(Hit!D52,Stand!D52,Double!D52))</f>
        <v>0.39698952530936887</v>
      </c>
      <c r="E52">
        <f>IF(Rules!$B$7=Rules!$D$7,MAX(Hit!E52,Stand!E52,Double!E52,Surrender!E52),MAX(Hit!E52,Stand!E52,Double!E52))</f>
        <v>0.41633218577399039</v>
      </c>
      <c r="F52">
        <f>IF(Rules!$B$7=Rules!$D$7,MAX(Hit!F52,Stand!F52,Double!F52,Surrender!F52),MAX(Hit!F52,Stand!F52,Double!F52))</f>
        <v>0.43621552609808445</v>
      </c>
      <c r="G52">
        <f>IF(Rules!$B$7=Rules!$D$7,MAX(Hit!G52,Stand!G52,Double!G52,Surrender!G52),MAX(Hit!G52,Stand!G52,Double!G52))</f>
        <v>0.45312155897092921</v>
      </c>
      <c r="H52">
        <f>IF(Rules!$B$7=Rules!$D$7,MAX(Hit!H52,Stand!H52,Double!H52,Surrender!H52),MAX(Hit!H52,Stand!H52,Double!H52))</f>
        <v>0.6159764957534315</v>
      </c>
      <c r="I52">
        <f>IF(Rules!$B$7=Rules!$D$7,MAX(Hit!I52,Stand!I52,Double!I52,Surrender!I52),MAX(Hit!I52,Stand!I52,Double!I52))</f>
        <v>0.5938536682866945</v>
      </c>
      <c r="J52">
        <f>IF(Rules!$B$7=Rules!$D$7,MAX(Hit!J52,Stand!J52,Double!J52,Surrender!J52),MAX(Hit!J52,Stand!J52,Double!J52))</f>
        <v>0.28759675706758142</v>
      </c>
      <c r="K52">
        <f>IF(Rules!$B$7=Rules!$D$7,MAX(Hit!K52,Stand!K52,Double!K52,Surrender!K52),MAX(Hit!K52,Stand!K52,Double!K52))</f>
        <v>-1.8660154151531536E-2</v>
      </c>
      <c r="N52" s="31">
        <v>29</v>
      </c>
      <c r="O52" s="31" t="str">
        <f>IF(B52=Surrender!B52,"R",HSD!O52)</f>
        <v>S</v>
      </c>
      <c r="P52" s="31" t="str">
        <f>IF(C52=Surrender!C52,"R",HSD!P52)</f>
        <v>S</v>
      </c>
      <c r="Q52" s="31" t="str">
        <f>IF(D52=Surrender!D52,"R",HSD!Q52)</f>
        <v>S</v>
      </c>
      <c r="R52" s="31" t="str">
        <f>IF(E52=Surrender!E52,"R",HSD!R52)</f>
        <v>S</v>
      </c>
      <c r="S52" s="31" t="str">
        <f>IF(F52=Surrender!F52,"R",HSD!S52)</f>
        <v>S</v>
      </c>
      <c r="T52" s="31" t="str">
        <f>IF(G52=Surrender!G52,"R",HSD!T52)</f>
        <v>S</v>
      </c>
      <c r="U52" s="31" t="str">
        <f>IF(H52=Surrender!H52,"R",HSD!U52)</f>
        <v>S</v>
      </c>
      <c r="V52" s="31" t="str">
        <f>IF(I52=Surrender!I52,"R",HSD!V52)</f>
        <v>S</v>
      </c>
      <c r="W52" s="31" t="str">
        <f>IF(J52=Surrender!J52,"R",HSD!W52)</f>
        <v>S</v>
      </c>
      <c r="X52" s="31" t="str">
        <f>IF(K52=Surrender!K52,"R",HSD!X52)</f>
        <v>S</v>
      </c>
    </row>
    <row r="53" spans="1:24">
      <c r="A53">
        <v>30</v>
      </c>
      <c r="B53">
        <f>IF(AND(Rules!$B$8=Rules!$D$8,Rules!$B$7=Rules!$D$7),MAX(Hit!B53,Stand!B53,Double!B53,Surrender!B53),MAX(Hit!B53,Stand!B53,Double!B53))</f>
        <v>0.20418852289369649</v>
      </c>
      <c r="C53">
        <f>IF(Rules!$B$7=Rules!$D$7,MAX(Hit!C53,Stand!C53,Double!C53,Surrender!C53),MAX(Hit!C53,Stand!C53,Double!C53))</f>
        <v>0.63507006739682603</v>
      </c>
      <c r="D53">
        <f>IF(Rules!$B$7=Rules!$D$7,MAX(Hit!D53,Stand!D53,Double!D53,Surrender!D53),MAX(Hit!D53,Stand!D53,Double!D53))</f>
        <v>0.64584804747844671</v>
      </c>
      <c r="E53">
        <f>IF(Rules!$B$7=Rules!$D$7,MAX(Hit!E53,Stand!E53,Double!E53,Surrender!E53),MAX(Hit!E53,Stand!E53,Double!E53))</f>
        <v>0.65694191851596806</v>
      </c>
      <c r="F53">
        <f>IF(Rules!$B$7=Rules!$D$7,MAX(Hit!F53,Stand!F53,Double!F53,Surrender!F53),MAX(Hit!F53,Stand!F53,Double!F53))</f>
        <v>0.66838174379512039</v>
      </c>
      <c r="G53">
        <f>IF(Rules!$B$7=Rules!$D$7,MAX(Hit!G53,Stand!G53,Double!G53,Surrender!G53),MAX(Hit!G53,Stand!G53,Double!G53))</f>
        <v>0.67824526128151064</v>
      </c>
      <c r="H53">
        <f>IF(Rules!$B$7=Rules!$D$7,MAX(Hit!H53,Stand!H53,Double!H53,Surrender!H53),MAX(Hit!H53,Stand!H53,Double!H53))</f>
        <v>0.77322722653717491</v>
      </c>
      <c r="I53">
        <f>IF(Rules!$B$7=Rules!$D$7,MAX(Hit!I53,Stand!I53,Double!I53,Surrender!I53),MAX(Hit!I53,Stand!I53,Double!I53))</f>
        <v>0.79181515955189841</v>
      </c>
      <c r="J53">
        <f>IF(Rules!$B$7=Rules!$D$7,MAX(Hit!J53,Stand!J53,Double!J53,Surrender!J53),MAX(Hit!J53,Stand!J53,Double!J53))</f>
        <v>0.75835687080859626</v>
      </c>
      <c r="K53">
        <f>IF(Rules!$B$7=Rules!$D$7,MAX(Hit!K53,Stand!K53,Double!K53,Surrender!K53),MAX(Hit!K53,Stand!K53,Double!K53))</f>
        <v>0.43495775366292722</v>
      </c>
      <c r="N53" s="31">
        <v>30</v>
      </c>
      <c r="O53" s="31" t="str">
        <f>IF(B53=Surrender!B53,"R",HSD!O53)</f>
        <v>S</v>
      </c>
      <c r="P53" s="31" t="str">
        <f>IF(C53=Surrender!C53,"R",HSD!P53)</f>
        <v>S</v>
      </c>
      <c r="Q53" s="31" t="str">
        <f>IF(D53=Surrender!D53,"R",HSD!Q53)</f>
        <v>S</v>
      </c>
      <c r="R53" s="31" t="str">
        <f>IF(E53=Surrender!E53,"R",HSD!R53)</f>
        <v>S</v>
      </c>
      <c r="S53" s="31" t="str">
        <f>IF(F53=Surrender!F53,"R",HSD!S53)</f>
        <v>S</v>
      </c>
      <c r="T53" s="31" t="str">
        <f>IF(G53=Surrender!G53,"R",HSD!T53)</f>
        <v>S</v>
      </c>
      <c r="U53" s="31" t="str">
        <f>IF(H53=Surrender!H53,"R",HSD!U53)</f>
        <v>S</v>
      </c>
      <c r="V53" s="31" t="str">
        <f>IF(I53=Surrender!I53,"R",HSD!V53)</f>
        <v>S</v>
      </c>
      <c r="W53" s="31" t="str">
        <f>IF(J53=Surrender!J53,"R",HSD!W53)</f>
        <v>S</v>
      </c>
      <c r="X53" s="31" t="str">
        <f>IF(K53=Surrender!K53,"R",HSD!X53)</f>
        <v>S</v>
      </c>
    </row>
    <row r="54" spans="1:24">
      <c r="A54">
        <v>31</v>
      </c>
      <c r="B54">
        <f>IF(AND(Rules!$B$8=Rules!$D$8,Rules!$B$7=Rules!$D$7),MAX(Hit!B54,Stand!B54,Double!B54,Surrender!B54),MAX(Hit!B54,Stand!B54,Double!B54))</f>
        <v>0.65780643070815525</v>
      </c>
      <c r="C54">
        <f>IF(Rules!$B$7=Rules!$D$7,MAX(Hit!C54,Stand!C54,Double!C54,Surrender!C54),MAX(Hit!C54,Stand!C54,Double!C54))</f>
        <v>0.88036767955403561</v>
      </c>
      <c r="D54">
        <f>IF(Rules!$B$7=Rules!$D$7,MAX(Hit!D54,Stand!D54,Double!D54,Surrender!D54),MAX(Hit!D54,Stand!D54,Double!D54))</f>
        <v>0.88382567504407128</v>
      </c>
      <c r="E54">
        <f>IF(Rules!$B$7=Rules!$D$7,MAX(Hit!E54,Stand!E54,Double!E54,Surrender!E54),MAX(Hit!E54,Stand!E54,Double!E54))</f>
        <v>0.8873979451552183</v>
      </c>
      <c r="F54">
        <f>IF(Rules!$B$7=Rules!$D$7,MAX(Hit!F54,Stand!F54,Double!F54,Surrender!F54),MAX(Hit!F54,Stand!F54,Double!F54))</f>
        <v>0.89109451098272041</v>
      </c>
      <c r="G54">
        <f>IF(Rules!$B$7=Rules!$D$7,MAX(Hit!G54,Stand!G54,Double!G54,Surrender!G54),MAX(Hit!G54,Stand!G54,Double!G54))</f>
        <v>0.89426564087930194</v>
      </c>
      <c r="H54">
        <f>IF(Rules!$B$7=Rules!$D$7,MAX(Hit!H54,Stand!H54,Double!H54,Surrender!H54),MAX(Hit!H54,Stand!H54,Double!H54))</f>
        <v>0.92592629596452325</v>
      </c>
      <c r="I54">
        <f>IF(Rules!$B$7=Rules!$D$7,MAX(Hit!I54,Stand!I54,Double!I54,Surrender!I54),MAX(Hit!I54,Stand!I54,Double!I54))</f>
        <v>0.93060505318396614</v>
      </c>
      <c r="J54">
        <f>IF(Rules!$B$7=Rules!$D$7,MAX(Hit!J54,Stand!J54,Double!J54,Surrender!J54),MAX(Hit!J54,Stand!J54,Double!J54))</f>
        <v>0.93917615614724415</v>
      </c>
      <c r="K54">
        <f>IF(Rules!$B$7=Rules!$D$7,MAX(Hit!K54,Stand!K54,Double!K54,Surrender!K54),MAX(Hit!K54,Stand!K54,Double!K54))</f>
        <v>0.88857566147738598</v>
      </c>
      <c r="N54" s="31">
        <v>31</v>
      </c>
      <c r="O54" s="31" t="str">
        <f>IF(B54=Surrender!B54,"R",HSD!O54)</f>
        <v>S</v>
      </c>
      <c r="P54" s="31" t="str">
        <f>IF(C54=Surrender!C54,"R",HSD!P54)</f>
        <v>S</v>
      </c>
      <c r="Q54" s="31" t="str">
        <f>IF(D54=Surrender!D54,"R",HSD!Q54)</f>
        <v>S</v>
      </c>
      <c r="R54" s="31" t="str">
        <f>IF(E54=Surrender!E54,"R",HSD!R54)</f>
        <v>S</v>
      </c>
      <c r="S54" s="31" t="str">
        <f>IF(F54=Surrender!F54,"R",HSD!S54)</f>
        <v>S</v>
      </c>
      <c r="T54" s="31" t="str">
        <f>IF(G54=Surrender!G54,"R",HSD!T54)</f>
        <v>S</v>
      </c>
      <c r="U54" s="31" t="str">
        <f>IF(H54=Surrender!H54,"R",HSD!U54)</f>
        <v>S</v>
      </c>
      <c r="V54" s="31" t="str">
        <f>IF(I54=Surrender!I54,"R",HSD!V54)</f>
        <v>S</v>
      </c>
      <c r="W54" s="31" t="str">
        <f>IF(J54=Surrender!J54,"R",HSD!W54)</f>
        <v>S</v>
      </c>
      <c r="X54" s="31" t="str">
        <f>IF(K54=Surrender!K54,"R",HSD!X54)</f>
        <v>S</v>
      </c>
    </row>
  </sheetData>
  <sheetProtection sheet="1" objects="1" scenarios="1"/>
  <phoneticPr fontId="16" type="noConversion"/>
  <conditionalFormatting sqref="O2:X31">
    <cfRule type="containsText" dxfId="709" priority="14" operator="containsText" text="S">
      <formula>NOT(ISERROR(SEARCH("S",O2)))</formula>
    </cfRule>
    <cfRule type="containsText" dxfId="708" priority="15" operator="containsText" text="H">
      <formula>NOT(ISERROR(SEARCH("H",O2)))</formula>
    </cfRule>
  </conditionalFormatting>
  <conditionalFormatting sqref="O2:X31">
    <cfRule type="containsText" dxfId="707" priority="13" operator="containsText" text="D">
      <formula>NOT(ISERROR(SEARCH("D",O2)))</formula>
    </cfRule>
  </conditionalFormatting>
  <conditionalFormatting sqref="O2:X31">
    <cfRule type="containsText" dxfId="706" priority="9" operator="containsText" text="R">
      <formula>NOT(ISERROR(SEARCH("R",O2)))</formula>
    </cfRule>
  </conditionalFormatting>
  <conditionalFormatting sqref="O34:X54">
    <cfRule type="containsText" dxfId="705" priority="3" operator="containsText" text="S">
      <formula>NOT(ISERROR(SEARCH("S",O34)))</formula>
    </cfRule>
    <cfRule type="containsText" dxfId="704" priority="4" operator="containsText" text="H">
      <formula>NOT(ISERROR(SEARCH("H",O34)))</formula>
    </cfRule>
  </conditionalFormatting>
  <conditionalFormatting sqref="O34:X54">
    <cfRule type="containsText" dxfId="703" priority="2" operator="containsText" text="D">
      <formula>NOT(ISERROR(SEARCH("D",O34)))</formula>
    </cfRule>
  </conditionalFormatting>
  <conditionalFormatting sqref="O34:X54">
    <cfRule type="containsText" dxfId="702" priority="1" operator="containsText" text="R">
      <formula>NOT(ISERROR(SEARCH("R",O34)))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2</vt:i4>
      </vt:variant>
    </vt:vector>
  </HeadingPairs>
  <TitlesOfParts>
    <vt:vector size="55" baseType="lpstr">
      <vt:lpstr>Rules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Prob</vt:lpstr>
      <vt:lpstr>5 Cards</vt:lpstr>
      <vt:lpstr>Three 7 Cards</vt:lpstr>
      <vt:lpstr>ER EL</vt:lpstr>
      <vt:lpstr>Summary</vt:lpstr>
      <vt:lpstr>EV</vt:lpstr>
      <vt:lpstr>WL Prob</vt:lpstr>
      <vt:lpstr>Analysis</vt:lpstr>
      <vt:lpstr>1x1</vt:lpstr>
      <vt:lpstr>1x2</vt:lpstr>
      <vt:lpstr>1x3</vt:lpstr>
      <vt:lpstr>1x4</vt:lpstr>
      <vt:lpstr>1x5</vt:lpstr>
      <vt:lpstr>1x6</vt:lpstr>
      <vt:lpstr>1x7</vt:lpstr>
      <vt:lpstr>1x8</vt:lpstr>
      <vt:lpstr>1x9</vt:lpstr>
      <vt:lpstr>1x10</vt:lpstr>
      <vt:lpstr>2x3</vt:lpstr>
      <vt:lpstr>2x4</vt:lpstr>
      <vt:lpstr>2x5</vt:lpstr>
      <vt:lpstr>2x6</vt:lpstr>
      <vt:lpstr>2x7</vt:lpstr>
      <vt:lpstr>2x8</vt:lpstr>
      <vt:lpstr>2x9</vt:lpstr>
      <vt:lpstr>2x10</vt:lpstr>
      <vt:lpstr>3x4</vt:lpstr>
      <vt:lpstr>3x5</vt:lpstr>
      <vt:lpstr>3x6</vt:lpstr>
      <vt:lpstr>3x7</vt:lpstr>
      <vt:lpstr>3x8</vt:lpstr>
      <vt:lpstr>3x9</vt:lpstr>
      <vt:lpstr>3x10</vt:lpstr>
      <vt:lpstr>4x4</vt:lpstr>
      <vt:lpstr>4x5</vt:lpstr>
      <vt:lpstr>4x6</vt:lpstr>
      <vt:lpstr>4x7</vt:lpstr>
      <vt:lpstr>4x8</vt:lpstr>
      <vt:lpstr>4x9</vt:lpstr>
      <vt:lpstr>4x10</vt:lpstr>
      <vt:lpstr>Strategy Summary</vt:lpstr>
      <vt:lpstr>Final</vt:lpstr>
      <vt:lpstr>Final!Print_Area</vt:lpstr>
      <vt:lpstr>Rules!Print_Area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宗保 罗</cp:lastModifiedBy>
  <cp:lastPrinted>2019-12-13T19:03:54Z</cp:lastPrinted>
  <dcterms:created xsi:type="dcterms:W3CDTF">2015-03-11T15:17:04Z</dcterms:created>
  <dcterms:modified xsi:type="dcterms:W3CDTF">2019-12-13T19:13:20Z</dcterms:modified>
</cp:coreProperties>
</file>