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Documents/Users/Atipat Lorwongam/Desktop/Gambling/"/>
    </mc:Choice>
  </mc:AlternateContent>
  <xr:revisionPtr revIDLastSave="0" documentId="13_ncr:1_{614DA036-E9CE-DF41-8ADE-DC8893240C2D}" xr6:coauthVersionLast="36" xr6:coauthVersionMax="44" xr10:uidLastSave="{00000000-0000-0000-0000-000000000000}"/>
  <bookViews>
    <workbookView xWindow="0" yWindow="0" windowWidth="25600" windowHeight="16000" tabRatio="867" xr2:uid="{00000000-000D-0000-FFFF-FFFF00000000}"/>
  </bookViews>
  <sheets>
    <sheet name="Rules" sheetId="32" r:id="rId1"/>
    <sheet name="Dealer" sheetId="12" state="hidden" r:id="rId2"/>
    <sheet name="Stand" sheetId="13" state="hidden" r:id="rId3"/>
    <sheet name="Hit" sheetId="14" state="hidden" r:id="rId4"/>
    <sheet name="HS" sheetId="15" state="hidden" r:id="rId5"/>
    <sheet name="Double" sheetId="17" state="hidden" r:id="rId6"/>
    <sheet name="HSD" sheetId="18" state="hidden" r:id="rId7"/>
    <sheet name="Surrender" sheetId="19" state="hidden" r:id="rId8"/>
    <sheet name="HSDR" sheetId="20" state="hidden" r:id="rId9"/>
    <sheet name="Pair" sheetId="22" state="hidden" r:id="rId10"/>
    <sheet name="Blackjack" sheetId="28" state="hidden" r:id="rId11"/>
    <sheet name="Prob" sheetId="24" r:id="rId12"/>
    <sheet name="5 Cards" sheetId="33" state="hidden" r:id="rId13"/>
    <sheet name="Three 7 Cards" sheetId="34" state="hidden" r:id="rId14"/>
    <sheet name="ER" sheetId="25" r:id="rId15"/>
    <sheet name="Summary" sheetId="27" r:id="rId16"/>
    <sheet name="EV" sheetId="26" r:id="rId17"/>
    <sheet name="WL Prob" sheetId="29" r:id="rId18"/>
    <sheet name="Analysis" sheetId="35" r:id="rId19"/>
    <sheet name="1x2" sheetId="80" state="hidden" r:id="rId20"/>
    <sheet name="1x3" sheetId="87" state="hidden" r:id="rId21"/>
    <sheet name="1x4" sheetId="88" state="hidden" r:id="rId22"/>
    <sheet name="1x5" sheetId="90" state="hidden" r:id="rId23"/>
    <sheet name="1x6" sheetId="91" state="hidden" r:id="rId24"/>
    <sheet name="1x7" sheetId="92" state="hidden" r:id="rId25"/>
    <sheet name="1x8" sheetId="93" state="hidden" r:id="rId26"/>
    <sheet name="1x9" sheetId="94" state="hidden" r:id="rId27"/>
    <sheet name="1x10" sheetId="96" state="hidden" r:id="rId28"/>
    <sheet name="2x3" sheetId="89" state="hidden" r:id="rId29"/>
    <sheet name="2x4" sheetId="100" state="hidden" r:id="rId30"/>
    <sheet name="2x5" sheetId="101" state="hidden" r:id="rId31"/>
    <sheet name="2x6" sheetId="102" state="hidden" r:id="rId32"/>
    <sheet name="2x7" sheetId="103" state="hidden" r:id="rId33"/>
    <sheet name="2x8" sheetId="104" state="hidden" r:id="rId34"/>
    <sheet name="2x9" sheetId="105" state="hidden" r:id="rId35"/>
    <sheet name="2x10" sheetId="106" state="hidden" r:id="rId36"/>
    <sheet name="3x4" sheetId="99" state="hidden" r:id="rId37"/>
    <sheet name="3x5" sheetId="107" state="hidden" r:id="rId38"/>
    <sheet name="3x6" sheetId="108" state="hidden" r:id="rId39"/>
    <sheet name="3x7" sheetId="109" state="hidden" r:id="rId40"/>
    <sheet name="3x8" sheetId="110" state="hidden" r:id="rId41"/>
    <sheet name="3x9" sheetId="111" state="hidden" r:id="rId42"/>
    <sheet name="3x10" sheetId="112" state="hidden" r:id="rId43"/>
    <sheet name="Strategy Summary" sheetId="95" r:id="rId44"/>
    <sheet name="Strategy Summary (2)" sheetId="113" r:id="rId45"/>
    <sheet name="Final" sheetId="97" r:id="rId46"/>
  </sheets>
  <definedNames>
    <definedName name="_xlnm.Print_Area" localSheetId="27">'1x10'!#REF!</definedName>
    <definedName name="_xlnm.Print_Area" localSheetId="19">'1x2'!#REF!</definedName>
    <definedName name="_xlnm.Print_Area" localSheetId="20">'1x3'!#REF!</definedName>
    <definedName name="_xlnm.Print_Area" localSheetId="21">'1x4'!#REF!</definedName>
    <definedName name="_xlnm.Print_Area" localSheetId="22">'1x5'!#REF!</definedName>
    <definedName name="_xlnm.Print_Area" localSheetId="23">'1x6'!#REF!</definedName>
    <definedName name="_xlnm.Print_Area" localSheetId="24">'1x7'!#REF!</definedName>
    <definedName name="_xlnm.Print_Area" localSheetId="25">'1x8'!#REF!</definedName>
    <definedName name="_xlnm.Print_Area" localSheetId="26">'1x9'!#REF!</definedName>
    <definedName name="_xlnm.Print_Area" localSheetId="35">'2x10'!#REF!</definedName>
    <definedName name="_xlnm.Print_Area" localSheetId="28">'2x3'!#REF!</definedName>
    <definedName name="_xlnm.Print_Area" localSheetId="29">'2x4'!#REF!</definedName>
    <definedName name="_xlnm.Print_Area" localSheetId="30">'2x5'!#REF!</definedName>
    <definedName name="_xlnm.Print_Area" localSheetId="31">'2x6'!#REF!</definedName>
    <definedName name="_xlnm.Print_Area" localSheetId="32">'2x7'!#REF!</definedName>
    <definedName name="_xlnm.Print_Area" localSheetId="33">'2x8'!#REF!</definedName>
    <definedName name="_xlnm.Print_Area" localSheetId="34">'2x9'!#REF!</definedName>
    <definedName name="_xlnm.Print_Area" localSheetId="42">'3x10'!#REF!</definedName>
    <definedName name="_xlnm.Print_Area" localSheetId="36">'3x4'!#REF!</definedName>
    <definedName name="_xlnm.Print_Area" localSheetId="37">'3x5'!#REF!</definedName>
    <definedName name="_xlnm.Print_Area" localSheetId="38">'3x6'!#REF!</definedName>
    <definedName name="_xlnm.Print_Area" localSheetId="39">'3x7'!#REF!</definedName>
    <definedName name="_xlnm.Print_Area" localSheetId="40">'3x8'!#REF!</definedName>
    <definedName name="_xlnm.Print_Area" localSheetId="41">'3x9'!#REF!</definedName>
    <definedName name="_xlnm.Print_Area" localSheetId="45">Final!$A$1:$AH$46</definedName>
    <definedName name="_xlnm.Print_Area" localSheetId="0">Rules!$A$1:$S$43</definedName>
  </definedNames>
  <calcPr calcId="181029"/>
</workbook>
</file>

<file path=xl/calcChain.xml><?xml version="1.0" encoding="utf-8"?>
<calcChain xmlns="http://schemas.openxmlformats.org/spreadsheetml/2006/main">
  <c r="A29" i="32" l="1"/>
  <c r="B29" i="32"/>
  <c r="C29" i="32"/>
  <c r="D29" i="32"/>
  <c r="E29" i="32"/>
  <c r="F29" i="32"/>
  <c r="G29" i="32"/>
  <c r="A30" i="32"/>
  <c r="A31" i="32"/>
  <c r="A32" i="32"/>
  <c r="B28" i="32"/>
  <c r="C28" i="32"/>
  <c r="D28" i="32"/>
  <c r="E28" i="32"/>
  <c r="F28" i="32"/>
  <c r="G28" i="32"/>
  <c r="A28" i="32"/>
  <c r="A34" i="32"/>
  <c r="B34" i="32"/>
  <c r="C34" i="32"/>
  <c r="D34" i="32"/>
  <c r="E34" i="32"/>
  <c r="F34" i="32"/>
  <c r="G34" i="32"/>
  <c r="A35" i="32"/>
  <c r="A36" i="32"/>
  <c r="A37" i="32"/>
  <c r="A33" i="32"/>
  <c r="A38" i="32"/>
  <c r="A22" i="32"/>
  <c r="A27" i="32"/>
  <c r="A24" i="32"/>
  <c r="A25" i="32"/>
  <c r="A26" i="32"/>
  <c r="B23" i="32"/>
  <c r="C23" i="32"/>
  <c r="D23" i="32"/>
  <c r="E23" i="32"/>
  <c r="F23" i="32"/>
  <c r="G23" i="32"/>
  <c r="A23" i="32"/>
  <c r="A42" i="32"/>
  <c r="A40" i="32"/>
  <c r="A41" i="32"/>
  <c r="B39" i="32"/>
  <c r="C39" i="32"/>
  <c r="D39" i="32"/>
  <c r="E39" i="32"/>
  <c r="F39" i="32"/>
  <c r="G39" i="32"/>
  <c r="A39" i="32"/>
  <c r="T1" i="97" l="1"/>
  <c r="A1" i="97"/>
  <c r="V38" i="97" l="1"/>
  <c r="U38" i="97"/>
  <c r="T38" i="97"/>
  <c r="S38" i="97"/>
  <c r="R38" i="97"/>
  <c r="Q38" i="97"/>
  <c r="P38" i="97"/>
  <c r="O38" i="97"/>
  <c r="N38" i="97"/>
  <c r="R45" i="93" l="1"/>
  <c r="R45" i="91"/>
  <c r="Q45" i="112"/>
  <c r="Q33" i="112"/>
  <c r="Q21" i="112"/>
  <c r="Q45" i="111"/>
  <c r="Q33" i="111"/>
  <c r="Q21" i="111"/>
  <c r="R33" i="111" s="1"/>
  <c r="Q45" i="110"/>
  <c r="Q33" i="110"/>
  <c r="Q21" i="110"/>
  <c r="R45" i="110" s="1"/>
  <c r="Q45" i="109"/>
  <c r="Q33" i="109"/>
  <c r="Q21" i="109"/>
  <c r="R33" i="109" s="1"/>
  <c r="Q45" i="108"/>
  <c r="Q33" i="108"/>
  <c r="Q21" i="108"/>
  <c r="R45" i="108" s="1"/>
  <c r="Q45" i="107"/>
  <c r="Q33" i="107"/>
  <c r="Q21" i="107"/>
  <c r="R33" i="107" s="1"/>
  <c r="Q45" i="99"/>
  <c r="Q33" i="99"/>
  <c r="Q21" i="99"/>
  <c r="R45" i="99" s="1"/>
  <c r="Q45" i="106"/>
  <c r="Q33" i="106"/>
  <c r="Q21" i="106"/>
  <c r="R33" i="106" s="1"/>
  <c r="Q45" i="105"/>
  <c r="Q33" i="105"/>
  <c r="Q21" i="105"/>
  <c r="Q45" i="104"/>
  <c r="Q33" i="104"/>
  <c r="Q21" i="104"/>
  <c r="R33" i="104" s="1"/>
  <c r="Q45" i="103"/>
  <c r="Q33" i="103"/>
  <c r="Q21" i="103"/>
  <c r="R45" i="103" s="1"/>
  <c r="Q45" i="102"/>
  <c r="Q33" i="102"/>
  <c r="Q21" i="102"/>
  <c r="R33" i="102" s="1"/>
  <c r="Q45" i="101"/>
  <c r="Q33" i="101"/>
  <c r="Q21" i="101"/>
  <c r="R45" i="101" s="1"/>
  <c r="Q45" i="100"/>
  <c r="Q33" i="100"/>
  <c r="Q21" i="100"/>
  <c r="R33" i="100" s="1"/>
  <c r="Q45" i="89"/>
  <c r="Q33" i="89"/>
  <c r="Q21" i="89"/>
  <c r="R45" i="89" s="1"/>
  <c r="Q45" i="96"/>
  <c r="Q33" i="96"/>
  <c r="Q21" i="96"/>
  <c r="R33" i="96" s="1"/>
  <c r="Q45" i="94"/>
  <c r="Q33" i="94"/>
  <c r="Q21" i="94"/>
  <c r="Q45" i="93"/>
  <c r="Q33" i="93"/>
  <c r="Q21" i="93"/>
  <c r="R33" i="93" s="1"/>
  <c r="Q45" i="92"/>
  <c r="Q33" i="92"/>
  <c r="Q21" i="92"/>
  <c r="R45" i="92" s="1"/>
  <c r="Q45" i="91"/>
  <c r="Q33" i="91"/>
  <c r="Q21" i="91"/>
  <c r="R33" i="91" s="1"/>
  <c r="Q45" i="90"/>
  <c r="Q33" i="90"/>
  <c r="Q21" i="90"/>
  <c r="R45" i="90" s="1"/>
  <c r="Q45" i="88"/>
  <c r="Q33" i="88"/>
  <c r="Q21" i="88"/>
  <c r="R33" i="88" s="1"/>
  <c r="Q45" i="87"/>
  <c r="Q33" i="87"/>
  <c r="Q21" i="87"/>
  <c r="R45" i="87" s="1"/>
  <c r="Q45" i="80"/>
  <c r="Q33" i="80"/>
  <c r="R21" i="90"/>
  <c r="R21" i="112"/>
  <c r="R21" i="111"/>
  <c r="R21" i="110"/>
  <c r="R21" i="109"/>
  <c r="R21" i="108"/>
  <c r="R21" i="107"/>
  <c r="R21" i="99"/>
  <c r="R21" i="106"/>
  <c r="R21" i="105"/>
  <c r="R21" i="104"/>
  <c r="R21" i="103"/>
  <c r="R21" i="102"/>
  <c r="R21" i="101"/>
  <c r="R21" i="100"/>
  <c r="R21" i="89"/>
  <c r="R21" i="94"/>
  <c r="R21" i="93"/>
  <c r="R21" i="92"/>
  <c r="R21" i="91"/>
  <c r="R21" i="88"/>
  <c r="R21" i="87"/>
  <c r="Q21" i="80"/>
  <c r="C21" i="87"/>
  <c r="R33" i="80" l="1"/>
  <c r="R45" i="80"/>
  <c r="R45" i="94"/>
  <c r="R33" i="94"/>
  <c r="R45" i="105"/>
  <c r="R33" i="105"/>
  <c r="R45" i="112"/>
  <c r="R33" i="112"/>
  <c r="P46" i="80"/>
  <c r="R45" i="88"/>
  <c r="R33" i="108"/>
  <c r="R33" i="110"/>
  <c r="R33" i="99"/>
  <c r="P34" i="80"/>
  <c r="R33" i="101"/>
  <c r="R33" i="103"/>
  <c r="R45" i="109"/>
  <c r="R45" i="111"/>
  <c r="R33" i="89"/>
  <c r="R45" i="106"/>
  <c r="R45" i="107"/>
  <c r="R33" i="90"/>
  <c r="R33" i="92"/>
  <c r="R45" i="102"/>
  <c r="R45" i="104"/>
  <c r="R33" i="87"/>
  <c r="R45" i="96"/>
  <c r="R45" i="100"/>
  <c r="P46" i="112"/>
  <c r="Q46" i="112" s="1"/>
  <c r="P46" i="111"/>
  <c r="Q46" i="111" s="1"/>
  <c r="P46" i="110"/>
  <c r="Q46" i="110" s="1"/>
  <c r="P46" i="109"/>
  <c r="Q46" i="109" s="1"/>
  <c r="P46" i="108"/>
  <c r="Q46" i="108" s="1"/>
  <c r="P46" i="107"/>
  <c r="Q46" i="107" s="1"/>
  <c r="P46" i="99"/>
  <c r="Q46" i="99" s="1"/>
  <c r="P46" i="106"/>
  <c r="Q46" i="106" s="1"/>
  <c r="P46" i="105"/>
  <c r="Q46" i="105" s="1"/>
  <c r="P46" i="104"/>
  <c r="Q46" i="104" s="1"/>
  <c r="P46" i="103"/>
  <c r="Q46" i="103" s="1"/>
  <c r="P46" i="102"/>
  <c r="Q46" i="102" s="1"/>
  <c r="P46" i="101"/>
  <c r="Q46" i="101" s="1"/>
  <c r="P46" i="100"/>
  <c r="Q46" i="100" s="1"/>
  <c r="P46" i="89"/>
  <c r="Q46" i="89" s="1"/>
  <c r="P46" i="96"/>
  <c r="Q46" i="96" s="1"/>
  <c r="R46" i="96" s="1"/>
  <c r="P46" i="94"/>
  <c r="Q46" i="94" s="1"/>
  <c r="P46" i="93"/>
  <c r="Q46" i="93" s="1"/>
  <c r="P46" i="92"/>
  <c r="Q46" i="92" s="1"/>
  <c r="P46" i="91"/>
  <c r="Q46" i="91" s="1"/>
  <c r="P46" i="90"/>
  <c r="Q46" i="90" s="1"/>
  <c r="R46" i="90" s="1"/>
  <c r="P46" i="88"/>
  <c r="Q46" i="88" s="1"/>
  <c r="P46" i="87"/>
  <c r="Q46" i="87" s="1"/>
  <c r="P34" i="112"/>
  <c r="Q34" i="112" s="1"/>
  <c r="P34" i="111"/>
  <c r="Q34" i="111" s="1"/>
  <c r="P34" i="110"/>
  <c r="Q34" i="110" s="1"/>
  <c r="P34" i="109"/>
  <c r="Q34" i="109" s="1"/>
  <c r="P34" i="108"/>
  <c r="Q34" i="108" s="1"/>
  <c r="P34" i="107"/>
  <c r="Q34" i="107" s="1"/>
  <c r="P34" i="99"/>
  <c r="Q34" i="99" s="1"/>
  <c r="P34" i="106"/>
  <c r="Q34" i="106" s="1"/>
  <c r="P34" i="105"/>
  <c r="Q34" i="105" s="1"/>
  <c r="P34" i="104"/>
  <c r="Q34" i="104" s="1"/>
  <c r="P34" i="103"/>
  <c r="Q34" i="103" s="1"/>
  <c r="P34" i="102"/>
  <c r="Q34" i="102" s="1"/>
  <c r="P34" i="101"/>
  <c r="Q34" i="101" s="1"/>
  <c r="P34" i="100"/>
  <c r="Q34" i="100" s="1"/>
  <c r="P34" i="89"/>
  <c r="Q34" i="89" s="1"/>
  <c r="R34" i="89" s="1"/>
  <c r="P34" i="96"/>
  <c r="Q34" i="96" s="1"/>
  <c r="P34" i="94"/>
  <c r="Q34" i="94" s="1"/>
  <c r="P34" i="93"/>
  <c r="Q34" i="93" s="1"/>
  <c r="P34" i="92"/>
  <c r="Q34" i="92" s="1"/>
  <c r="P34" i="91"/>
  <c r="Q34" i="91" s="1"/>
  <c r="P34" i="90"/>
  <c r="Q34" i="90" s="1"/>
  <c r="P34" i="88"/>
  <c r="Q34" i="88" s="1"/>
  <c r="P34" i="87"/>
  <c r="Q34" i="87" s="1"/>
  <c r="Q46" i="80"/>
  <c r="P47" i="80" s="1"/>
  <c r="Q34" i="80"/>
  <c r="P35" i="80" s="1"/>
  <c r="P22" i="112"/>
  <c r="Q22" i="112" s="1"/>
  <c r="P22" i="111"/>
  <c r="Q22" i="111" s="1"/>
  <c r="P22" i="110"/>
  <c r="Q22" i="110" s="1"/>
  <c r="P22" i="109"/>
  <c r="Q22" i="109" s="1"/>
  <c r="P22" i="108"/>
  <c r="Q22" i="108" s="1"/>
  <c r="P22" i="107"/>
  <c r="Q22" i="107" s="1"/>
  <c r="P22" i="99"/>
  <c r="Q22" i="99" s="1"/>
  <c r="P22" i="106"/>
  <c r="Q22" i="106" s="1"/>
  <c r="P22" i="105"/>
  <c r="Q22" i="105" s="1"/>
  <c r="P22" i="104"/>
  <c r="Q22" i="104" s="1"/>
  <c r="P22" i="103"/>
  <c r="Q22" i="103" s="1"/>
  <c r="P22" i="102"/>
  <c r="Q22" i="102" s="1"/>
  <c r="P22" i="101"/>
  <c r="Q22" i="101" s="1"/>
  <c r="P22" i="100"/>
  <c r="Q22" i="100" s="1"/>
  <c r="P22" i="89"/>
  <c r="Q22" i="89" s="1"/>
  <c r="P22" i="96"/>
  <c r="R21" i="96"/>
  <c r="P22" i="94"/>
  <c r="Q22" i="94" s="1"/>
  <c r="P22" i="93"/>
  <c r="Q22" i="93" s="1"/>
  <c r="P22" i="92"/>
  <c r="Q22" i="92" s="1"/>
  <c r="P22" i="91"/>
  <c r="Q22" i="91" s="1"/>
  <c r="P22" i="90"/>
  <c r="Q22" i="90" s="1"/>
  <c r="P22" i="88"/>
  <c r="Q22" i="88" s="1"/>
  <c r="P22" i="87"/>
  <c r="Q22" i="87" s="1"/>
  <c r="R21" i="80"/>
  <c r="P22" i="80"/>
  <c r="Q22" i="80" s="1"/>
  <c r="R22" i="80" s="1"/>
  <c r="R34" i="101" l="1"/>
  <c r="R34" i="105"/>
  <c r="R34" i="108"/>
  <c r="R34" i="109"/>
  <c r="R46" i="94"/>
  <c r="R34" i="91"/>
  <c r="R46" i="91"/>
  <c r="R46" i="92"/>
  <c r="R46" i="104"/>
  <c r="R34" i="104"/>
  <c r="R46" i="89"/>
  <c r="R22" i="90"/>
  <c r="R46" i="102"/>
  <c r="R34" i="92"/>
  <c r="R46" i="100"/>
  <c r="R34" i="100"/>
  <c r="R46" i="103"/>
  <c r="R46" i="101"/>
  <c r="R34" i="96"/>
  <c r="R34" i="107"/>
  <c r="R46" i="80"/>
  <c r="R34" i="88"/>
  <c r="R34" i="110"/>
  <c r="R34" i="94"/>
  <c r="R46" i="93"/>
  <c r="R34" i="87"/>
  <c r="R46" i="105"/>
  <c r="R34" i="102"/>
  <c r="R34" i="111"/>
  <c r="R46" i="99"/>
  <c r="R34" i="93"/>
  <c r="R46" i="87"/>
  <c r="R46" i="112"/>
  <c r="R34" i="80"/>
  <c r="R46" i="88"/>
  <c r="Q22" i="96"/>
  <c r="P23" i="96" s="1"/>
  <c r="Q23" i="96" s="1"/>
  <c r="R46" i="109"/>
  <c r="R46" i="111"/>
  <c r="R34" i="99"/>
  <c r="R34" i="112"/>
  <c r="R46" i="110"/>
  <c r="R34" i="90"/>
  <c r="R34" i="103"/>
  <c r="R46" i="108"/>
  <c r="R34" i="106"/>
  <c r="R46" i="107"/>
  <c r="R46" i="106"/>
  <c r="P47" i="112"/>
  <c r="P47" i="111"/>
  <c r="Q47" i="111" s="1"/>
  <c r="P47" i="110"/>
  <c r="Q47" i="110" s="1"/>
  <c r="P47" i="109"/>
  <c r="Q47" i="109" s="1"/>
  <c r="P47" i="108"/>
  <c r="P47" i="107"/>
  <c r="P47" i="99"/>
  <c r="Q47" i="99" s="1"/>
  <c r="P47" i="106"/>
  <c r="P47" i="105"/>
  <c r="P47" i="104"/>
  <c r="P47" i="103"/>
  <c r="Q47" i="103" s="1"/>
  <c r="P47" i="102"/>
  <c r="P47" i="101"/>
  <c r="P47" i="100"/>
  <c r="Q47" i="100" s="1"/>
  <c r="R47" i="100" s="1"/>
  <c r="P47" i="89"/>
  <c r="P47" i="96"/>
  <c r="P47" i="94"/>
  <c r="P47" i="93"/>
  <c r="P47" i="92"/>
  <c r="P47" i="91"/>
  <c r="P47" i="90"/>
  <c r="P47" i="88"/>
  <c r="Q47" i="88" s="1"/>
  <c r="P47" i="87"/>
  <c r="P35" i="112"/>
  <c r="Q35" i="112" s="1"/>
  <c r="P35" i="111"/>
  <c r="Q35" i="111" s="1"/>
  <c r="P35" i="110"/>
  <c r="Q35" i="110" s="1"/>
  <c r="R35" i="110" s="1"/>
  <c r="P35" i="109"/>
  <c r="Q35" i="109" s="1"/>
  <c r="P35" i="108"/>
  <c r="P35" i="107"/>
  <c r="P35" i="99"/>
  <c r="P35" i="106"/>
  <c r="Q35" i="106" s="1"/>
  <c r="P35" i="105"/>
  <c r="P35" i="104"/>
  <c r="Q35" i="104" s="1"/>
  <c r="R35" i="104" s="1"/>
  <c r="P35" i="103"/>
  <c r="Q35" i="103" s="1"/>
  <c r="P35" i="102"/>
  <c r="P35" i="101"/>
  <c r="P35" i="100"/>
  <c r="P35" i="89"/>
  <c r="Q35" i="89" s="1"/>
  <c r="P35" i="96"/>
  <c r="Q35" i="96" s="1"/>
  <c r="P35" i="94"/>
  <c r="P35" i="93"/>
  <c r="Q35" i="93" s="1"/>
  <c r="P35" i="92"/>
  <c r="P35" i="91"/>
  <c r="Q35" i="91" s="1"/>
  <c r="P35" i="90"/>
  <c r="P35" i="88"/>
  <c r="Q35" i="88" s="1"/>
  <c r="R35" i="88" s="1"/>
  <c r="P35" i="87"/>
  <c r="Q47" i="80"/>
  <c r="Q35" i="80"/>
  <c r="P36" i="80" s="1"/>
  <c r="R22" i="112"/>
  <c r="P23" i="112"/>
  <c r="Q23" i="112" s="1"/>
  <c r="R22" i="111"/>
  <c r="P23" i="111"/>
  <c r="R22" i="110"/>
  <c r="P23" i="110"/>
  <c r="P23" i="109"/>
  <c r="Q23" i="109" s="1"/>
  <c r="R23" i="109" s="1"/>
  <c r="R22" i="109"/>
  <c r="R22" i="108"/>
  <c r="P23" i="108"/>
  <c r="P23" i="107"/>
  <c r="Q23" i="107" s="1"/>
  <c r="R23" i="107" s="1"/>
  <c r="R22" i="107"/>
  <c r="R22" i="99"/>
  <c r="P23" i="99"/>
  <c r="Q23" i="99" s="1"/>
  <c r="R22" i="106"/>
  <c r="P23" i="106"/>
  <c r="R22" i="105"/>
  <c r="P23" i="105"/>
  <c r="Q23" i="105" s="1"/>
  <c r="R23" i="105" s="1"/>
  <c r="R22" i="104"/>
  <c r="P23" i="104"/>
  <c r="Q23" i="104" s="1"/>
  <c r="P23" i="103"/>
  <c r="Q23" i="103" s="1"/>
  <c r="R22" i="103"/>
  <c r="P23" i="102"/>
  <c r="Q23" i="102" s="1"/>
  <c r="R22" i="102"/>
  <c r="R22" i="101"/>
  <c r="P23" i="101"/>
  <c r="R22" i="100"/>
  <c r="P23" i="100"/>
  <c r="Q23" i="100" s="1"/>
  <c r="R22" i="89"/>
  <c r="P23" i="89"/>
  <c r="Q23" i="89" s="1"/>
  <c r="R22" i="96"/>
  <c r="R22" i="94"/>
  <c r="P23" i="94"/>
  <c r="Q23" i="94" s="1"/>
  <c r="R22" i="93"/>
  <c r="P23" i="93"/>
  <c r="R22" i="92"/>
  <c r="P23" i="92"/>
  <c r="R22" i="91"/>
  <c r="P23" i="91"/>
  <c r="P23" i="90"/>
  <c r="Q23" i="90" s="1"/>
  <c r="R22" i="88"/>
  <c r="P23" i="88"/>
  <c r="Q23" i="88" s="1"/>
  <c r="R22" i="87"/>
  <c r="P23" i="87"/>
  <c r="P24" i="96" l="1"/>
  <c r="R23" i="96"/>
  <c r="R48" i="110"/>
  <c r="R23" i="90"/>
  <c r="R47" i="80"/>
  <c r="R36" i="89"/>
  <c r="R35" i="93"/>
  <c r="R36" i="110"/>
  <c r="R36" i="109"/>
  <c r="R47" i="111"/>
  <c r="R47" i="109"/>
  <c r="R35" i="111"/>
  <c r="R47" i="103"/>
  <c r="R36" i="104"/>
  <c r="R35" i="112"/>
  <c r="R36" i="96"/>
  <c r="R35" i="89"/>
  <c r="R35" i="96"/>
  <c r="R35" i="106"/>
  <c r="R47" i="99"/>
  <c r="R47" i="110"/>
  <c r="R47" i="88"/>
  <c r="R35" i="109"/>
  <c r="R35" i="80"/>
  <c r="R36" i="88"/>
  <c r="R35" i="91"/>
  <c r="R36" i="80"/>
  <c r="R35" i="103"/>
  <c r="P48" i="112"/>
  <c r="Q47" i="112"/>
  <c r="P48" i="108"/>
  <c r="Q47" i="108"/>
  <c r="Q35" i="108"/>
  <c r="Q47" i="107"/>
  <c r="Q35" i="107"/>
  <c r="Q35" i="99"/>
  <c r="Q47" i="106"/>
  <c r="Q47" i="105"/>
  <c r="Q35" i="105"/>
  <c r="Q47" i="104"/>
  <c r="Q47" i="102"/>
  <c r="Q35" i="102"/>
  <c r="Q47" i="101"/>
  <c r="Q35" i="101"/>
  <c r="Q35" i="100"/>
  <c r="Q47" i="89"/>
  <c r="Q47" i="96"/>
  <c r="Q47" i="94"/>
  <c r="Q35" i="94"/>
  <c r="P48" i="93"/>
  <c r="Q47" i="93"/>
  <c r="Q47" i="92"/>
  <c r="Q35" i="92"/>
  <c r="Q47" i="91"/>
  <c r="Q47" i="90"/>
  <c r="Q35" i="90"/>
  <c r="Q47" i="87"/>
  <c r="Q35" i="87"/>
  <c r="P48" i="111"/>
  <c r="P48" i="110"/>
  <c r="Q48" i="110" s="1"/>
  <c r="P48" i="109"/>
  <c r="P48" i="99"/>
  <c r="P48" i="103"/>
  <c r="Q48" i="103" s="1"/>
  <c r="R48" i="103" s="1"/>
  <c r="P48" i="100"/>
  <c r="Q48" i="100" s="1"/>
  <c r="R48" i="100" s="1"/>
  <c r="P48" i="88"/>
  <c r="Q48" i="88" s="1"/>
  <c r="P36" i="112"/>
  <c r="Q36" i="112" s="1"/>
  <c r="R36" i="112" s="1"/>
  <c r="P36" i="111"/>
  <c r="P36" i="110"/>
  <c r="Q36" i="110" s="1"/>
  <c r="P36" i="109"/>
  <c r="Q36" i="109" s="1"/>
  <c r="P36" i="106"/>
  <c r="P36" i="104"/>
  <c r="Q36" i="104" s="1"/>
  <c r="P36" i="103"/>
  <c r="Q36" i="103" s="1"/>
  <c r="P36" i="89"/>
  <c r="Q36" i="89" s="1"/>
  <c r="P36" i="96"/>
  <c r="Q36" i="96" s="1"/>
  <c r="P36" i="93"/>
  <c r="Q36" i="93" s="1"/>
  <c r="P36" i="91"/>
  <c r="P36" i="88"/>
  <c r="Q36" i="88" s="1"/>
  <c r="P48" i="80"/>
  <c r="Q48" i="80" s="1"/>
  <c r="Q36" i="80"/>
  <c r="Q23" i="111"/>
  <c r="Q23" i="110"/>
  <c r="Q23" i="108"/>
  <c r="P24" i="108" s="1"/>
  <c r="Q23" i="106"/>
  <c r="R23" i="106" s="1"/>
  <c r="Q23" i="101"/>
  <c r="R23" i="101" s="1"/>
  <c r="Q24" i="96"/>
  <c r="Q23" i="93"/>
  <c r="R23" i="93" s="1"/>
  <c r="P24" i="92"/>
  <c r="Q23" i="92"/>
  <c r="R23" i="92" s="1"/>
  <c r="Q23" i="91"/>
  <c r="P24" i="109"/>
  <c r="P24" i="107"/>
  <c r="Q24" i="107" s="1"/>
  <c r="R24" i="107" s="1"/>
  <c r="P24" i="99"/>
  <c r="Q24" i="99" s="1"/>
  <c r="P25" i="99" s="1"/>
  <c r="Q25" i="99" s="1"/>
  <c r="P26" i="99" s="1"/>
  <c r="Q26" i="99" s="1"/>
  <c r="P27" i="99" s="1"/>
  <c r="Q27" i="99" s="1"/>
  <c r="P28" i="99" s="1"/>
  <c r="Q28" i="99" s="1"/>
  <c r="P29" i="99" s="1"/>
  <c r="Q29" i="99" s="1"/>
  <c r="P30" i="99" s="1"/>
  <c r="Q30" i="99" s="1"/>
  <c r="R23" i="99"/>
  <c r="P24" i="105"/>
  <c r="Q24" i="105" s="1"/>
  <c r="P24" i="104"/>
  <c r="R23" i="104"/>
  <c r="P24" i="103"/>
  <c r="Q24" i="103" s="1"/>
  <c r="R23" i="103"/>
  <c r="P24" i="102"/>
  <c r="Q24" i="102" s="1"/>
  <c r="R23" i="102"/>
  <c r="P24" i="101"/>
  <c r="P24" i="100"/>
  <c r="Q24" i="100" s="1"/>
  <c r="R23" i="100"/>
  <c r="P24" i="89"/>
  <c r="Q24" i="89" s="1"/>
  <c r="R23" i="89"/>
  <c r="R23" i="94"/>
  <c r="P24" i="94"/>
  <c r="Q24" i="94" s="1"/>
  <c r="P24" i="90"/>
  <c r="P24" i="88"/>
  <c r="Q24" i="88" s="1"/>
  <c r="R23" i="88"/>
  <c r="P24" i="87"/>
  <c r="Q23" i="87"/>
  <c r="Q24" i="87"/>
  <c r="P25" i="87" s="1"/>
  <c r="R23" i="87"/>
  <c r="P23" i="80"/>
  <c r="Q23" i="80" s="1"/>
  <c r="C21" i="80"/>
  <c r="D21" i="80" s="1"/>
  <c r="O23" i="97"/>
  <c r="O33" i="97" s="1"/>
  <c r="O43" i="97" s="1"/>
  <c r="P23" i="97"/>
  <c r="P33" i="97" s="1"/>
  <c r="P43" i="97" s="1"/>
  <c r="Q23" i="97"/>
  <c r="Q33" i="97" s="1"/>
  <c r="Q43" i="97" s="1"/>
  <c r="R23" i="97"/>
  <c r="R33" i="97" s="1"/>
  <c r="R43" i="97" s="1"/>
  <c r="S23" i="97"/>
  <c r="S33" i="97" s="1"/>
  <c r="S43" i="97" s="1"/>
  <c r="T23" i="97"/>
  <c r="T33" i="97" s="1"/>
  <c r="T43" i="97" s="1"/>
  <c r="U23" i="97"/>
  <c r="U33" i="97" s="1"/>
  <c r="U43" i="97" s="1"/>
  <c r="V23" i="97"/>
  <c r="V33" i="97" s="1"/>
  <c r="V43" i="97" s="1"/>
  <c r="N23" i="97"/>
  <c r="N33" i="97" s="1"/>
  <c r="N43" i="97" s="1"/>
  <c r="H24" i="12"/>
  <c r="W14" i="12"/>
  <c r="Q14" i="12" s="1"/>
  <c r="M45" i="12" s="1"/>
  <c r="H25" i="12"/>
  <c r="Q15" i="12"/>
  <c r="P15" i="12" s="1"/>
  <c r="O15" i="12" s="1"/>
  <c r="O25" i="12" s="1"/>
  <c r="H26" i="12"/>
  <c r="Q16" i="12"/>
  <c r="P16" i="12" s="1"/>
  <c r="H27" i="12"/>
  <c r="Q17" i="12"/>
  <c r="P17" i="12" s="1"/>
  <c r="P27" i="12" s="1"/>
  <c r="H28" i="12"/>
  <c r="Q18" i="12"/>
  <c r="B22" i="15"/>
  <c r="B23" i="15"/>
  <c r="B24" i="15"/>
  <c r="B25" i="15"/>
  <c r="B26" i="15"/>
  <c r="B27" i="15"/>
  <c r="B28" i="15"/>
  <c r="B29" i="15"/>
  <c r="B30" i="15"/>
  <c r="B31" i="15"/>
  <c r="H29" i="12"/>
  <c r="Q19" i="12"/>
  <c r="B30" i="24"/>
  <c r="C22" i="15"/>
  <c r="C23" i="15"/>
  <c r="C24" i="15"/>
  <c r="C25" i="15"/>
  <c r="C26" i="15"/>
  <c r="C27" i="15"/>
  <c r="C28" i="15"/>
  <c r="C29" i="15"/>
  <c r="C30" i="15"/>
  <c r="C31" i="15"/>
  <c r="C21" i="14" s="1"/>
  <c r="C30" i="24"/>
  <c r="D22" i="15"/>
  <c r="D23" i="15"/>
  <c r="D24" i="15"/>
  <c r="D25" i="15"/>
  <c r="D26" i="15"/>
  <c r="D27" i="15"/>
  <c r="D28" i="15"/>
  <c r="D29" i="15"/>
  <c r="D30" i="15"/>
  <c r="D31" i="15"/>
  <c r="D21" i="14" s="1"/>
  <c r="D30" i="24"/>
  <c r="E22" i="15"/>
  <c r="E23" i="15"/>
  <c r="E24" i="15"/>
  <c r="E25" i="15"/>
  <c r="E26" i="15"/>
  <c r="E27" i="15"/>
  <c r="E28" i="15"/>
  <c r="E29" i="15"/>
  <c r="E30" i="15"/>
  <c r="E31" i="15"/>
  <c r="E30" i="24"/>
  <c r="F22" i="15"/>
  <c r="F23" i="15"/>
  <c r="F24" i="15"/>
  <c r="F25" i="15"/>
  <c r="F26" i="15"/>
  <c r="F27" i="15"/>
  <c r="F28" i="15"/>
  <c r="F29" i="15"/>
  <c r="F30" i="15"/>
  <c r="F31" i="15"/>
  <c r="F30" i="24"/>
  <c r="G22" i="15"/>
  <c r="G23" i="15"/>
  <c r="G24" i="15"/>
  <c r="G25" i="15"/>
  <c r="G26" i="15"/>
  <c r="G27" i="15"/>
  <c r="G28" i="15"/>
  <c r="G29" i="15"/>
  <c r="G30" i="15"/>
  <c r="G31" i="15"/>
  <c r="G30" i="24"/>
  <c r="H22" i="15"/>
  <c r="H23" i="15"/>
  <c r="H24" i="15"/>
  <c r="H25" i="15"/>
  <c r="H26" i="15"/>
  <c r="H27" i="15"/>
  <c r="H28" i="15"/>
  <c r="H29" i="15"/>
  <c r="H30" i="15"/>
  <c r="H31" i="15"/>
  <c r="H21" i="14" s="1"/>
  <c r="H30" i="24"/>
  <c r="I22" i="15"/>
  <c r="I23" i="15"/>
  <c r="I24" i="15"/>
  <c r="I25" i="15"/>
  <c r="I26" i="15"/>
  <c r="I27" i="15"/>
  <c r="I28" i="15"/>
  <c r="I29" i="15"/>
  <c r="I30" i="15"/>
  <c r="I31" i="15"/>
  <c r="I30" i="24"/>
  <c r="J22" i="15"/>
  <c r="J23" i="15"/>
  <c r="J24" i="15"/>
  <c r="J25" i="15"/>
  <c r="J26" i="15"/>
  <c r="J27" i="15"/>
  <c r="J28" i="15"/>
  <c r="J29" i="15"/>
  <c r="J30" i="15"/>
  <c r="J31" i="15"/>
  <c r="J30" i="24"/>
  <c r="K22" i="15"/>
  <c r="K23" i="15"/>
  <c r="K24" i="15"/>
  <c r="K25" i="15"/>
  <c r="K26" i="15"/>
  <c r="K27" i="15"/>
  <c r="K28" i="15"/>
  <c r="K29" i="15"/>
  <c r="K30" i="15"/>
  <c r="K31" i="15"/>
  <c r="K30" i="24"/>
  <c r="B31" i="24"/>
  <c r="C31" i="24"/>
  <c r="D31" i="24"/>
  <c r="E31" i="24"/>
  <c r="F31" i="24"/>
  <c r="G31" i="24"/>
  <c r="H31" i="24"/>
  <c r="I31" i="24"/>
  <c r="J31" i="24"/>
  <c r="K31" i="24"/>
  <c r="B32" i="24"/>
  <c r="C32" i="24"/>
  <c r="D32" i="24"/>
  <c r="E32" i="24"/>
  <c r="F32" i="24"/>
  <c r="G32" i="24"/>
  <c r="H32" i="24"/>
  <c r="I32" i="24"/>
  <c r="J32" i="24"/>
  <c r="K32" i="24"/>
  <c r="B33" i="24"/>
  <c r="C33" i="24"/>
  <c r="D33" i="24"/>
  <c r="E33" i="24"/>
  <c r="F33" i="24"/>
  <c r="G33" i="24"/>
  <c r="H33" i="24"/>
  <c r="I33" i="24"/>
  <c r="J33" i="24"/>
  <c r="K33" i="24"/>
  <c r="B34" i="24"/>
  <c r="C34" i="24"/>
  <c r="D34" i="24"/>
  <c r="E34" i="24"/>
  <c r="F34" i="24"/>
  <c r="G34" i="24"/>
  <c r="H34" i="24"/>
  <c r="I34" i="24"/>
  <c r="J34" i="24"/>
  <c r="K34" i="24"/>
  <c r="B35" i="24"/>
  <c r="C35" i="24"/>
  <c r="D35" i="24"/>
  <c r="E35" i="24"/>
  <c r="F35" i="24"/>
  <c r="G35" i="24"/>
  <c r="H35" i="24"/>
  <c r="I35" i="24"/>
  <c r="J35" i="24"/>
  <c r="K35" i="24"/>
  <c r="B36" i="24"/>
  <c r="C36" i="24"/>
  <c r="D36" i="24"/>
  <c r="E36" i="24"/>
  <c r="F36" i="24"/>
  <c r="G36" i="24"/>
  <c r="H36" i="24"/>
  <c r="I36" i="24"/>
  <c r="J36" i="24"/>
  <c r="K36" i="24"/>
  <c r="B37" i="24"/>
  <c r="C37" i="24"/>
  <c r="D37" i="24"/>
  <c r="E37" i="24"/>
  <c r="F37" i="24"/>
  <c r="G37" i="24"/>
  <c r="H37" i="24"/>
  <c r="I37" i="24"/>
  <c r="J37" i="24"/>
  <c r="K37" i="24"/>
  <c r="B38" i="24"/>
  <c r="C38" i="24"/>
  <c r="D38" i="24"/>
  <c r="E38" i="24"/>
  <c r="F38" i="24"/>
  <c r="G38" i="24"/>
  <c r="H38" i="24"/>
  <c r="I38" i="24"/>
  <c r="J38" i="24"/>
  <c r="K38" i="24"/>
  <c r="D45" i="24"/>
  <c r="D58" i="24"/>
  <c r="E45" i="24"/>
  <c r="F45" i="24"/>
  <c r="G45" i="24"/>
  <c r="H45" i="24"/>
  <c r="I45" i="24"/>
  <c r="J45" i="24"/>
  <c r="K45" i="24"/>
  <c r="C46" i="24"/>
  <c r="E46" i="24"/>
  <c r="F46" i="24"/>
  <c r="G46" i="24"/>
  <c r="H46" i="24"/>
  <c r="I46" i="24"/>
  <c r="J46" i="24"/>
  <c r="K46" i="24"/>
  <c r="C47" i="24"/>
  <c r="D47" i="24"/>
  <c r="F47" i="24"/>
  <c r="G47" i="24"/>
  <c r="H47" i="24"/>
  <c r="I47" i="24"/>
  <c r="J47" i="24"/>
  <c r="K47" i="24"/>
  <c r="C48" i="24"/>
  <c r="D48" i="24"/>
  <c r="E48" i="24"/>
  <c r="G48" i="24"/>
  <c r="H48" i="24"/>
  <c r="I48" i="24"/>
  <c r="J48" i="24"/>
  <c r="K48" i="24"/>
  <c r="C49" i="24"/>
  <c r="D49" i="24"/>
  <c r="E49" i="24"/>
  <c r="F49" i="24"/>
  <c r="H49" i="24"/>
  <c r="I49" i="24"/>
  <c r="J49" i="24"/>
  <c r="K49" i="24"/>
  <c r="C50" i="24"/>
  <c r="D50" i="24"/>
  <c r="E50" i="24"/>
  <c r="F50" i="24"/>
  <c r="G50" i="24"/>
  <c r="I50" i="24"/>
  <c r="J50" i="24"/>
  <c r="K50" i="24"/>
  <c r="C51" i="24"/>
  <c r="D51" i="24"/>
  <c r="E51" i="24"/>
  <c r="F51" i="24"/>
  <c r="G51" i="24"/>
  <c r="H51" i="24"/>
  <c r="J51" i="24"/>
  <c r="K51" i="24"/>
  <c r="C52" i="24"/>
  <c r="D52" i="24"/>
  <c r="E52" i="24"/>
  <c r="F52" i="24"/>
  <c r="G52" i="24"/>
  <c r="H52" i="24"/>
  <c r="I52" i="24"/>
  <c r="K52" i="24"/>
  <c r="C53" i="24"/>
  <c r="D53" i="24"/>
  <c r="E53" i="24"/>
  <c r="F53" i="24"/>
  <c r="G53" i="24"/>
  <c r="H53" i="24"/>
  <c r="I53" i="24"/>
  <c r="J53" i="24"/>
  <c r="E58" i="24"/>
  <c r="F58" i="24"/>
  <c r="G58" i="24"/>
  <c r="H58" i="24"/>
  <c r="I58" i="24"/>
  <c r="J58" i="24"/>
  <c r="K58" i="24"/>
  <c r="C59" i="24"/>
  <c r="E59" i="24"/>
  <c r="F59" i="24"/>
  <c r="G59" i="24"/>
  <c r="H59" i="24"/>
  <c r="I59" i="24"/>
  <c r="J59" i="24"/>
  <c r="K59" i="24"/>
  <c r="C60" i="24"/>
  <c r="D60" i="24"/>
  <c r="F60" i="24"/>
  <c r="G60" i="24"/>
  <c r="H60" i="24"/>
  <c r="I60" i="24"/>
  <c r="J60" i="24"/>
  <c r="K60" i="24"/>
  <c r="C61" i="24"/>
  <c r="D61" i="24"/>
  <c r="E61" i="24"/>
  <c r="G61" i="24"/>
  <c r="H61" i="24"/>
  <c r="I61" i="24"/>
  <c r="J61" i="24"/>
  <c r="K61" i="24"/>
  <c r="C62" i="24"/>
  <c r="D62" i="24"/>
  <c r="E62" i="24"/>
  <c r="F62" i="24"/>
  <c r="H62" i="24"/>
  <c r="I62" i="24"/>
  <c r="J62" i="24"/>
  <c r="K62" i="24"/>
  <c r="C63" i="24"/>
  <c r="D63" i="24"/>
  <c r="E63" i="24"/>
  <c r="F63" i="24"/>
  <c r="G63" i="24"/>
  <c r="I63" i="24"/>
  <c r="J63" i="24"/>
  <c r="K63" i="24"/>
  <c r="C64" i="24"/>
  <c r="D64" i="24"/>
  <c r="E64" i="24"/>
  <c r="F64" i="24"/>
  <c r="G64" i="24"/>
  <c r="H64" i="24"/>
  <c r="J64" i="24"/>
  <c r="K64" i="24"/>
  <c r="C65" i="24"/>
  <c r="D65" i="24"/>
  <c r="E65" i="24"/>
  <c r="F65" i="24"/>
  <c r="G65" i="24"/>
  <c r="H65" i="24"/>
  <c r="I65" i="24"/>
  <c r="K65" i="24"/>
  <c r="C66" i="24"/>
  <c r="D66" i="24"/>
  <c r="E66" i="24"/>
  <c r="F66" i="24"/>
  <c r="G66" i="24"/>
  <c r="H66" i="24"/>
  <c r="I66" i="24"/>
  <c r="J66" i="24"/>
  <c r="B19" i="24"/>
  <c r="C19" i="24"/>
  <c r="D19" i="24"/>
  <c r="E19" i="24"/>
  <c r="F19" i="24"/>
  <c r="G19" i="24"/>
  <c r="H19" i="24"/>
  <c r="I19" i="24"/>
  <c r="J19" i="24"/>
  <c r="K19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B22" i="24"/>
  <c r="C22" i="24"/>
  <c r="D22" i="24"/>
  <c r="E22" i="24"/>
  <c r="F22" i="24"/>
  <c r="G22" i="24"/>
  <c r="H22" i="24"/>
  <c r="I22" i="24"/>
  <c r="J22" i="24"/>
  <c r="K22" i="24"/>
  <c r="B23" i="24"/>
  <c r="C23" i="24"/>
  <c r="D23" i="24"/>
  <c r="E23" i="24"/>
  <c r="F23" i="24"/>
  <c r="G23" i="24"/>
  <c r="H23" i="24"/>
  <c r="I23" i="24"/>
  <c r="J23" i="24"/>
  <c r="K23" i="24"/>
  <c r="B24" i="24"/>
  <c r="C24" i="24"/>
  <c r="D24" i="24"/>
  <c r="E24" i="24"/>
  <c r="F24" i="24"/>
  <c r="G24" i="24"/>
  <c r="H24" i="24"/>
  <c r="I24" i="24"/>
  <c r="J24" i="24"/>
  <c r="K24" i="24"/>
  <c r="B25" i="24"/>
  <c r="C25" i="24"/>
  <c r="D25" i="24"/>
  <c r="E25" i="24"/>
  <c r="F25" i="24"/>
  <c r="G25" i="24"/>
  <c r="H25" i="24"/>
  <c r="I25" i="24"/>
  <c r="J25" i="24"/>
  <c r="K25" i="24"/>
  <c r="B26" i="24"/>
  <c r="C26" i="24"/>
  <c r="D26" i="24"/>
  <c r="E26" i="24"/>
  <c r="F26" i="24"/>
  <c r="G26" i="24"/>
  <c r="H26" i="24"/>
  <c r="I26" i="24"/>
  <c r="J26" i="24"/>
  <c r="K26" i="24"/>
  <c r="B29" i="24"/>
  <c r="C29" i="24"/>
  <c r="D29" i="24"/>
  <c r="E29" i="24"/>
  <c r="F29" i="24"/>
  <c r="G29" i="24"/>
  <c r="H29" i="24"/>
  <c r="I29" i="24"/>
  <c r="J29" i="24"/>
  <c r="K29" i="24"/>
  <c r="B27" i="24"/>
  <c r="B27" i="25"/>
  <c r="Y32" i="97" s="1"/>
  <c r="C27" i="24"/>
  <c r="C27" i="25"/>
  <c r="D27" i="24"/>
  <c r="D27" i="25"/>
  <c r="AA32" i="97" s="1"/>
  <c r="E27" i="24"/>
  <c r="E27" i="25"/>
  <c r="F27" i="24"/>
  <c r="F27" i="25"/>
  <c r="AC32" i="97" s="1"/>
  <c r="G27" i="24"/>
  <c r="G27" i="25"/>
  <c r="H27" i="24"/>
  <c r="H27" i="25"/>
  <c r="I27" i="24"/>
  <c r="I27" i="25"/>
  <c r="J27" i="24"/>
  <c r="J27" i="25"/>
  <c r="AG32" i="97" s="1"/>
  <c r="K27" i="24"/>
  <c r="K27" i="25"/>
  <c r="AH32" i="97" s="1"/>
  <c r="J33" i="12"/>
  <c r="C1" i="28" s="1"/>
  <c r="C45" i="80"/>
  <c r="B46" i="80"/>
  <c r="B47" i="80" s="1"/>
  <c r="C47" i="80"/>
  <c r="C45" i="87"/>
  <c r="B46" i="87"/>
  <c r="C46" i="87" s="1"/>
  <c r="B47" i="87"/>
  <c r="B48" i="87" s="1"/>
  <c r="C47" i="87"/>
  <c r="C45" i="88"/>
  <c r="B46" i="88"/>
  <c r="C46" i="88"/>
  <c r="B47" i="88"/>
  <c r="C47" i="88" s="1"/>
  <c r="C45" i="90"/>
  <c r="D46" i="90" s="1"/>
  <c r="B46" i="90"/>
  <c r="C46" i="90"/>
  <c r="B47" i="90"/>
  <c r="C47" i="90"/>
  <c r="C45" i="91"/>
  <c r="B46" i="91"/>
  <c r="B47" i="91" s="1"/>
  <c r="C46" i="91"/>
  <c r="D46" i="91" s="1"/>
  <c r="C47" i="91"/>
  <c r="C45" i="92"/>
  <c r="B46" i="92"/>
  <c r="C46" i="92"/>
  <c r="B47" i="92"/>
  <c r="B48" i="92" s="1"/>
  <c r="C48" i="92" s="1"/>
  <c r="C45" i="93"/>
  <c r="B46" i="93"/>
  <c r="C46" i="93"/>
  <c r="D47" i="93" s="1"/>
  <c r="B47" i="93"/>
  <c r="C47" i="93" s="1"/>
  <c r="C45" i="94"/>
  <c r="D47" i="94" s="1"/>
  <c r="B46" i="94"/>
  <c r="C46" i="94"/>
  <c r="B47" i="94"/>
  <c r="B48" i="94" s="1"/>
  <c r="C47" i="94"/>
  <c r="C45" i="96"/>
  <c r="B46" i="96"/>
  <c r="B48" i="80"/>
  <c r="C48" i="80"/>
  <c r="B48" i="88"/>
  <c r="B48" i="90"/>
  <c r="C48" i="90" s="1"/>
  <c r="B48" i="91"/>
  <c r="B48" i="93"/>
  <c r="C48" i="93" s="1"/>
  <c r="C48" i="94"/>
  <c r="D46" i="87"/>
  <c r="D46" i="94"/>
  <c r="H44" i="26"/>
  <c r="H45" i="26"/>
  <c r="H5" i="35"/>
  <c r="B22" i="87"/>
  <c r="C22" i="87" s="1"/>
  <c r="B23" i="87" s="1"/>
  <c r="C23" i="87" s="1"/>
  <c r="C21" i="88"/>
  <c r="C21" i="90"/>
  <c r="C21" i="91"/>
  <c r="C21" i="92"/>
  <c r="C21" i="93"/>
  <c r="B22" i="93"/>
  <c r="C22" i="93" s="1"/>
  <c r="C21" i="94"/>
  <c r="C21" i="96"/>
  <c r="D22" i="87"/>
  <c r="AF4" i="97"/>
  <c r="H21" i="35"/>
  <c r="AB4" i="97"/>
  <c r="Z4" i="97"/>
  <c r="U4" i="97"/>
  <c r="P4" i="97"/>
  <c r="L4" i="97"/>
  <c r="E4" i="97"/>
  <c r="A42" i="97"/>
  <c r="A43" i="97"/>
  <c r="A39" i="97"/>
  <c r="A40" i="97"/>
  <c r="A41" i="97"/>
  <c r="H36" i="35"/>
  <c r="C40" i="24"/>
  <c r="D45" i="88"/>
  <c r="D45" i="87"/>
  <c r="C33" i="88"/>
  <c r="B34" i="88"/>
  <c r="C34" i="88" s="1"/>
  <c r="B35" i="88"/>
  <c r="C33" i="87"/>
  <c r="B34" i="87"/>
  <c r="C34" i="87"/>
  <c r="B35" i="87"/>
  <c r="D34" i="87"/>
  <c r="D33" i="87"/>
  <c r="D21" i="87"/>
  <c r="M30" i="97"/>
  <c r="M31" i="97"/>
  <c r="M29" i="97"/>
  <c r="O28" i="97"/>
  <c r="P28" i="97"/>
  <c r="Q28" i="97"/>
  <c r="R28" i="97"/>
  <c r="S28" i="97"/>
  <c r="T28" i="97"/>
  <c r="U28" i="97"/>
  <c r="V28" i="97"/>
  <c r="N28" i="97"/>
  <c r="M20" i="97"/>
  <c r="M21" i="97"/>
  <c r="M19" i="97"/>
  <c r="O18" i="97"/>
  <c r="P18" i="97"/>
  <c r="Q18" i="97"/>
  <c r="R18" i="97"/>
  <c r="S18" i="97"/>
  <c r="T18" i="97"/>
  <c r="U18" i="97"/>
  <c r="V18" i="97"/>
  <c r="N18" i="97"/>
  <c r="M15" i="97"/>
  <c r="M16" i="97"/>
  <c r="M14" i="97"/>
  <c r="O13" i="97"/>
  <c r="P13" i="97"/>
  <c r="Q13" i="97"/>
  <c r="R13" i="97"/>
  <c r="S13" i="97"/>
  <c r="T13" i="97"/>
  <c r="U13" i="97"/>
  <c r="V13" i="97"/>
  <c r="N13" i="97"/>
  <c r="M9" i="97"/>
  <c r="M10" i="97"/>
  <c r="M11" i="97"/>
  <c r="N7" i="97"/>
  <c r="O7" i="97"/>
  <c r="P7" i="97"/>
  <c r="Q7" i="97"/>
  <c r="R7" i="97"/>
  <c r="S7" i="97"/>
  <c r="T7" i="97"/>
  <c r="U7" i="97"/>
  <c r="V7" i="97"/>
  <c r="B46" i="112"/>
  <c r="C45" i="112"/>
  <c r="C21" i="112"/>
  <c r="B34" i="112"/>
  <c r="C34" i="112"/>
  <c r="C33" i="112"/>
  <c r="B46" i="111"/>
  <c r="C45" i="111"/>
  <c r="C21" i="111"/>
  <c r="B34" i="111"/>
  <c r="B35" i="111" s="1"/>
  <c r="C35" i="111" s="1"/>
  <c r="C33" i="111"/>
  <c r="B46" i="110"/>
  <c r="C45" i="110"/>
  <c r="C21" i="110"/>
  <c r="B34" i="110"/>
  <c r="B35" i="110"/>
  <c r="B36" i="110" s="1"/>
  <c r="C33" i="110"/>
  <c r="D33" i="110" s="1"/>
  <c r="B46" i="109"/>
  <c r="C45" i="109"/>
  <c r="C21" i="109"/>
  <c r="B34" i="109"/>
  <c r="B35" i="109" s="1"/>
  <c r="C33" i="109"/>
  <c r="B46" i="108"/>
  <c r="C45" i="108"/>
  <c r="D45" i="108" s="1"/>
  <c r="C21" i="108"/>
  <c r="B22" i="108" s="1"/>
  <c r="C22" i="108" s="1"/>
  <c r="B34" i="108"/>
  <c r="B35" i="108"/>
  <c r="C34" i="108"/>
  <c r="C33" i="108"/>
  <c r="B46" i="107"/>
  <c r="B47" i="107" s="1"/>
  <c r="C45" i="107"/>
  <c r="D45" i="107" s="1"/>
  <c r="C21" i="107"/>
  <c r="D21" i="107" s="1"/>
  <c r="B34" i="107"/>
  <c r="C34" i="107" s="1"/>
  <c r="C33" i="107"/>
  <c r="D33" i="107" s="1"/>
  <c r="B35" i="112"/>
  <c r="C35" i="112" s="1"/>
  <c r="B22" i="112"/>
  <c r="C22" i="112" s="1"/>
  <c r="B23" i="112" s="1"/>
  <c r="C23" i="112" s="1"/>
  <c r="D33" i="112"/>
  <c r="D21" i="112"/>
  <c r="D33" i="111"/>
  <c r="B36" i="111"/>
  <c r="C46" i="111"/>
  <c r="B47" i="111"/>
  <c r="C34" i="111"/>
  <c r="D34" i="111" s="1"/>
  <c r="D45" i="111"/>
  <c r="B22" i="110"/>
  <c r="C22" i="110" s="1"/>
  <c r="D21" i="110"/>
  <c r="C34" i="110"/>
  <c r="B47" i="109"/>
  <c r="B48" i="109" s="1"/>
  <c r="D33" i="109"/>
  <c r="C46" i="109"/>
  <c r="D45" i="109"/>
  <c r="D21" i="108"/>
  <c r="D33" i="108"/>
  <c r="D34" i="108"/>
  <c r="B22" i="107"/>
  <c r="B46" i="106"/>
  <c r="C45" i="106"/>
  <c r="C21" i="106"/>
  <c r="B34" i="106"/>
  <c r="C34" i="106" s="1"/>
  <c r="B35" i="106"/>
  <c r="C35" i="106" s="1"/>
  <c r="C33" i="106"/>
  <c r="D33" i="106" s="1"/>
  <c r="B46" i="105"/>
  <c r="C46" i="105" s="1"/>
  <c r="C45" i="105"/>
  <c r="D45" i="105" s="1"/>
  <c r="C21" i="105"/>
  <c r="B34" i="105"/>
  <c r="B35" i="105" s="1"/>
  <c r="C33" i="105"/>
  <c r="B46" i="104"/>
  <c r="C45" i="104"/>
  <c r="C21" i="104"/>
  <c r="B22" i="104" s="1"/>
  <c r="C22" i="104" s="1"/>
  <c r="B34" i="104"/>
  <c r="B35" i="104" s="1"/>
  <c r="C33" i="104"/>
  <c r="D33" i="104" s="1"/>
  <c r="B46" i="103"/>
  <c r="C45" i="103"/>
  <c r="C21" i="103"/>
  <c r="D21" i="103" s="1"/>
  <c r="B34" i="103"/>
  <c r="C33" i="103"/>
  <c r="B46" i="102"/>
  <c r="C45" i="102"/>
  <c r="C21" i="102"/>
  <c r="D21" i="102" s="1"/>
  <c r="B34" i="102"/>
  <c r="C33" i="102"/>
  <c r="B46" i="101"/>
  <c r="B47" i="101"/>
  <c r="B48" i="101" s="1"/>
  <c r="B49" i="101" s="1"/>
  <c r="C45" i="101"/>
  <c r="D45" i="101" s="1"/>
  <c r="C21" i="101"/>
  <c r="D21" i="101" s="1"/>
  <c r="B34" i="101"/>
  <c r="C33" i="101"/>
  <c r="D33" i="101" s="1"/>
  <c r="B46" i="100"/>
  <c r="C45" i="100"/>
  <c r="D45" i="100" s="1"/>
  <c r="C21" i="100"/>
  <c r="B34" i="100"/>
  <c r="C34" i="100" s="1"/>
  <c r="C33" i="100"/>
  <c r="B36" i="112"/>
  <c r="B35" i="100"/>
  <c r="C35" i="100" s="1"/>
  <c r="B48" i="111"/>
  <c r="C47" i="111"/>
  <c r="D47" i="111" s="1"/>
  <c r="D46" i="111"/>
  <c r="D46" i="109"/>
  <c r="C22" i="107"/>
  <c r="B23" i="107" s="1"/>
  <c r="C23" i="107" s="1"/>
  <c r="D21" i="104"/>
  <c r="C46" i="101"/>
  <c r="D46" i="101"/>
  <c r="B36" i="106"/>
  <c r="B22" i="106"/>
  <c r="D21" i="106"/>
  <c r="B47" i="105"/>
  <c r="B48" i="105" s="1"/>
  <c r="D45" i="104"/>
  <c r="D33" i="103"/>
  <c r="B22" i="103"/>
  <c r="D45" i="103"/>
  <c r="B47" i="102"/>
  <c r="B48" i="102" s="1"/>
  <c r="C46" i="102"/>
  <c r="D33" i="102"/>
  <c r="B22" i="100"/>
  <c r="D33" i="100"/>
  <c r="L27" i="95" s="1"/>
  <c r="D21" i="100"/>
  <c r="B36" i="100"/>
  <c r="C48" i="111"/>
  <c r="B49" i="111"/>
  <c r="C49" i="111" s="1"/>
  <c r="D22" i="107"/>
  <c r="C22" i="106"/>
  <c r="C22" i="103"/>
  <c r="C47" i="102"/>
  <c r="C22" i="100"/>
  <c r="D22" i="100" s="1"/>
  <c r="B46" i="99"/>
  <c r="C46" i="99" s="1"/>
  <c r="C45" i="99"/>
  <c r="D45" i="99" s="1"/>
  <c r="B46" i="89"/>
  <c r="C46" i="89"/>
  <c r="C45" i="89"/>
  <c r="D45" i="96"/>
  <c r="D45" i="94"/>
  <c r="D45" i="93"/>
  <c r="D45" i="92"/>
  <c r="D45" i="90"/>
  <c r="C21" i="99"/>
  <c r="C21" i="89"/>
  <c r="B22" i="89" s="1"/>
  <c r="C22" i="89"/>
  <c r="D21" i="93"/>
  <c r="D21" i="91"/>
  <c r="D21" i="90"/>
  <c r="B34" i="99"/>
  <c r="C34" i="99" s="1"/>
  <c r="C33" i="99"/>
  <c r="D33" i="99" s="1"/>
  <c r="B34" i="89"/>
  <c r="C34" i="89" s="1"/>
  <c r="D34" i="89" s="1"/>
  <c r="C33" i="89"/>
  <c r="D33" i="89" s="1"/>
  <c r="B34" i="96"/>
  <c r="C34" i="96" s="1"/>
  <c r="C33" i="96"/>
  <c r="D33" i="96" s="1"/>
  <c r="B34" i="94"/>
  <c r="C33" i="94"/>
  <c r="D33" i="94" s="1"/>
  <c r="B34" i="93"/>
  <c r="C33" i="93"/>
  <c r="D33" i="93" s="1"/>
  <c r="B34" i="92"/>
  <c r="C34" i="92" s="1"/>
  <c r="D34" i="92" s="1"/>
  <c r="C33" i="92"/>
  <c r="D33" i="92" s="1"/>
  <c r="B34" i="91"/>
  <c r="C34" i="91" s="1"/>
  <c r="C33" i="91"/>
  <c r="D33" i="91" s="1"/>
  <c r="B34" i="90"/>
  <c r="C33" i="90"/>
  <c r="D33" i="90" s="1"/>
  <c r="D45" i="80"/>
  <c r="B34" i="80"/>
  <c r="C33" i="80"/>
  <c r="D33" i="80"/>
  <c r="B50" i="111"/>
  <c r="D21" i="89"/>
  <c r="B35" i="99"/>
  <c r="C35" i="99" s="1"/>
  <c r="B36" i="99"/>
  <c r="B49" i="92"/>
  <c r="B49" i="94"/>
  <c r="B47" i="89"/>
  <c r="B23" i="100"/>
  <c r="C23" i="100" s="1"/>
  <c r="B49" i="93"/>
  <c r="D45" i="91"/>
  <c r="B35" i="89"/>
  <c r="B35" i="96"/>
  <c r="C35" i="96" s="1"/>
  <c r="B35" i="91"/>
  <c r="C35" i="91" s="1"/>
  <c r="B36" i="91"/>
  <c r="D34" i="91"/>
  <c r="B49" i="80"/>
  <c r="B49" i="90"/>
  <c r="B24" i="112"/>
  <c r="D23" i="112"/>
  <c r="C49" i="94"/>
  <c r="D49" i="94" s="1"/>
  <c r="B50" i="94"/>
  <c r="C49" i="92"/>
  <c r="B50" i="92"/>
  <c r="C49" i="90"/>
  <c r="B50" i="90"/>
  <c r="C49" i="80"/>
  <c r="B50" i="80"/>
  <c r="C50" i="80" s="1"/>
  <c r="C24" i="112"/>
  <c r="B51" i="94"/>
  <c r="C50" i="94"/>
  <c r="D50" i="94"/>
  <c r="C50" i="92"/>
  <c r="B51" i="92"/>
  <c r="B52" i="92" s="1"/>
  <c r="B53" i="92" s="1"/>
  <c r="C50" i="90"/>
  <c r="B51" i="90"/>
  <c r="C51" i="90" s="1"/>
  <c r="B25" i="112"/>
  <c r="D24" i="112"/>
  <c r="B52" i="94"/>
  <c r="C51" i="94"/>
  <c r="C51" i="92"/>
  <c r="B52" i="90"/>
  <c r="C25" i="112"/>
  <c r="B53" i="90"/>
  <c r="C52" i="90"/>
  <c r="X43" i="97"/>
  <c r="X40" i="97"/>
  <c r="X41" i="97"/>
  <c r="X42" i="97"/>
  <c r="X34" i="97"/>
  <c r="X35" i="97"/>
  <c r="X36" i="97"/>
  <c r="X37" i="97"/>
  <c r="X38" i="97"/>
  <c r="X39" i="97"/>
  <c r="X8" i="97"/>
  <c r="X9" i="97"/>
  <c r="X10" i="97"/>
  <c r="X11" i="97"/>
  <c r="X12" i="97"/>
  <c r="X13" i="97"/>
  <c r="X14" i="97"/>
  <c r="X15" i="97"/>
  <c r="X16" i="97"/>
  <c r="X17" i="97"/>
  <c r="X18" i="97"/>
  <c r="X19" i="97"/>
  <c r="X20" i="97"/>
  <c r="X21" i="97"/>
  <c r="X22" i="97"/>
  <c r="X23" i="97"/>
  <c r="Y23" i="97"/>
  <c r="Z23" i="97"/>
  <c r="AA23" i="97"/>
  <c r="AB23" i="97"/>
  <c r="AC23" i="97"/>
  <c r="AD23" i="97"/>
  <c r="AE23" i="97"/>
  <c r="AF23" i="97"/>
  <c r="AG23" i="97"/>
  <c r="AH23" i="97"/>
  <c r="X24" i="97"/>
  <c r="X25" i="97"/>
  <c r="X26" i="97"/>
  <c r="X27" i="97"/>
  <c r="X28" i="97"/>
  <c r="X29" i="97"/>
  <c r="X30" i="97"/>
  <c r="X31" i="97"/>
  <c r="X32" i="97"/>
  <c r="X33" i="97"/>
  <c r="Y33" i="97"/>
  <c r="Z33" i="97"/>
  <c r="AA33" i="97"/>
  <c r="AB33" i="97"/>
  <c r="AC33" i="97"/>
  <c r="AD33" i="97"/>
  <c r="AE33" i="97"/>
  <c r="AF33" i="97"/>
  <c r="AG33" i="97"/>
  <c r="AH33" i="97"/>
  <c r="AH7" i="97"/>
  <c r="AD7" i="97"/>
  <c r="AE7" i="97"/>
  <c r="AF7" i="97"/>
  <c r="AG7" i="97"/>
  <c r="Y7" i="97"/>
  <c r="Z7" i="97"/>
  <c r="AA7" i="97"/>
  <c r="AB7" i="97"/>
  <c r="AC7" i="97"/>
  <c r="X7" i="97"/>
  <c r="C7" i="97"/>
  <c r="D7" i="97"/>
  <c r="E7" i="97"/>
  <c r="F7" i="97"/>
  <c r="G7" i="97"/>
  <c r="H7" i="97"/>
  <c r="I7" i="97"/>
  <c r="J7" i="97"/>
  <c r="K7" i="97"/>
  <c r="A36" i="97"/>
  <c r="A35" i="97"/>
  <c r="A22" i="97"/>
  <c r="A23" i="97"/>
  <c r="A24" i="97"/>
  <c r="A25" i="97"/>
  <c r="A26" i="97"/>
  <c r="B26" i="97"/>
  <c r="C26" i="97"/>
  <c r="D26" i="97"/>
  <c r="E26" i="97"/>
  <c r="F26" i="97"/>
  <c r="G26" i="97"/>
  <c r="H26" i="97"/>
  <c r="I26" i="97"/>
  <c r="J26" i="97"/>
  <c r="K26" i="97"/>
  <c r="A27" i="97"/>
  <c r="A28" i="97"/>
  <c r="A29" i="97"/>
  <c r="A30" i="97"/>
  <c r="A31" i="97"/>
  <c r="A32" i="97"/>
  <c r="A33" i="97"/>
  <c r="A34" i="97"/>
  <c r="H18" i="97"/>
  <c r="I18" i="97"/>
  <c r="J18" i="97"/>
  <c r="K18" i="97"/>
  <c r="A7" i="97"/>
  <c r="B7" i="97"/>
  <c r="A8" i="97"/>
  <c r="A9" i="97"/>
  <c r="A10" i="97"/>
  <c r="A11" i="97"/>
  <c r="A12" i="97"/>
  <c r="A13" i="97"/>
  <c r="A14" i="97"/>
  <c r="A15" i="97"/>
  <c r="A16" i="97"/>
  <c r="A17" i="97"/>
  <c r="A18" i="97"/>
  <c r="B18" i="97"/>
  <c r="C18" i="97"/>
  <c r="D18" i="97"/>
  <c r="E18" i="97"/>
  <c r="F18" i="97"/>
  <c r="G18" i="97"/>
  <c r="A19" i="97"/>
  <c r="A20" i="97"/>
  <c r="A21" i="97"/>
  <c r="A6" i="97"/>
  <c r="O23" i="15"/>
  <c r="O24" i="15"/>
  <c r="O25" i="15"/>
  <c r="O29" i="15"/>
  <c r="O30" i="15"/>
  <c r="O31" i="15"/>
  <c r="P22" i="15"/>
  <c r="P23" i="15"/>
  <c r="P26" i="15"/>
  <c r="P27" i="15"/>
  <c r="P30" i="15"/>
  <c r="P31" i="15"/>
  <c r="Q23" i="15"/>
  <c r="Q24" i="15"/>
  <c r="Q25" i="15"/>
  <c r="Q29" i="15"/>
  <c r="Q30" i="15"/>
  <c r="Q31" i="15"/>
  <c r="R22" i="15"/>
  <c r="R23" i="15"/>
  <c r="R26" i="15"/>
  <c r="R27" i="15"/>
  <c r="R30" i="15"/>
  <c r="R30" i="18" s="1"/>
  <c r="R31" i="15"/>
  <c r="S23" i="15"/>
  <c r="S24" i="15"/>
  <c r="S25" i="15"/>
  <c r="F25" i="18"/>
  <c r="S25" i="18" s="1"/>
  <c r="S29" i="15"/>
  <c r="S30" i="15"/>
  <c r="T22" i="15"/>
  <c r="T23" i="15"/>
  <c r="T26" i="15"/>
  <c r="T27" i="15"/>
  <c r="T30" i="15"/>
  <c r="U23" i="15"/>
  <c r="U24" i="15"/>
  <c r="U25" i="15"/>
  <c r="U29" i="15"/>
  <c r="U30" i="15"/>
  <c r="U31" i="15"/>
  <c r="V23" i="15"/>
  <c r="V27" i="15"/>
  <c r="V28" i="15"/>
  <c r="V29" i="15"/>
  <c r="V30" i="15"/>
  <c r="V31" i="15"/>
  <c r="W22" i="15"/>
  <c r="W23" i="15"/>
  <c r="W24" i="15"/>
  <c r="W25" i="15"/>
  <c r="W29" i="15"/>
  <c r="W30" i="15"/>
  <c r="W30" i="18" s="1"/>
  <c r="W31" i="15"/>
  <c r="X23" i="15"/>
  <c r="X27" i="15"/>
  <c r="X28" i="15"/>
  <c r="X29" i="15"/>
  <c r="X31" i="15"/>
  <c r="Z32" i="97"/>
  <c r="AB32" i="97"/>
  <c r="AD32" i="97"/>
  <c r="AF32" i="97"/>
  <c r="K17" i="33"/>
  <c r="J18" i="33"/>
  <c r="I19" i="33"/>
  <c r="H20" i="33"/>
  <c r="C17" i="33"/>
  <c r="O3" i="33" s="1"/>
  <c r="B30" i="33" s="1"/>
  <c r="D17" i="33"/>
  <c r="E17" i="33"/>
  <c r="F17" i="33"/>
  <c r="G17" i="33"/>
  <c r="H17" i="33"/>
  <c r="I17" i="33"/>
  <c r="J17" i="33"/>
  <c r="C18" i="33"/>
  <c r="D18" i="33"/>
  <c r="E18" i="33"/>
  <c r="F18" i="33"/>
  <c r="G18" i="33"/>
  <c r="H18" i="33"/>
  <c r="I18" i="33"/>
  <c r="K18" i="33"/>
  <c r="C19" i="33"/>
  <c r="D19" i="33"/>
  <c r="E19" i="33"/>
  <c r="F19" i="33"/>
  <c r="G19" i="33"/>
  <c r="H19" i="33"/>
  <c r="J19" i="33"/>
  <c r="K19" i="33"/>
  <c r="C20" i="33"/>
  <c r="D20" i="33"/>
  <c r="E20" i="33"/>
  <c r="F20" i="33"/>
  <c r="G20" i="33"/>
  <c r="I20" i="33"/>
  <c r="J20" i="33"/>
  <c r="K20" i="33"/>
  <c r="C21" i="33"/>
  <c r="D21" i="33"/>
  <c r="E21" i="33"/>
  <c r="F21" i="33"/>
  <c r="G21" i="33"/>
  <c r="H21" i="33"/>
  <c r="I21" i="33"/>
  <c r="J21" i="33"/>
  <c r="K21" i="33"/>
  <c r="C22" i="33"/>
  <c r="D22" i="33"/>
  <c r="E22" i="33"/>
  <c r="F22" i="33"/>
  <c r="G22" i="33"/>
  <c r="H22" i="33"/>
  <c r="I22" i="33"/>
  <c r="J22" i="33"/>
  <c r="K22" i="33"/>
  <c r="C23" i="33"/>
  <c r="D23" i="33"/>
  <c r="E23" i="33"/>
  <c r="F23" i="33"/>
  <c r="G23" i="33"/>
  <c r="H23" i="33"/>
  <c r="I23" i="33"/>
  <c r="J23" i="33"/>
  <c r="K23" i="33"/>
  <c r="C24" i="33"/>
  <c r="D24" i="33"/>
  <c r="E24" i="33"/>
  <c r="F24" i="33"/>
  <c r="G24" i="33"/>
  <c r="H24" i="33"/>
  <c r="I24" i="33"/>
  <c r="J24" i="33"/>
  <c r="K24" i="33"/>
  <c r="C25" i="33"/>
  <c r="D25" i="33"/>
  <c r="E25" i="33"/>
  <c r="F25" i="33"/>
  <c r="G25" i="33"/>
  <c r="H25" i="33"/>
  <c r="I25" i="33"/>
  <c r="J25" i="33"/>
  <c r="K25" i="33"/>
  <c r="O19" i="33" s="1"/>
  <c r="C4" i="33"/>
  <c r="D4" i="33"/>
  <c r="E4" i="33"/>
  <c r="F4" i="33"/>
  <c r="G4" i="33"/>
  <c r="H4" i="33"/>
  <c r="I4" i="33"/>
  <c r="J4" i="33"/>
  <c r="K4" i="33"/>
  <c r="C5" i="33"/>
  <c r="D5" i="33"/>
  <c r="E5" i="33"/>
  <c r="F5" i="33"/>
  <c r="G5" i="33"/>
  <c r="H5" i="33"/>
  <c r="I5" i="33"/>
  <c r="J5" i="33"/>
  <c r="K5" i="33"/>
  <c r="C6" i="33"/>
  <c r="D6" i="33"/>
  <c r="E6" i="33"/>
  <c r="F6" i="33"/>
  <c r="G6" i="33"/>
  <c r="H6" i="33"/>
  <c r="I6" i="33"/>
  <c r="J6" i="33"/>
  <c r="K6" i="33"/>
  <c r="C7" i="33"/>
  <c r="D7" i="33"/>
  <c r="E7" i="33"/>
  <c r="F7" i="33"/>
  <c r="G7" i="33"/>
  <c r="H7" i="33"/>
  <c r="I7" i="33"/>
  <c r="J7" i="33"/>
  <c r="K7" i="33"/>
  <c r="C8" i="33"/>
  <c r="D8" i="33"/>
  <c r="E8" i="33"/>
  <c r="F8" i="33"/>
  <c r="G8" i="33"/>
  <c r="H8" i="33"/>
  <c r="I8" i="33"/>
  <c r="J8" i="33"/>
  <c r="K8" i="33"/>
  <c r="C9" i="33"/>
  <c r="D9" i="33"/>
  <c r="E9" i="33"/>
  <c r="F9" i="33"/>
  <c r="G9" i="33"/>
  <c r="H9" i="33"/>
  <c r="I9" i="33"/>
  <c r="J9" i="33"/>
  <c r="K9" i="33"/>
  <c r="C10" i="33"/>
  <c r="D10" i="33"/>
  <c r="E10" i="33"/>
  <c r="F10" i="33"/>
  <c r="G10" i="33"/>
  <c r="H10" i="33"/>
  <c r="I10" i="33"/>
  <c r="J10" i="33"/>
  <c r="K10" i="33"/>
  <c r="C11" i="33"/>
  <c r="D11" i="33"/>
  <c r="E11" i="33"/>
  <c r="F11" i="33"/>
  <c r="G11" i="33"/>
  <c r="H11" i="33"/>
  <c r="I11" i="33"/>
  <c r="J11" i="33"/>
  <c r="K11" i="33"/>
  <c r="C12" i="33"/>
  <c r="D12" i="33"/>
  <c r="E12" i="33"/>
  <c r="F12" i="33"/>
  <c r="G12" i="33"/>
  <c r="H12" i="33"/>
  <c r="I12" i="33"/>
  <c r="J12" i="33"/>
  <c r="K12" i="33"/>
  <c r="Y43" i="33"/>
  <c r="Z43" i="33"/>
  <c r="AA43" i="33"/>
  <c r="AB43" i="33"/>
  <c r="L21" i="33"/>
  <c r="G26" i="33"/>
  <c r="L4" i="33"/>
  <c r="L5" i="33"/>
  <c r="L6" i="33"/>
  <c r="L7" i="33"/>
  <c r="L8" i="33"/>
  <c r="L9" i="33"/>
  <c r="L10" i="33"/>
  <c r="L11" i="33"/>
  <c r="L12" i="33"/>
  <c r="L13" i="33"/>
  <c r="L17" i="33"/>
  <c r="L18" i="33"/>
  <c r="L19" i="33"/>
  <c r="L20" i="33"/>
  <c r="L22" i="33"/>
  <c r="L23" i="33"/>
  <c r="L24" i="33"/>
  <c r="L25" i="33"/>
  <c r="L26" i="33"/>
  <c r="R3" i="33" s="1"/>
  <c r="B46" i="33" s="1"/>
  <c r="C46" i="33" s="1"/>
  <c r="C53" i="33" s="1"/>
  <c r="K57" i="33" s="1"/>
  <c r="C13" i="33"/>
  <c r="D13" i="33"/>
  <c r="E13" i="33"/>
  <c r="F13" i="33"/>
  <c r="G13" i="33"/>
  <c r="H13" i="33"/>
  <c r="I13" i="33"/>
  <c r="J13" i="33"/>
  <c r="K13" i="33"/>
  <c r="C26" i="33"/>
  <c r="D26" i="33"/>
  <c r="E26" i="33"/>
  <c r="F26" i="33"/>
  <c r="H26" i="33"/>
  <c r="I26" i="33"/>
  <c r="J26" i="33"/>
  <c r="K26" i="33"/>
  <c r="S53" i="33"/>
  <c r="T53" i="33"/>
  <c r="U53" i="33"/>
  <c r="X73" i="33"/>
  <c r="Y73" i="33"/>
  <c r="Z73" i="33"/>
  <c r="AA73" i="33"/>
  <c r="AB73" i="33"/>
  <c r="R82" i="33"/>
  <c r="S82" i="33"/>
  <c r="T82" i="33"/>
  <c r="W102" i="33"/>
  <c r="X102" i="33"/>
  <c r="Y102" i="33"/>
  <c r="Z102" i="33"/>
  <c r="AA102" i="33"/>
  <c r="AB102" i="33"/>
  <c r="B2" i="34"/>
  <c r="C2" i="34" s="1"/>
  <c r="Q110" i="33"/>
  <c r="R110" i="33"/>
  <c r="S110" i="33"/>
  <c r="R114" i="33"/>
  <c r="C114" i="33"/>
  <c r="D114" i="33"/>
  <c r="E114" i="33"/>
  <c r="F114" i="33"/>
  <c r="G114" i="33"/>
  <c r="H114" i="33"/>
  <c r="I114" i="33"/>
  <c r="J114" i="33"/>
  <c r="C86" i="33"/>
  <c r="D86" i="33"/>
  <c r="E86" i="33"/>
  <c r="F86" i="33"/>
  <c r="G86" i="33"/>
  <c r="H86" i="33"/>
  <c r="I86" i="33"/>
  <c r="J86" i="33"/>
  <c r="S86" i="33"/>
  <c r="C57" i="33"/>
  <c r="D57" i="33"/>
  <c r="E57" i="33"/>
  <c r="F57" i="33"/>
  <c r="G57" i="33"/>
  <c r="H57" i="33"/>
  <c r="I57" i="33"/>
  <c r="J57" i="33"/>
  <c r="T110" i="33"/>
  <c r="W20" i="12"/>
  <c r="Q20" i="12" s="1"/>
  <c r="Q30" i="12" s="1"/>
  <c r="H30" i="12"/>
  <c r="R24" i="12"/>
  <c r="R25" i="12"/>
  <c r="R26" i="12"/>
  <c r="R27" i="12"/>
  <c r="R28" i="12"/>
  <c r="R29" i="12"/>
  <c r="R30" i="12"/>
  <c r="S24" i="12"/>
  <c r="S25" i="12"/>
  <c r="S26" i="12"/>
  <c r="S27" i="12"/>
  <c r="S28" i="12"/>
  <c r="S29" i="12"/>
  <c r="S30" i="12"/>
  <c r="T24" i="12"/>
  <c r="T31" i="12" s="1"/>
  <c r="T25" i="12"/>
  <c r="T26" i="12"/>
  <c r="T27" i="12"/>
  <c r="T28" i="12"/>
  <c r="T29" i="12"/>
  <c r="T30" i="12"/>
  <c r="U24" i="12"/>
  <c r="U25" i="12"/>
  <c r="U31" i="12" s="1"/>
  <c r="U26" i="12"/>
  <c r="U27" i="12"/>
  <c r="U28" i="12"/>
  <c r="U29" i="12"/>
  <c r="U30" i="12"/>
  <c r="V24" i="12"/>
  <c r="V25" i="12"/>
  <c r="V26" i="12"/>
  <c r="V31" i="12" s="1"/>
  <c r="V27" i="12"/>
  <c r="V28" i="12"/>
  <c r="V29" i="12"/>
  <c r="V30" i="12"/>
  <c r="W25" i="12"/>
  <c r="W26" i="12"/>
  <c r="W27" i="12"/>
  <c r="W28" i="12"/>
  <c r="W29" i="12"/>
  <c r="I31" i="12"/>
  <c r="J31" i="12"/>
  <c r="K31" i="12"/>
  <c r="L31" i="12"/>
  <c r="C5" i="32"/>
  <c r="B22" i="20"/>
  <c r="B23" i="20"/>
  <c r="B24" i="20"/>
  <c r="O24" i="20" s="1"/>
  <c r="B25" i="20"/>
  <c r="B26" i="20"/>
  <c r="O26" i="20" s="1"/>
  <c r="B27" i="20"/>
  <c r="B28" i="20"/>
  <c r="O28" i="20" s="1"/>
  <c r="B29" i="20"/>
  <c r="O29" i="20" s="1"/>
  <c r="B30" i="20"/>
  <c r="B31" i="20"/>
  <c r="O31" i="20" s="1"/>
  <c r="C22" i="20"/>
  <c r="P22" i="20" s="1"/>
  <c r="D22" i="20"/>
  <c r="Q22" i="20" s="1"/>
  <c r="E22" i="20"/>
  <c r="R22" i="20" s="1"/>
  <c r="F22" i="20"/>
  <c r="S22" i="20" s="1"/>
  <c r="G22" i="20"/>
  <c r="T22" i="20" s="1"/>
  <c r="H22" i="20"/>
  <c r="U22" i="20" s="1"/>
  <c r="I22" i="20"/>
  <c r="J22" i="20"/>
  <c r="W22" i="20" s="1"/>
  <c r="K22" i="20"/>
  <c r="X22" i="20" s="1"/>
  <c r="C23" i="20"/>
  <c r="P23" i="20" s="1"/>
  <c r="D23" i="20"/>
  <c r="Q23" i="20" s="1"/>
  <c r="E23" i="20"/>
  <c r="R23" i="20" s="1"/>
  <c r="F23" i="20"/>
  <c r="G23" i="20"/>
  <c r="T23" i="20" s="1"/>
  <c r="H23" i="20"/>
  <c r="U23" i="20" s="1"/>
  <c r="I23" i="20"/>
  <c r="V23" i="20" s="1"/>
  <c r="J23" i="20"/>
  <c r="W23" i="20" s="1"/>
  <c r="K23" i="20"/>
  <c r="X23" i="20" s="1"/>
  <c r="C24" i="20"/>
  <c r="P24" i="20" s="1"/>
  <c r="D24" i="20"/>
  <c r="Q24" i="20" s="1"/>
  <c r="E24" i="20"/>
  <c r="F24" i="20"/>
  <c r="S24" i="20" s="1"/>
  <c r="G24" i="20"/>
  <c r="H24" i="20"/>
  <c r="U24" i="20" s="1"/>
  <c r="I24" i="20"/>
  <c r="V24" i="20" s="1"/>
  <c r="J24" i="20"/>
  <c r="W24" i="20" s="1"/>
  <c r="K24" i="20"/>
  <c r="X24" i="20" s="1"/>
  <c r="C25" i="20"/>
  <c r="P25" i="20" s="1"/>
  <c r="D25" i="20"/>
  <c r="Q25" i="20" s="1"/>
  <c r="E25" i="20"/>
  <c r="R25" i="20" s="1"/>
  <c r="F25" i="20"/>
  <c r="S25" i="20" s="1"/>
  <c r="G25" i="20"/>
  <c r="T25" i="20" s="1"/>
  <c r="H25" i="20"/>
  <c r="U25" i="20" s="1"/>
  <c r="I25" i="20"/>
  <c r="V25" i="20" s="1"/>
  <c r="J25" i="20"/>
  <c r="W25" i="20" s="1"/>
  <c r="K25" i="20"/>
  <c r="X25" i="20" s="1"/>
  <c r="C26" i="20"/>
  <c r="P26" i="20" s="1"/>
  <c r="D26" i="20"/>
  <c r="Q26" i="20" s="1"/>
  <c r="E26" i="20"/>
  <c r="R26" i="20" s="1"/>
  <c r="F26" i="20"/>
  <c r="S26" i="20" s="1"/>
  <c r="G26" i="20"/>
  <c r="T26" i="20" s="1"/>
  <c r="H26" i="20"/>
  <c r="U26" i="20" s="1"/>
  <c r="I26" i="20"/>
  <c r="V26" i="20" s="1"/>
  <c r="J26" i="20"/>
  <c r="W26" i="20" s="1"/>
  <c r="K26" i="20"/>
  <c r="C27" i="20"/>
  <c r="P27" i="20" s="1"/>
  <c r="D27" i="20"/>
  <c r="Q27" i="20" s="1"/>
  <c r="E27" i="20"/>
  <c r="R27" i="20" s="1"/>
  <c r="F27" i="20"/>
  <c r="S27" i="20" s="1"/>
  <c r="G27" i="20"/>
  <c r="T27" i="20" s="1"/>
  <c r="H27" i="20"/>
  <c r="U27" i="20" s="1"/>
  <c r="I27" i="20"/>
  <c r="V27" i="20" s="1"/>
  <c r="J27" i="20"/>
  <c r="W27" i="20" s="1"/>
  <c r="K27" i="20"/>
  <c r="X27" i="20" s="1"/>
  <c r="C28" i="20"/>
  <c r="P28" i="20" s="1"/>
  <c r="D28" i="20"/>
  <c r="Q28" i="20" s="1"/>
  <c r="E28" i="20"/>
  <c r="R28" i="20" s="1"/>
  <c r="F28" i="20"/>
  <c r="S28" i="20" s="1"/>
  <c r="G28" i="20"/>
  <c r="T28" i="20" s="1"/>
  <c r="H28" i="20"/>
  <c r="U28" i="20" s="1"/>
  <c r="I28" i="20"/>
  <c r="V28" i="20" s="1"/>
  <c r="J28" i="20"/>
  <c r="W28" i="20" s="1"/>
  <c r="K28" i="20"/>
  <c r="X28" i="20" s="1"/>
  <c r="C29" i="20"/>
  <c r="P29" i="20" s="1"/>
  <c r="D29" i="20"/>
  <c r="E29" i="20"/>
  <c r="R29" i="20" s="1"/>
  <c r="F29" i="20"/>
  <c r="S29" i="20" s="1"/>
  <c r="G29" i="20"/>
  <c r="T29" i="20" s="1"/>
  <c r="H29" i="20"/>
  <c r="U29" i="20" s="1"/>
  <c r="I29" i="20"/>
  <c r="V29" i="20" s="1"/>
  <c r="J29" i="20"/>
  <c r="W29" i="20" s="1"/>
  <c r="K29" i="20"/>
  <c r="X29" i="20" s="1"/>
  <c r="C30" i="20"/>
  <c r="P30" i="20" s="1"/>
  <c r="D30" i="20"/>
  <c r="Q30" i="20" s="1"/>
  <c r="E30" i="20"/>
  <c r="R30" i="20" s="1"/>
  <c r="F30" i="20"/>
  <c r="S30" i="20" s="1"/>
  <c r="G30" i="20"/>
  <c r="T30" i="20" s="1"/>
  <c r="H30" i="20"/>
  <c r="U30" i="20" s="1"/>
  <c r="I30" i="20"/>
  <c r="V30" i="20" s="1"/>
  <c r="J30" i="20"/>
  <c r="W30" i="20" s="1"/>
  <c r="K30" i="20"/>
  <c r="X30" i="20" s="1"/>
  <c r="C31" i="20"/>
  <c r="P31" i="20" s="1"/>
  <c r="D31" i="20"/>
  <c r="Q31" i="20" s="1"/>
  <c r="E31" i="20"/>
  <c r="R31" i="20" s="1"/>
  <c r="F31" i="20"/>
  <c r="S31" i="20" s="1"/>
  <c r="G31" i="20"/>
  <c r="T31" i="20" s="1"/>
  <c r="H31" i="20"/>
  <c r="U31" i="20" s="1"/>
  <c r="I31" i="20"/>
  <c r="V31" i="20" s="1"/>
  <c r="J31" i="20"/>
  <c r="W31" i="20" s="1"/>
  <c r="K31" i="20"/>
  <c r="X31" i="20" s="1"/>
  <c r="B22" i="18"/>
  <c r="O22" i="15"/>
  <c r="C22" i="18"/>
  <c r="D22" i="18"/>
  <c r="Q22" i="15"/>
  <c r="Q22" i="18" s="1"/>
  <c r="E22" i="18"/>
  <c r="R22" i="18" s="1"/>
  <c r="F22" i="18"/>
  <c r="S22" i="15"/>
  <c r="S22" i="18" s="1"/>
  <c r="G22" i="18"/>
  <c r="H22" i="18"/>
  <c r="U22" i="15"/>
  <c r="I22" i="18"/>
  <c r="V22" i="15"/>
  <c r="V22" i="18" s="1"/>
  <c r="J22" i="18"/>
  <c r="W22" i="18" s="1"/>
  <c r="K22" i="18"/>
  <c r="X22" i="15"/>
  <c r="X22" i="18" s="1"/>
  <c r="B23" i="18"/>
  <c r="C23" i="18"/>
  <c r="D23" i="18"/>
  <c r="Q23" i="18" s="1"/>
  <c r="E23" i="18"/>
  <c r="F23" i="18"/>
  <c r="S23" i="18" s="1"/>
  <c r="G23" i="18"/>
  <c r="T23" i="18" s="1"/>
  <c r="H23" i="18"/>
  <c r="I23" i="18"/>
  <c r="J23" i="18"/>
  <c r="K23" i="18"/>
  <c r="B24" i="18"/>
  <c r="O24" i="18" s="1"/>
  <c r="C24" i="18"/>
  <c r="P24" i="15"/>
  <c r="P24" i="18" s="1"/>
  <c r="D24" i="18"/>
  <c r="E24" i="18"/>
  <c r="R24" i="15"/>
  <c r="F24" i="18"/>
  <c r="S24" i="18" s="1"/>
  <c r="G24" i="18"/>
  <c r="T24" i="15"/>
  <c r="H24" i="18"/>
  <c r="I24" i="18"/>
  <c r="V24" i="18" s="1"/>
  <c r="V24" i="15"/>
  <c r="J24" i="18"/>
  <c r="K24" i="18"/>
  <c r="X24" i="15"/>
  <c r="B25" i="18"/>
  <c r="C25" i="18"/>
  <c r="P25" i="15"/>
  <c r="D25" i="18"/>
  <c r="E25" i="18"/>
  <c r="R25" i="18" s="1"/>
  <c r="R25" i="15"/>
  <c r="G25" i="18"/>
  <c r="T25" i="18" s="1"/>
  <c r="T25" i="15"/>
  <c r="H25" i="18"/>
  <c r="I25" i="18"/>
  <c r="V25" i="18" s="1"/>
  <c r="V25" i="15"/>
  <c r="J25" i="18"/>
  <c r="W25" i="18" s="1"/>
  <c r="K25" i="18"/>
  <c r="X25" i="18" s="1"/>
  <c r="X25" i="15"/>
  <c r="B26" i="18"/>
  <c r="O26" i="18" s="1"/>
  <c r="O26" i="15"/>
  <c r="C26" i="18"/>
  <c r="D26" i="18"/>
  <c r="Q26" i="18" s="1"/>
  <c r="Q26" i="15"/>
  <c r="E26" i="18"/>
  <c r="R26" i="18" s="1"/>
  <c r="F26" i="18"/>
  <c r="S26" i="15"/>
  <c r="G26" i="18"/>
  <c r="T26" i="18" s="1"/>
  <c r="H26" i="18"/>
  <c r="U26" i="18" s="1"/>
  <c r="U26" i="15"/>
  <c r="I26" i="18"/>
  <c r="V26" i="18" s="1"/>
  <c r="V26" i="15"/>
  <c r="J26" i="18"/>
  <c r="W26" i="18" s="1"/>
  <c r="W26" i="15"/>
  <c r="K26" i="18"/>
  <c r="X26" i="15"/>
  <c r="B27" i="18"/>
  <c r="O27" i="15"/>
  <c r="C27" i="18"/>
  <c r="D27" i="18"/>
  <c r="Q27" i="15"/>
  <c r="Q27" i="18" s="1"/>
  <c r="E27" i="18"/>
  <c r="R27" i="18" s="1"/>
  <c r="F27" i="18"/>
  <c r="S27" i="15"/>
  <c r="S27" i="18" s="1"/>
  <c r="G27" i="18"/>
  <c r="T27" i="18" s="1"/>
  <c r="H27" i="18"/>
  <c r="U27" i="15"/>
  <c r="I27" i="18"/>
  <c r="J27" i="18"/>
  <c r="W27" i="18" s="1"/>
  <c r="W27" i="15"/>
  <c r="K27" i="18"/>
  <c r="B28" i="18"/>
  <c r="O28" i="18" s="1"/>
  <c r="O28" i="15"/>
  <c r="C28" i="18"/>
  <c r="P28" i="15"/>
  <c r="P28" i="18" s="1"/>
  <c r="D28" i="18"/>
  <c r="Q28" i="15"/>
  <c r="Q28" i="18" s="1"/>
  <c r="E28" i="18"/>
  <c r="R28" i="18" s="1"/>
  <c r="R28" i="15"/>
  <c r="F28" i="18"/>
  <c r="S28" i="15"/>
  <c r="G28" i="18"/>
  <c r="T28" i="15"/>
  <c r="H28" i="18"/>
  <c r="U28" i="15"/>
  <c r="U28" i="18" s="1"/>
  <c r="I28" i="18"/>
  <c r="J28" i="18"/>
  <c r="W28" i="15"/>
  <c r="W28" i="18" s="1"/>
  <c r="K28" i="18"/>
  <c r="B29" i="18"/>
  <c r="C29" i="18"/>
  <c r="P29" i="15"/>
  <c r="D29" i="18"/>
  <c r="Q29" i="18" s="1"/>
  <c r="E29" i="18"/>
  <c r="R29" i="18" s="1"/>
  <c r="R29" i="15"/>
  <c r="F29" i="18"/>
  <c r="G29" i="18"/>
  <c r="T29" i="18" s="1"/>
  <c r="T29" i="15"/>
  <c r="H29" i="18"/>
  <c r="U29" i="18" s="1"/>
  <c r="I29" i="18"/>
  <c r="J29" i="18"/>
  <c r="W29" i="18" s="1"/>
  <c r="K29" i="18"/>
  <c r="X29" i="18" s="1"/>
  <c r="B30" i="18"/>
  <c r="C30" i="18"/>
  <c r="P30" i="18" s="1"/>
  <c r="D30" i="18"/>
  <c r="Q30" i="18" s="1"/>
  <c r="E30" i="18"/>
  <c r="F30" i="18"/>
  <c r="S30" i="18" s="1"/>
  <c r="G30" i="18"/>
  <c r="H30" i="18"/>
  <c r="U30" i="18" s="1"/>
  <c r="I30" i="18"/>
  <c r="V30" i="18" s="1"/>
  <c r="J30" i="18"/>
  <c r="K30" i="18"/>
  <c r="X30" i="15"/>
  <c r="B31" i="18"/>
  <c r="C31" i="18"/>
  <c r="P31" i="18" s="1"/>
  <c r="D31" i="18"/>
  <c r="E31" i="18"/>
  <c r="R31" i="18" s="1"/>
  <c r="F31" i="18"/>
  <c r="G31" i="18"/>
  <c r="T31" i="15"/>
  <c r="T31" i="18" s="1"/>
  <c r="H31" i="18"/>
  <c r="I31" i="18"/>
  <c r="J31" i="18"/>
  <c r="W31" i="18" s="1"/>
  <c r="K31" i="18"/>
  <c r="F43" i="12"/>
  <c r="F42" i="12"/>
  <c r="F41" i="12"/>
  <c r="F40" i="12"/>
  <c r="F39" i="12"/>
  <c r="F38" i="12"/>
  <c r="F37" i="12"/>
  <c r="F36" i="12"/>
  <c r="F35" i="12"/>
  <c r="F34" i="12"/>
  <c r="R21" i="12"/>
  <c r="S21" i="12"/>
  <c r="T21" i="12"/>
  <c r="U21" i="12"/>
  <c r="V21" i="12"/>
  <c r="X21" i="12"/>
  <c r="Y21" i="12"/>
  <c r="Z21" i="12"/>
  <c r="AA21" i="12"/>
  <c r="AB21" i="12"/>
  <c r="AC21" i="12"/>
  <c r="AD21" i="12"/>
  <c r="AE21" i="12"/>
  <c r="AF21" i="12"/>
  <c r="O25" i="18"/>
  <c r="P29" i="18"/>
  <c r="R24" i="18"/>
  <c r="W21" i="12"/>
  <c r="O27" i="18"/>
  <c r="V22" i="20"/>
  <c r="R24" i="20"/>
  <c r="Q29" i="20"/>
  <c r="X27" i="18"/>
  <c r="X26" i="18"/>
  <c r="X26" i="20"/>
  <c r="P23" i="18"/>
  <c r="D2" i="34"/>
  <c r="W23" i="18"/>
  <c r="S23" i="20"/>
  <c r="P27" i="18"/>
  <c r="X31" i="18"/>
  <c r="V31" i="18"/>
  <c r="U27" i="18"/>
  <c r="P25" i="18"/>
  <c r="X24" i="18"/>
  <c r="S31" i="15"/>
  <c r="S31" i="18"/>
  <c r="V29" i="18"/>
  <c r="X23" i="18"/>
  <c r="V23" i="18"/>
  <c r="R23" i="18"/>
  <c r="V28" i="18"/>
  <c r="T28" i="18"/>
  <c r="U25" i="18"/>
  <c r="U31" i="18"/>
  <c r="X30" i="18"/>
  <c r="O30" i="18"/>
  <c r="O30" i="20" s="1"/>
  <c r="S28" i="18"/>
  <c r="V27" i="18"/>
  <c r="P26" i="18"/>
  <c r="Q25" i="18"/>
  <c r="T24" i="18"/>
  <c r="T24" i="20"/>
  <c r="U23" i="18"/>
  <c r="O22" i="18"/>
  <c r="O22" i="20" s="1"/>
  <c r="Q31" i="18"/>
  <c r="O31" i="18"/>
  <c r="T30" i="18"/>
  <c r="S29" i="18"/>
  <c r="X28" i="18"/>
  <c r="S26" i="18"/>
  <c r="W24" i="18"/>
  <c r="U24" i="18"/>
  <c r="O23" i="18"/>
  <c r="T22" i="18"/>
  <c r="O29" i="18"/>
  <c r="Q24" i="18"/>
  <c r="U22" i="18"/>
  <c r="R31" i="12"/>
  <c r="S31" i="12"/>
  <c r="O4" i="33"/>
  <c r="B31" i="33" s="1"/>
  <c r="F31" i="33" s="1"/>
  <c r="R6" i="33" l="1"/>
  <c r="B49" i="33" s="1"/>
  <c r="O17" i="33"/>
  <c r="O15" i="33"/>
  <c r="B42" i="33" s="1"/>
  <c r="O42" i="33" s="1"/>
  <c r="W30" i="12"/>
  <c r="R11" i="33"/>
  <c r="R10" i="33"/>
  <c r="O13" i="33"/>
  <c r="B40" i="33" s="1"/>
  <c r="S40" i="33" s="1"/>
  <c r="K30" i="33"/>
  <c r="I30" i="33"/>
  <c r="C30" i="33"/>
  <c r="C43" i="33" s="1"/>
  <c r="C56" i="33" s="1"/>
  <c r="B61" i="33" s="1"/>
  <c r="C61" i="33" s="1"/>
  <c r="C73" i="33" s="1"/>
  <c r="C85" i="33" s="1"/>
  <c r="B91" i="33" s="1"/>
  <c r="R4" i="33"/>
  <c r="B47" i="33" s="1"/>
  <c r="L47" i="33" s="1"/>
  <c r="I27" i="26"/>
  <c r="I26" i="29" s="1"/>
  <c r="O14" i="33"/>
  <c r="B41" i="33" s="1"/>
  <c r="P41" i="33" s="1"/>
  <c r="R8" i="33"/>
  <c r="B51" i="33" s="1"/>
  <c r="J51" i="33" s="1"/>
  <c r="W24" i="12"/>
  <c r="W31" i="12" s="1"/>
  <c r="O5" i="33"/>
  <c r="B32" i="33" s="1"/>
  <c r="G32" i="33" s="1"/>
  <c r="F27" i="26"/>
  <c r="F26" i="29" s="1"/>
  <c r="D27" i="26"/>
  <c r="D26" i="29" s="1"/>
  <c r="M38" i="24"/>
  <c r="O10" i="33"/>
  <c r="B37" i="33" s="1"/>
  <c r="R37" i="33" s="1"/>
  <c r="C71" i="24"/>
  <c r="E71" i="24" s="1"/>
  <c r="D31" i="33"/>
  <c r="K27" i="26"/>
  <c r="K26" i="29" s="1"/>
  <c r="L46" i="33"/>
  <c r="M31" i="33"/>
  <c r="R12" i="33"/>
  <c r="O9" i="33"/>
  <c r="B36" i="33" s="1"/>
  <c r="L36" i="33" s="1"/>
  <c r="O11" i="33"/>
  <c r="B38" i="33" s="1"/>
  <c r="P38" i="33" s="1"/>
  <c r="G27" i="26"/>
  <c r="G26" i="29" s="1"/>
  <c r="E27" i="26"/>
  <c r="E26" i="29" s="1"/>
  <c r="C27" i="26"/>
  <c r="C26" i="29" s="1"/>
  <c r="M27" i="24"/>
  <c r="Q25" i="12"/>
  <c r="F46" i="33"/>
  <c r="F44" i="12"/>
  <c r="C85" i="24"/>
  <c r="E85" i="24" s="1"/>
  <c r="C84" i="24"/>
  <c r="E84" i="24" s="1"/>
  <c r="Q26" i="12"/>
  <c r="Q36" i="33"/>
  <c r="M32" i="33"/>
  <c r="I51" i="33"/>
  <c r="N41" i="33"/>
  <c r="T41" i="33"/>
  <c r="U41" i="33"/>
  <c r="O41" i="33"/>
  <c r="R41" i="33"/>
  <c r="W41" i="33"/>
  <c r="L30" i="33"/>
  <c r="J30" i="33"/>
  <c r="D30" i="33"/>
  <c r="K46" i="33"/>
  <c r="I46" i="33"/>
  <c r="H31" i="33"/>
  <c r="K31" i="33"/>
  <c r="N45" i="12"/>
  <c r="O45" i="12" s="1"/>
  <c r="Q21" i="12"/>
  <c r="C2" i="28"/>
  <c r="C3" i="28" s="1"/>
  <c r="H41" i="26" s="1"/>
  <c r="H30" i="33"/>
  <c r="G46" i="33"/>
  <c r="D46" i="33"/>
  <c r="L31" i="33"/>
  <c r="J31" i="33"/>
  <c r="I31" i="33"/>
  <c r="E46" i="33"/>
  <c r="G31" i="33"/>
  <c r="E31" i="33"/>
  <c r="H31" i="12"/>
  <c r="J27" i="26"/>
  <c r="J26" i="29" s="1"/>
  <c r="H27" i="26"/>
  <c r="H26" i="29" s="1"/>
  <c r="O25" i="20"/>
  <c r="O27" i="20"/>
  <c r="B76" i="33"/>
  <c r="I47" i="33"/>
  <c r="G47" i="33"/>
  <c r="M47" i="33"/>
  <c r="J47" i="33"/>
  <c r="F47" i="33"/>
  <c r="L51" i="33"/>
  <c r="E30" i="33"/>
  <c r="G30" i="33"/>
  <c r="F30" i="33"/>
  <c r="F49" i="33"/>
  <c r="N49" i="33"/>
  <c r="M49" i="33"/>
  <c r="O49" i="33"/>
  <c r="I49" i="33"/>
  <c r="K49" i="33"/>
  <c r="K51" i="33"/>
  <c r="H49" i="33"/>
  <c r="Q51" i="33"/>
  <c r="J49" i="33"/>
  <c r="G49" i="33"/>
  <c r="L49" i="33"/>
  <c r="J46" i="33"/>
  <c r="H46" i="33"/>
  <c r="K32" i="33"/>
  <c r="E32" i="33"/>
  <c r="O23" i="20"/>
  <c r="D51" i="94"/>
  <c r="C52" i="94"/>
  <c r="D52" i="94" s="1"/>
  <c r="B53" i="94"/>
  <c r="C36" i="91"/>
  <c r="B37" i="91"/>
  <c r="C34" i="90"/>
  <c r="B35" i="90"/>
  <c r="C35" i="87"/>
  <c r="B36" i="87"/>
  <c r="B22" i="88"/>
  <c r="C22" i="88" s="1"/>
  <c r="B23" i="88" s="1"/>
  <c r="C23" i="88" s="1"/>
  <c r="B24" i="88" s="1"/>
  <c r="C24" i="88" s="1"/>
  <c r="B25" i="88" s="1"/>
  <c r="C25" i="88" s="1"/>
  <c r="B26" i="88" s="1"/>
  <c r="C26" i="88" s="1"/>
  <c r="B27" i="88" s="1"/>
  <c r="C27" i="88" s="1"/>
  <c r="B28" i="88" s="1"/>
  <c r="C28" i="88" s="1"/>
  <c r="B29" i="88" s="1"/>
  <c r="C29" i="88" s="1"/>
  <c r="B30" i="88" s="1"/>
  <c r="C30" i="88" s="1"/>
  <c r="D21" i="88"/>
  <c r="D27" i="88"/>
  <c r="D25" i="88"/>
  <c r="P20" i="12"/>
  <c r="P22" i="18"/>
  <c r="B26" i="112"/>
  <c r="C26" i="112" s="1"/>
  <c r="D25" i="112"/>
  <c r="D52" i="90"/>
  <c r="B24" i="100"/>
  <c r="C24" i="100" s="1"/>
  <c r="D23" i="100"/>
  <c r="D36" i="91"/>
  <c r="D35" i="91"/>
  <c r="D35" i="96"/>
  <c r="D34" i="96"/>
  <c r="B23" i="106"/>
  <c r="C23" i="106" s="1"/>
  <c r="B24" i="106" s="1"/>
  <c r="C24" i="106" s="1"/>
  <c r="B25" i="106" s="1"/>
  <c r="C25" i="106" s="1"/>
  <c r="B26" i="106" s="1"/>
  <c r="C26" i="106" s="1"/>
  <c r="B27" i="106" s="1"/>
  <c r="C27" i="106" s="1"/>
  <c r="B28" i="106" s="1"/>
  <c r="C28" i="106" s="1"/>
  <c r="B29" i="106" s="1"/>
  <c r="C29" i="106" s="1"/>
  <c r="B30" i="106" s="1"/>
  <c r="C30" i="106" s="1"/>
  <c r="D24" i="106"/>
  <c r="D22" i="106"/>
  <c r="B22" i="94"/>
  <c r="C22" i="94" s="1"/>
  <c r="D21" i="94"/>
  <c r="S41" i="33"/>
  <c r="Q41" i="33"/>
  <c r="B36" i="89"/>
  <c r="C35" i="89"/>
  <c r="D21" i="109"/>
  <c r="D22" i="109"/>
  <c r="B22" i="109"/>
  <c r="C22" i="109" s="1"/>
  <c r="C46" i="110"/>
  <c r="B47" i="110"/>
  <c r="C47" i="110" s="1"/>
  <c r="D47" i="110" s="1"/>
  <c r="D48" i="92"/>
  <c r="R9" i="33"/>
  <c r="B52" i="33" s="1"/>
  <c r="R5" i="33"/>
  <c r="R7" i="33"/>
  <c r="B50" i="33" s="1"/>
  <c r="O7" i="33"/>
  <c r="B34" i="33" s="1"/>
  <c r="C53" i="90"/>
  <c r="D53" i="90" s="1"/>
  <c r="B54" i="90"/>
  <c r="C54" i="90" s="1"/>
  <c r="C53" i="92"/>
  <c r="B54" i="92"/>
  <c r="C54" i="92" s="1"/>
  <c r="D21" i="99"/>
  <c r="B22" i="99"/>
  <c r="C22" i="99" s="1"/>
  <c r="O18" i="33"/>
  <c r="O12" i="33"/>
  <c r="B39" i="33" s="1"/>
  <c r="O16" i="33"/>
  <c r="O8" i="33"/>
  <c r="B35" i="33" s="1"/>
  <c r="O6" i="33"/>
  <c r="C52" i="92"/>
  <c r="B37" i="99"/>
  <c r="C36" i="99"/>
  <c r="B35" i="93"/>
  <c r="C34" i="93"/>
  <c r="C36" i="106"/>
  <c r="B37" i="106"/>
  <c r="C46" i="100"/>
  <c r="B47" i="100"/>
  <c r="B35" i="102"/>
  <c r="C34" i="102"/>
  <c r="D34" i="102" s="1"/>
  <c r="C46" i="103"/>
  <c r="B47" i="103"/>
  <c r="B22" i="105"/>
  <c r="C22" i="105" s="1"/>
  <c r="B23" i="105" s="1"/>
  <c r="C23" i="105" s="1"/>
  <c r="B24" i="105" s="1"/>
  <c r="C24" i="105" s="1"/>
  <c r="B25" i="105" s="1"/>
  <c r="C25" i="105" s="1"/>
  <c r="B26" i="105" s="1"/>
  <c r="C26" i="105" s="1"/>
  <c r="B27" i="105" s="1"/>
  <c r="C27" i="105" s="1"/>
  <c r="B28" i="105" s="1"/>
  <c r="C28" i="105" s="1"/>
  <c r="B29" i="105" s="1"/>
  <c r="C29" i="105" s="1"/>
  <c r="B30" i="105" s="1"/>
  <c r="C30" i="105" s="1"/>
  <c r="D21" i="105"/>
  <c r="B47" i="106"/>
  <c r="C47" i="106" s="1"/>
  <c r="C46" i="106"/>
  <c r="B49" i="109"/>
  <c r="C48" i="109"/>
  <c r="C35" i="108"/>
  <c r="B36" i="108"/>
  <c r="B23" i="93"/>
  <c r="C23" i="93" s="1"/>
  <c r="B24" i="93" s="1"/>
  <c r="C24" i="93" s="1"/>
  <c r="B25" i="93" s="1"/>
  <c r="C25" i="93" s="1"/>
  <c r="B26" i="93" s="1"/>
  <c r="C26" i="93" s="1"/>
  <c r="B27" i="93" s="1"/>
  <c r="C27" i="93" s="1"/>
  <c r="B28" i="93" s="1"/>
  <c r="C28" i="93" s="1"/>
  <c r="B29" i="93" s="1"/>
  <c r="C29" i="93" s="1"/>
  <c r="B30" i="93" s="1"/>
  <c r="C30" i="93" s="1"/>
  <c r="B49" i="87"/>
  <c r="C48" i="87"/>
  <c r="D51" i="90"/>
  <c r="B35" i="92"/>
  <c r="C34" i="94"/>
  <c r="B35" i="94"/>
  <c r="D22" i="112"/>
  <c r="C47" i="101"/>
  <c r="C34" i="101"/>
  <c r="B35" i="101"/>
  <c r="D34" i="110"/>
  <c r="D45" i="112"/>
  <c r="C35" i="88"/>
  <c r="B36" i="88"/>
  <c r="D22" i="93"/>
  <c r="C49" i="93"/>
  <c r="B50" i="93"/>
  <c r="B37" i="112"/>
  <c r="C36" i="112"/>
  <c r="D37" i="112" s="1"/>
  <c r="B37" i="111"/>
  <c r="C36" i="111"/>
  <c r="B23" i="108"/>
  <c r="C23" i="108" s="1"/>
  <c r="D22" i="108"/>
  <c r="B22" i="111"/>
  <c r="C22" i="111" s="1"/>
  <c r="D21" i="111"/>
  <c r="B47" i="112"/>
  <c r="C46" i="112"/>
  <c r="B22" i="92"/>
  <c r="C22" i="92" s="1"/>
  <c r="D22" i="92" s="1"/>
  <c r="D21" i="92"/>
  <c r="B47" i="96"/>
  <c r="C46" i="96"/>
  <c r="C3" i="24"/>
  <c r="E3" i="24"/>
  <c r="G3" i="24"/>
  <c r="I3" i="24"/>
  <c r="K3" i="24"/>
  <c r="J3" i="24"/>
  <c r="H3" i="24"/>
  <c r="F3" i="24"/>
  <c r="D3" i="24"/>
  <c r="B3" i="24"/>
  <c r="C76" i="24"/>
  <c r="C73" i="24"/>
  <c r="C78" i="24"/>
  <c r="C80" i="24"/>
  <c r="C81" i="24"/>
  <c r="C77" i="24"/>
  <c r="C82" i="24"/>
  <c r="C83" i="24"/>
  <c r="C74" i="24"/>
  <c r="C75" i="24"/>
  <c r="C79" i="24"/>
  <c r="AE32" i="97"/>
  <c r="D29" i="93"/>
  <c r="C36" i="100"/>
  <c r="B37" i="100"/>
  <c r="C47" i="109"/>
  <c r="D34" i="103"/>
  <c r="D34" i="88"/>
  <c r="D33" i="88"/>
  <c r="D35" i="88"/>
  <c r="D48" i="93"/>
  <c r="D46" i="93"/>
  <c r="D50" i="90"/>
  <c r="B48" i="89"/>
  <c r="C47" i="89"/>
  <c r="B35" i="80"/>
  <c r="C34" i="80"/>
  <c r="D23" i="89"/>
  <c r="B23" i="89"/>
  <c r="C23" i="89" s="1"/>
  <c r="D22" i="89"/>
  <c r="B35" i="103"/>
  <c r="C34" i="103"/>
  <c r="C46" i="104"/>
  <c r="B47" i="104"/>
  <c r="B48" i="104" s="1"/>
  <c r="B23" i="110"/>
  <c r="C23" i="110" s="1"/>
  <c r="D22" i="110"/>
  <c r="B47" i="108"/>
  <c r="C46" i="108"/>
  <c r="C48" i="91"/>
  <c r="B49" i="91"/>
  <c r="D46" i="88"/>
  <c r="D47" i="88"/>
  <c r="C17" i="24"/>
  <c r="K17" i="24"/>
  <c r="H17" i="24"/>
  <c r="D24" i="100"/>
  <c r="B51" i="80"/>
  <c r="B36" i="96"/>
  <c r="D45" i="89"/>
  <c r="D46" i="89"/>
  <c r="D34" i="112"/>
  <c r="D48" i="91"/>
  <c r="D47" i="80"/>
  <c r="D46" i="80"/>
  <c r="D27" i="93"/>
  <c r="B51" i="111"/>
  <c r="C50" i="111"/>
  <c r="D35" i="89"/>
  <c r="B23" i="103"/>
  <c r="C23" i="103" s="1"/>
  <c r="D22" i="103"/>
  <c r="D48" i="111"/>
  <c r="D49" i="111"/>
  <c r="D45" i="106"/>
  <c r="D46" i="106"/>
  <c r="B36" i="109"/>
  <c r="C35" i="109"/>
  <c r="D46" i="110"/>
  <c r="B22" i="96"/>
  <c r="C22" i="96" s="1"/>
  <c r="D21" i="96"/>
  <c r="B22" i="90"/>
  <c r="C22" i="90" s="1"/>
  <c r="C48" i="88"/>
  <c r="B49" i="88"/>
  <c r="D48" i="90"/>
  <c r="D49" i="90"/>
  <c r="F16" i="24"/>
  <c r="C46" i="80"/>
  <c r="D46" i="92"/>
  <c r="D23" i="93"/>
  <c r="B47" i="99"/>
  <c r="D46" i="102"/>
  <c r="B27" i="26"/>
  <c r="C34" i="109"/>
  <c r="B22" i="91"/>
  <c r="C22" i="91" s="1"/>
  <c r="C47" i="92"/>
  <c r="D49" i="92" s="1"/>
  <c r="D47" i="91"/>
  <c r="D46" i="104"/>
  <c r="D48" i="94"/>
  <c r="D47" i="90"/>
  <c r="D47" i="87"/>
  <c r="H54" i="14"/>
  <c r="C72" i="24"/>
  <c r="I21" i="14"/>
  <c r="J21" i="14"/>
  <c r="K21" i="14"/>
  <c r="D54" i="14"/>
  <c r="E21" i="14"/>
  <c r="F21" i="14"/>
  <c r="G21" i="14"/>
  <c r="C54" i="14"/>
  <c r="P26" i="12"/>
  <c r="O16" i="12"/>
  <c r="O17" i="12"/>
  <c r="P19" i="12"/>
  <c r="Q29" i="12"/>
  <c r="P18" i="12"/>
  <c r="Q28" i="12"/>
  <c r="B21" i="14"/>
  <c r="N15" i="12"/>
  <c r="P14" i="12"/>
  <c r="Q24" i="12"/>
  <c r="P48" i="91"/>
  <c r="R47" i="91"/>
  <c r="R35" i="105"/>
  <c r="P36" i="105"/>
  <c r="P25" i="12"/>
  <c r="B22" i="80"/>
  <c r="C22" i="80" s="1"/>
  <c r="R36" i="103"/>
  <c r="R35" i="100"/>
  <c r="P36" i="100"/>
  <c r="Q36" i="100" s="1"/>
  <c r="P48" i="105"/>
  <c r="R48" i="105"/>
  <c r="R47" i="105"/>
  <c r="R47" i="112"/>
  <c r="P24" i="91"/>
  <c r="Q24" i="91" s="1"/>
  <c r="R23" i="91"/>
  <c r="R36" i="93"/>
  <c r="P48" i="92"/>
  <c r="R48" i="92"/>
  <c r="R47" i="92"/>
  <c r="R35" i="101"/>
  <c r="P48" i="106"/>
  <c r="R47" i="106"/>
  <c r="P36" i="87"/>
  <c r="R35" i="87"/>
  <c r="P48" i="101"/>
  <c r="R47" i="101"/>
  <c r="R35" i="99"/>
  <c r="R49" i="103"/>
  <c r="Q27" i="12"/>
  <c r="R48" i="88"/>
  <c r="R36" i="102"/>
  <c r="R35" i="102"/>
  <c r="P36" i="102"/>
  <c r="Q36" i="102" s="1"/>
  <c r="R35" i="90"/>
  <c r="R35" i="94"/>
  <c r="P48" i="107"/>
  <c r="Q48" i="107" s="1"/>
  <c r="R47" i="107"/>
  <c r="R47" i="90"/>
  <c r="R48" i="90"/>
  <c r="P48" i="94"/>
  <c r="R47" i="94"/>
  <c r="R35" i="108"/>
  <c r="R37" i="103"/>
  <c r="D22" i="80"/>
  <c r="P48" i="90"/>
  <c r="P48" i="96"/>
  <c r="R47" i="96"/>
  <c r="P48" i="87"/>
  <c r="R47" i="87"/>
  <c r="R47" i="93"/>
  <c r="R47" i="108"/>
  <c r="P48" i="102"/>
  <c r="Q48" i="102" s="1"/>
  <c r="R47" i="102"/>
  <c r="P36" i="107"/>
  <c r="R35" i="107"/>
  <c r="R37" i="112"/>
  <c r="R48" i="80"/>
  <c r="P36" i="92"/>
  <c r="R35" i="92"/>
  <c r="P48" i="89"/>
  <c r="Q48" i="89" s="1"/>
  <c r="R47" i="89"/>
  <c r="P48" i="104"/>
  <c r="R47" i="104"/>
  <c r="R49" i="80"/>
  <c r="Q48" i="112"/>
  <c r="P49" i="112" s="1"/>
  <c r="P37" i="112"/>
  <c r="Q37" i="112" s="1"/>
  <c r="Q48" i="111"/>
  <c r="Q36" i="111"/>
  <c r="Q48" i="109"/>
  <c r="Q48" i="108"/>
  <c r="P49" i="108" s="1"/>
  <c r="P36" i="108"/>
  <c r="Q36" i="107"/>
  <c r="Q48" i="99"/>
  <c r="P36" i="99"/>
  <c r="Q48" i="106"/>
  <c r="P49" i="106" s="1"/>
  <c r="Q36" i="106"/>
  <c r="Q48" i="105"/>
  <c r="P49" i="105" s="1"/>
  <c r="Q36" i="105"/>
  <c r="R36" i="105" s="1"/>
  <c r="Q48" i="104"/>
  <c r="P49" i="104" s="1"/>
  <c r="Q48" i="101"/>
  <c r="P49" i="101" s="1"/>
  <c r="P36" i="101"/>
  <c r="Q48" i="96"/>
  <c r="P49" i="96" s="1"/>
  <c r="Q48" i="94"/>
  <c r="P49" i="94" s="1"/>
  <c r="P36" i="94"/>
  <c r="Q48" i="93"/>
  <c r="P49" i="93" s="1"/>
  <c r="Q48" i="92"/>
  <c r="P49" i="92" s="1"/>
  <c r="Q36" i="92"/>
  <c r="R36" i="92" s="1"/>
  <c r="Q48" i="91"/>
  <c r="P49" i="91" s="1"/>
  <c r="Q36" i="91"/>
  <c r="Q48" i="90"/>
  <c r="P36" i="90"/>
  <c r="Q48" i="87"/>
  <c r="P49" i="87" s="1"/>
  <c r="Q36" i="87"/>
  <c r="P49" i="110"/>
  <c r="Q49" i="110" s="1"/>
  <c r="P49" i="103"/>
  <c r="Q49" i="103" s="1"/>
  <c r="P49" i="100"/>
  <c r="Q49" i="100" s="1"/>
  <c r="P49" i="88"/>
  <c r="P37" i="110"/>
  <c r="Q37" i="110" s="1"/>
  <c r="R37" i="110" s="1"/>
  <c r="P37" i="109"/>
  <c r="Q37" i="109" s="1"/>
  <c r="P37" i="104"/>
  <c r="Q37" i="104" s="1"/>
  <c r="R37" i="104" s="1"/>
  <c r="P37" i="103"/>
  <c r="Q37" i="103" s="1"/>
  <c r="P37" i="102"/>
  <c r="Q37" i="102" s="1"/>
  <c r="P37" i="89"/>
  <c r="Q37" i="89" s="1"/>
  <c r="P37" i="96"/>
  <c r="Q37" i="96" s="1"/>
  <c r="R37" i="96" s="1"/>
  <c r="P37" i="93"/>
  <c r="Q37" i="93" s="1"/>
  <c r="P37" i="88"/>
  <c r="Q37" i="88" s="1"/>
  <c r="P49" i="80"/>
  <c r="Q49" i="80" s="1"/>
  <c r="P37" i="80"/>
  <c r="Q37" i="80"/>
  <c r="R23" i="112"/>
  <c r="P24" i="112"/>
  <c r="Q24" i="112" s="1"/>
  <c r="R23" i="111"/>
  <c r="P24" i="111"/>
  <c r="R23" i="110"/>
  <c r="P24" i="110"/>
  <c r="Q24" i="109"/>
  <c r="R24" i="109" s="1"/>
  <c r="P25" i="108"/>
  <c r="Q24" i="108"/>
  <c r="R24" i="108" s="1"/>
  <c r="R23" i="108"/>
  <c r="R27" i="99"/>
  <c r="R25" i="99"/>
  <c r="R29" i="99"/>
  <c r="R30" i="99"/>
  <c r="R28" i="99"/>
  <c r="R26" i="99"/>
  <c r="R24" i="99"/>
  <c r="C37" i="112"/>
  <c r="B38" i="112"/>
  <c r="D36" i="112"/>
  <c r="D35" i="112"/>
  <c r="D36" i="111"/>
  <c r="D35" i="111"/>
  <c r="B37" i="110"/>
  <c r="C36" i="110"/>
  <c r="C35" i="110"/>
  <c r="D45" i="110"/>
  <c r="D35" i="100"/>
  <c r="L29" i="95" s="1"/>
  <c r="D34" i="100"/>
  <c r="L28" i="95" s="1"/>
  <c r="D36" i="100"/>
  <c r="L30" i="95" s="1"/>
  <c r="C49" i="101"/>
  <c r="B50" i="101"/>
  <c r="D34" i="101"/>
  <c r="C48" i="101"/>
  <c r="B22" i="101"/>
  <c r="C22" i="101" s="1"/>
  <c r="D49" i="101"/>
  <c r="D47" i="101"/>
  <c r="D22" i="101"/>
  <c r="C35" i="102"/>
  <c r="D35" i="102" s="1"/>
  <c r="B36" i="102"/>
  <c r="B49" i="102"/>
  <c r="C48" i="102"/>
  <c r="D45" i="102"/>
  <c r="B22" i="102"/>
  <c r="C22" i="102" s="1"/>
  <c r="D22" i="102" s="1"/>
  <c r="D48" i="102"/>
  <c r="D47" i="102"/>
  <c r="C35" i="103"/>
  <c r="B36" i="103"/>
  <c r="B49" i="104"/>
  <c r="C48" i="104"/>
  <c r="C35" i="104"/>
  <c r="B36" i="104"/>
  <c r="B23" i="104"/>
  <c r="C23" i="104" s="1"/>
  <c r="B24" i="104" s="1"/>
  <c r="C24" i="104" s="1"/>
  <c r="B25" i="104" s="1"/>
  <c r="C25" i="104" s="1"/>
  <c r="B26" i="104" s="1"/>
  <c r="C26" i="104" s="1"/>
  <c r="B27" i="104" s="1"/>
  <c r="C27" i="104" s="1"/>
  <c r="B28" i="104" s="1"/>
  <c r="C28" i="104" s="1"/>
  <c r="B29" i="104" s="1"/>
  <c r="C29" i="104" s="1"/>
  <c r="B30" i="104" s="1"/>
  <c r="C30" i="104" s="1"/>
  <c r="D22" i="104"/>
  <c r="C47" i="104"/>
  <c r="C34" i="104"/>
  <c r="B49" i="105"/>
  <c r="C48" i="105"/>
  <c r="D46" i="105"/>
  <c r="C35" i="105"/>
  <c r="B36" i="105"/>
  <c r="D28" i="105"/>
  <c r="D27" i="105"/>
  <c r="D26" i="105"/>
  <c r="C47" i="105"/>
  <c r="D47" i="105" s="1"/>
  <c r="D33" i="105"/>
  <c r="C34" i="105"/>
  <c r="D30" i="105"/>
  <c r="D29" i="105"/>
  <c r="D25" i="105"/>
  <c r="D24" i="105"/>
  <c r="D23" i="105"/>
  <c r="D22" i="105"/>
  <c r="B48" i="106"/>
  <c r="D34" i="106"/>
  <c r="D35" i="106"/>
  <c r="D36" i="106"/>
  <c r="C36" i="109"/>
  <c r="B37" i="109"/>
  <c r="B24" i="107"/>
  <c r="C24" i="107" s="1"/>
  <c r="B25" i="107" s="1"/>
  <c r="C25" i="107" s="1"/>
  <c r="B26" i="107" s="1"/>
  <c r="C26" i="107" s="1"/>
  <c r="B27" i="107" s="1"/>
  <c r="C27" i="107" s="1"/>
  <c r="B28" i="107" s="1"/>
  <c r="C28" i="107" s="1"/>
  <c r="B29" i="107" s="1"/>
  <c r="C29" i="107" s="1"/>
  <c r="B30" i="107" s="1"/>
  <c r="C30" i="107" s="1"/>
  <c r="B48" i="107"/>
  <c r="C47" i="107"/>
  <c r="B35" i="107"/>
  <c r="C46" i="107"/>
  <c r="D34" i="107"/>
  <c r="D23" i="107"/>
  <c r="B23" i="99"/>
  <c r="C23" i="99" s="1"/>
  <c r="B24" i="99" s="1"/>
  <c r="C24" i="99" s="1"/>
  <c r="B25" i="99" s="1"/>
  <c r="C25" i="99" s="1"/>
  <c r="B26" i="99" s="1"/>
  <c r="C26" i="99" s="1"/>
  <c r="B27" i="99" s="1"/>
  <c r="C27" i="99" s="1"/>
  <c r="B28" i="99" s="1"/>
  <c r="C28" i="99" s="1"/>
  <c r="B29" i="99" s="1"/>
  <c r="C29" i="99" s="1"/>
  <c r="B30" i="99" s="1"/>
  <c r="C30" i="99" s="1"/>
  <c r="D22" i="99"/>
  <c r="D29" i="99"/>
  <c r="D46" i="99"/>
  <c r="D35" i="99"/>
  <c r="D34" i="99"/>
  <c r="D36" i="99"/>
  <c r="P24" i="106"/>
  <c r="Q24" i="104"/>
  <c r="R24" i="104" s="1"/>
  <c r="R24" i="103"/>
  <c r="Q24" i="101"/>
  <c r="P25" i="101" s="1"/>
  <c r="R24" i="101"/>
  <c r="P25" i="100"/>
  <c r="Q25" i="100" s="1"/>
  <c r="R24" i="96"/>
  <c r="P25" i="96"/>
  <c r="P24" i="93"/>
  <c r="Q24" i="92"/>
  <c r="R24" i="92" s="1"/>
  <c r="Q24" i="90"/>
  <c r="P25" i="88"/>
  <c r="Q25" i="88" s="1"/>
  <c r="P25" i="109"/>
  <c r="P25" i="107"/>
  <c r="Q25" i="107" s="1"/>
  <c r="P25" i="105"/>
  <c r="Q25" i="105" s="1"/>
  <c r="R24" i="105"/>
  <c r="P25" i="104"/>
  <c r="Q25" i="104" s="1"/>
  <c r="P25" i="103"/>
  <c r="Q25" i="103" s="1"/>
  <c r="R24" i="100"/>
  <c r="R24" i="89"/>
  <c r="P25" i="89"/>
  <c r="Q25" i="89" s="1"/>
  <c r="R25" i="89" s="1"/>
  <c r="P25" i="94"/>
  <c r="R24" i="94"/>
  <c r="R24" i="87"/>
  <c r="Q25" i="87"/>
  <c r="D23" i="87"/>
  <c r="B24" i="87"/>
  <c r="C24" i="87" s="1"/>
  <c r="B25" i="87" s="1"/>
  <c r="C25" i="87" s="1"/>
  <c r="B26" i="87" s="1"/>
  <c r="C26" i="87" s="1"/>
  <c r="B27" i="87" s="1"/>
  <c r="C27" i="87" s="1"/>
  <c r="B28" i="87" s="1"/>
  <c r="C28" i="87" s="1"/>
  <c r="B29" i="87" s="1"/>
  <c r="C29" i="87" s="1"/>
  <c r="B30" i="87" s="1"/>
  <c r="C30" i="87" s="1"/>
  <c r="D47" i="33" l="1"/>
  <c r="K47" i="33"/>
  <c r="M38" i="33"/>
  <c r="N36" i="33"/>
  <c r="E47" i="33"/>
  <c r="H47" i="33"/>
  <c r="F17" i="24"/>
  <c r="I17" i="24"/>
  <c r="N32" i="33"/>
  <c r="L37" i="33"/>
  <c r="D17" i="24"/>
  <c r="G17" i="24"/>
  <c r="J32" i="33"/>
  <c r="N37" i="33"/>
  <c r="J17" i="24"/>
  <c r="B17" i="24"/>
  <c r="E17" i="24"/>
  <c r="L32" i="33"/>
  <c r="F32" i="33"/>
  <c r="I32" i="33"/>
  <c r="Q38" i="33"/>
  <c r="L38" i="33"/>
  <c r="K37" i="33"/>
  <c r="U42" i="33"/>
  <c r="P42" i="33"/>
  <c r="Q42" i="33"/>
  <c r="O51" i="33"/>
  <c r="R42" i="33"/>
  <c r="H51" i="33"/>
  <c r="W42" i="33"/>
  <c r="M51" i="33"/>
  <c r="N51" i="33"/>
  <c r="H16" i="24"/>
  <c r="T42" i="33"/>
  <c r="R38" i="33"/>
  <c r="P51" i="33"/>
  <c r="S37" i="33"/>
  <c r="V41" i="33"/>
  <c r="S42" i="33"/>
  <c r="O37" i="33"/>
  <c r="M37" i="33"/>
  <c r="Q37" i="33"/>
  <c r="P37" i="33"/>
  <c r="X42" i="33"/>
  <c r="X43" i="33" s="1"/>
  <c r="V42" i="33"/>
  <c r="M40" i="33"/>
  <c r="Q40" i="33"/>
  <c r="U40" i="33"/>
  <c r="O38" i="33"/>
  <c r="V40" i="33"/>
  <c r="T40" i="33"/>
  <c r="O40" i="33"/>
  <c r="N40" i="33"/>
  <c r="R40" i="33"/>
  <c r="P40" i="33"/>
  <c r="J61" i="33"/>
  <c r="E61" i="33"/>
  <c r="I61" i="33"/>
  <c r="F61" i="33"/>
  <c r="K61" i="33"/>
  <c r="H61" i="33"/>
  <c r="D61" i="33"/>
  <c r="G61" i="33"/>
  <c r="L61" i="33"/>
  <c r="O36" i="33"/>
  <c r="J37" i="33"/>
  <c r="H32" i="33"/>
  <c r="J36" i="33"/>
  <c r="P36" i="33"/>
  <c r="W43" i="33"/>
  <c r="T38" i="33"/>
  <c r="K36" i="33"/>
  <c r="R36" i="33"/>
  <c r="D53" i="33"/>
  <c r="L57" i="33" s="1"/>
  <c r="B77" i="33" s="1"/>
  <c r="K38" i="33"/>
  <c r="G16" i="24"/>
  <c r="E16" i="24"/>
  <c r="K16" i="24"/>
  <c r="D16" i="24"/>
  <c r="J16" i="24"/>
  <c r="C16" i="24"/>
  <c r="V43" i="33"/>
  <c r="I16" i="24"/>
  <c r="B16" i="24"/>
  <c r="M36" i="33"/>
  <c r="D43" i="33"/>
  <c r="D56" i="33" s="1"/>
  <c r="B62" i="33" s="1"/>
  <c r="E62" i="33" s="1"/>
  <c r="S38" i="33"/>
  <c r="N38" i="33"/>
  <c r="I36" i="33"/>
  <c r="C46" i="29"/>
  <c r="H43" i="26"/>
  <c r="T23" i="33"/>
  <c r="W56" i="33" s="1"/>
  <c r="V85" i="33" s="1"/>
  <c r="U113" i="33" s="1"/>
  <c r="E118" i="33" s="1"/>
  <c r="P49" i="107"/>
  <c r="Q49" i="107" s="1"/>
  <c r="R48" i="107"/>
  <c r="P49" i="102"/>
  <c r="R48" i="102"/>
  <c r="R36" i="100"/>
  <c r="P49" i="89"/>
  <c r="R48" i="89"/>
  <c r="R37" i="80"/>
  <c r="R48" i="109"/>
  <c r="R36" i="107"/>
  <c r="R48" i="96"/>
  <c r="B23" i="91"/>
  <c r="C23" i="91" s="1"/>
  <c r="B24" i="91" s="1"/>
  <c r="C24" i="91" s="1"/>
  <c r="B25" i="91" s="1"/>
  <c r="C25" i="91" s="1"/>
  <c r="B26" i="91" s="1"/>
  <c r="C26" i="91" s="1"/>
  <c r="B27" i="91" s="1"/>
  <c r="C27" i="91" s="1"/>
  <c r="B28" i="91" s="1"/>
  <c r="C28" i="91" s="1"/>
  <c r="B29" i="91" s="1"/>
  <c r="C29" i="91" s="1"/>
  <c r="B30" i="91" s="1"/>
  <c r="C30" i="91" s="1"/>
  <c r="D23" i="91"/>
  <c r="D29" i="91"/>
  <c r="D27" i="91"/>
  <c r="D30" i="91"/>
  <c r="C49" i="91"/>
  <c r="B50" i="91"/>
  <c r="D34" i="80"/>
  <c r="D35" i="80"/>
  <c r="E43" i="33"/>
  <c r="E56" i="33" s="1"/>
  <c r="D30" i="99"/>
  <c r="D24" i="107"/>
  <c r="D28" i="104"/>
  <c r="D46" i="100"/>
  <c r="R49" i="100"/>
  <c r="P49" i="90"/>
  <c r="P49" i="109"/>
  <c r="R37" i="92"/>
  <c r="R37" i="102"/>
  <c r="R49" i="106"/>
  <c r="D25" i="80"/>
  <c r="D24" i="80"/>
  <c r="B23" i="80"/>
  <c r="C23" i="80" s="1"/>
  <c r="B24" i="80" s="1"/>
  <c r="C24" i="80" s="1"/>
  <c r="B25" i="80" s="1"/>
  <c r="C25" i="80" s="1"/>
  <c r="B26" i="80" s="1"/>
  <c r="C26" i="80" s="1"/>
  <c r="B27" i="80" s="1"/>
  <c r="C27" i="80" s="1"/>
  <c r="B28" i="80" s="1"/>
  <c r="C28" i="80" s="1"/>
  <c r="B29" i="80" s="1"/>
  <c r="C29" i="80" s="1"/>
  <c r="B30" i="80" s="1"/>
  <c r="C30" i="80" s="1"/>
  <c r="D30" i="80"/>
  <c r="D28" i="80"/>
  <c r="D27" i="80"/>
  <c r="D26" i="80"/>
  <c r="D29" i="80"/>
  <c r="Q31" i="12"/>
  <c r="N17" i="12"/>
  <c r="O27" i="12"/>
  <c r="D24" i="93"/>
  <c r="D50" i="80"/>
  <c r="D48" i="80"/>
  <c r="D49" i="80"/>
  <c r="D22" i="96"/>
  <c r="D54" i="90"/>
  <c r="C36" i="96"/>
  <c r="B37" i="96"/>
  <c r="D49" i="91"/>
  <c r="B36" i="80"/>
  <c r="C35" i="80"/>
  <c r="C12" i="24"/>
  <c r="K12" i="24"/>
  <c r="F12" i="24"/>
  <c r="B12" i="24"/>
  <c r="J12" i="24"/>
  <c r="E12" i="24"/>
  <c r="H12" i="24"/>
  <c r="I12" i="24"/>
  <c r="D12" i="24"/>
  <c r="G12" i="24"/>
  <c r="E80" i="24"/>
  <c r="C37" i="106"/>
  <c r="B38" i="106"/>
  <c r="B33" i="33"/>
  <c r="O23" i="33"/>
  <c r="D53" i="92"/>
  <c r="D26" i="106"/>
  <c r="D29" i="88"/>
  <c r="B36" i="90"/>
  <c r="C35" i="90"/>
  <c r="P37" i="111"/>
  <c r="Q37" i="111" s="1"/>
  <c r="R36" i="111"/>
  <c r="R49" i="110"/>
  <c r="B50" i="88"/>
  <c r="C49" i="88"/>
  <c r="C13" i="24"/>
  <c r="E13" i="24"/>
  <c r="G13" i="24"/>
  <c r="I13" i="24"/>
  <c r="K13" i="24"/>
  <c r="B13" i="24"/>
  <c r="D13" i="24"/>
  <c r="F13" i="24"/>
  <c r="H13" i="24"/>
  <c r="J13" i="24"/>
  <c r="E81" i="24"/>
  <c r="C47" i="96"/>
  <c r="D47" i="96" s="1"/>
  <c r="B48" i="96"/>
  <c r="B48" i="112"/>
  <c r="C47" i="112"/>
  <c r="D49" i="87"/>
  <c r="B36" i="92"/>
  <c r="C35" i="92"/>
  <c r="D35" i="87"/>
  <c r="P25" i="90"/>
  <c r="Q25" i="90" s="1"/>
  <c r="R24" i="90"/>
  <c r="D27" i="99"/>
  <c r="D27" i="107"/>
  <c r="D23" i="104"/>
  <c r="R36" i="91"/>
  <c r="R37" i="91"/>
  <c r="P49" i="99"/>
  <c r="R48" i="99"/>
  <c r="R48" i="93"/>
  <c r="O14" i="12"/>
  <c r="P24" i="12"/>
  <c r="M44" i="12"/>
  <c r="P21" i="12"/>
  <c r="O18" i="12"/>
  <c r="P28" i="12"/>
  <c r="F54" i="14"/>
  <c r="D35" i="109"/>
  <c r="D34" i="109"/>
  <c r="B52" i="80"/>
  <c r="C51" i="80"/>
  <c r="D47" i="89"/>
  <c r="C11" i="24"/>
  <c r="E11" i="24"/>
  <c r="G11" i="24"/>
  <c r="I11" i="24"/>
  <c r="K11" i="24"/>
  <c r="B11" i="24"/>
  <c r="D11" i="24"/>
  <c r="F11" i="24"/>
  <c r="H11" i="24"/>
  <c r="J11" i="24"/>
  <c r="E79" i="24"/>
  <c r="C10" i="24"/>
  <c r="K10" i="24"/>
  <c r="F10" i="24"/>
  <c r="B10" i="24"/>
  <c r="J10" i="24"/>
  <c r="E10" i="24"/>
  <c r="D10" i="24"/>
  <c r="I10" i="24"/>
  <c r="G10" i="24"/>
  <c r="E78" i="24"/>
  <c r="H10" i="24"/>
  <c r="B51" i="93"/>
  <c r="C50" i="93"/>
  <c r="B36" i="101"/>
  <c r="C35" i="101"/>
  <c r="C36" i="108"/>
  <c r="B37" i="108"/>
  <c r="J35" i="33"/>
  <c r="N35" i="33"/>
  <c r="K35" i="33"/>
  <c r="H35" i="33"/>
  <c r="L35" i="33"/>
  <c r="I35" i="33"/>
  <c r="M35" i="33"/>
  <c r="Q35" i="33"/>
  <c r="P35" i="33"/>
  <c r="O35" i="33"/>
  <c r="D54" i="92"/>
  <c r="B23" i="109"/>
  <c r="C23" i="109" s="1"/>
  <c r="D25" i="106"/>
  <c r="D30" i="88"/>
  <c r="D34" i="90"/>
  <c r="C7" i="24"/>
  <c r="E7" i="24"/>
  <c r="G7" i="24"/>
  <c r="I7" i="24"/>
  <c r="K7" i="24"/>
  <c r="B7" i="24"/>
  <c r="D7" i="24"/>
  <c r="F7" i="24"/>
  <c r="H7" i="24"/>
  <c r="J7" i="24"/>
  <c r="E75" i="24"/>
  <c r="D35" i="101"/>
  <c r="B48" i="103"/>
  <c r="C47" i="103"/>
  <c r="P49" i="111"/>
  <c r="Q49" i="111" s="1"/>
  <c r="R48" i="111"/>
  <c r="R37" i="93"/>
  <c r="R48" i="106"/>
  <c r="G54" i="14"/>
  <c r="D48" i="87"/>
  <c r="B26" i="29"/>
  <c r="L27" i="26"/>
  <c r="D23" i="103"/>
  <c r="D30" i="103"/>
  <c r="D28" i="103"/>
  <c r="D29" i="103"/>
  <c r="D26" i="103"/>
  <c r="D25" i="103"/>
  <c r="B24" i="103"/>
  <c r="C24" i="103" s="1"/>
  <c r="B25" i="103" s="1"/>
  <c r="C25" i="103" s="1"/>
  <c r="B26" i="103" s="1"/>
  <c r="C26" i="103" s="1"/>
  <c r="B27" i="103" s="1"/>
  <c r="C27" i="103" s="1"/>
  <c r="B28" i="103" s="1"/>
  <c r="C28" i="103" s="1"/>
  <c r="B29" i="103" s="1"/>
  <c r="C29" i="103" s="1"/>
  <c r="B30" i="103" s="1"/>
  <c r="C30" i="103" s="1"/>
  <c r="B48" i="108"/>
  <c r="C47" i="108"/>
  <c r="D26" i="93"/>
  <c r="C6" i="24"/>
  <c r="K6" i="24"/>
  <c r="F6" i="24"/>
  <c r="B6" i="24"/>
  <c r="J6" i="24"/>
  <c r="E6" i="24"/>
  <c r="D6" i="24"/>
  <c r="I6" i="24"/>
  <c r="H6" i="24"/>
  <c r="G6" i="24"/>
  <c r="E74" i="24"/>
  <c r="C8" i="24"/>
  <c r="K8" i="24"/>
  <c r="F8" i="24"/>
  <c r="B8" i="24"/>
  <c r="J8" i="24"/>
  <c r="E8" i="24"/>
  <c r="H8" i="24"/>
  <c r="I8" i="24"/>
  <c r="D8" i="24"/>
  <c r="G8" i="24"/>
  <c r="E76" i="24"/>
  <c r="C36" i="88"/>
  <c r="B37" i="88"/>
  <c r="C49" i="87"/>
  <c r="B50" i="87"/>
  <c r="D46" i="103"/>
  <c r="B36" i="93"/>
  <c r="C35" i="93"/>
  <c r="Q39" i="33"/>
  <c r="T39" i="33"/>
  <c r="P39" i="33"/>
  <c r="M39" i="33"/>
  <c r="R39" i="33"/>
  <c r="U39" i="33"/>
  <c r="U43" i="33" s="1"/>
  <c r="S39" i="33"/>
  <c r="L39" i="33"/>
  <c r="O39" i="33"/>
  <c r="N39" i="33"/>
  <c r="O34" i="33"/>
  <c r="L34" i="33"/>
  <c r="H34" i="33"/>
  <c r="N34" i="33"/>
  <c r="P34" i="33"/>
  <c r="I34" i="33"/>
  <c r="G34" i="33"/>
  <c r="K34" i="33"/>
  <c r="M34" i="33"/>
  <c r="J34" i="33"/>
  <c r="D52" i="92"/>
  <c r="B23" i="94"/>
  <c r="C23" i="94" s="1"/>
  <c r="R37" i="88"/>
  <c r="B23" i="96"/>
  <c r="C23" i="96" s="1"/>
  <c r="B24" i="96" s="1"/>
  <c r="C24" i="96" s="1"/>
  <c r="B25" i="96" s="1"/>
  <c r="C25" i="96" s="1"/>
  <c r="B26" i="96" s="1"/>
  <c r="C26" i="96" s="1"/>
  <c r="B27" i="96" s="1"/>
  <c r="C27" i="96" s="1"/>
  <c r="B28" i="96" s="1"/>
  <c r="C28" i="96" s="1"/>
  <c r="B29" i="96" s="1"/>
  <c r="C29" i="96" s="1"/>
  <c r="B30" i="96" s="1"/>
  <c r="C30" i="96" s="1"/>
  <c r="D26" i="96"/>
  <c r="D29" i="96"/>
  <c r="C5" i="24"/>
  <c r="E5" i="24"/>
  <c r="G5" i="24"/>
  <c r="I5" i="24"/>
  <c r="K5" i="24"/>
  <c r="B5" i="24"/>
  <c r="D5" i="24"/>
  <c r="F5" i="24"/>
  <c r="H5" i="24"/>
  <c r="J5" i="24"/>
  <c r="E73" i="24"/>
  <c r="B23" i="111"/>
  <c r="C23" i="111" s="1"/>
  <c r="B24" i="111" s="1"/>
  <c r="C24" i="111" s="1"/>
  <c r="B25" i="111" s="1"/>
  <c r="C25" i="111" s="1"/>
  <c r="B26" i="111" s="1"/>
  <c r="C26" i="111" s="1"/>
  <c r="B27" i="111" s="1"/>
  <c r="C27" i="111" s="1"/>
  <c r="B28" i="111" s="1"/>
  <c r="C28" i="111" s="1"/>
  <c r="B29" i="111" s="1"/>
  <c r="C29" i="111" s="1"/>
  <c r="B30" i="111" s="1"/>
  <c r="C30" i="111" s="1"/>
  <c r="D26" i="111"/>
  <c r="D29" i="111"/>
  <c r="D22" i="111"/>
  <c r="D35" i="108"/>
  <c r="D36" i="108"/>
  <c r="D34" i="93"/>
  <c r="P30" i="12"/>
  <c r="O20" i="12"/>
  <c r="C37" i="91"/>
  <c r="B38" i="91"/>
  <c r="D24" i="99"/>
  <c r="R37" i="109"/>
  <c r="P37" i="87"/>
  <c r="P37" i="92"/>
  <c r="R48" i="104"/>
  <c r="R48" i="87"/>
  <c r="R48" i="101"/>
  <c r="R36" i="87"/>
  <c r="R48" i="112"/>
  <c r="B54" i="14"/>
  <c r="K54" i="14"/>
  <c r="F4" i="24"/>
  <c r="K4" i="24"/>
  <c r="C4" i="24"/>
  <c r="I4" i="24"/>
  <c r="J4" i="24"/>
  <c r="G4" i="24"/>
  <c r="H4" i="24"/>
  <c r="B4" i="24"/>
  <c r="E4" i="24"/>
  <c r="D4" i="24"/>
  <c r="C87" i="24"/>
  <c r="E72" i="24"/>
  <c r="D47" i="92"/>
  <c r="D25" i="96"/>
  <c r="D48" i="109"/>
  <c r="D47" i="109"/>
  <c r="C15" i="24"/>
  <c r="E15" i="24"/>
  <c r="G15" i="24"/>
  <c r="I15" i="24"/>
  <c r="K15" i="24"/>
  <c r="B15" i="24"/>
  <c r="D15" i="24"/>
  <c r="F15" i="24"/>
  <c r="H15" i="24"/>
  <c r="J15" i="24"/>
  <c r="E83" i="24"/>
  <c r="B23" i="92"/>
  <c r="C23" i="92" s="1"/>
  <c r="B24" i="108"/>
  <c r="C24" i="108" s="1"/>
  <c r="B25" i="108" s="1"/>
  <c r="C25" i="108" s="1"/>
  <c r="B26" i="108" s="1"/>
  <c r="C26" i="108" s="1"/>
  <c r="B27" i="108" s="1"/>
  <c r="C27" i="108" s="1"/>
  <c r="B28" i="108" s="1"/>
  <c r="C28" i="108" s="1"/>
  <c r="B29" i="108" s="1"/>
  <c r="C29" i="108" s="1"/>
  <c r="B30" i="108" s="1"/>
  <c r="C30" i="108" s="1"/>
  <c r="D27" i="108"/>
  <c r="D30" i="108"/>
  <c r="D25" i="108"/>
  <c r="D23" i="108"/>
  <c r="D30" i="93"/>
  <c r="B50" i="109"/>
  <c r="C49" i="109"/>
  <c r="O50" i="33"/>
  <c r="K50" i="33"/>
  <c r="M50" i="33"/>
  <c r="H50" i="33"/>
  <c r="J50" i="33"/>
  <c r="P50" i="33"/>
  <c r="N50" i="33"/>
  <c r="G50" i="33"/>
  <c r="I50" i="33"/>
  <c r="L50" i="33"/>
  <c r="D51" i="92"/>
  <c r="D23" i="94"/>
  <c r="D29" i="106"/>
  <c r="B27" i="112"/>
  <c r="C27" i="112" s="1"/>
  <c r="D26" i="112"/>
  <c r="D28" i="88"/>
  <c r="D22" i="88"/>
  <c r="C53" i="94"/>
  <c r="B54" i="94"/>
  <c r="C54" i="94" s="1"/>
  <c r="R49" i="96"/>
  <c r="E54" i="14"/>
  <c r="G118" i="33"/>
  <c r="H118" i="33" s="1"/>
  <c r="G77" i="33"/>
  <c r="J77" i="33"/>
  <c r="F77" i="33"/>
  <c r="I77" i="33"/>
  <c r="K77" i="33"/>
  <c r="E77" i="33"/>
  <c r="M77" i="33"/>
  <c r="D77" i="33"/>
  <c r="L77" i="33"/>
  <c r="H77" i="33"/>
  <c r="D23" i="99"/>
  <c r="D25" i="107"/>
  <c r="D48" i="104"/>
  <c r="B48" i="110"/>
  <c r="B49" i="110" s="1"/>
  <c r="R48" i="108"/>
  <c r="R38" i="80"/>
  <c r="R48" i="91"/>
  <c r="N16" i="12"/>
  <c r="O26" i="12"/>
  <c r="J54" i="14"/>
  <c r="I54" i="14"/>
  <c r="D22" i="91"/>
  <c r="B48" i="99"/>
  <c r="C47" i="99"/>
  <c r="D47" i="99" s="1"/>
  <c r="D24" i="96"/>
  <c r="D50" i="111"/>
  <c r="B24" i="110"/>
  <c r="C24" i="110" s="1"/>
  <c r="B25" i="110" s="1"/>
  <c r="C25" i="110" s="1"/>
  <c r="B26" i="110" s="1"/>
  <c r="C26" i="110" s="1"/>
  <c r="B27" i="110" s="1"/>
  <c r="C27" i="110" s="1"/>
  <c r="B28" i="110" s="1"/>
  <c r="C28" i="110" s="1"/>
  <c r="B29" i="110" s="1"/>
  <c r="C29" i="110" s="1"/>
  <c r="B30" i="110" s="1"/>
  <c r="C30" i="110" s="1"/>
  <c r="D23" i="110"/>
  <c r="B24" i="89"/>
  <c r="C24" i="89" s="1"/>
  <c r="C37" i="100"/>
  <c r="B38" i="100"/>
  <c r="C14" i="24"/>
  <c r="K14" i="24"/>
  <c r="F14" i="24"/>
  <c r="B14" i="24"/>
  <c r="J14" i="24"/>
  <c r="E14" i="24"/>
  <c r="D14" i="24"/>
  <c r="G14" i="24"/>
  <c r="H14" i="24"/>
  <c r="I14" i="24"/>
  <c r="E82" i="24"/>
  <c r="C35" i="94"/>
  <c r="B36" i="94"/>
  <c r="D28" i="93"/>
  <c r="C37" i="99"/>
  <c r="B38" i="99"/>
  <c r="R14" i="33"/>
  <c r="R15" i="33" s="1"/>
  <c r="B48" i="33"/>
  <c r="D50" i="92"/>
  <c r="B37" i="89"/>
  <c r="C36" i="89"/>
  <c r="D23" i="106"/>
  <c r="D28" i="106"/>
  <c r="D24" i="88"/>
  <c r="D23" i="88"/>
  <c r="M15" i="12"/>
  <c r="N25" i="12"/>
  <c r="B23" i="90"/>
  <c r="C23" i="90" s="1"/>
  <c r="B24" i="90" s="1"/>
  <c r="C24" i="90" s="1"/>
  <c r="B25" i="90" s="1"/>
  <c r="C25" i="90" s="1"/>
  <c r="B26" i="90" s="1"/>
  <c r="C26" i="90" s="1"/>
  <c r="B27" i="90" s="1"/>
  <c r="C27" i="90" s="1"/>
  <c r="B28" i="90" s="1"/>
  <c r="C28" i="90" s="1"/>
  <c r="B29" i="90" s="1"/>
  <c r="C29" i="90" s="1"/>
  <c r="B30" i="90" s="1"/>
  <c r="C30" i="90" s="1"/>
  <c r="D22" i="90"/>
  <c r="D47" i="108"/>
  <c r="B49" i="89"/>
  <c r="C48" i="89"/>
  <c r="D46" i="108"/>
  <c r="D49" i="93"/>
  <c r="D50" i="93"/>
  <c r="D28" i="99"/>
  <c r="D26" i="104"/>
  <c r="R37" i="89"/>
  <c r="R36" i="106"/>
  <c r="R48" i="94"/>
  <c r="O19" i="12"/>
  <c r="P29" i="12"/>
  <c r="D24" i="91"/>
  <c r="D27" i="96"/>
  <c r="B52" i="111"/>
  <c r="C51" i="111"/>
  <c r="D51" i="111" s="1"/>
  <c r="D48" i="88"/>
  <c r="C9" i="24"/>
  <c r="E9" i="24"/>
  <c r="G9" i="24"/>
  <c r="I9" i="24"/>
  <c r="K9" i="24"/>
  <c r="B9" i="24"/>
  <c r="D9" i="24"/>
  <c r="F9" i="24"/>
  <c r="H9" i="24"/>
  <c r="J9" i="24"/>
  <c r="E77" i="24"/>
  <c r="D46" i="96"/>
  <c r="D47" i="112"/>
  <c r="D46" i="112"/>
  <c r="B38" i="111"/>
  <c r="C37" i="111"/>
  <c r="D35" i="94"/>
  <c r="D34" i="94"/>
  <c r="D25" i="93"/>
  <c r="B48" i="100"/>
  <c r="C47" i="100"/>
  <c r="Q52" i="33"/>
  <c r="Q53" i="33" s="1"/>
  <c r="K52" i="33"/>
  <c r="L52" i="33"/>
  <c r="M52" i="33"/>
  <c r="N52" i="33"/>
  <c r="I52" i="33"/>
  <c r="J52" i="33"/>
  <c r="O52" i="33"/>
  <c r="P52" i="33"/>
  <c r="R52" i="33"/>
  <c r="R53" i="33" s="1"/>
  <c r="D22" i="94"/>
  <c r="D27" i="106"/>
  <c r="D30" i="106"/>
  <c r="B25" i="100"/>
  <c r="C25" i="100" s="1"/>
  <c r="D26" i="88"/>
  <c r="B37" i="87"/>
  <c r="C36" i="87"/>
  <c r="J76" i="33"/>
  <c r="G76" i="33"/>
  <c r="C76" i="33"/>
  <c r="C82" i="33" s="1"/>
  <c r="K86" i="33" s="1"/>
  <c r="D76" i="33"/>
  <c r="D82" i="33" s="1"/>
  <c r="L86" i="33" s="1"/>
  <c r="B106" i="33" s="1"/>
  <c r="E76" i="33"/>
  <c r="L76" i="33"/>
  <c r="I76" i="33"/>
  <c r="F76" i="33"/>
  <c r="H76" i="33"/>
  <c r="K76" i="33"/>
  <c r="Q49" i="112"/>
  <c r="P38" i="112"/>
  <c r="Q38" i="112" s="1"/>
  <c r="R38" i="112" s="1"/>
  <c r="Q49" i="109"/>
  <c r="P50" i="109" s="1"/>
  <c r="Q49" i="108"/>
  <c r="Q36" i="108"/>
  <c r="P37" i="107"/>
  <c r="Q49" i="99"/>
  <c r="P50" i="99" s="1"/>
  <c r="Q36" i="99"/>
  <c r="Q49" i="106"/>
  <c r="P37" i="106"/>
  <c r="Q37" i="106" s="1"/>
  <c r="P38" i="106" s="1"/>
  <c r="Q38" i="106" s="1"/>
  <c r="Q49" i="105"/>
  <c r="P37" i="105"/>
  <c r="Q49" i="104"/>
  <c r="Q49" i="102"/>
  <c r="P50" i="102" s="1"/>
  <c r="Q49" i="101"/>
  <c r="Q36" i="101"/>
  <c r="P37" i="100"/>
  <c r="Q49" i="89"/>
  <c r="P50" i="89" s="1"/>
  <c r="Q49" i="96"/>
  <c r="P50" i="96" s="1"/>
  <c r="P38" i="96"/>
  <c r="Q38" i="96" s="1"/>
  <c r="Q49" i="94"/>
  <c r="R49" i="94" s="1"/>
  <c r="Q36" i="94"/>
  <c r="Q49" i="93"/>
  <c r="Q49" i="92"/>
  <c r="Q37" i="92"/>
  <c r="Q49" i="91"/>
  <c r="P37" i="91"/>
  <c r="Q37" i="91" s="1"/>
  <c r="Q49" i="90"/>
  <c r="P50" i="90" s="1"/>
  <c r="Q36" i="90"/>
  <c r="Q49" i="88"/>
  <c r="Q49" i="87"/>
  <c r="Q37" i="87"/>
  <c r="P50" i="110"/>
  <c r="Q50" i="110" s="1"/>
  <c r="R50" i="110" s="1"/>
  <c r="P50" i="103"/>
  <c r="P50" i="100"/>
  <c r="P38" i="110"/>
  <c r="Q38" i="110" s="1"/>
  <c r="P38" i="109"/>
  <c r="Q38" i="109" s="1"/>
  <c r="R38" i="109" s="1"/>
  <c r="P38" i="104"/>
  <c r="Q38" i="104" s="1"/>
  <c r="R38" i="104" s="1"/>
  <c r="P38" i="103"/>
  <c r="Q38" i="103" s="1"/>
  <c r="P38" i="102"/>
  <c r="Q38" i="102" s="1"/>
  <c r="P38" i="89"/>
  <c r="Q38" i="89" s="1"/>
  <c r="R38" i="89" s="1"/>
  <c r="P38" i="93"/>
  <c r="Q38" i="93" s="1"/>
  <c r="P38" i="91"/>
  <c r="Q38" i="91" s="1"/>
  <c r="R38" i="91" s="1"/>
  <c r="P38" i="88"/>
  <c r="Q38" i="88" s="1"/>
  <c r="R38" i="88" s="1"/>
  <c r="P50" i="80"/>
  <c r="Q50" i="80" s="1"/>
  <c r="R50" i="80" s="1"/>
  <c r="P38" i="80"/>
  <c r="Q38" i="80" s="1"/>
  <c r="Q24" i="111"/>
  <c r="Q24" i="110"/>
  <c r="Q25" i="109"/>
  <c r="P26" i="108"/>
  <c r="Q25" i="108"/>
  <c r="B39" i="112"/>
  <c r="C38" i="112"/>
  <c r="B38" i="110"/>
  <c r="C37" i="110"/>
  <c r="D35" i="110"/>
  <c r="D37" i="110"/>
  <c r="D36" i="110"/>
  <c r="B51" i="101"/>
  <c r="C50" i="101"/>
  <c r="D48" i="101"/>
  <c r="B23" i="101"/>
  <c r="C23" i="101" s="1"/>
  <c r="C49" i="102"/>
  <c r="B50" i="102"/>
  <c r="B23" i="102"/>
  <c r="C23" i="102" s="1"/>
  <c r="C36" i="102"/>
  <c r="B37" i="102"/>
  <c r="C36" i="103"/>
  <c r="B37" i="103"/>
  <c r="D35" i="103"/>
  <c r="D36" i="103"/>
  <c r="C36" i="104"/>
  <c r="D36" i="104" s="1"/>
  <c r="B37" i="104"/>
  <c r="D25" i="104"/>
  <c r="D29" i="104"/>
  <c r="D30" i="104"/>
  <c r="D24" i="104"/>
  <c r="D27" i="104"/>
  <c r="D35" i="104"/>
  <c r="D34" i="104"/>
  <c r="D47" i="104"/>
  <c r="C49" i="104"/>
  <c r="D49" i="104" s="1"/>
  <c r="B50" i="104"/>
  <c r="D35" i="105"/>
  <c r="D36" i="105"/>
  <c r="D49" i="105"/>
  <c r="B37" i="105"/>
  <c r="C36" i="105"/>
  <c r="D48" i="105"/>
  <c r="D34" i="105"/>
  <c r="C49" i="105"/>
  <c r="B50" i="105"/>
  <c r="D47" i="106"/>
  <c r="B49" i="106"/>
  <c r="C48" i="106"/>
  <c r="B38" i="109"/>
  <c r="C37" i="109"/>
  <c r="D36" i="109"/>
  <c r="D37" i="109"/>
  <c r="C35" i="107"/>
  <c r="B36" i="107"/>
  <c r="C48" i="107"/>
  <c r="D48" i="107" s="1"/>
  <c r="B49" i="107"/>
  <c r="D46" i="107"/>
  <c r="D28" i="107"/>
  <c r="D30" i="107"/>
  <c r="D26" i="107"/>
  <c r="D47" i="107"/>
  <c r="D29" i="107"/>
  <c r="D25" i="99"/>
  <c r="D26" i="99"/>
  <c r="P25" i="106"/>
  <c r="Q24" i="106"/>
  <c r="R24" i="102"/>
  <c r="P25" i="102"/>
  <c r="Q25" i="102" s="1"/>
  <c r="Q25" i="101"/>
  <c r="P26" i="101" s="1"/>
  <c r="R25" i="101"/>
  <c r="Q25" i="96"/>
  <c r="P26" i="94"/>
  <c r="Q25" i="94"/>
  <c r="R25" i="94" s="1"/>
  <c r="Q24" i="93"/>
  <c r="P25" i="93" s="1"/>
  <c r="Q25" i="93" s="1"/>
  <c r="P26" i="93" s="1"/>
  <c r="P25" i="92"/>
  <c r="R24" i="91"/>
  <c r="P25" i="91"/>
  <c r="R25" i="88"/>
  <c r="R24" i="88"/>
  <c r="P26" i="107"/>
  <c r="Q26" i="107" s="1"/>
  <c r="R25" i="107"/>
  <c r="P26" i="105"/>
  <c r="R25" i="105"/>
  <c r="P26" i="104"/>
  <c r="R25" i="104"/>
  <c r="P26" i="103"/>
  <c r="Q26" i="103" s="1"/>
  <c r="R25" i="103"/>
  <c r="P26" i="89"/>
  <c r="Q26" i="89" s="1"/>
  <c r="R26" i="89"/>
  <c r="R25" i="87"/>
  <c r="P26" i="87"/>
  <c r="D26" i="87"/>
  <c r="D25" i="87"/>
  <c r="D28" i="87"/>
  <c r="D27" i="87"/>
  <c r="D30" i="87"/>
  <c r="D29" i="87"/>
  <c r="D24" i="87"/>
  <c r="R23" i="80"/>
  <c r="P24" i="80"/>
  <c r="Q24" i="80" s="1"/>
  <c r="G91" i="33"/>
  <c r="D91" i="33"/>
  <c r="F91" i="33"/>
  <c r="J91" i="33"/>
  <c r="E91" i="33"/>
  <c r="K91" i="33"/>
  <c r="L91" i="33"/>
  <c r="C91" i="33"/>
  <c r="C102" i="33" s="1"/>
  <c r="C113" i="33" s="1"/>
  <c r="I91" i="33"/>
  <c r="H91" i="33"/>
  <c r="S43" i="33" l="1"/>
  <c r="S56" i="33" s="1"/>
  <c r="T43" i="33"/>
  <c r="R43" i="33"/>
  <c r="R56" i="33" s="1"/>
  <c r="F62" i="33"/>
  <c r="D62" i="33"/>
  <c r="D73" i="33" s="1"/>
  <c r="D85" i="33" s="1"/>
  <c r="B92" i="33" s="1"/>
  <c r="L92" i="33" s="1"/>
  <c r="H62" i="33"/>
  <c r="M62" i="33"/>
  <c r="L62" i="33"/>
  <c r="I62" i="33"/>
  <c r="G62" i="33"/>
  <c r="J62" i="33"/>
  <c r="K62" i="33"/>
  <c r="T56" i="33"/>
  <c r="F119" i="33" s="1"/>
  <c r="O53" i="33"/>
  <c r="D25" i="89"/>
  <c r="R25" i="90"/>
  <c r="P26" i="90"/>
  <c r="P50" i="111"/>
  <c r="R49" i="111"/>
  <c r="R50" i="111"/>
  <c r="R37" i="111"/>
  <c r="P50" i="107"/>
  <c r="R50" i="107"/>
  <c r="R49" i="107"/>
  <c r="D28" i="110"/>
  <c r="D29" i="110"/>
  <c r="R38" i="103"/>
  <c r="P50" i="101"/>
  <c r="P50" i="106"/>
  <c r="Q50" i="106" s="1"/>
  <c r="P50" i="108"/>
  <c r="Q50" i="108" s="1"/>
  <c r="P50" i="112"/>
  <c r="B105" i="33"/>
  <c r="D25" i="90"/>
  <c r="C38" i="99"/>
  <c r="B39" i="99"/>
  <c r="B28" i="112"/>
  <c r="C28" i="112" s="1"/>
  <c r="B29" i="112" s="1"/>
  <c r="C29" i="112" s="1"/>
  <c r="B30" i="112" s="1"/>
  <c r="C30" i="112" s="1"/>
  <c r="D28" i="112"/>
  <c r="D30" i="112"/>
  <c r="D27" i="112"/>
  <c r="B51" i="109"/>
  <c r="C50" i="109"/>
  <c r="D28" i="108"/>
  <c r="D35" i="93"/>
  <c r="D25" i="111"/>
  <c r="N44" i="12"/>
  <c r="O44" i="12" s="1"/>
  <c r="R49" i="99"/>
  <c r="N27" i="12"/>
  <c r="M17" i="12"/>
  <c r="D23" i="80"/>
  <c r="D36" i="80"/>
  <c r="D26" i="91"/>
  <c r="D28" i="96"/>
  <c r="P50" i="105"/>
  <c r="D36" i="87"/>
  <c r="C37" i="96"/>
  <c r="B38" i="96"/>
  <c r="R36" i="90"/>
  <c r="C52" i="111"/>
  <c r="B53" i="111"/>
  <c r="B25" i="89"/>
  <c r="C25" i="89" s="1"/>
  <c r="B26" i="89" s="1"/>
  <c r="C26" i="89" s="1"/>
  <c r="B27" i="89" s="1"/>
  <c r="C27" i="89" s="1"/>
  <c r="B28" i="89" s="1"/>
  <c r="C28" i="89" s="1"/>
  <c r="B29" i="89" s="1"/>
  <c r="C29" i="89" s="1"/>
  <c r="B30" i="89" s="1"/>
  <c r="C30" i="89" s="1"/>
  <c r="D30" i="89"/>
  <c r="D26" i="89"/>
  <c r="B37" i="101"/>
  <c r="C36" i="101"/>
  <c r="B37" i="92"/>
  <c r="C36" i="92"/>
  <c r="R36" i="101"/>
  <c r="C37" i="87"/>
  <c r="B38" i="87"/>
  <c r="R49" i="112"/>
  <c r="C48" i="99"/>
  <c r="D48" i="99" s="1"/>
  <c r="B49" i="99"/>
  <c r="D24" i="111"/>
  <c r="C50" i="88"/>
  <c r="B51" i="88"/>
  <c r="R49" i="109"/>
  <c r="D23" i="109"/>
  <c r="R25" i="93"/>
  <c r="C48" i="110"/>
  <c r="D49" i="110" s="1"/>
  <c r="D47" i="100"/>
  <c r="R39" i="106"/>
  <c r="D30" i="90"/>
  <c r="R38" i="96"/>
  <c r="C38" i="91"/>
  <c r="D38" i="91" s="1"/>
  <c r="B39" i="91"/>
  <c r="P43" i="33"/>
  <c r="P56" i="33" s="1"/>
  <c r="C36" i="93"/>
  <c r="B37" i="93"/>
  <c r="C48" i="103"/>
  <c r="B49" i="103"/>
  <c r="D35" i="90"/>
  <c r="C52" i="80"/>
  <c r="B53" i="80"/>
  <c r="P31" i="12"/>
  <c r="C48" i="96"/>
  <c r="B49" i="96"/>
  <c r="C36" i="90"/>
  <c r="B37" i="90"/>
  <c r="D49" i="88"/>
  <c r="D51" i="80"/>
  <c r="C50" i="91"/>
  <c r="B51" i="91"/>
  <c r="D24" i="90"/>
  <c r="I48" i="33"/>
  <c r="I53" i="33" s="1"/>
  <c r="Q57" i="33" s="1"/>
  <c r="K48" i="33"/>
  <c r="K53" i="33" s="1"/>
  <c r="S57" i="33" s="1"/>
  <c r="H48" i="33"/>
  <c r="H53" i="33" s="1"/>
  <c r="P57" i="33" s="1"/>
  <c r="B81" i="33" s="1"/>
  <c r="F48" i="33"/>
  <c r="F53" i="33" s="1"/>
  <c r="N57" i="33" s="1"/>
  <c r="B79" i="33" s="1"/>
  <c r="L48" i="33"/>
  <c r="L53" i="33" s="1"/>
  <c r="M48" i="33"/>
  <c r="M53" i="33" s="1"/>
  <c r="J48" i="33"/>
  <c r="J53" i="33" s="1"/>
  <c r="R57" i="33" s="1"/>
  <c r="N48" i="33"/>
  <c r="N53" i="33" s="1"/>
  <c r="G48" i="33"/>
  <c r="G53" i="33" s="1"/>
  <c r="O57" i="33" s="1"/>
  <c r="B80" i="33" s="1"/>
  <c r="E48" i="33"/>
  <c r="E53" i="33" s="1"/>
  <c r="M57" i="33" s="1"/>
  <c r="B38" i="88"/>
  <c r="C37" i="88"/>
  <c r="O28" i="12"/>
  <c r="N18" i="12"/>
  <c r="M106" i="33"/>
  <c r="K106" i="33"/>
  <c r="I106" i="33"/>
  <c r="G106" i="33"/>
  <c r="J106" i="33"/>
  <c r="D106" i="33"/>
  <c r="E106" i="33"/>
  <c r="L106" i="33"/>
  <c r="F106" i="33"/>
  <c r="H106" i="33"/>
  <c r="P50" i="91"/>
  <c r="R49" i="91"/>
  <c r="R37" i="106"/>
  <c r="D30" i="110"/>
  <c r="R38" i="93"/>
  <c r="P50" i="87"/>
  <c r="R49" i="87"/>
  <c r="R50" i="87"/>
  <c r="P50" i="104"/>
  <c r="B26" i="100"/>
  <c r="C26" i="100" s="1"/>
  <c r="D25" i="100"/>
  <c r="C48" i="100"/>
  <c r="B49" i="100"/>
  <c r="D28" i="90"/>
  <c r="C37" i="89"/>
  <c r="B38" i="89"/>
  <c r="C36" i="94"/>
  <c r="B37" i="94"/>
  <c r="D29" i="89"/>
  <c r="D52" i="111"/>
  <c r="D29" i="108"/>
  <c r="M40" i="24"/>
  <c r="M41" i="24" s="1"/>
  <c r="D37" i="91"/>
  <c r="D36" i="93"/>
  <c r="D30" i="111"/>
  <c r="B24" i="94"/>
  <c r="C24" i="94" s="1"/>
  <c r="D24" i="94"/>
  <c r="D47" i="103"/>
  <c r="D24" i="103"/>
  <c r="Q43" i="33"/>
  <c r="Q56" i="33" s="1"/>
  <c r="C37" i="108"/>
  <c r="B38" i="108"/>
  <c r="D23" i="96"/>
  <c r="O24" i="12"/>
  <c r="N14" i="12"/>
  <c r="O21" i="12"/>
  <c r="M43" i="12"/>
  <c r="R50" i="99"/>
  <c r="R49" i="101"/>
  <c r="H33" i="33"/>
  <c r="H43" i="33" s="1"/>
  <c r="H56" i="33" s="1"/>
  <c r="B66" i="33" s="1"/>
  <c r="L33" i="33"/>
  <c r="L43" i="33" s="1"/>
  <c r="K33" i="33"/>
  <c r="K43" i="33" s="1"/>
  <c r="K56" i="33" s="1"/>
  <c r="B69" i="33" s="1"/>
  <c r="M33" i="33"/>
  <c r="M43" i="33" s="1"/>
  <c r="M56" i="33" s="1"/>
  <c r="B71" i="33" s="1"/>
  <c r="O33" i="33"/>
  <c r="O43" i="33" s="1"/>
  <c r="O56" i="33" s="1"/>
  <c r="F33" i="33"/>
  <c r="F43" i="33" s="1"/>
  <c r="F56" i="33" s="1"/>
  <c r="B64" i="33" s="1"/>
  <c r="J33" i="33"/>
  <c r="J43" i="33" s="1"/>
  <c r="G33" i="33"/>
  <c r="G43" i="33" s="1"/>
  <c r="G56" i="33" s="1"/>
  <c r="B65" i="33" s="1"/>
  <c r="N33" i="33"/>
  <c r="N43" i="33" s="1"/>
  <c r="I33" i="33"/>
  <c r="I43" i="33" s="1"/>
  <c r="I56" i="33" s="1"/>
  <c r="B67" i="33" s="1"/>
  <c r="D28" i="91"/>
  <c r="D37" i="111"/>
  <c r="D38" i="111"/>
  <c r="D36" i="96"/>
  <c r="D25" i="110"/>
  <c r="D29" i="90"/>
  <c r="R50" i="112"/>
  <c r="B24" i="92"/>
  <c r="C24" i="92" s="1"/>
  <c r="D23" i="92"/>
  <c r="D24" i="92"/>
  <c r="C48" i="108"/>
  <c r="B49" i="108"/>
  <c r="B52" i="93"/>
  <c r="C51" i="93"/>
  <c r="D48" i="89"/>
  <c r="C48" i="112"/>
  <c r="B49" i="112"/>
  <c r="D27" i="110"/>
  <c r="D26" i="110"/>
  <c r="P50" i="92"/>
  <c r="R49" i="92"/>
  <c r="R38" i="106"/>
  <c r="D27" i="90"/>
  <c r="B39" i="100"/>
  <c r="C38" i="100"/>
  <c r="D24" i="110"/>
  <c r="D53" i="94"/>
  <c r="D54" i="94"/>
  <c r="D36" i="89"/>
  <c r="D26" i="108"/>
  <c r="M17" i="24"/>
  <c r="D49" i="109"/>
  <c r="D28" i="111"/>
  <c r="B51" i="87"/>
  <c r="C50" i="87"/>
  <c r="D27" i="103"/>
  <c r="R37" i="87"/>
  <c r="D23" i="90"/>
  <c r="R38" i="102"/>
  <c r="C38" i="106"/>
  <c r="B39" i="106"/>
  <c r="D50" i="88"/>
  <c r="R49" i="108"/>
  <c r="D25" i="91"/>
  <c r="R49" i="89"/>
  <c r="D23" i="111"/>
  <c r="R50" i="102"/>
  <c r="R36" i="94"/>
  <c r="R36" i="108"/>
  <c r="R24" i="93"/>
  <c r="P50" i="94"/>
  <c r="P37" i="108"/>
  <c r="C38" i="111"/>
  <c r="B39" i="111"/>
  <c r="B50" i="89"/>
  <c r="C49" i="89"/>
  <c r="D36" i="88"/>
  <c r="D37" i="88"/>
  <c r="B24" i="109"/>
  <c r="C24" i="109" s="1"/>
  <c r="B63" i="33"/>
  <c r="R36" i="99"/>
  <c r="D38" i="99"/>
  <c r="D37" i="99"/>
  <c r="D24" i="89"/>
  <c r="P53" i="33"/>
  <c r="P50" i="88"/>
  <c r="R49" i="88"/>
  <c r="P50" i="93"/>
  <c r="Q50" i="93" s="1"/>
  <c r="R49" i="93"/>
  <c r="O29" i="12"/>
  <c r="N19" i="12"/>
  <c r="D26" i="90"/>
  <c r="M25" i="12"/>
  <c r="K15" i="12"/>
  <c r="L15" i="12"/>
  <c r="K4" i="12"/>
  <c r="D38" i="100"/>
  <c r="L32" i="95" s="1"/>
  <c r="D37" i="100"/>
  <c r="L31" i="95" s="1"/>
  <c r="N26" i="12"/>
  <c r="M16" i="12"/>
  <c r="R38" i="110"/>
  <c r="R49" i="104"/>
  <c r="D24" i="108"/>
  <c r="R49" i="105"/>
  <c r="N20" i="12"/>
  <c r="O30" i="12"/>
  <c r="D27" i="111"/>
  <c r="D30" i="96"/>
  <c r="R49" i="90"/>
  <c r="D35" i="92"/>
  <c r="D36" i="92"/>
  <c r="D37" i="106"/>
  <c r="D38" i="106"/>
  <c r="B37" i="80"/>
  <c r="C36" i="80"/>
  <c r="R49" i="102"/>
  <c r="D48" i="100"/>
  <c r="Q50" i="112"/>
  <c r="P39" i="112"/>
  <c r="Q39" i="112" s="1"/>
  <c r="R39" i="112" s="1"/>
  <c r="Q50" i="111"/>
  <c r="P51" i="111" s="1"/>
  <c r="P38" i="111"/>
  <c r="Q50" i="109"/>
  <c r="Q37" i="108"/>
  <c r="Q50" i="107"/>
  <c r="P51" i="107" s="1"/>
  <c r="Q37" i="107"/>
  <c r="Q50" i="99"/>
  <c r="P37" i="99"/>
  <c r="Q50" i="105"/>
  <c r="Q37" i="105"/>
  <c r="Q50" i="104"/>
  <c r="Q50" i="103"/>
  <c r="P51" i="102"/>
  <c r="Q50" i="102"/>
  <c r="Q50" i="101"/>
  <c r="R50" i="101" s="1"/>
  <c r="P37" i="101"/>
  <c r="Q50" i="100"/>
  <c r="Q37" i="100"/>
  <c r="Q50" i="89"/>
  <c r="Q50" i="96"/>
  <c r="P39" i="96"/>
  <c r="Q39" i="96" s="1"/>
  <c r="R39" i="96" s="1"/>
  <c r="Q50" i="94"/>
  <c r="P51" i="94" s="1"/>
  <c r="P37" i="94"/>
  <c r="Q50" i="92"/>
  <c r="P38" i="92"/>
  <c r="Q50" i="91"/>
  <c r="Q50" i="90"/>
  <c r="P51" i="90" s="1"/>
  <c r="P37" i="90"/>
  <c r="Q50" i="88"/>
  <c r="P51" i="88" s="1"/>
  <c r="P51" i="87"/>
  <c r="Q50" i="87"/>
  <c r="P38" i="87"/>
  <c r="P51" i="110"/>
  <c r="P39" i="110"/>
  <c r="P39" i="109"/>
  <c r="Q39" i="109" s="1"/>
  <c r="R39" i="109" s="1"/>
  <c r="P39" i="106"/>
  <c r="Q39" i="106" s="1"/>
  <c r="P39" i="104"/>
  <c r="Q39" i="104" s="1"/>
  <c r="R39" i="104" s="1"/>
  <c r="P39" i="103"/>
  <c r="Q39" i="103" s="1"/>
  <c r="R39" i="103" s="1"/>
  <c r="P39" i="102"/>
  <c r="Q39" i="102" s="1"/>
  <c r="R39" i="102" s="1"/>
  <c r="P39" i="89"/>
  <c r="P39" i="93"/>
  <c r="Q39" i="93" s="1"/>
  <c r="R39" i="93" s="1"/>
  <c r="P39" i="91"/>
  <c r="Q39" i="91" s="1"/>
  <c r="P39" i="88"/>
  <c r="P51" i="80"/>
  <c r="Q51" i="80" s="1"/>
  <c r="R51" i="80" s="1"/>
  <c r="P39" i="80"/>
  <c r="Q39" i="80" s="1"/>
  <c r="R39" i="80" s="1"/>
  <c r="R24" i="112"/>
  <c r="P25" i="112"/>
  <c r="Q25" i="112" s="1"/>
  <c r="R24" i="111"/>
  <c r="P25" i="111"/>
  <c r="R24" i="110"/>
  <c r="P25" i="110"/>
  <c r="R25" i="109"/>
  <c r="P26" i="109"/>
  <c r="R26" i="108"/>
  <c r="R25" i="108"/>
  <c r="P27" i="108"/>
  <c r="Q26" i="108"/>
  <c r="D38" i="112"/>
  <c r="B40" i="112"/>
  <c r="C39" i="112"/>
  <c r="B50" i="110"/>
  <c r="C49" i="110"/>
  <c r="C38" i="110"/>
  <c r="B39" i="110"/>
  <c r="B24" i="101"/>
  <c r="C24" i="101" s="1"/>
  <c r="D24" i="101" s="1"/>
  <c r="D50" i="101"/>
  <c r="D23" i="101"/>
  <c r="C51" i="101"/>
  <c r="D51" i="101" s="1"/>
  <c r="B52" i="101"/>
  <c r="C50" i="102"/>
  <c r="D50" i="102" s="1"/>
  <c r="B51" i="102"/>
  <c r="B38" i="102"/>
  <c r="C37" i="102"/>
  <c r="D37" i="102"/>
  <c r="B24" i="102"/>
  <c r="C24" i="102" s="1"/>
  <c r="B25" i="102" s="1"/>
  <c r="C25" i="102" s="1"/>
  <c r="B26" i="102" s="1"/>
  <c r="C26" i="102" s="1"/>
  <c r="B27" i="102" s="1"/>
  <c r="C27" i="102" s="1"/>
  <c r="B28" i="102" s="1"/>
  <c r="C28" i="102" s="1"/>
  <c r="B29" i="102" s="1"/>
  <c r="C29" i="102" s="1"/>
  <c r="B30" i="102" s="1"/>
  <c r="C30" i="102" s="1"/>
  <c r="D24" i="102"/>
  <c r="D23" i="102"/>
  <c r="D36" i="102"/>
  <c r="D49" i="102"/>
  <c r="C37" i="103"/>
  <c r="B38" i="103"/>
  <c r="B51" i="104"/>
  <c r="C50" i="104"/>
  <c r="C37" i="104"/>
  <c r="B38" i="104"/>
  <c r="D50" i="104"/>
  <c r="C50" i="105"/>
  <c r="B51" i="105"/>
  <c r="B38" i="105"/>
  <c r="C37" i="105"/>
  <c r="D37" i="105" s="1"/>
  <c r="D48" i="106"/>
  <c r="B50" i="106"/>
  <c r="C49" i="106"/>
  <c r="D49" i="106" s="1"/>
  <c r="C38" i="109"/>
  <c r="B39" i="109"/>
  <c r="B37" i="107"/>
  <c r="C36" i="107"/>
  <c r="D36" i="107" s="1"/>
  <c r="D35" i="107"/>
  <c r="B50" i="107"/>
  <c r="C49" i="107"/>
  <c r="R24" i="106"/>
  <c r="Q25" i="106"/>
  <c r="Q26" i="105"/>
  <c r="R26" i="105" s="1"/>
  <c r="Q26" i="104"/>
  <c r="P27" i="104" s="1"/>
  <c r="P26" i="102"/>
  <c r="Q26" i="102" s="1"/>
  <c r="Q26" i="101"/>
  <c r="R25" i="100"/>
  <c r="P26" i="100"/>
  <c r="Q26" i="100" s="1"/>
  <c r="R25" i="96"/>
  <c r="P26" i="96"/>
  <c r="Q26" i="94"/>
  <c r="P27" i="94" s="1"/>
  <c r="Q26" i="93"/>
  <c r="R26" i="93"/>
  <c r="Q25" i="92"/>
  <c r="Q25" i="91"/>
  <c r="Q26" i="90"/>
  <c r="P26" i="88"/>
  <c r="Q26" i="88" s="1"/>
  <c r="P27" i="107"/>
  <c r="Q27" i="107" s="1"/>
  <c r="R26" i="107"/>
  <c r="P27" i="103"/>
  <c r="R26" i="103"/>
  <c r="P27" i="89"/>
  <c r="Q27" i="89" s="1"/>
  <c r="Q26" i="87"/>
  <c r="P27" i="87" s="1"/>
  <c r="J56" i="33" l="1"/>
  <c r="B68" i="33" s="1"/>
  <c r="J68" i="33" s="1"/>
  <c r="E92" i="33"/>
  <c r="M92" i="33"/>
  <c r="H92" i="33"/>
  <c r="K92" i="33"/>
  <c r="J92" i="33"/>
  <c r="F92" i="33"/>
  <c r="I92" i="33"/>
  <c r="D92" i="33"/>
  <c r="D102" i="33" s="1"/>
  <c r="D113" i="33" s="1"/>
  <c r="G92" i="33"/>
  <c r="L56" i="33"/>
  <c r="B70" i="33" s="1"/>
  <c r="O70" i="33" s="1"/>
  <c r="V56" i="33"/>
  <c r="E119" i="33" s="1"/>
  <c r="G119" i="33" s="1"/>
  <c r="H119" i="33" s="1"/>
  <c r="P51" i="106"/>
  <c r="R50" i="106"/>
  <c r="D50" i="89"/>
  <c r="P51" i="93"/>
  <c r="Q51" i="93" s="1"/>
  <c r="R50" i="93"/>
  <c r="P51" i="108"/>
  <c r="R50" i="108"/>
  <c r="B25" i="109"/>
  <c r="C25" i="109" s="1"/>
  <c r="D24" i="109"/>
  <c r="D50" i="91"/>
  <c r="P51" i="105"/>
  <c r="R50" i="105"/>
  <c r="P51" i="101"/>
  <c r="M20" i="12"/>
  <c r="N30" i="12"/>
  <c r="R50" i="88"/>
  <c r="C39" i="111"/>
  <c r="D39" i="111" s="1"/>
  <c r="B40" i="111"/>
  <c r="R37" i="108"/>
  <c r="C39" i="106"/>
  <c r="B40" i="106"/>
  <c r="D50" i="87"/>
  <c r="C39" i="100"/>
  <c r="D39" i="100" s="1"/>
  <c r="L33" i="95" s="1"/>
  <c r="B40" i="100"/>
  <c r="D51" i="93"/>
  <c r="B25" i="92"/>
  <c r="C25" i="92" s="1"/>
  <c r="N43" i="12"/>
  <c r="O43" i="12" s="1"/>
  <c r="M18" i="12"/>
  <c r="N28" i="12"/>
  <c r="C49" i="96"/>
  <c r="D49" i="96" s="1"/>
  <c r="B50" i="96"/>
  <c r="D52" i="80"/>
  <c r="B40" i="91"/>
  <c r="C39" i="91"/>
  <c r="D39" i="91" s="1"/>
  <c r="C49" i="99"/>
  <c r="D49" i="99" s="1"/>
  <c r="B50" i="99"/>
  <c r="C53" i="111"/>
  <c r="D54" i="111" s="1"/>
  <c r="B54" i="111"/>
  <c r="C54" i="111" s="1"/>
  <c r="R37" i="107"/>
  <c r="L81" i="33"/>
  <c r="Q81" i="33"/>
  <c r="Q82" i="33" s="1"/>
  <c r="I81" i="33"/>
  <c r="K81" i="33"/>
  <c r="H81" i="33"/>
  <c r="M81" i="33"/>
  <c r="J81" i="33"/>
  <c r="P81" i="33"/>
  <c r="N81" i="33"/>
  <c r="O81" i="33"/>
  <c r="C49" i="103"/>
  <c r="B50" i="103"/>
  <c r="M19" i="12"/>
  <c r="N29" i="12"/>
  <c r="C50" i="89"/>
  <c r="B51" i="89"/>
  <c r="D49" i="89"/>
  <c r="J15" i="12"/>
  <c r="B15" i="12"/>
  <c r="B25" i="12"/>
  <c r="D37" i="96"/>
  <c r="D48" i="96"/>
  <c r="D36" i="101"/>
  <c r="D50" i="109"/>
  <c r="C37" i="80"/>
  <c r="B38" i="80"/>
  <c r="P38" i="107"/>
  <c r="S68" i="33"/>
  <c r="O68" i="33"/>
  <c r="N68" i="33"/>
  <c r="P68" i="33"/>
  <c r="D37" i="108"/>
  <c r="M64" i="33"/>
  <c r="J64" i="33"/>
  <c r="G64" i="33"/>
  <c r="F64" i="33"/>
  <c r="N64" i="33"/>
  <c r="L64" i="33"/>
  <c r="O64" i="33"/>
  <c r="K64" i="33"/>
  <c r="H64" i="33"/>
  <c r="I64" i="33"/>
  <c r="K80" i="33"/>
  <c r="N80" i="33"/>
  <c r="P80" i="33"/>
  <c r="H80" i="33"/>
  <c r="I80" i="33"/>
  <c r="J80" i="33"/>
  <c r="M80" i="33"/>
  <c r="O80" i="33"/>
  <c r="G80" i="33"/>
  <c r="L80" i="33"/>
  <c r="C37" i="92"/>
  <c r="B38" i="92"/>
  <c r="B40" i="99"/>
  <c r="C39" i="99"/>
  <c r="P51" i="96"/>
  <c r="R51" i="96"/>
  <c r="R50" i="96"/>
  <c r="P71" i="33"/>
  <c r="T71" i="33"/>
  <c r="V71" i="33"/>
  <c r="S71" i="33"/>
  <c r="N71" i="33"/>
  <c r="Q71" i="33"/>
  <c r="U71" i="33"/>
  <c r="M71" i="33"/>
  <c r="R71" i="33"/>
  <c r="O71" i="33"/>
  <c r="C37" i="94"/>
  <c r="B38" i="94"/>
  <c r="P51" i="92"/>
  <c r="R50" i="92"/>
  <c r="P51" i="89"/>
  <c r="Q51" i="89" s="1"/>
  <c r="R50" i="89"/>
  <c r="P38" i="108"/>
  <c r="D49" i="103"/>
  <c r="Q69" i="33"/>
  <c r="T69" i="33"/>
  <c r="K69" i="33"/>
  <c r="N69" i="33"/>
  <c r="L69" i="33"/>
  <c r="P69" i="33"/>
  <c r="S69" i="33"/>
  <c r="O69" i="33"/>
  <c r="M69" i="33"/>
  <c r="R69" i="33"/>
  <c r="B25" i="94"/>
  <c r="C25" i="94" s="1"/>
  <c r="D25" i="94"/>
  <c r="D36" i="94"/>
  <c r="D37" i="94"/>
  <c r="B27" i="100"/>
  <c r="C27" i="100" s="1"/>
  <c r="D26" i="100"/>
  <c r="D48" i="103"/>
  <c r="D28" i="89"/>
  <c r="C37" i="101"/>
  <c r="D37" i="101" s="1"/>
  <c r="B38" i="101"/>
  <c r="M27" i="12"/>
  <c r="K17" i="12"/>
  <c r="L17" i="12"/>
  <c r="K6" i="12"/>
  <c r="C51" i="109"/>
  <c r="B52" i="109"/>
  <c r="P51" i="109"/>
  <c r="R50" i="109"/>
  <c r="D36" i="90"/>
  <c r="B78" i="33"/>
  <c r="U57" i="33"/>
  <c r="D48" i="110"/>
  <c r="R37" i="100"/>
  <c r="D37" i="87"/>
  <c r="I15" i="12"/>
  <c r="H63" i="33"/>
  <c r="K63" i="33"/>
  <c r="G63" i="33"/>
  <c r="M63" i="33"/>
  <c r="E63" i="33"/>
  <c r="E73" i="33" s="1"/>
  <c r="E85" i="33" s="1"/>
  <c r="B93" i="33" s="1"/>
  <c r="N63" i="33"/>
  <c r="J63" i="33"/>
  <c r="I63" i="33"/>
  <c r="L63" i="33"/>
  <c r="F63" i="33"/>
  <c r="C49" i="112"/>
  <c r="B50" i="112"/>
  <c r="B50" i="108"/>
  <c r="C49" i="108"/>
  <c r="P67" i="33"/>
  <c r="M67" i="33"/>
  <c r="K67" i="33"/>
  <c r="I67" i="33"/>
  <c r="J67" i="33"/>
  <c r="O67" i="33"/>
  <c r="Q67" i="33"/>
  <c r="L67" i="33"/>
  <c r="R67" i="33"/>
  <c r="N67" i="33"/>
  <c r="N24" i="12"/>
  <c r="N21" i="12"/>
  <c r="M42" i="12"/>
  <c r="M14" i="12"/>
  <c r="D25" i="109"/>
  <c r="C38" i="89"/>
  <c r="B39" i="89"/>
  <c r="C38" i="88"/>
  <c r="B39" i="88"/>
  <c r="C37" i="93"/>
  <c r="B38" i="93"/>
  <c r="C51" i="88"/>
  <c r="B52" i="88"/>
  <c r="R39" i="91"/>
  <c r="R50" i="90"/>
  <c r="P51" i="104"/>
  <c r="R50" i="104"/>
  <c r="N65" i="33"/>
  <c r="O65" i="33"/>
  <c r="L65" i="33"/>
  <c r="J65" i="33"/>
  <c r="K65" i="33"/>
  <c r="G65" i="33"/>
  <c r="I65" i="33"/>
  <c r="H65" i="33"/>
  <c r="M65" i="33"/>
  <c r="P65" i="33"/>
  <c r="C38" i="108"/>
  <c r="B39" i="108"/>
  <c r="B52" i="91"/>
  <c r="C51" i="91"/>
  <c r="D51" i="91" s="1"/>
  <c r="R37" i="105"/>
  <c r="B39" i="96"/>
  <c r="C38" i="96"/>
  <c r="P51" i="91"/>
  <c r="Q51" i="91" s="1"/>
  <c r="R50" i="91"/>
  <c r="C49" i="100"/>
  <c r="B50" i="100"/>
  <c r="B54" i="80"/>
  <c r="C54" i="80" s="1"/>
  <c r="C53" i="80"/>
  <c r="D53" i="80" s="1"/>
  <c r="L105" i="33"/>
  <c r="I105" i="33"/>
  <c r="K105" i="33"/>
  <c r="E105" i="33"/>
  <c r="G105" i="33"/>
  <c r="C105" i="33"/>
  <c r="C110" i="33" s="1"/>
  <c r="K114" i="33" s="1"/>
  <c r="D105" i="33"/>
  <c r="D110" i="33" s="1"/>
  <c r="L114" i="33" s="1"/>
  <c r="J105" i="33"/>
  <c r="F105" i="33"/>
  <c r="H105" i="33"/>
  <c r="C51" i="87"/>
  <c r="D51" i="87" s="1"/>
  <c r="B52" i="87"/>
  <c r="B53" i="93"/>
  <c r="C52" i="93"/>
  <c r="D52" i="93" s="1"/>
  <c r="R50" i="94"/>
  <c r="P51" i="100"/>
  <c r="R50" i="100"/>
  <c r="P51" i="103"/>
  <c r="Q51" i="103" s="1"/>
  <c r="R50" i="103"/>
  <c r="P51" i="99"/>
  <c r="Q51" i="99" s="1"/>
  <c r="P51" i="112"/>
  <c r="M26" i="12"/>
  <c r="L16" i="12"/>
  <c r="K16" i="12"/>
  <c r="K5" i="12"/>
  <c r="G25" i="12"/>
  <c r="D37" i="80"/>
  <c r="D48" i="112"/>
  <c r="D48" i="108"/>
  <c r="D27" i="89"/>
  <c r="N56" i="33"/>
  <c r="B72" i="33" s="1"/>
  <c r="O66" i="33"/>
  <c r="H66" i="33"/>
  <c r="P66" i="33"/>
  <c r="M66" i="33"/>
  <c r="N66" i="33"/>
  <c r="K66" i="33"/>
  <c r="J66" i="33"/>
  <c r="L66" i="33"/>
  <c r="I66" i="33"/>
  <c r="Q66" i="33"/>
  <c r="O31" i="12"/>
  <c r="D37" i="89"/>
  <c r="F79" i="33"/>
  <c r="O79" i="33"/>
  <c r="G79" i="33"/>
  <c r="N79" i="33"/>
  <c r="L79" i="33"/>
  <c r="H79" i="33"/>
  <c r="I79" i="33"/>
  <c r="J79" i="33"/>
  <c r="M79" i="33"/>
  <c r="K79" i="33"/>
  <c r="B38" i="90"/>
  <c r="C37" i="90"/>
  <c r="D37" i="93"/>
  <c r="C38" i="87"/>
  <c r="B39" i="87"/>
  <c r="D29" i="112"/>
  <c r="D49" i="108"/>
  <c r="Q51" i="112"/>
  <c r="P40" i="112"/>
  <c r="Q40" i="112" s="1"/>
  <c r="R40" i="112" s="1"/>
  <c r="Q51" i="111"/>
  <c r="Q38" i="111"/>
  <c r="R38" i="111" s="1"/>
  <c r="Q51" i="110"/>
  <c r="Q39" i="110"/>
  <c r="Q51" i="109"/>
  <c r="Q51" i="108"/>
  <c r="Q38" i="108"/>
  <c r="Q51" i="107"/>
  <c r="P39" i="107"/>
  <c r="Q38" i="107"/>
  <c r="R38" i="107" s="1"/>
  <c r="Q37" i="99"/>
  <c r="Q51" i="106"/>
  <c r="Q51" i="105"/>
  <c r="P38" i="105"/>
  <c r="Q51" i="104"/>
  <c r="P52" i="104" s="1"/>
  <c r="Q51" i="102"/>
  <c r="R51" i="102" s="1"/>
  <c r="Q51" i="101"/>
  <c r="Q37" i="101"/>
  <c r="Q51" i="100"/>
  <c r="P52" i="100" s="1"/>
  <c r="Q52" i="100" s="1"/>
  <c r="P38" i="100"/>
  <c r="Q39" i="89"/>
  <c r="Q51" i="96"/>
  <c r="P52" i="96" s="1"/>
  <c r="P40" i="96"/>
  <c r="Q40" i="96" s="1"/>
  <c r="R40" i="96" s="1"/>
  <c r="Q51" i="94"/>
  <c r="P52" i="94" s="1"/>
  <c r="Q37" i="94"/>
  <c r="P40" i="93"/>
  <c r="Q40" i="93" s="1"/>
  <c r="R40" i="93" s="1"/>
  <c r="Q51" i="92"/>
  <c r="Q38" i="92"/>
  <c r="P40" i="91"/>
  <c r="Q51" i="90"/>
  <c r="Q37" i="90"/>
  <c r="P52" i="88"/>
  <c r="Q51" i="88"/>
  <c r="Q39" i="88"/>
  <c r="Q51" i="87"/>
  <c r="Q38" i="87"/>
  <c r="P40" i="109"/>
  <c r="Q40" i="109" s="1"/>
  <c r="R40" i="109" s="1"/>
  <c r="P40" i="106"/>
  <c r="Q40" i="106" s="1"/>
  <c r="R40" i="106" s="1"/>
  <c r="P40" i="104"/>
  <c r="P40" i="103"/>
  <c r="Q40" i="103" s="1"/>
  <c r="R40" i="103" s="1"/>
  <c r="P40" i="102"/>
  <c r="Q40" i="102" s="1"/>
  <c r="R40" i="102" s="1"/>
  <c r="P52" i="80"/>
  <c r="Q52" i="80" s="1"/>
  <c r="R52" i="80" s="1"/>
  <c r="P40" i="80"/>
  <c r="Q40" i="80"/>
  <c r="R40" i="80" s="1"/>
  <c r="Q25" i="111"/>
  <c r="Q25" i="110"/>
  <c r="Q26" i="109"/>
  <c r="Q27" i="108"/>
  <c r="B41" i="112"/>
  <c r="C40" i="112"/>
  <c r="D39" i="112"/>
  <c r="C39" i="110"/>
  <c r="D39" i="110" s="1"/>
  <c r="B40" i="110"/>
  <c r="D38" i="110"/>
  <c r="B51" i="110"/>
  <c r="C50" i="110"/>
  <c r="B25" i="101"/>
  <c r="C25" i="101" s="1"/>
  <c r="C52" i="101"/>
  <c r="D52" i="101" s="1"/>
  <c r="B53" i="101"/>
  <c r="D26" i="102"/>
  <c r="B52" i="102"/>
  <c r="C51" i="102"/>
  <c r="D30" i="102"/>
  <c r="D51" i="102"/>
  <c r="D29" i="102"/>
  <c r="D28" i="102"/>
  <c r="D25" i="102"/>
  <c r="C38" i="102"/>
  <c r="B39" i="102"/>
  <c r="D27" i="102"/>
  <c r="B39" i="103"/>
  <c r="C38" i="103"/>
  <c r="D38" i="103" s="1"/>
  <c r="D37" i="103"/>
  <c r="C38" i="104"/>
  <c r="D38" i="104" s="1"/>
  <c r="B39" i="104"/>
  <c r="D37" i="104"/>
  <c r="B52" i="104"/>
  <c r="C51" i="104"/>
  <c r="D51" i="104" s="1"/>
  <c r="C38" i="105"/>
  <c r="D38" i="105" s="1"/>
  <c r="B39" i="105"/>
  <c r="B52" i="105"/>
  <c r="C51" i="105"/>
  <c r="D50" i="105"/>
  <c r="B51" i="106"/>
  <c r="C50" i="106"/>
  <c r="B40" i="109"/>
  <c r="C39" i="109"/>
  <c r="D39" i="109" s="1"/>
  <c r="D38" i="109"/>
  <c r="B51" i="107"/>
  <c r="C50" i="107"/>
  <c r="D50" i="107" s="1"/>
  <c r="C37" i="107"/>
  <c r="B38" i="107"/>
  <c r="D37" i="107"/>
  <c r="D49" i="107"/>
  <c r="P26" i="106"/>
  <c r="R25" i="106"/>
  <c r="P27" i="105"/>
  <c r="Q27" i="105" s="1"/>
  <c r="Q27" i="104"/>
  <c r="R27" i="104" s="1"/>
  <c r="R26" i="104"/>
  <c r="Q27" i="103"/>
  <c r="R27" i="103" s="1"/>
  <c r="R25" i="102"/>
  <c r="P27" i="101"/>
  <c r="R26" i="101"/>
  <c r="P27" i="100"/>
  <c r="Q27" i="100" s="1"/>
  <c r="P27" i="96"/>
  <c r="Q26" i="96"/>
  <c r="R26" i="94"/>
  <c r="Q27" i="94"/>
  <c r="R27" i="94" s="1"/>
  <c r="P27" i="93"/>
  <c r="R25" i="92"/>
  <c r="P26" i="92"/>
  <c r="R25" i="91"/>
  <c r="P26" i="91"/>
  <c r="R26" i="90"/>
  <c r="P27" i="90"/>
  <c r="P27" i="88"/>
  <c r="Q27" i="88" s="1"/>
  <c r="P28" i="107"/>
  <c r="Q28" i="107" s="1"/>
  <c r="R27" i="107"/>
  <c r="P28" i="105"/>
  <c r="Q28" i="105" s="1"/>
  <c r="R27" i="105"/>
  <c r="P28" i="89"/>
  <c r="Q28" i="89" s="1"/>
  <c r="R27" i="89"/>
  <c r="R26" i="87"/>
  <c r="Q27" i="87"/>
  <c r="R24" i="80"/>
  <c r="P25" i="80"/>
  <c r="Q25" i="80" s="1"/>
  <c r="R68" i="33" l="1"/>
  <c r="Q68" i="33"/>
  <c r="M68" i="33"/>
  <c r="K68" i="33"/>
  <c r="L68" i="33"/>
  <c r="P82" i="33"/>
  <c r="I17" i="12"/>
  <c r="N70" i="33"/>
  <c r="L70" i="33"/>
  <c r="L73" i="33" s="1"/>
  <c r="Q70" i="33"/>
  <c r="T70" i="33"/>
  <c r="P70" i="33"/>
  <c r="M70" i="33"/>
  <c r="U70" i="33"/>
  <c r="S70" i="33"/>
  <c r="R70" i="33"/>
  <c r="F73" i="33"/>
  <c r="F85" i="33" s="1"/>
  <c r="B94" i="33" s="1"/>
  <c r="J94" i="33" s="1"/>
  <c r="W85" i="33"/>
  <c r="V113" i="33" s="1"/>
  <c r="P52" i="99"/>
  <c r="R51" i="99"/>
  <c r="R51" i="91"/>
  <c r="P52" i="91"/>
  <c r="D50" i="103"/>
  <c r="P52" i="93"/>
  <c r="R51" i="93"/>
  <c r="R51" i="103"/>
  <c r="P52" i="103"/>
  <c r="Q52" i="103" s="1"/>
  <c r="P52" i="89"/>
  <c r="R51" i="89"/>
  <c r="P52" i="87"/>
  <c r="R51" i="87"/>
  <c r="J16" i="12"/>
  <c r="B26" i="12"/>
  <c r="B16" i="12"/>
  <c r="C52" i="88"/>
  <c r="B53" i="88"/>
  <c r="M93" i="33"/>
  <c r="N93" i="33"/>
  <c r="F93" i="33"/>
  <c r="J93" i="33"/>
  <c r="G93" i="33"/>
  <c r="H93" i="33"/>
  <c r="K93" i="33"/>
  <c r="I93" i="33"/>
  <c r="L93" i="33"/>
  <c r="E93" i="33"/>
  <c r="E102" i="33" s="1"/>
  <c r="E113" i="33" s="1"/>
  <c r="D51" i="109"/>
  <c r="B39" i="94"/>
  <c r="C38" i="94"/>
  <c r="H15" i="12"/>
  <c r="F15" i="12" s="1"/>
  <c r="J4" i="12"/>
  <c r="B51" i="96"/>
  <c r="C50" i="96"/>
  <c r="R39" i="110"/>
  <c r="P40" i="88"/>
  <c r="R39" i="88"/>
  <c r="R38" i="92"/>
  <c r="R39" i="92"/>
  <c r="R37" i="101"/>
  <c r="P40" i="110"/>
  <c r="Q40" i="110" s="1"/>
  <c r="C38" i="90"/>
  <c r="B39" i="90"/>
  <c r="G26" i="12"/>
  <c r="C53" i="93"/>
  <c r="B54" i="93"/>
  <c r="C54" i="93" s="1"/>
  <c r="R51" i="104"/>
  <c r="D51" i="88"/>
  <c r="D52" i="88"/>
  <c r="M73" i="33"/>
  <c r="D53" i="111"/>
  <c r="D38" i="90"/>
  <c r="D54" i="93"/>
  <c r="D52" i="91"/>
  <c r="P53" i="100"/>
  <c r="Q53" i="100" s="1"/>
  <c r="R52" i="100"/>
  <c r="P52" i="112"/>
  <c r="R51" i="112"/>
  <c r="R51" i="88"/>
  <c r="P39" i="92"/>
  <c r="P38" i="101"/>
  <c r="Q38" i="101" s="1"/>
  <c r="P52" i="110"/>
  <c r="Q52" i="110" s="1"/>
  <c r="P53" i="110" s="1"/>
  <c r="Q53" i="110" s="1"/>
  <c r="R53" i="110" s="1"/>
  <c r="R51" i="110"/>
  <c r="D37" i="90"/>
  <c r="O82" i="33"/>
  <c r="C52" i="87"/>
  <c r="B53" i="87"/>
  <c r="B53" i="91"/>
  <c r="C52" i="91"/>
  <c r="B39" i="93"/>
  <c r="C38" i="93"/>
  <c r="L14" i="12"/>
  <c r="M24" i="12"/>
  <c r="K14" i="12"/>
  <c r="K3" i="12"/>
  <c r="M41" i="12"/>
  <c r="M21" i="12"/>
  <c r="R51" i="94"/>
  <c r="G73" i="33"/>
  <c r="G85" i="33" s="1"/>
  <c r="J17" i="12"/>
  <c r="B17" i="12"/>
  <c r="B27" i="12"/>
  <c r="D38" i="94"/>
  <c r="U56" i="33"/>
  <c r="U58" i="33" s="1"/>
  <c r="D50" i="96"/>
  <c r="B51" i="99"/>
  <c r="C50" i="99"/>
  <c r="D50" i="99" s="1"/>
  <c r="D53" i="93"/>
  <c r="D37" i="92"/>
  <c r="P52" i="92"/>
  <c r="Q52" i="92" s="1"/>
  <c r="R51" i="92"/>
  <c r="P52" i="101"/>
  <c r="R51" i="101"/>
  <c r="P52" i="105"/>
  <c r="R51" i="105"/>
  <c r="P52" i="107"/>
  <c r="R51" i="107"/>
  <c r="C39" i="87"/>
  <c r="D39" i="87" s="1"/>
  <c r="B40" i="87"/>
  <c r="U72" i="33"/>
  <c r="N72" i="33"/>
  <c r="N73" i="33" s="1"/>
  <c r="N85" i="33" s="1"/>
  <c r="R72" i="33"/>
  <c r="O72" i="33"/>
  <c r="O73" i="33" s="1"/>
  <c r="O85" i="33" s="1"/>
  <c r="S72" i="33"/>
  <c r="S73" i="33" s="1"/>
  <c r="T72" i="33"/>
  <c r="Q72" i="33"/>
  <c r="V72" i="33"/>
  <c r="V73" i="33" s="1"/>
  <c r="P72" i="33"/>
  <c r="W72" i="33"/>
  <c r="W73" i="33" s="1"/>
  <c r="F25" i="12"/>
  <c r="B40" i="96"/>
  <c r="C39" i="96"/>
  <c r="N42" i="12"/>
  <c r="O42" i="12" s="1"/>
  <c r="K73" i="33"/>
  <c r="B26" i="94"/>
  <c r="C26" i="94" s="1"/>
  <c r="D39" i="99"/>
  <c r="C38" i="80"/>
  <c r="B39" i="80"/>
  <c r="B52" i="89"/>
  <c r="C51" i="89"/>
  <c r="C50" i="103"/>
  <c r="B51" i="103"/>
  <c r="C40" i="106"/>
  <c r="B41" i="106"/>
  <c r="R37" i="90"/>
  <c r="P40" i="89"/>
  <c r="R39" i="89"/>
  <c r="P52" i="106"/>
  <c r="Q52" i="106" s="1"/>
  <c r="R51" i="106"/>
  <c r="P52" i="111"/>
  <c r="Q52" i="111" s="1"/>
  <c r="R51" i="111"/>
  <c r="D38" i="87"/>
  <c r="D49" i="112"/>
  <c r="R51" i="100"/>
  <c r="R38" i="108"/>
  <c r="B51" i="100"/>
  <c r="C50" i="100"/>
  <c r="C39" i="108"/>
  <c r="B40" i="108"/>
  <c r="C39" i="88"/>
  <c r="B40" i="88"/>
  <c r="H73" i="33"/>
  <c r="H85" i="33" s="1"/>
  <c r="B96" i="33" s="1"/>
  <c r="G17" i="12"/>
  <c r="G6" i="12" s="1"/>
  <c r="I6" i="12"/>
  <c r="C40" i="99"/>
  <c r="B41" i="99"/>
  <c r="D54" i="80"/>
  <c r="L18" i="12"/>
  <c r="M28" i="12"/>
  <c r="K18" i="12"/>
  <c r="K7" i="12"/>
  <c r="C40" i="100"/>
  <c r="B41" i="100"/>
  <c r="D40" i="106"/>
  <c r="L20" i="12"/>
  <c r="M30" i="12"/>
  <c r="K9" i="12"/>
  <c r="K20" i="12"/>
  <c r="P52" i="90"/>
  <c r="R51" i="90"/>
  <c r="P52" i="102"/>
  <c r="Q52" i="102" s="1"/>
  <c r="R37" i="99"/>
  <c r="D38" i="93"/>
  <c r="D38" i="88"/>
  <c r="I73" i="33"/>
  <c r="G27" i="12"/>
  <c r="C38" i="92"/>
  <c r="B39" i="92"/>
  <c r="D38" i="108"/>
  <c r="B41" i="91"/>
  <c r="C40" i="91"/>
  <c r="R37" i="94"/>
  <c r="P52" i="108"/>
  <c r="Q52" i="108" s="1"/>
  <c r="R51" i="108"/>
  <c r="B40" i="89"/>
  <c r="C39" i="89"/>
  <c r="N31" i="12"/>
  <c r="C50" i="108"/>
  <c r="B51" i="108"/>
  <c r="J73" i="33"/>
  <c r="G15" i="12"/>
  <c r="I4" i="12"/>
  <c r="M78" i="33"/>
  <c r="M82" i="33" s="1"/>
  <c r="N78" i="33"/>
  <c r="N82" i="33" s="1"/>
  <c r="I78" i="33"/>
  <c r="I82" i="33" s="1"/>
  <c r="Q86" i="33" s="1"/>
  <c r="J78" i="33"/>
  <c r="J82" i="33" s="1"/>
  <c r="R86" i="33" s="1"/>
  <c r="K78" i="33"/>
  <c r="K82" i="33" s="1"/>
  <c r="E78" i="33"/>
  <c r="E82" i="33" s="1"/>
  <c r="M86" i="33" s="1"/>
  <c r="H78" i="33"/>
  <c r="H82" i="33" s="1"/>
  <c r="P86" i="33" s="1"/>
  <c r="L78" i="33"/>
  <c r="L82" i="33" s="1"/>
  <c r="F78" i="33"/>
  <c r="F82" i="33" s="1"/>
  <c r="N86" i="33" s="1"/>
  <c r="B108" i="33" s="1"/>
  <c r="G78" i="33"/>
  <c r="G82" i="33" s="1"/>
  <c r="O86" i="33" s="1"/>
  <c r="B109" i="33" s="1"/>
  <c r="B39" i="101"/>
  <c r="C38" i="101"/>
  <c r="D38" i="101" s="1"/>
  <c r="B28" i="100"/>
  <c r="C28" i="100" s="1"/>
  <c r="D28" i="100"/>
  <c r="D27" i="100"/>
  <c r="D39" i="108"/>
  <c r="D50" i="100"/>
  <c r="D52" i="87"/>
  <c r="B41" i="111"/>
  <c r="C40" i="111"/>
  <c r="D39" i="106"/>
  <c r="B26" i="109"/>
  <c r="C26" i="109" s="1"/>
  <c r="D26" i="109" s="1"/>
  <c r="R38" i="87"/>
  <c r="P52" i="109"/>
  <c r="Q52" i="109" s="1"/>
  <c r="R51" i="109"/>
  <c r="I16" i="12"/>
  <c r="D38" i="89"/>
  <c r="C50" i="112"/>
  <c r="D50" i="112" s="1"/>
  <c r="B51" i="112"/>
  <c r="C52" i="109"/>
  <c r="B53" i="109"/>
  <c r="D26" i="94"/>
  <c r="D38" i="96"/>
  <c r="L19" i="12"/>
  <c r="M29" i="12"/>
  <c r="K19" i="12"/>
  <c r="K8" i="12"/>
  <c r="D49" i="100"/>
  <c r="B26" i="92"/>
  <c r="C26" i="92" s="1"/>
  <c r="D26" i="92" s="1"/>
  <c r="D25" i="92"/>
  <c r="D39" i="96"/>
  <c r="Q52" i="112"/>
  <c r="P41" i="112"/>
  <c r="Q41" i="112" s="1"/>
  <c r="R41" i="112" s="1"/>
  <c r="P39" i="111"/>
  <c r="P39" i="108"/>
  <c r="Q52" i="107"/>
  <c r="P40" i="107"/>
  <c r="Q39" i="107"/>
  <c r="Q52" i="99"/>
  <c r="P38" i="99"/>
  <c r="Q52" i="105"/>
  <c r="P53" i="105" s="1"/>
  <c r="Q38" i="105"/>
  <c r="Q52" i="104"/>
  <c r="Q40" i="104"/>
  <c r="R40" i="104" s="1"/>
  <c r="Q52" i="101"/>
  <c r="Q38" i="100"/>
  <c r="R38" i="100" s="1"/>
  <c r="Q52" i="89"/>
  <c r="Q40" i="89"/>
  <c r="R40" i="89" s="1"/>
  <c r="Q52" i="96"/>
  <c r="P41" i="96"/>
  <c r="Q52" i="94"/>
  <c r="P38" i="94"/>
  <c r="Q52" i="93"/>
  <c r="P41" i="93"/>
  <c r="Q41" i="93" s="1"/>
  <c r="R41" i="93" s="1"/>
  <c r="Q39" i="92"/>
  <c r="P40" i="92" s="1"/>
  <c r="Q52" i="91"/>
  <c r="R52" i="91" s="1"/>
  <c r="Q40" i="91"/>
  <c r="R40" i="91" s="1"/>
  <c r="Q52" i="90"/>
  <c r="P38" i="90"/>
  <c r="Q52" i="88"/>
  <c r="Q40" i="88"/>
  <c r="R40" i="88" s="1"/>
  <c r="P53" i="87"/>
  <c r="Q52" i="87"/>
  <c r="R52" i="87" s="1"/>
  <c r="P39" i="87"/>
  <c r="P54" i="110"/>
  <c r="Q54" i="110" s="1"/>
  <c r="R54" i="110" s="1"/>
  <c r="P41" i="109"/>
  <c r="Q41" i="109" s="1"/>
  <c r="R41" i="109" s="1"/>
  <c r="P41" i="106"/>
  <c r="Q41" i="106" s="1"/>
  <c r="R41" i="106" s="1"/>
  <c r="P41" i="103"/>
  <c r="P41" i="102"/>
  <c r="Q41" i="102" s="1"/>
  <c r="R41" i="102" s="1"/>
  <c r="P42" i="93"/>
  <c r="Q42" i="93" s="1"/>
  <c r="R42" i="93" s="1"/>
  <c r="Q53" i="80"/>
  <c r="R53" i="80" s="1"/>
  <c r="P53" i="80"/>
  <c r="P41" i="80"/>
  <c r="Q41" i="80" s="1"/>
  <c r="R41" i="80" s="1"/>
  <c r="R25" i="112"/>
  <c r="P26" i="112"/>
  <c r="Q26" i="112" s="1"/>
  <c r="R25" i="111"/>
  <c r="P26" i="111"/>
  <c r="R25" i="110"/>
  <c r="P26" i="110"/>
  <c r="R26" i="109"/>
  <c r="P27" i="109"/>
  <c r="P28" i="108"/>
  <c r="R27" i="108"/>
  <c r="B42" i="112"/>
  <c r="C42" i="112" s="1"/>
  <c r="C41" i="112"/>
  <c r="D40" i="112"/>
  <c r="B52" i="110"/>
  <c r="C51" i="110"/>
  <c r="D51" i="110" s="1"/>
  <c r="C40" i="110"/>
  <c r="B41" i="110"/>
  <c r="D50" i="110"/>
  <c r="B26" i="101"/>
  <c r="C26" i="101" s="1"/>
  <c r="B27" i="101" s="1"/>
  <c r="C27" i="101" s="1"/>
  <c r="B28" i="101" s="1"/>
  <c r="C28" i="101" s="1"/>
  <c r="B29" i="101" s="1"/>
  <c r="C29" i="101" s="1"/>
  <c r="B30" i="101" s="1"/>
  <c r="C30" i="101" s="1"/>
  <c r="D30" i="101" s="1"/>
  <c r="D26" i="101"/>
  <c r="D25" i="101"/>
  <c r="B54" i="101"/>
  <c r="C54" i="101" s="1"/>
  <c r="C53" i="101"/>
  <c r="D53" i="101" s="1"/>
  <c r="D28" i="101"/>
  <c r="D29" i="101"/>
  <c r="D38" i="102"/>
  <c r="B53" i="102"/>
  <c r="C52" i="102"/>
  <c r="D52" i="102" s="1"/>
  <c r="C39" i="102"/>
  <c r="D39" i="102" s="1"/>
  <c r="B40" i="102"/>
  <c r="B40" i="103"/>
  <c r="C39" i="103"/>
  <c r="B53" i="104"/>
  <c r="C52" i="104"/>
  <c r="D52" i="104" s="1"/>
  <c r="C39" i="104"/>
  <c r="B40" i="104"/>
  <c r="C52" i="105"/>
  <c r="B53" i="105"/>
  <c r="B40" i="105"/>
  <c r="C39" i="105"/>
  <c r="D51" i="105"/>
  <c r="D52" i="105"/>
  <c r="D50" i="106"/>
  <c r="D51" i="106"/>
  <c r="C51" i="106"/>
  <c r="B52" i="106"/>
  <c r="C40" i="109"/>
  <c r="B41" i="109"/>
  <c r="B52" i="107"/>
  <c r="C51" i="107"/>
  <c r="D51" i="107" s="1"/>
  <c r="C38" i="107"/>
  <c r="D38" i="107" s="1"/>
  <c r="B39" i="107"/>
  <c r="Q26" i="106"/>
  <c r="P28" i="104"/>
  <c r="P28" i="103"/>
  <c r="Q28" i="103" s="1"/>
  <c r="P29" i="103" s="1"/>
  <c r="Q29" i="103" s="1"/>
  <c r="P27" i="102"/>
  <c r="Q27" i="102" s="1"/>
  <c r="R26" i="102"/>
  <c r="Q27" i="101"/>
  <c r="P28" i="101" s="1"/>
  <c r="R26" i="100"/>
  <c r="R27" i="100"/>
  <c r="R26" i="96"/>
  <c r="R27" i="96"/>
  <c r="P28" i="96"/>
  <c r="Q27" i="96"/>
  <c r="P28" i="94"/>
  <c r="Q27" i="93"/>
  <c r="Q26" i="92"/>
  <c r="Q26" i="91"/>
  <c r="Q27" i="90"/>
  <c r="R26" i="88"/>
  <c r="P28" i="88"/>
  <c r="Q28" i="88" s="1"/>
  <c r="P29" i="107"/>
  <c r="Q29" i="107" s="1"/>
  <c r="R28" i="107"/>
  <c r="P29" i="105"/>
  <c r="R28" i="105"/>
  <c r="R28" i="103"/>
  <c r="P29" i="89"/>
  <c r="Q29" i="89" s="1"/>
  <c r="R28" i="89"/>
  <c r="P28" i="87"/>
  <c r="R27" i="87"/>
  <c r="P73" i="33" l="1"/>
  <c r="P85" i="33" s="1"/>
  <c r="I19" i="12"/>
  <c r="I18" i="12"/>
  <c r="Q73" i="33"/>
  <c r="Q85" i="33" s="1"/>
  <c r="T73" i="33"/>
  <c r="R73" i="33"/>
  <c r="R85" i="33" s="1"/>
  <c r="U73" i="33"/>
  <c r="I85" i="33"/>
  <c r="B97" i="33" s="1"/>
  <c r="O97" i="33" s="1"/>
  <c r="K85" i="33"/>
  <c r="B99" i="33" s="1"/>
  <c r="K99" i="33" s="1"/>
  <c r="M85" i="33"/>
  <c r="B101" i="33" s="1"/>
  <c r="V101" i="33" s="1"/>
  <c r="V102" i="33" s="1"/>
  <c r="F94" i="33"/>
  <c r="F102" i="33" s="1"/>
  <c r="F113" i="33" s="1"/>
  <c r="O94" i="33"/>
  <c r="I94" i="33"/>
  <c r="G94" i="33"/>
  <c r="L94" i="33"/>
  <c r="M94" i="33"/>
  <c r="H94" i="33"/>
  <c r="K94" i="33"/>
  <c r="N94" i="33"/>
  <c r="P53" i="109"/>
  <c r="R52" i="109"/>
  <c r="P53" i="106"/>
  <c r="R52" i="106"/>
  <c r="R38" i="101"/>
  <c r="P39" i="101"/>
  <c r="P53" i="108"/>
  <c r="R52" i="108"/>
  <c r="P53" i="92"/>
  <c r="R52" i="92"/>
  <c r="P53" i="102"/>
  <c r="R52" i="102"/>
  <c r="D41" i="99"/>
  <c r="P53" i="111"/>
  <c r="R52" i="111"/>
  <c r="R52" i="103"/>
  <c r="P53" i="103"/>
  <c r="R39" i="107"/>
  <c r="I8" i="12"/>
  <c r="C39" i="101"/>
  <c r="B40" i="101"/>
  <c r="D50" i="108"/>
  <c r="D41" i="91"/>
  <c r="D40" i="91"/>
  <c r="B42" i="99"/>
  <c r="C42" i="99" s="1"/>
  <c r="C41" i="99"/>
  <c r="L85" i="33"/>
  <c r="B100" i="33" s="1"/>
  <c r="B52" i="99"/>
  <c r="C51" i="99"/>
  <c r="I14" i="12"/>
  <c r="M39" i="12"/>
  <c r="K21" i="12"/>
  <c r="C43" i="12"/>
  <c r="D54" i="101"/>
  <c r="R38" i="105"/>
  <c r="P53" i="107"/>
  <c r="R52" i="107"/>
  <c r="J19" i="12"/>
  <c r="B19" i="12"/>
  <c r="B29" i="12"/>
  <c r="C51" i="112"/>
  <c r="B52" i="112"/>
  <c r="L108" i="33"/>
  <c r="G108" i="33"/>
  <c r="O108" i="33"/>
  <c r="I108" i="33"/>
  <c r="M108" i="33"/>
  <c r="N108" i="33"/>
  <c r="H108" i="33"/>
  <c r="K108" i="33"/>
  <c r="J108" i="33"/>
  <c r="F108" i="33"/>
  <c r="B20" i="12"/>
  <c r="J20" i="12"/>
  <c r="B30" i="12"/>
  <c r="G28" i="12"/>
  <c r="C40" i="88"/>
  <c r="D40" i="88" s="1"/>
  <c r="B41" i="88"/>
  <c r="E15" i="12"/>
  <c r="E25" i="12"/>
  <c r="J14" i="12"/>
  <c r="B24" i="12"/>
  <c r="M40" i="12"/>
  <c r="L21" i="12"/>
  <c r="B14" i="12"/>
  <c r="C53" i="87"/>
  <c r="B54" i="87"/>
  <c r="C54" i="87" s="1"/>
  <c r="D54" i="87" s="1"/>
  <c r="H16" i="12"/>
  <c r="H5" i="12" s="1"/>
  <c r="J5" i="12"/>
  <c r="D43" i="12"/>
  <c r="P53" i="90"/>
  <c r="R52" i="90"/>
  <c r="M109" i="33"/>
  <c r="N109" i="33"/>
  <c r="I109" i="33"/>
  <c r="H109" i="33"/>
  <c r="G109" i="33"/>
  <c r="K109" i="33"/>
  <c r="P109" i="33"/>
  <c r="P110" i="33" s="1"/>
  <c r="J109" i="33"/>
  <c r="L109" i="33"/>
  <c r="O109" i="33"/>
  <c r="B42" i="91"/>
  <c r="C42" i="91" s="1"/>
  <c r="C41" i="91"/>
  <c r="D42" i="91" s="1"/>
  <c r="M31" i="12"/>
  <c r="G24" i="12"/>
  <c r="B40" i="90"/>
  <c r="C39" i="90"/>
  <c r="B52" i="96"/>
  <c r="C51" i="96"/>
  <c r="P53" i="93"/>
  <c r="R52" i="93"/>
  <c r="P53" i="101"/>
  <c r="R52" i="101"/>
  <c r="J18" i="12"/>
  <c r="B18" i="12"/>
  <c r="B28" i="12"/>
  <c r="D52" i="89"/>
  <c r="D51" i="89"/>
  <c r="D40" i="99"/>
  <c r="F4" i="12"/>
  <c r="R52" i="105"/>
  <c r="P41" i="110"/>
  <c r="Q41" i="110" s="1"/>
  <c r="R40" i="110"/>
  <c r="P53" i="91"/>
  <c r="P53" i="89"/>
  <c r="Q53" i="89" s="1"/>
  <c r="R52" i="89"/>
  <c r="P53" i="112"/>
  <c r="R52" i="112"/>
  <c r="B27" i="92"/>
  <c r="C27" i="92" s="1"/>
  <c r="D41" i="111"/>
  <c r="D40" i="111"/>
  <c r="B41" i="89"/>
  <c r="C40" i="89"/>
  <c r="D39" i="88"/>
  <c r="B42" i="100"/>
  <c r="C42" i="100" s="1"/>
  <c r="C41" i="100"/>
  <c r="D42" i="100" s="1"/>
  <c r="L36" i="95" s="1"/>
  <c r="C40" i="108"/>
  <c r="B41" i="108"/>
  <c r="B53" i="89"/>
  <c r="C52" i="89"/>
  <c r="D42" i="99"/>
  <c r="B40" i="93"/>
  <c r="C39" i="93"/>
  <c r="H4" i="12"/>
  <c r="B54" i="88"/>
  <c r="C54" i="88" s="1"/>
  <c r="C53" i="88"/>
  <c r="P53" i="96"/>
  <c r="Q53" i="96" s="1"/>
  <c r="R52" i="96"/>
  <c r="P53" i="104"/>
  <c r="R52" i="104"/>
  <c r="G29" i="12"/>
  <c r="B27" i="109"/>
  <c r="C27" i="109" s="1"/>
  <c r="B28" i="109" s="1"/>
  <c r="C28" i="109" s="1"/>
  <c r="B29" i="109" s="1"/>
  <c r="C29" i="109" s="1"/>
  <c r="B30" i="109" s="1"/>
  <c r="C30" i="109" s="1"/>
  <c r="D30" i="109" s="1"/>
  <c r="D27" i="109"/>
  <c r="B95" i="33"/>
  <c r="P41" i="88"/>
  <c r="D40" i="89"/>
  <c r="B42" i="111"/>
  <c r="C42" i="111" s="1"/>
  <c r="C41" i="111"/>
  <c r="D42" i="111" s="1"/>
  <c r="B107" i="33"/>
  <c r="T86" i="33"/>
  <c r="G4" i="12"/>
  <c r="C39" i="92"/>
  <c r="D39" i="92" s="1"/>
  <c r="B40" i="92"/>
  <c r="D40" i="100"/>
  <c r="L34" i="95" s="1"/>
  <c r="D40" i="108"/>
  <c r="D53" i="87"/>
  <c r="N41" i="12"/>
  <c r="O41" i="12" s="1"/>
  <c r="D53" i="91"/>
  <c r="P54" i="100"/>
  <c r="Q54" i="100" s="1"/>
  <c r="R54" i="100" s="1"/>
  <c r="R53" i="100"/>
  <c r="I7" i="12"/>
  <c r="P41" i="104"/>
  <c r="P53" i="88"/>
  <c r="R52" i="88"/>
  <c r="P53" i="94"/>
  <c r="R52" i="94"/>
  <c r="P39" i="100"/>
  <c r="B29" i="100"/>
  <c r="C29" i="100" s="1"/>
  <c r="B30" i="100" s="1"/>
  <c r="C30" i="100" s="1"/>
  <c r="D30" i="100" s="1"/>
  <c r="D29" i="100"/>
  <c r="J85" i="33"/>
  <c r="B98" i="33" s="1"/>
  <c r="D38" i="92"/>
  <c r="D52" i="109"/>
  <c r="B42" i="106"/>
  <c r="C42" i="106" s="1"/>
  <c r="C41" i="106"/>
  <c r="D42" i="106" s="1"/>
  <c r="C39" i="80"/>
  <c r="D39" i="80" s="1"/>
  <c r="B40" i="80"/>
  <c r="D39" i="93"/>
  <c r="K21" i="13"/>
  <c r="K17" i="13"/>
  <c r="K20" i="13"/>
  <c r="K2" i="13"/>
  <c r="K3" i="13" s="1"/>
  <c r="K4" i="13" s="1"/>
  <c r="K19" i="13"/>
  <c r="K18" i="13"/>
  <c r="K10" i="12"/>
  <c r="C53" i="91"/>
  <c r="D54" i="91" s="1"/>
  <c r="B54" i="91"/>
  <c r="C54" i="91" s="1"/>
  <c r="F26" i="12"/>
  <c r="C39" i="94"/>
  <c r="D39" i="94" s="1"/>
  <c r="B40" i="94"/>
  <c r="G30" i="12"/>
  <c r="C51" i="103"/>
  <c r="D51" i="103" s="1"/>
  <c r="B52" i="103"/>
  <c r="B41" i="96"/>
  <c r="C40" i="96"/>
  <c r="P53" i="99"/>
  <c r="R52" i="99"/>
  <c r="B54" i="109"/>
  <c r="C54" i="109" s="1"/>
  <c r="D54" i="109" s="1"/>
  <c r="C53" i="109"/>
  <c r="D53" i="109" s="1"/>
  <c r="G16" i="12"/>
  <c r="G5" i="12" s="1"/>
  <c r="I5" i="12"/>
  <c r="D28" i="109"/>
  <c r="D39" i="101"/>
  <c r="C51" i="108"/>
  <c r="B52" i="108"/>
  <c r="D51" i="112"/>
  <c r="F27" i="12"/>
  <c r="I20" i="12"/>
  <c r="Q96" i="33"/>
  <c r="K96" i="33"/>
  <c r="M96" i="33"/>
  <c r="L96" i="33"/>
  <c r="I96" i="33"/>
  <c r="N96" i="33"/>
  <c r="O96" i="33"/>
  <c r="H96" i="33"/>
  <c r="J96" i="33"/>
  <c r="P96" i="33"/>
  <c r="C51" i="100"/>
  <c r="B52" i="100"/>
  <c r="D41" i="106"/>
  <c r="D38" i="80"/>
  <c r="B27" i="94"/>
  <c r="C27" i="94" s="1"/>
  <c r="B28" i="94" s="1"/>
  <c r="C28" i="94" s="1"/>
  <c r="B29" i="94" s="1"/>
  <c r="C29" i="94" s="1"/>
  <c r="B41" i="87"/>
  <c r="C40" i="87"/>
  <c r="D40" i="87" s="1"/>
  <c r="H17" i="12"/>
  <c r="H6" i="12" s="1"/>
  <c r="J6" i="12"/>
  <c r="R52" i="110"/>
  <c r="D39" i="89"/>
  <c r="Q53" i="112"/>
  <c r="P42" i="112"/>
  <c r="Q53" i="111"/>
  <c r="Q39" i="111"/>
  <c r="R39" i="111" s="1"/>
  <c r="Q53" i="109"/>
  <c r="R53" i="109" s="1"/>
  <c r="P54" i="108"/>
  <c r="Q54" i="108" s="1"/>
  <c r="R54" i="108" s="1"/>
  <c r="Q53" i="108"/>
  <c r="R53" i="108" s="1"/>
  <c r="P40" i="108"/>
  <c r="Q39" i="108"/>
  <c r="R39" i="108" s="1"/>
  <c r="Q53" i="107"/>
  <c r="Q40" i="107"/>
  <c r="R40" i="107" s="1"/>
  <c r="Q53" i="99"/>
  <c r="P39" i="99"/>
  <c r="Q38" i="99"/>
  <c r="R38" i="99" s="1"/>
  <c r="Q53" i="106"/>
  <c r="P54" i="105"/>
  <c r="Q54" i="105" s="1"/>
  <c r="R54" i="105" s="1"/>
  <c r="Q53" i="105"/>
  <c r="R53" i="105" s="1"/>
  <c r="P39" i="105"/>
  <c r="Q53" i="104"/>
  <c r="Q41" i="104"/>
  <c r="P54" i="103"/>
  <c r="Q54" i="103" s="1"/>
  <c r="R54" i="103" s="1"/>
  <c r="Q53" i="103"/>
  <c r="R53" i="103" s="1"/>
  <c r="Q41" i="103"/>
  <c r="Q53" i="102"/>
  <c r="Q53" i="101"/>
  <c r="P40" i="101"/>
  <c r="Q39" i="101"/>
  <c r="R39" i="101" s="1"/>
  <c r="Q39" i="100"/>
  <c r="R39" i="100" s="1"/>
  <c r="P41" i="89"/>
  <c r="Q41" i="96"/>
  <c r="R41" i="96" s="1"/>
  <c r="Q53" i="94"/>
  <c r="R53" i="94" s="1"/>
  <c r="Q38" i="94"/>
  <c r="R38" i="94" s="1"/>
  <c r="Q53" i="93"/>
  <c r="Q53" i="92"/>
  <c r="Q40" i="92"/>
  <c r="R40" i="92" s="1"/>
  <c r="Q53" i="91"/>
  <c r="P41" i="91"/>
  <c r="Q53" i="90"/>
  <c r="R53" i="90" s="1"/>
  <c r="Q38" i="90"/>
  <c r="R38" i="90" s="1"/>
  <c r="P54" i="88"/>
  <c r="Q54" i="88" s="1"/>
  <c r="R54" i="88" s="1"/>
  <c r="Q53" i="88"/>
  <c r="R53" i="88" s="1"/>
  <c r="Q41" i="88"/>
  <c r="R41" i="88" s="1"/>
  <c r="P54" i="87"/>
  <c r="Q54" i="87" s="1"/>
  <c r="R54" i="87" s="1"/>
  <c r="Q53" i="87"/>
  <c r="R53" i="87" s="1"/>
  <c r="Q39" i="87"/>
  <c r="R39" i="87" s="1"/>
  <c r="P42" i="109"/>
  <c r="Q42" i="109" s="1"/>
  <c r="P42" i="106"/>
  <c r="P42" i="102"/>
  <c r="Q42" i="102" s="1"/>
  <c r="P54" i="80"/>
  <c r="Q54" i="80" s="1"/>
  <c r="R54" i="80" s="1"/>
  <c r="P42" i="80"/>
  <c r="Q42" i="80" s="1"/>
  <c r="R42" i="80" s="1"/>
  <c r="P27" i="111"/>
  <c r="Q26" i="111"/>
  <c r="Q26" i="110"/>
  <c r="P28" i="109"/>
  <c r="Q27" i="109"/>
  <c r="Q28" i="108"/>
  <c r="D42" i="112"/>
  <c r="D41" i="112"/>
  <c r="D40" i="110"/>
  <c r="B53" i="110"/>
  <c r="C52" i="110"/>
  <c r="C41" i="110"/>
  <c r="D41" i="110" s="1"/>
  <c r="B42" i="110"/>
  <c r="C42" i="110" s="1"/>
  <c r="D27" i="101"/>
  <c r="C53" i="102"/>
  <c r="D53" i="102" s="1"/>
  <c r="B54" i="102"/>
  <c r="C54" i="102" s="1"/>
  <c r="D54" i="102" s="1"/>
  <c r="C40" i="102"/>
  <c r="D40" i="102" s="1"/>
  <c r="B41" i="102"/>
  <c r="D40" i="103"/>
  <c r="D39" i="103"/>
  <c r="C40" i="103"/>
  <c r="B41" i="103"/>
  <c r="B41" i="104"/>
  <c r="C40" i="104"/>
  <c r="D39" i="104"/>
  <c r="B54" i="104"/>
  <c r="C54" i="104" s="1"/>
  <c r="C53" i="104"/>
  <c r="C40" i="105"/>
  <c r="B41" i="105"/>
  <c r="B54" i="105"/>
  <c r="C54" i="105" s="1"/>
  <c r="C53" i="105"/>
  <c r="D53" i="105" s="1"/>
  <c r="D40" i="105"/>
  <c r="D39" i="105"/>
  <c r="C52" i="106"/>
  <c r="B53" i="106"/>
  <c r="C41" i="109"/>
  <c r="D41" i="109" s="1"/>
  <c r="B42" i="109"/>
  <c r="C42" i="109" s="1"/>
  <c r="D40" i="109"/>
  <c r="C39" i="107"/>
  <c r="B40" i="107"/>
  <c r="B53" i="107"/>
  <c r="C52" i="107"/>
  <c r="D52" i="107" s="1"/>
  <c r="R26" i="106"/>
  <c r="P27" i="106"/>
  <c r="P30" i="105"/>
  <c r="Q29" i="105"/>
  <c r="Q28" i="104"/>
  <c r="R27" i="101"/>
  <c r="P29" i="101"/>
  <c r="Q28" i="101"/>
  <c r="R28" i="101" s="1"/>
  <c r="P28" i="100"/>
  <c r="Q28" i="100" s="1"/>
  <c r="Q28" i="96"/>
  <c r="Q28" i="94"/>
  <c r="R27" i="93"/>
  <c r="P28" i="93"/>
  <c r="R26" i="92"/>
  <c r="P27" i="92"/>
  <c r="R26" i="91"/>
  <c r="P27" i="91"/>
  <c r="R27" i="90"/>
  <c r="P28" i="90"/>
  <c r="R28" i="88"/>
  <c r="R27" i="88"/>
  <c r="P30" i="107"/>
  <c r="R29" i="107"/>
  <c r="R29" i="105"/>
  <c r="P30" i="103"/>
  <c r="Q30" i="103" s="1"/>
  <c r="R29" i="103"/>
  <c r="P30" i="89"/>
  <c r="Q30" i="89" s="1"/>
  <c r="R30" i="89" s="1"/>
  <c r="R29" i="89"/>
  <c r="Q28" i="87"/>
  <c r="P26" i="80"/>
  <c r="R25" i="80"/>
  <c r="G18" i="12" l="1"/>
  <c r="G7" i="12" s="1"/>
  <c r="G19" i="12"/>
  <c r="G8" i="12" s="1"/>
  <c r="D41" i="12"/>
  <c r="F16" i="12"/>
  <c r="F5" i="12" s="1"/>
  <c r="S85" i="33"/>
  <c r="U85" i="33" s="1"/>
  <c r="Q97" i="33"/>
  <c r="J97" i="33"/>
  <c r="R97" i="33"/>
  <c r="N97" i="33"/>
  <c r="I97" i="33"/>
  <c r="M97" i="33"/>
  <c r="L97" i="33"/>
  <c r="P97" i="33"/>
  <c r="K97" i="33"/>
  <c r="L99" i="33"/>
  <c r="P99" i="33"/>
  <c r="M99" i="33"/>
  <c r="R99" i="33"/>
  <c r="S99" i="33"/>
  <c r="N99" i="33"/>
  <c r="Q99" i="33"/>
  <c r="O99" i="33"/>
  <c r="T99" i="33"/>
  <c r="P101" i="33"/>
  <c r="S101" i="33"/>
  <c r="T101" i="33"/>
  <c r="Q101" i="33"/>
  <c r="O101" i="33"/>
  <c r="M101" i="33"/>
  <c r="U101" i="33"/>
  <c r="R101" i="33"/>
  <c r="N101" i="33"/>
  <c r="B31" i="12"/>
  <c r="P54" i="89"/>
  <c r="Q54" i="89" s="1"/>
  <c r="R54" i="89" s="1"/>
  <c r="R53" i="89"/>
  <c r="R53" i="96"/>
  <c r="P54" i="96"/>
  <c r="Q54" i="96" s="1"/>
  <c r="R54" i="96" s="1"/>
  <c r="R42" i="102"/>
  <c r="B30" i="94"/>
  <c r="C30" i="94" s="1"/>
  <c r="D30" i="94" s="1"/>
  <c r="D29" i="94"/>
  <c r="E16" i="12"/>
  <c r="E5" i="12" s="1"/>
  <c r="E26" i="12"/>
  <c r="K53" i="13"/>
  <c r="K43" i="13"/>
  <c r="N98" i="33"/>
  <c r="S98" i="33"/>
  <c r="L98" i="33"/>
  <c r="O98" i="33"/>
  <c r="R98" i="33"/>
  <c r="Q98" i="33"/>
  <c r="M98" i="33"/>
  <c r="J98" i="33"/>
  <c r="P98" i="33"/>
  <c r="K98" i="33"/>
  <c r="D29" i="109"/>
  <c r="B41" i="93"/>
  <c r="C40" i="93"/>
  <c r="N40" i="12"/>
  <c r="O40" i="12" s="1"/>
  <c r="B42" i="88"/>
  <c r="C42" i="88" s="1"/>
  <c r="C41" i="88"/>
  <c r="D51" i="99"/>
  <c r="G20" i="12"/>
  <c r="G9" i="12" s="1"/>
  <c r="I9" i="12"/>
  <c r="C52" i="112"/>
  <c r="B53" i="112"/>
  <c r="B53" i="99"/>
  <c r="C52" i="99"/>
  <c r="P54" i="91"/>
  <c r="Q54" i="91" s="1"/>
  <c r="R54" i="91" s="1"/>
  <c r="R53" i="91"/>
  <c r="P54" i="94"/>
  <c r="Q54" i="94" s="1"/>
  <c r="R54" i="94" s="1"/>
  <c r="P54" i="104"/>
  <c r="Q54" i="104" s="1"/>
  <c r="R54" i="104" s="1"/>
  <c r="R53" i="104"/>
  <c r="P54" i="99"/>
  <c r="Q54" i="99" s="1"/>
  <c r="R54" i="99" s="1"/>
  <c r="R53" i="99"/>
  <c r="P54" i="109"/>
  <c r="Q54" i="109" s="1"/>
  <c r="R54" i="109" s="1"/>
  <c r="P54" i="111"/>
  <c r="Q54" i="111" s="1"/>
  <c r="R54" i="111" s="1"/>
  <c r="R53" i="111"/>
  <c r="E17" i="12"/>
  <c r="E6" i="12" s="1"/>
  <c r="E27" i="12"/>
  <c r="K54" i="13"/>
  <c r="K44" i="13"/>
  <c r="K21" i="15"/>
  <c r="K21" i="17" s="1"/>
  <c r="K54" i="17" s="1"/>
  <c r="D40" i="96"/>
  <c r="E107" i="33"/>
  <c r="E110" i="33" s="1"/>
  <c r="M114" i="33" s="1"/>
  <c r="F107" i="33"/>
  <c r="F110" i="33" s="1"/>
  <c r="N114" i="33" s="1"/>
  <c r="H107" i="33"/>
  <c r="H110" i="33" s="1"/>
  <c r="P114" i="33" s="1"/>
  <c r="K107" i="33"/>
  <c r="K110" i="33" s="1"/>
  <c r="G107" i="33"/>
  <c r="G110" i="33" s="1"/>
  <c r="O114" i="33" s="1"/>
  <c r="L107" i="33"/>
  <c r="L110" i="33" s="1"/>
  <c r="I107" i="33"/>
  <c r="I110" i="33" s="1"/>
  <c r="Q114" i="33" s="1"/>
  <c r="J107" i="33"/>
  <c r="J110" i="33" s="1"/>
  <c r="M107" i="33"/>
  <c r="M110" i="33" s="1"/>
  <c r="N107" i="33"/>
  <c r="N110" i="33" s="1"/>
  <c r="D54" i="88"/>
  <c r="D53" i="88"/>
  <c r="R41" i="110"/>
  <c r="P42" i="110"/>
  <c r="Q42" i="110" s="1"/>
  <c r="D51" i="96"/>
  <c r="H14" i="12"/>
  <c r="J3" i="12"/>
  <c r="J21" i="12"/>
  <c r="M38" i="12"/>
  <c r="C42" i="12"/>
  <c r="F28" i="12"/>
  <c r="K40" i="13"/>
  <c r="K50" i="13"/>
  <c r="F17" i="12"/>
  <c r="F6" i="12" s="1"/>
  <c r="B53" i="96"/>
  <c r="C52" i="96"/>
  <c r="D51" i="108"/>
  <c r="P54" i="101"/>
  <c r="Q54" i="101" s="1"/>
  <c r="R54" i="101" s="1"/>
  <c r="R53" i="101"/>
  <c r="P54" i="107"/>
  <c r="Q54" i="107" s="1"/>
  <c r="R54" i="107" s="1"/>
  <c r="R53" i="107"/>
  <c r="C41" i="96"/>
  <c r="D41" i="96" s="1"/>
  <c r="B42" i="96"/>
  <c r="C42" i="96" s="1"/>
  <c r="D42" i="96" s="1"/>
  <c r="C40" i="80"/>
  <c r="B41" i="80"/>
  <c r="D41" i="100"/>
  <c r="F29" i="12"/>
  <c r="B54" i="89"/>
  <c r="C54" i="89" s="1"/>
  <c r="D54" i="89" s="1"/>
  <c r="C53" i="89"/>
  <c r="D53" i="89" s="1"/>
  <c r="D15" i="12"/>
  <c r="D25" i="12"/>
  <c r="G43" i="12"/>
  <c r="E43" i="12"/>
  <c r="O100" i="33"/>
  <c r="L100" i="33"/>
  <c r="T100" i="33"/>
  <c r="M100" i="33"/>
  <c r="S100" i="33"/>
  <c r="N100" i="33"/>
  <c r="P100" i="33"/>
  <c r="U100" i="33"/>
  <c r="R100" i="33"/>
  <c r="Q100" i="33"/>
  <c r="P54" i="92"/>
  <c r="Q54" i="92" s="1"/>
  <c r="R54" i="92" s="1"/>
  <c r="R53" i="92"/>
  <c r="P54" i="102"/>
  <c r="Q54" i="102" s="1"/>
  <c r="R54" i="102" s="1"/>
  <c r="R53" i="102"/>
  <c r="P54" i="112"/>
  <c r="Q54" i="112" s="1"/>
  <c r="R54" i="112" s="1"/>
  <c r="R53" i="112"/>
  <c r="C52" i="100"/>
  <c r="D52" i="100" s="1"/>
  <c r="B53" i="100"/>
  <c r="C52" i="108"/>
  <c r="B53" i="108"/>
  <c r="B53" i="103"/>
  <c r="C52" i="103"/>
  <c r="D52" i="103" s="1"/>
  <c r="K51" i="13"/>
  <c r="K41" i="13"/>
  <c r="B41" i="92"/>
  <c r="C40" i="92"/>
  <c r="B28" i="92"/>
  <c r="C28" i="92" s="1"/>
  <c r="D27" i="92"/>
  <c r="B41" i="90"/>
  <c r="C40" i="90"/>
  <c r="D40" i="90" s="1"/>
  <c r="E4" i="12"/>
  <c r="J9" i="12"/>
  <c r="H20" i="12"/>
  <c r="H9" i="12" s="1"/>
  <c r="H19" i="12"/>
  <c r="H8" i="12" s="1"/>
  <c r="J8" i="12"/>
  <c r="D28" i="94"/>
  <c r="D41" i="88"/>
  <c r="R42" i="109"/>
  <c r="P42" i="103"/>
  <c r="Q42" i="103" s="1"/>
  <c r="R42" i="103" s="1"/>
  <c r="R41" i="103"/>
  <c r="C41" i="87"/>
  <c r="D41" i="87" s="1"/>
  <c r="B42" i="87"/>
  <c r="C42" i="87" s="1"/>
  <c r="D42" i="87" s="1"/>
  <c r="D51" i="100"/>
  <c r="C40" i="94"/>
  <c r="D40" i="94" s="1"/>
  <c r="B41" i="94"/>
  <c r="K42" i="13"/>
  <c r="K52" i="13"/>
  <c r="C41" i="89"/>
  <c r="B42" i="89"/>
  <c r="C42" i="89" s="1"/>
  <c r="D34" i="12"/>
  <c r="G31" i="12"/>
  <c r="F24" i="12"/>
  <c r="B21" i="12"/>
  <c r="C34" i="12"/>
  <c r="O110" i="33"/>
  <c r="N39" i="12"/>
  <c r="O39" i="12" s="1"/>
  <c r="D39" i="90"/>
  <c r="P42" i="104"/>
  <c r="Q42" i="104" s="1"/>
  <c r="R42" i="104" s="1"/>
  <c r="R41" i="104"/>
  <c r="P54" i="90"/>
  <c r="Q54" i="90" s="1"/>
  <c r="R54" i="90" s="1"/>
  <c r="P54" i="93"/>
  <c r="Q54" i="93" s="1"/>
  <c r="R53" i="93"/>
  <c r="P42" i="96"/>
  <c r="Q42" i="96" s="1"/>
  <c r="R42" i="96" s="1"/>
  <c r="P54" i="106"/>
  <c r="Q54" i="106" s="1"/>
  <c r="R54" i="106" s="1"/>
  <c r="R53" i="106"/>
  <c r="D27" i="94"/>
  <c r="F30" i="12"/>
  <c r="K5" i="13"/>
  <c r="D39" i="12"/>
  <c r="L95" i="33"/>
  <c r="I95" i="33"/>
  <c r="H95" i="33"/>
  <c r="H102" i="33" s="1"/>
  <c r="N95" i="33"/>
  <c r="K95" i="33"/>
  <c r="G95" i="33"/>
  <c r="G102" i="33" s="1"/>
  <c r="G113" i="33" s="1"/>
  <c r="P95" i="33"/>
  <c r="M95" i="33"/>
  <c r="J95" i="33"/>
  <c r="O95" i="33"/>
  <c r="D40" i="93"/>
  <c r="C41" i="108"/>
  <c r="D41" i="108" s="1"/>
  <c r="B42" i="108"/>
  <c r="C42" i="108" s="1"/>
  <c r="D42" i="108" s="1"/>
  <c r="H18" i="12"/>
  <c r="H7" i="12" s="1"/>
  <c r="J7" i="12"/>
  <c r="D42" i="12"/>
  <c r="I3" i="12"/>
  <c r="G14" i="12"/>
  <c r="M37" i="12"/>
  <c r="C41" i="12"/>
  <c r="I21" i="12"/>
  <c r="C40" i="101"/>
  <c r="D40" i="101" s="1"/>
  <c r="B41" i="101"/>
  <c r="Q42" i="112"/>
  <c r="R42" i="112" s="1"/>
  <c r="P40" i="111"/>
  <c r="Q40" i="108"/>
  <c r="P41" i="107"/>
  <c r="Q39" i="99"/>
  <c r="R39" i="99" s="1"/>
  <c r="Q42" i="106"/>
  <c r="R42" i="106" s="1"/>
  <c r="Q39" i="105"/>
  <c r="R39" i="105" s="1"/>
  <c r="Q40" i="101"/>
  <c r="R40" i="101" s="1"/>
  <c r="P40" i="100"/>
  <c r="Q41" i="89"/>
  <c r="R41" i="89" s="1"/>
  <c r="P39" i="94"/>
  <c r="P41" i="92"/>
  <c r="Q41" i="91"/>
  <c r="R41" i="91" s="1"/>
  <c r="P39" i="90"/>
  <c r="P42" i="88"/>
  <c r="Q42" i="88" s="1"/>
  <c r="P40" i="87"/>
  <c r="R26" i="112"/>
  <c r="P27" i="112"/>
  <c r="Q27" i="112" s="1"/>
  <c r="R26" i="111"/>
  <c r="Q27" i="111"/>
  <c r="R26" i="110"/>
  <c r="P27" i="110"/>
  <c r="R27" i="109"/>
  <c r="Q28" i="109"/>
  <c r="P29" i="109" s="1"/>
  <c r="R28" i="108"/>
  <c r="P29" i="108"/>
  <c r="Q30" i="107"/>
  <c r="R30" i="107" s="1"/>
  <c r="D42" i="110"/>
  <c r="B54" i="110"/>
  <c r="C54" i="110" s="1"/>
  <c r="D54" i="110" s="1"/>
  <c r="C53" i="110"/>
  <c r="D53" i="110"/>
  <c r="D52" i="110"/>
  <c r="B42" i="102"/>
  <c r="C42" i="102" s="1"/>
  <c r="C41" i="102"/>
  <c r="D41" i="102" s="1"/>
  <c r="C41" i="103"/>
  <c r="B42" i="103"/>
  <c r="C42" i="103" s="1"/>
  <c r="D40" i="104"/>
  <c r="C41" i="104"/>
  <c r="D42" i="104" s="1"/>
  <c r="B42" i="104"/>
  <c r="C42" i="104" s="1"/>
  <c r="D54" i="104"/>
  <c r="D53" i="104"/>
  <c r="D54" i="105"/>
  <c r="B42" i="105"/>
  <c r="C42" i="105" s="1"/>
  <c r="C41" i="105"/>
  <c r="D41" i="105" s="1"/>
  <c r="C53" i="106"/>
  <c r="D53" i="106" s="1"/>
  <c r="B54" i="106"/>
  <c r="C54" i="106" s="1"/>
  <c r="D54" i="106" s="1"/>
  <c r="D52" i="106"/>
  <c r="D42" i="109"/>
  <c r="B41" i="107"/>
  <c r="C40" i="107"/>
  <c r="D40" i="107" s="1"/>
  <c r="B54" i="107"/>
  <c r="C54" i="107" s="1"/>
  <c r="C53" i="107"/>
  <c r="D53" i="107" s="1"/>
  <c r="D39" i="107"/>
  <c r="Q27" i="106"/>
  <c r="R30" i="105"/>
  <c r="Q30" i="105"/>
  <c r="R28" i="104"/>
  <c r="P29" i="104"/>
  <c r="R30" i="103"/>
  <c r="R27" i="102"/>
  <c r="P28" i="102"/>
  <c r="Q28" i="102" s="1"/>
  <c r="P30" i="101"/>
  <c r="Q30" i="101" s="1"/>
  <c r="R30" i="101" s="1"/>
  <c r="Q29" i="101"/>
  <c r="R29" i="101" s="1"/>
  <c r="R28" i="96"/>
  <c r="P29" i="96"/>
  <c r="R28" i="94"/>
  <c r="P29" i="94"/>
  <c r="Q28" i="93"/>
  <c r="Q27" i="92"/>
  <c r="P28" i="92" s="1"/>
  <c r="Q27" i="91"/>
  <c r="Q28" i="90"/>
  <c r="P29" i="88"/>
  <c r="Q29" i="88" s="1"/>
  <c r="R28" i="87"/>
  <c r="P29" i="87"/>
  <c r="R26" i="80"/>
  <c r="Q26" i="80"/>
  <c r="P27" i="80" s="1"/>
  <c r="Q27" i="80" s="1"/>
  <c r="H113" i="33" l="1"/>
  <c r="T85" i="33"/>
  <c r="T87" i="33" s="1"/>
  <c r="W87" i="33" s="1"/>
  <c r="F120" i="33"/>
  <c r="I102" i="33"/>
  <c r="I113" i="33" s="1"/>
  <c r="U102" i="33"/>
  <c r="K21" i="20"/>
  <c r="K21" i="18"/>
  <c r="T102" i="33"/>
  <c r="S114" i="33"/>
  <c r="F19" i="12"/>
  <c r="F8" i="12" s="1"/>
  <c r="D40" i="12"/>
  <c r="J102" i="33"/>
  <c r="J113" i="33" s="1"/>
  <c r="P102" i="33"/>
  <c r="P113" i="33" s="1"/>
  <c r="O102" i="33"/>
  <c r="O113" i="33" s="1"/>
  <c r="R102" i="33"/>
  <c r="K102" i="33"/>
  <c r="K113" i="33" s="1"/>
  <c r="Q102" i="33"/>
  <c r="Q113" i="33" s="1"/>
  <c r="C41" i="94"/>
  <c r="B42" i="94"/>
  <c r="C42" i="94" s="1"/>
  <c r="B29" i="92"/>
  <c r="C29" i="92" s="1"/>
  <c r="B30" i="92" s="1"/>
  <c r="C30" i="92" s="1"/>
  <c r="D28" i="92"/>
  <c r="D53" i="96"/>
  <c r="D52" i="96"/>
  <c r="H3" i="12"/>
  <c r="M36" i="12"/>
  <c r="C40" i="12"/>
  <c r="H21" i="12"/>
  <c r="D54" i="107"/>
  <c r="D42" i="105"/>
  <c r="E41" i="12"/>
  <c r="G41" i="12"/>
  <c r="K6" i="13"/>
  <c r="D53" i="103"/>
  <c r="D42" i="89"/>
  <c r="B54" i="103"/>
  <c r="C54" i="103" s="1"/>
  <c r="D54" i="103" s="1"/>
  <c r="C53" i="103"/>
  <c r="C53" i="96"/>
  <c r="B54" i="96"/>
  <c r="C54" i="96" s="1"/>
  <c r="R40" i="108"/>
  <c r="N37" i="12"/>
  <c r="O37" i="12" s="1"/>
  <c r="D41" i="92"/>
  <c r="D40" i="92"/>
  <c r="B54" i="108"/>
  <c r="C54" i="108" s="1"/>
  <c r="D54" i="108" s="1"/>
  <c r="C53" i="108"/>
  <c r="D53" i="108" s="1"/>
  <c r="E18" i="12"/>
  <c r="E28" i="12"/>
  <c r="D54" i="96"/>
  <c r="B54" i="99"/>
  <c r="C54" i="99" s="1"/>
  <c r="C53" i="99"/>
  <c r="D53" i="99" s="1"/>
  <c r="B42" i="93"/>
  <c r="C42" i="93" s="1"/>
  <c r="C41" i="93"/>
  <c r="D41" i="93" s="1"/>
  <c r="D16" i="12"/>
  <c r="D5" i="12" s="1"/>
  <c r="D26" i="12"/>
  <c r="P42" i="91"/>
  <c r="Q42" i="91" s="1"/>
  <c r="R42" i="91" s="1"/>
  <c r="G3" i="12"/>
  <c r="C39" i="12"/>
  <c r="M35" i="12"/>
  <c r="G21" i="12"/>
  <c r="N102" i="33"/>
  <c r="N113" i="33" s="1"/>
  <c r="R54" i="93"/>
  <c r="C41" i="92"/>
  <c r="D42" i="92" s="1"/>
  <c r="B42" i="92"/>
  <c r="C42" i="92" s="1"/>
  <c r="E19" i="12"/>
  <c r="E8" i="12" s="1"/>
  <c r="E29" i="12"/>
  <c r="F18" i="12"/>
  <c r="K54" i="15"/>
  <c r="K54" i="18"/>
  <c r="K54" i="20"/>
  <c r="B54" i="112"/>
  <c r="C54" i="112" s="1"/>
  <c r="C53" i="112"/>
  <c r="D53" i="112" s="1"/>
  <c r="G34" i="12"/>
  <c r="E34" i="12"/>
  <c r="I17" i="13"/>
  <c r="I20" i="13"/>
  <c r="I2" i="13"/>
  <c r="I3" i="13" s="1"/>
  <c r="I4" i="13" s="1"/>
  <c r="I18" i="13"/>
  <c r="I19" i="13"/>
  <c r="I21" i="13"/>
  <c r="I10" i="12"/>
  <c r="E20" i="12"/>
  <c r="E9" i="12" s="1"/>
  <c r="E30" i="12"/>
  <c r="F31" i="12"/>
  <c r="E14" i="12"/>
  <c r="E24" i="12"/>
  <c r="B54" i="100"/>
  <c r="C54" i="100" s="1"/>
  <c r="C53" i="100"/>
  <c r="E42" i="12"/>
  <c r="G42" i="12"/>
  <c r="R42" i="110"/>
  <c r="D17" i="12"/>
  <c r="D6" i="12" s="1"/>
  <c r="D27" i="12"/>
  <c r="D52" i="112"/>
  <c r="D54" i="112"/>
  <c r="D52" i="99"/>
  <c r="S102" i="33"/>
  <c r="F20" i="12"/>
  <c r="F9" i="12" s="1"/>
  <c r="F14" i="12"/>
  <c r="C41" i="90"/>
  <c r="D41" i="90" s="1"/>
  <c r="B42" i="90"/>
  <c r="C42" i="90" s="1"/>
  <c r="D42" i="90" s="1"/>
  <c r="L35" i="95"/>
  <c r="N38" i="12"/>
  <c r="O38" i="12" s="1"/>
  <c r="B42" i="101"/>
  <c r="C42" i="101" s="1"/>
  <c r="C41" i="101"/>
  <c r="L102" i="33"/>
  <c r="L113" i="33" s="1"/>
  <c r="D30" i="92"/>
  <c r="C15" i="12"/>
  <c r="C25" i="12"/>
  <c r="L4" i="12" s="1"/>
  <c r="B4" i="12" s="1"/>
  <c r="C41" i="80"/>
  <c r="D41" i="80" s="1"/>
  <c r="B42" i="80"/>
  <c r="C42" i="80" s="1"/>
  <c r="D42" i="88"/>
  <c r="D52" i="108"/>
  <c r="R42" i="88"/>
  <c r="P40" i="105"/>
  <c r="M102" i="33"/>
  <c r="M113" i="33" s="1"/>
  <c r="D4" i="12"/>
  <c r="D40" i="80"/>
  <c r="D42" i="80"/>
  <c r="E120" i="33"/>
  <c r="W113" i="33"/>
  <c r="J20" i="13"/>
  <c r="J17" i="13"/>
  <c r="J21" i="13"/>
  <c r="J2" i="13"/>
  <c r="J3" i="13" s="1"/>
  <c r="J4" i="13" s="1"/>
  <c r="J19" i="13"/>
  <c r="J18" i="13"/>
  <c r="J10" i="12"/>
  <c r="X21" i="15"/>
  <c r="X21" i="18" s="1"/>
  <c r="X21" i="20" s="1"/>
  <c r="K20" i="14"/>
  <c r="D41" i="89"/>
  <c r="Q40" i="111"/>
  <c r="R40" i="111" s="1"/>
  <c r="P41" i="108"/>
  <c r="P42" i="107"/>
  <c r="Q42" i="107" s="1"/>
  <c r="R42" i="107" s="1"/>
  <c r="Q41" i="107"/>
  <c r="R41" i="107" s="1"/>
  <c r="P40" i="99"/>
  <c r="Q40" i="105"/>
  <c r="R40" i="105" s="1"/>
  <c r="P41" i="101"/>
  <c r="Q40" i="100"/>
  <c r="R40" i="100" s="1"/>
  <c r="P42" i="89"/>
  <c r="Q39" i="94"/>
  <c r="R39" i="94" s="1"/>
  <c r="Q41" i="92"/>
  <c r="R41" i="92" s="1"/>
  <c r="Q39" i="90"/>
  <c r="R39" i="90" s="1"/>
  <c r="Q40" i="87"/>
  <c r="R40" i="87" s="1"/>
  <c r="P28" i="112"/>
  <c r="Q28" i="112" s="1"/>
  <c r="R27" i="111"/>
  <c r="P28" i="111"/>
  <c r="Q27" i="110"/>
  <c r="R28" i="109"/>
  <c r="Q29" i="109"/>
  <c r="R29" i="109" s="1"/>
  <c r="Q29" i="108"/>
  <c r="D42" i="102"/>
  <c r="D42" i="103"/>
  <c r="D41" i="103"/>
  <c r="D41" i="104"/>
  <c r="B42" i="107"/>
  <c r="C42" i="107" s="1"/>
  <c r="C41" i="107"/>
  <c r="D41" i="107" s="1"/>
  <c r="R27" i="106"/>
  <c r="P28" i="106"/>
  <c r="Q29" i="104"/>
  <c r="P29" i="102"/>
  <c r="Q29" i="102" s="1"/>
  <c r="R28" i="100"/>
  <c r="P29" i="100"/>
  <c r="Q29" i="100" s="1"/>
  <c r="Q29" i="96"/>
  <c r="R29" i="96" s="1"/>
  <c r="Q29" i="94"/>
  <c r="R28" i="93"/>
  <c r="P29" i="93"/>
  <c r="P29" i="92"/>
  <c r="Q28" i="92"/>
  <c r="R27" i="92"/>
  <c r="R28" i="92"/>
  <c r="R27" i="91"/>
  <c r="P28" i="91"/>
  <c r="R28" i="90"/>
  <c r="P29" i="90"/>
  <c r="R29" i="88"/>
  <c r="Q29" i="87"/>
  <c r="R29" i="87" s="1"/>
  <c r="R27" i="80"/>
  <c r="P28" i="80"/>
  <c r="Q28" i="80"/>
  <c r="P29" i="80" s="1"/>
  <c r="G120" i="33" l="1"/>
  <c r="H120" i="33" s="1"/>
  <c r="R113" i="33"/>
  <c r="T113" i="33" s="1"/>
  <c r="E122" i="33"/>
  <c r="P41" i="111"/>
  <c r="D41" i="101"/>
  <c r="D42" i="101"/>
  <c r="I40" i="13"/>
  <c r="I50" i="13"/>
  <c r="J52" i="13"/>
  <c r="J42" i="13"/>
  <c r="D53" i="100"/>
  <c r="D54" i="100"/>
  <c r="F7" i="12"/>
  <c r="D38" i="12"/>
  <c r="H2" i="13"/>
  <c r="H3" i="13" s="1"/>
  <c r="H4" i="13" s="1"/>
  <c r="H17" i="13"/>
  <c r="H20" i="13"/>
  <c r="H21" i="13"/>
  <c r="H18" i="13"/>
  <c r="H19" i="13"/>
  <c r="H10" i="12"/>
  <c r="J5" i="13"/>
  <c r="F3" i="12"/>
  <c r="C38" i="12"/>
  <c r="M34" i="12"/>
  <c r="F21" i="12"/>
  <c r="C17" i="12"/>
  <c r="C6" i="12" s="1"/>
  <c r="C27" i="12"/>
  <c r="L6" i="12" s="1"/>
  <c r="B6" i="12" s="1"/>
  <c r="D19" i="12"/>
  <c r="D8" i="12" s="1"/>
  <c r="D29" i="12"/>
  <c r="D18" i="12"/>
  <c r="D7" i="12" s="1"/>
  <c r="D28" i="12"/>
  <c r="D41" i="94"/>
  <c r="D42" i="94"/>
  <c r="J41" i="13"/>
  <c r="J51" i="13"/>
  <c r="K20" i="15"/>
  <c r="K20" i="17" s="1"/>
  <c r="K53" i="17" s="1"/>
  <c r="K53" i="14"/>
  <c r="J54" i="13"/>
  <c r="J44" i="13"/>
  <c r="J21" i="15"/>
  <c r="J21" i="17" s="1"/>
  <c r="J54" i="17" s="1"/>
  <c r="C4" i="12"/>
  <c r="I54" i="13"/>
  <c r="I44" i="13"/>
  <c r="I21" i="15"/>
  <c r="I21" i="17" s="1"/>
  <c r="I54" i="17" s="1"/>
  <c r="N35" i="12"/>
  <c r="O35" i="12" s="1"/>
  <c r="C16" i="12"/>
  <c r="C5" i="12" s="1"/>
  <c r="C26" i="12"/>
  <c r="L5" i="12" s="1"/>
  <c r="B5" i="12" s="1"/>
  <c r="E7" i="12"/>
  <c r="D37" i="12"/>
  <c r="J40" i="13"/>
  <c r="J50" i="13"/>
  <c r="E31" i="12"/>
  <c r="D14" i="12"/>
  <c r="D24" i="12"/>
  <c r="I52" i="13"/>
  <c r="I42" i="13"/>
  <c r="G39" i="12"/>
  <c r="E39" i="12"/>
  <c r="K7" i="13"/>
  <c r="P41" i="105"/>
  <c r="J43" i="13"/>
  <c r="J53" i="13"/>
  <c r="E3" i="12"/>
  <c r="C37" i="12"/>
  <c r="E21" i="12"/>
  <c r="I51" i="13"/>
  <c r="I41" i="13"/>
  <c r="G21" i="13"/>
  <c r="G17" i="13"/>
  <c r="G2" i="13"/>
  <c r="G3" i="13" s="1"/>
  <c r="G4" i="13" s="1"/>
  <c r="G20" i="13"/>
  <c r="G19" i="13"/>
  <c r="G18" i="13"/>
  <c r="G10" i="12"/>
  <c r="P30" i="109"/>
  <c r="Q30" i="109" s="1"/>
  <c r="P42" i="92"/>
  <c r="Q42" i="92" s="1"/>
  <c r="R42" i="92" s="1"/>
  <c r="I5" i="13"/>
  <c r="X54" i="15"/>
  <c r="X54" i="18" s="1"/>
  <c r="X54" i="20" s="1"/>
  <c r="D42" i="93"/>
  <c r="G40" i="12"/>
  <c r="E40" i="12"/>
  <c r="D29" i="92"/>
  <c r="D20" i="12"/>
  <c r="D9" i="12" s="1"/>
  <c r="D30" i="12"/>
  <c r="I43" i="13"/>
  <c r="I53" i="13"/>
  <c r="D54" i="99"/>
  <c r="N36" i="12"/>
  <c r="O36" i="12" s="1"/>
  <c r="Q41" i="111"/>
  <c r="R41" i="111" s="1"/>
  <c r="Q41" i="108"/>
  <c r="R41" i="108" s="1"/>
  <c r="Q40" i="99"/>
  <c r="R40" i="99" s="1"/>
  <c r="Q41" i="105"/>
  <c r="R41" i="105" s="1"/>
  <c r="Q41" i="101"/>
  <c r="R41" i="101" s="1"/>
  <c r="P41" i="100"/>
  <c r="Q42" i="89"/>
  <c r="R42" i="89" s="1"/>
  <c r="P40" i="94"/>
  <c r="P40" i="90"/>
  <c r="P41" i="87"/>
  <c r="R28" i="112"/>
  <c r="R27" i="112"/>
  <c r="P29" i="112"/>
  <c r="Q29" i="112" s="1"/>
  <c r="Q28" i="111"/>
  <c r="R28" i="111" s="1"/>
  <c r="R27" i="110"/>
  <c r="P28" i="110"/>
  <c r="R30" i="109"/>
  <c r="R29" i="108"/>
  <c r="P30" i="108"/>
  <c r="Q30" i="108" s="1"/>
  <c r="R30" i="108" s="1"/>
  <c r="D42" i="107"/>
  <c r="Q28" i="106"/>
  <c r="R29" i="104"/>
  <c r="P30" i="104"/>
  <c r="Q30" i="104" s="1"/>
  <c r="R30" i="104" s="1"/>
  <c r="R28" i="102"/>
  <c r="R29" i="102"/>
  <c r="P30" i="102"/>
  <c r="Q30" i="102" s="1"/>
  <c r="P30" i="100"/>
  <c r="Q30" i="100" s="1"/>
  <c r="P30" i="96"/>
  <c r="Q30" i="96" s="1"/>
  <c r="R30" i="96" s="1"/>
  <c r="R29" i="94"/>
  <c r="P30" i="94"/>
  <c r="Q30" i="94" s="1"/>
  <c r="R30" i="94" s="1"/>
  <c r="Q29" i="93"/>
  <c r="P30" i="92"/>
  <c r="Q30" i="92" s="1"/>
  <c r="Q29" i="92"/>
  <c r="Q28" i="91"/>
  <c r="Q29" i="90"/>
  <c r="P30" i="88"/>
  <c r="P30" i="87"/>
  <c r="Q30" i="87" s="1"/>
  <c r="R30" i="87" s="1"/>
  <c r="R28" i="80"/>
  <c r="Q29" i="80"/>
  <c r="P30" i="80" s="1"/>
  <c r="Q30" i="80" s="1"/>
  <c r="I21" i="18" l="1"/>
  <c r="J21" i="20"/>
  <c r="J21" i="18"/>
  <c r="K20" i="20"/>
  <c r="K20" i="18"/>
  <c r="I21" i="20"/>
  <c r="F121" i="33"/>
  <c r="F122" i="33" s="1"/>
  <c r="S113" i="33"/>
  <c r="S115" i="33" s="1"/>
  <c r="X115" i="33" s="1"/>
  <c r="K53" i="15"/>
  <c r="K53" i="20"/>
  <c r="K53" i="18"/>
  <c r="G5" i="13"/>
  <c r="E37" i="12"/>
  <c r="G37" i="12"/>
  <c r="D3" i="12"/>
  <c r="D21" i="12"/>
  <c r="C36" i="12"/>
  <c r="J20" i="14"/>
  <c r="W21" i="15"/>
  <c r="W21" i="18" s="1"/>
  <c r="K19" i="14"/>
  <c r="X20" i="15"/>
  <c r="X20" i="18" s="1"/>
  <c r="C18" i="12"/>
  <c r="C7" i="12" s="1"/>
  <c r="C28" i="12"/>
  <c r="L7" i="12" s="1"/>
  <c r="B7" i="12" s="1"/>
  <c r="N34" i="12"/>
  <c r="N46" i="12" s="1"/>
  <c r="G40" i="13"/>
  <c r="G50" i="13"/>
  <c r="E21" i="13"/>
  <c r="E17" i="13"/>
  <c r="E19" i="13"/>
  <c r="E18" i="13"/>
  <c r="E2" i="13"/>
  <c r="E3" i="13" s="1"/>
  <c r="E4" i="13" s="1"/>
  <c r="E20" i="13"/>
  <c r="E10" i="12"/>
  <c r="E38" i="12"/>
  <c r="G38" i="12"/>
  <c r="H42" i="13"/>
  <c r="H52" i="13"/>
  <c r="D31" i="12"/>
  <c r="C14" i="12"/>
  <c r="C24" i="12"/>
  <c r="G54" i="13"/>
  <c r="G44" i="13"/>
  <c r="G21" i="15"/>
  <c r="G21" i="17" s="1"/>
  <c r="G54" i="17" s="1"/>
  <c r="I54" i="18"/>
  <c r="I54" i="15"/>
  <c r="I54" i="20"/>
  <c r="C19" i="12"/>
  <c r="C8" i="12" s="1"/>
  <c r="C29" i="12"/>
  <c r="L8" i="12" s="1"/>
  <c r="B8" i="12" s="1"/>
  <c r="F2" i="13"/>
  <c r="F3" i="13" s="1"/>
  <c r="F4" i="13" s="1"/>
  <c r="F18" i="13"/>
  <c r="F21" i="13"/>
  <c r="F17" i="13"/>
  <c r="F19" i="13"/>
  <c r="F20" i="13"/>
  <c r="F10" i="12"/>
  <c r="H41" i="13"/>
  <c r="H51" i="13"/>
  <c r="H54" i="13"/>
  <c r="H44" i="13"/>
  <c r="H21" i="15"/>
  <c r="H21" i="17" s="1"/>
  <c r="H54" i="17" s="1"/>
  <c r="G53" i="13"/>
  <c r="G43" i="13"/>
  <c r="I20" i="14"/>
  <c r="V21" i="15"/>
  <c r="J54" i="15"/>
  <c r="J54" i="18"/>
  <c r="J54" i="20"/>
  <c r="D36" i="12"/>
  <c r="H43" i="13"/>
  <c r="H53" i="13"/>
  <c r="C20" i="12"/>
  <c r="C9" i="12" s="1"/>
  <c r="C30" i="12"/>
  <c r="L9" i="12" s="1"/>
  <c r="B9" i="12" s="1"/>
  <c r="G51" i="13"/>
  <c r="G41" i="13"/>
  <c r="H50" i="13"/>
  <c r="H40" i="13"/>
  <c r="I6" i="13"/>
  <c r="G42" i="13"/>
  <c r="G52" i="13"/>
  <c r="K8" i="13"/>
  <c r="J6" i="13"/>
  <c r="H5" i="13"/>
  <c r="P42" i="111"/>
  <c r="Q42" i="111" s="1"/>
  <c r="R42" i="111" s="1"/>
  <c r="P42" i="108"/>
  <c r="Q42" i="108" s="1"/>
  <c r="P41" i="99"/>
  <c r="P42" i="105"/>
  <c r="Q42" i="105" s="1"/>
  <c r="R42" i="105" s="1"/>
  <c r="P42" i="101"/>
  <c r="Q42" i="101" s="1"/>
  <c r="Q41" i="100"/>
  <c r="R41" i="100" s="1"/>
  <c r="Q40" i="94"/>
  <c r="R40" i="94" s="1"/>
  <c r="P41" i="90"/>
  <c r="Q40" i="90"/>
  <c r="R40" i="90" s="1"/>
  <c r="Q41" i="87"/>
  <c r="R29" i="112"/>
  <c r="P29" i="111"/>
  <c r="Q28" i="110"/>
  <c r="R28" i="106"/>
  <c r="P29" i="106"/>
  <c r="R30" i="102"/>
  <c r="R30" i="100"/>
  <c r="R29" i="100"/>
  <c r="R29" i="93"/>
  <c r="R30" i="93"/>
  <c r="P30" i="93"/>
  <c r="Q30" i="93" s="1"/>
  <c r="R29" i="92"/>
  <c r="R30" i="92"/>
  <c r="R28" i="91"/>
  <c r="P29" i="91"/>
  <c r="R29" i="90"/>
  <c r="P30" i="90"/>
  <c r="Q30" i="90" s="1"/>
  <c r="R30" i="90" s="1"/>
  <c r="R30" i="88"/>
  <c r="Q30" i="88"/>
  <c r="R29" i="80"/>
  <c r="R30" i="80"/>
  <c r="V21" i="18" l="1"/>
  <c r="V21" i="20" s="1"/>
  <c r="O34" i="12"/>
  <c r="W21" i="20"/>
  <c r="X20" i="20"/>
  <c r="G21" i="18"/>
  <c r="H21" i="20"/>
  <c r="H21" i="18"/>
  <c r="G21" i="20"/>
  <c r="M46" i="12"/>
  <c r="G121" i="33"/>
  <c r="G122" i="33" s="1"/>
  <c r="H122" i="33" s="1"/>
  <c r="F52" i="13"/>
  <c r="F42" i="13"/>
  <c r="K52" i="14"/>
  <c r="K19" i="15"/>
  <c r="K19" i="17" s="1"/>
  <c r="K52" i="17" s="1"/>
  <c r="I7" i="13"/>
  <c r="F50" i="13"/>
  <c r="F40" i="13"/>
  <c r="L3" i="12"/>
  <c r="C31" i="12"/>
  <c r="E50" i="13"/>
  <c r="E40" i="13"/>
  <c r="W54" i="15"/>
  <c r="W54" i="18" s="1"/>
  <c r="W54" i="20" s="1"/>
  <c r="V54" i="15"/>
  <c r="V54" i="18" s="1"/>
  <c r="V54" i="20" s="1"/>
  <c r="X53" i="15"/>
  <c r="X53" i="18" s="1"/>
  <c r="X53" i="20" s="1"/>
  <c r="R42" i="101"/>
  <c r="H6" i="13"/>
  <c r="K9" i="13"/>
  <c r="I20" i="15"/>
  <c r="I20" i="17" s="1"/>
  <c r="I53" i="17" s="1"/>
  <c r="I53" i="14"/>
  <c r="H54" i="15"/>
  <c r="H54" i="18"/>
  <c r="H54" i="20"/>
  <c r="F44" i="13"/>
  <c r="F54" i="13"/>
  <c r="F21" i="15"/>
  <c r="F21" i="17" s="1"/>
  <c r="F54" i="17" s="1"/>
  <c r="C3" i="12"/>
  <c r="C21" i="12"/>
  <c r="C35" i="12"/>
  <c r="E44" i="13"/>
  <c r="E54" i="13"/>
  <c r="E21" i="15"/>
  <c r="E21" i="17" s="1"/>
  <c r="E54" i="17" s="1"/>
  <c r="J53" i="14"/>
  <c r="J20" i="15"/>
  <c r="J20" i="17" s="1"/>
  <c r="J53" i="17" s="1"/>
  <c r="G6" i="13"/>
  <c r="R41" i="87"/>
  <c r="F41" i="13"/>
  <c r="F51" i="13"/>
  <c r="J7" i="13"/>
  <c r="H20" i="14"/>
  <c r="U21" i="15"/>
  <c r="D35" i="12"/>
  <c r="F5" i="13"/>
  <c r="G36" i="12"/>
  <c r="E36" i="12"/>
  <c r="R42" i="108"/>
  <c r="E42" i="13"/>
  <c r="E52" i="13"/>
  <c r="G54" i="20"/>
  <c r="G54" i="15"/>
  <c r="G54" i="18"/>
  <c r="E43" i="13"/>
  <c r="E53" i="13"/>
  <c r="E5" i="13"/>
  <c r="D2" i="13"/>
  <c r="D3" i="13" s="1"/>
  <c r="D4" i="13" s="1"/>
  <c r="D18" i="13"/>
  <c r="D21" i="13"/>
  <c r="D20" i="13"/>
  <c r="D19" i="13"/>
  <c r="D17" i="13"/>
  <c r="D10" i="12"/>
  <c r="F43" i="13"/>
  <c r="F53" i="13"/>
  <c r="T21" i="15"/>
  <c r="T21" i="18" s="1"/>
  <c r="G20" i="14"/>
  <c r="E51" i="13"/>
  <c r="E41" i="13"/>
  <c r="P42" i="99"/>
  <c r="Q42" i="99" s="1"/>
  <c r="R42" i="99" s="1"/>
  <c r="Q41" i="99"/>
  <c r="R41" i="99" s="1"/>
  <c r="P42" i="100"/>
  <c r="Q42" i="100" s="1"/>
  <c r="P41" i="94"/>
  <c r="Q41" i="90"/>
  <c r="P42" i="87"/>
  <c r="Q42" i="87" s="1"/>
  <c r="R42" i="87" s="1"/>
  <c r="P30" i="112"/>
  <c r="Q30" i="112" s="1"/>
  <c r="P30" i="111"/>
  <c r="Q30" i="111" s="1"/>
  <c r="R30" i="111" s="1"/>
  <c r="Q29" i="111"/>
  <c r="R29" i="111" s="1"/>
  <c r="R28" i="110"/>
  <c r="P29" i="110"/>
  <c r="Q29" i="106"/>
  <c r="R29" i="106" s="1"/>
  <c r="Q29" i="91"/>
  <c r="R29" i="91" s="1"/>
  <c r="U21" i="18" l="1"/>
  <c r="U21" i="20" s="1"/>
  <c r="T21" i="20"/>
  <c r="J20" i="18"/>
  <c r="K19" i="18"/>
  <c r="F21" i="20"/>
  <c r="E21" i="18"/>
  <c r="I20" i="20"/>
  <c r="F21" i="18"/>
  <c r="I20" i="18"/>
  <c r="K19" i="20"/>
  <c r="K17" i="25" s="1"/>
  <c r="J20" i="20"/>
  <c r="E21" i="20"/>
  <c r="D44" i="12"/>
  <c r="H121" i="33"/>
  <c r="D42" i="13"/>
  <c r="D52" i="13"/>
  <c r="R21" i="15"/>
  <c r="E20" i="14"/>
  <c r="C21" i="13"/>
  <c r="C20" i="13"/>
  <c r="C17" i="13"/>
  <c r="C19" i="13"/>
  <c r="C2" i="13"/>
  <c r="C3" i="13" s="1"/>
  <c r="C4" i="13" s="1"/>
  <c r="C18" i="13"/>
  <c r="C10" i="12"/>
  <c r="I53" i="15"/>
  <c r="I53" i="20"/>
  <c r="I53" i="18"/>
  <c r="K52" i="15"/>
  <c r="K52" i="20"/>
  <c r="K52" i="18"/>
  <c r="H53" i="14"/>
  <c r="H20" i="15"/>
  <c r="H20" i="17" s="1"/>
  <c r="H53" i="17" s="1"/>
  <c r="G20" i="15"/>
  <c r="G20" i="17" s="1"/>
  <c r="G53" i="17" s="1"/>
  <c r="G53" i="14"/>
  <c r="D53" i="13"/>
  <c r="D43" i="13"/>
  <c r="T54" i="15"/>
  <c r="T54" i="18" s="1"/>
  <c r="T54" i="20" s="1"/>
  <c r="V20" i="15"/>
  <c r="I19" i="14"/>
  <c r="D50" i="13"/>
  <c r="D40" i="13"/>
  <c r="D44" i="13"/>
  <c r="D54" i="13"/>
  <c r="D21" i="15"/>
  <c r="D21" i="17" s="1"/>
  <c r="D54" i="17" s="1"/>
  <c r="G7" i="13"/>
  <c r="I8" i="13"/>
  <c r="D41" i="13"/>
  <c r="D51" i="13"/>
  <c r="J8" i="13"/>
  <c r="E54" i="15"/>
  <c r="E54" i="18"/>
  <c r="E54" i="20"/>
  <c r="S21" i="15"/>
  <c r="F20" i="14"/>
  <c r="U54" i="15"/>
  <c r="U54" i="18" s="1"/>
  <c r="U54" i="20" s="1"/>
  <c r="K10" i="13"/>
  <c r="B3" i="12"/>
  <c r="L10" i="12"/>
  <c r="R41" i="90"/>
  <c r="R42" i="100"/>
  <c r="D5" i="13"/>
  <c r="F6" i="13"/>
  <c r="P30" i="91"/>
  <c r="Q30" i="91" s="1"/>
  <c r="R30" i="91" s="1"/>
  <c r="W20" i="15"/>
  <c r="J19" i="14"/>
  <c r="E6" i="13"/>
  <c r="J53" i="15"/>
  <c r="J53" i="20"/>
  <c r="J53" i="18"/>
  <c r="E35" i="12"/>
  <c r="G35" i="12"/>
  <c r="C44" i="12"/>
  <c r="F54" i="20"/>
  <c r="F54" i="15"/>
  <c r="F54" i="18"/>
  <c r="H7" i="13"/>
  <c r="K18" i="14"/>
  <c r="X19" i="15"/>
  <c r="Q41" i="94"/>
  <c r="P42" i="90"/>
  <c r="Q42" i="90" s="1"/>
  <c r="R42" i="90" s="1"/>
  <c r="R30" i="112"/>
  <c r="Q29" i="110"/>
  <c r="R29" i="110" s="1"/>
  <c r="P30" i="106"/>
  <c r="Q30" i="106" s="1"/>
  <c r="R30" i="106" s="1"/>
  <c r="W20" i="18" l="1"/>
  <c r="W20" i="20" s="1"/>
  <c r="X19" i="18"/>
  <c r="S21" i="18"/>
  <c r="S21" i="20" s="1"/>
  <c r="V20" i="18"/>
  <c r="V20" i="20" s="1"/>
  <c r="R21" i="18"/>
  <c r="R21" i="20" s="1"/>
  <c r="X19" i="20"/>
  <c r="D21" i="20"/>
  <c r="G20" i="18"/>
  <c r="H20" i="18"/>
  <c r="D21" i="18"/>
  <c r="G20" i="20"/>
  <c r="H20" i="20"/>
  <c r="K18" i="15"/>
  <c r="K18" i="17" s="1"/>
  <c r="K51" i="17" s="1"/>
  <c r="K51" i="14"/>
  <c r="W53" i="15"/>
  <c r="W53" i="18" s="1"/>
  <c r="W53" i="20" s="1"/>
  <c r="C40" i="13"/>
  <c r="C50" i="13"/>
  <c r="R54" i="15"/>
  <c r="R54" i="18" s="1"/>
  <c r="R54" i="20" s="1"/>
  <c r="AH22" i="97"/>
  <c r="K17" i="26"/>
  <c r="K16" i="29" s="1"/>
  <c r="D6" i="13"/>
  <c r="I19" i="15"/>
  <c r="I19" i="17" s="1"/>
  <c r="I52" i="17" s="1"/>
  <c r="I52" i="14"/>
  <c r="C53" i="13"/>
  <c r="C43" i="13"/>
  <c r="G19" i="14"/>
  <c r="T20" i="15"/>
  <c r="J19" i="15"/>
  <c r="J19" i="17" s="1"/>
  <c r="J52" i="17" s="1"/>
  <c r="J52" i="14"/>
  <c r="F53" i="14"/>
  <c r="F20" i="15"/>
  <c r="F20" i="17" s="1"/>
  <c r="F53" i="17" s="1"/>
  <c r="D54" i="18"/>
  <c r="D54" i="15"/>
  <c r="D54" i="20"/>
  <c r="C54" i="13"/>
  <c r="C44" i="13"/>
  <c r="C21" i="15"/>
  <c r="C21" i="17" s="1"/>
  <c r="C54" i="17" s="1"/>
  <c r="H8" i="13"/>
  <c r="E7" i="13"/>
  <c r="B19" i="13"/>
  <c r="B18" i="13"/>
  <c r="B21" i="13"/>
  <c r="B20" i="13"/>
  <c r="B17" i="13"/>
  <c r="B2" i="13"/>
  <c r="B3" i="13" s="1"/>
  <c r="B4" i="13" s="1"/>
  <c r="B10" i="12"/>
  <c r="G8" i="13"/>
  <c r="U20" i="15"/>
  <c r="H19" i="14"/>
  <c r="V53" i="15"/>
  <c r="V53" i="18" s="1"/>
  <c r="V53" i="20" s="1"/>
  <c r="E20" i="15"/>
  <c r="E20" i="17" s="1"/>
  <c r="E53" i="17" s="1"/>
  <c r="E53" i="14"/>
  <c r="S54" i="15"/>
  <c r="S54" i="18" s="1"/>
  <c r="S54" i="20" s="1"/>
  <c r="C42" i="13"/>
  <c r="C52" i="13"/>
  <c r="R41" i="94"/>
  <c r="J9" i="13"/>
  <c r="H53" i="15"/>
  <c r="H53" i="18"/>
  <c r="H53" i="20"/>
  <c r="I9" i="13"/>
  <c r="C51" i="13"/>
  <c r="C41" i="13"/>
  <c r="X52" i="15"/>
  <c r="X52" i="18" s="1"/>
  <c r="X52" i="20" s="1"/>
  <c r="F7" i="13"/>
  <c r="K11" i="13"/>
  <c r="Q21" i="15"/>
  <c r="D20" i="14"/>
  <c r="G53" i="15"/>
  <c r="G53" i="20"/>
  <c r="G53" i="18"/>
  <c r="C5" i="13"/>
  <c r="P42" i="94"/>
  <c r="Q42" i="94" s="1"/>
  <c r="R42" i="94" s="1"/>
  <c r="P30" i="110"/>
  <c r="Q30" i="110" s="1"/>
  <c r="R30" i="110" s="1"/>
  <c r="Q21" i="18" l="1"/>
  <c r="Q21" i="20" s="1"/>
  <c r="T20" i="18"/>
  <c r="T20" i="20" s="1"/>
  <c r="U20" i="18"/>
  <c r="U20" i="20" s="1"/>
  <c r="E20" i="20"/>
  <c r="K18" i="20"/>
  <c r="K16" i="25" s="1"/>
  <c r="E20" i="18"/>
  <c r="C21" i="20"/>
  <c r="F20" i="18"/>
  <c r="I19" i="18"/>
  <c r="J19" i="18"/>
  <c r="C21" i="18"/>
  <c r="F20" i="20"/>
  <c r="J19" i="20"/>
  <c r="J17" i="25" s="1"/>
  <c r="I19" i="20"/>
  <c r="I17" i="25" s="1"/>
  <c r="K18" i="18"/>
  <c r="C6" i="13"/>
  <c r="B53" i="13"/>
  <c r="B43" i="13"/>
  <c r="H9" i="13"/>
  <c r="B44" i="13"/>
  <c r="B54" i="13"/>
  <c r="B21" i="15"/>
  <c r="B21" i="17" s="1"/>
  <c r="B54" i="17" s="1"/>
  <c r="W19" i="15"/>
  <c r="J18" i="14"/>
  <c r="B51" i="13"/>
  <c r="B41" i="13"/>
  <c r="C54" i="20"/>
  <c r="C54" i="15"/>
  <c r="C54" i="18"/>
  <c r="K17" i="14"/>
  <c r="X18" i="15"/>
  <c r="X18" i="18" s="1"/>
  <c r="U53" i="15"/>
  <c r="U53" i="18" s="1"/>
  <c r="U53" i="20" s="1"/>
  <c r="E53" i="15"/>
  <c r="E53" i="20"/>
  <c r="E53" i="18"/>
  <c r="G9" i="13"/>
  <c r="B42" i="13"/>
  <c r="B52" i="13"/>
  <c r="G52" i="14"/>
  <c r="G19" i="15"/>
  <c r="G19" i="17" s="1"/>
  <c r="G52" i="17" s="1"/>
  <c r="K51" i="15"/>
  <c r="K51" i="20"/>
  <c r="K51" i="18"/>
  <c r="T53" i="15"/>
  <c r="T53" i="18" s="1"/>
  <c r="T53" i="20" s="1"/>
  <c r="K12" i="13"/>
  <c r="K34" i="13"/>
  <c r="E19" i="14"/>
  <c r="R20" i="15"/>
  <c r="C20" i="14"/>
  <c r="P21" i="15"/>
  <c r="F19" i="14"/>
  <c r="S20" i="15"/>
  <c r="S20" i="18" s="1"/>
  <c r="S20" i="20" s="1"/>
  <c r="D53" i="14"/>
  <c r="D20" i="15"/>
  <c r="D20" i="17" s="1"/>
  <c r="D53" i="17" s="1"/>
  <c r="F53" i="15"/>
  <c r="F53" i="20"/>
  <c r="F53" i="18"/>
  <c r="I10" i="13"/>
  <c r="B5" i="13"/>
  <c r="E8" i="13"/>
  <c r="Q54" i="15"/>
  <c r="Q54" i="18" s="1"/>
  <c r="Q54" i="20" s="1"/>
  <c r="I52" i="15"/>
  <c r="I52" i="18"/>
  <c r="I52" i="20"/>
  <c r="D7" i="13"/>
  <c r="F8" i="13"/>
  <c r="J10" i="13"/>
  <c r="H19" i="15"/>
  <c r="H19" i="17" s="1"/>
  <c r="H52" i="17" s="1"/>
  <c r="H52" i="14"/>
  <c r="B40" i="13"/>
  <c r="B50" i="13"/>
  <c r="J52" i="15"/>
  <c r="J52" i="20"/>
  <c r="J52" i="18"/>
  <c r="V19" i="15"/>
  <c r="I18" i="14"/>
  <c r="V19" i="18" l="1"/>
  <c r="V19" i="20" s="1"/>
  <c r="X18" i="20"/>
  <c r="W19" i="18"/>
  <c r="W19" i="20" s="1"/>
  <c r="R20" i="18"/>
  <c r="R20" i="20" s="1"/>
  <c r="H19" i="20"/>
  <c r="H17" i="25" s="1"/>
  <c r="P21" i="18"/>
  <c r="P21" i="20" s="1"/>
  <c r="D20" i="20"/>
  <c r="D20" i="18"/>
  <c r="H19" i="18"/>
  <c r="G19" i="18"/>
  <c r="B21" i="18"/>
  <c r="B21" i="20"/>
  <c r="G19" i="20"/>
  <c r="G17" i="25" s="1"/>
  <c r="D53" i="15"/>
  <c r="D53" i="18"/>
  <c r="D53" i="20"/>
  <c r="C20" i="15"/>
  <c r="C20" i="17" s="1"/>
  <c r="C53" i="17" s="1"/>
  <c r="C53" i="14"/>
  <c r="K50" i="14"/>
  <c r="K17" i="15"/>
  <c r="K17" i="17" s="1"/>
  <c r="K50" i="17" s="1"/>
  <c r="S53" i="15"/>
  <c r="S53" i="18" s="1"/>
  <c r="S53" i="20" s="1"/>
  <c r="X51" i="15"/>
  <c r="X51" i="18" s="1"/>
  <c r="X51" i="20" s="1"/>
  <c r="R53" i="15"/>
  <c r="R53" i="18" s="1"/>
  <c r="R53" i="20" s="1"/>
  <c r="B20" i="14"/>
  <c r="O21" i="15"/>
  <c r="AF22" i="97"/>
  <c r="I17" i="26"/>
  <c r="I16" i="29" s="1"/>
  <c r="K13" i="13"/>
  <c r="K45" i="13"/>
  <c r="K35" i="13"/>
  <c r="H10" i="13"/>
  <c r="C7" i="13"/>
  <c r="J11" i="13"/>
  <c r="W52" i="15"/>
  <c r="W52" i="18" s="1"/>
  <c r="W52" i="20" s="1"/>
  <c r="H52" i="15"/>
  <c r="H52" i="18"/>
  <c r="H52" i="20"/>
  <c r="F9" i="13"/>
  <c r="V52" i="15"/>
  <c r="V52" i="18" s="1"/>
  <c r="V52" i="20" s="1"/>
  <c r="E9" i="13"/>
  <c r="I11" i="13"/>
  <c r="E52" i="14"/>
  <c r="E19" i="15"/>
  <c r="E19" i="17" s="1"/>
  <c r="E52" i="17" s="1"/>
  <c r="T19" i="15"/>
  <c r="G18" i="14"/>
  <c r="P54" i="15"/>
  <c r="P54" i="18" s="1"/>
  <c r="P54" i="20" s="1"/>
  <c r="B54" i="15"/>
  <c r="B54" i="18"/>
  <c r="B54" i="20"/>
  <c r="AH21" i="97"/>
  <c r="K16" i="26"/>
  <c r="K15" i="29" s="1"/>
  <c r="U19" i="15"/>
  <c r="H18" i="14"/>
  <c r="F19" i="15"/>
  <c r="F19" i="17" s="1"/>
  <c r="F52" i="17" s="1"/>
  <c r="F52" i="14"/>
  <c r="G52" i="15"/>
  <c r="G52" i="18"/>
  <c r="G52" i="20"/>
  <c r="G10" i="13"/>
  <c r="J51" i="14"/>
  <c r="J18" i="15"/>
  <c r="J18" i="17" s="1"/>
  <c r="J51" i="17" s="1"/>
  <c r="I18" i="15"/>
  <c r="I18" i="17" s="1"/>
  <c r="I51" i="17" s="1"/>
  <c r="I51" i="14"/>
  <c r="D8" i="13"/>
  <c r="AG22" i="97"/>
  <c r="J17" i="26"/>
  <c r="J16" i="29" s="1"/>
  <c r="B6" i="13"/>
  <c r="D19" i="14"/>
  <c r="Q20" i="15"/>
  <c r="T19" i="18" l="1"/>
  <c r="T19" i="20" s="1"/>
  <c r="U19" i="18"/>
  <c r="U19" i="20" s="1"/>
  <c r="F19" i="20"/>
  <c r="F19" i="18"/>
  <c r="Q20" i="18"/>
  <c r="Q20" i="20" s="1"/>
  <c r="O21" i="18"/>
  <c r="O21" i="20" s="1"/>
  <c r="E19" i="18"/>
  <c r="J18" i="20"/>
  <c r="J16" i="25" s="1"/>
  <c r="K17" i="20"/>
  <c r="K15" i="25" s="1"/>
  <c r="C20" i="20"/>
  <c r="I18" i="18"/>
  <c r="K17" i="18"/>
  <c r="C20" i="18"/>
  <c r="I18" i="20"/>
  <c r="I16" i="25" s="1"/>
  <c r="J18" i="18"/>
  <c r="E19" i="20"/>
  <c r="E17" i="25" s="1"/>
  <c r="D19" i="15"/>
  <c r="D19" i="17" s="1"/>
  <c r="D52" i="17" s="1"/>
  <c r="D52" i="14"/>
  <c r="I17" i="14"/>
  <c r="V18" i="15"/>
  <c r="V18" i="18" s="1"/>
  <c r="I12" i="13"/>
  <c r="I34" i="13"/>
  <c r="F10" i="13"/>
  <c r="J12" i="13"/>
  <c r="J34" i="13"/>
  <c r="C53" i="15"/>
  <c r="C53" i="20"/>
  <c r="C53" i="18"/>
  <c r="O54" i="15"/>
  <c r="O54" i="18" s="1"/>
  <c r="O54" i="20" s="1"/>
  <c r="K36" i="13"/>
  <c r="K14" i="13"/>
  <c r="K46" i="13"/>
  <c r="AD22" i="97"/>
  <c r="G17" i="26"/>
  <c r="G16" i="29" s="1"/>
  <c r="C19" i="14"/>
  <c r="P20" i="15"/>
  <c r="X17" i="15"/>
  <c r="K16" i="14"/>
  <c r="G11" i="13"/>
  <c r="E18" i="14"/>
  <c r="R19" i="15"/>
  <c r="E10" i="13"/>
  <c r="C8" i="13"/>
  <c r="K50" i="15"/>
  <c r="K50" i="20"/>
  <c r="K50" i="18"/>
  <c r="F18" i="14"/>
  <c r="S19" i="15"/>
  <c r="S19" i="18" s="1"/>
  <c r="S19" i="20" s="1"/>
  <c r="B7" i="13"/>
  <c r="W18" i="15"/>
  <c r="J17" i="14"/>
  <c r="E52" i="15"/>
  <c r="E52" i="20"/>
  <c r="E52" i="18"/>
  <c r="U52" i="15"/>
  <c r="U52" i="18" s="1"/>
  <c r="U52" i="20" s="1"/>
  <c r="B20" i="15"/>
  <c r="B20" i="17" s="1"/>
  <c r="B53" i="17" s="1"/>
  <c r="B53" i="14"/>
  <c r="Q53" i="15"/>
  <c r="Q53" i="18" s="1"/>
  <c r="Q53" i="20" s="1"/>
  <c r="AE22" i="97"/>
  <c r="H17" i="26"/>
  <c r="H16" i="29" s="1"/>
  <c r="J51" i="15"/>
  <c r="J51" i="18"/>
  <c r="J51" i="20"/>
  <c r="T52" i="15"/>
  <c r="T52" i="18" s="1"/>
  <c r="T52" i="20" s="1"/>
  <c r="H18" i="15"/>
  <c r="H18" i="17" s="1"/>
  <c r="H51" i="17" s="1"/>
  <c r="H51" i="14"/>
  <c r="G18" i="15"/>
  <c r="G18" i="17" s="1"/>
  <c r="G51" i="17" s="1"/>
  <c r="G51" i="14"/>
  <c r="F52" i="15"/>
  <c r="F52" i="20"/>
  <c r="F52" i="18"/>
  <c r="D9" i="13"/>
  <c r="I51" i="15"/>
  <c r="I51" i="20"/>
  <c r="I51" i="18"/>
  <c r="F17" i="25"/>
  <c r="H11" i="13"/>
  <c r="P20" i="18" l="1"/>
  <c r="P20" i="20" s="1"/>
  <c r="W18" i="18"/>
  <c r="W18" i="20" s="1"/>
  <c r="R19" i="18"/>
  <c r="R19" i="20" s="1"/>
  <c r="G18" i="20"/>
  <c r="G16" i="25" s="1"/>
  <c r="H18" i="20"/>
  <c r="V18" i="20"/>
  <c r="G18" i="18"/>
  <c r="H18" i="18"/>
  <c r="X17" i="18"/>
  <c r="X17" i="20" s="1"/>
  <c r="L12" i="27" s="1"/>
  <c r="S13" i="32" s="1"/>
  <c r="K17" i="97" s="1"/>
  <c r="B20" i="18"/>
  <c r="D19" i="20"/>
  <c r="D17" i="25" s="1"/>
  <c r="B20" i="20"/>
  <c r="D19" i="18"/>
  <c r="H17" i="14"/>
  <c r="U18" i="15"/>
  <c r="I17" i="15"/>
  <c r="I17" i="17" s="1"/>
  <c r="I50" i="17" s="1"/>
  <c r="I50" i="14"/>
  <c r="X50" i="15"/>
  <c r="X50" i="18" s="1"/>
  <c r="X50" i="20" s="1"/>
  <c r="G12" i="13"/>
  <c r="G34" i="13"/>
  <c r="J13" i="13"/>
  <c r="J45" i="13"/>
  <c r="J35" i="13"/>
  <c r="B53" i="15"/>
  <c r="B53" i="18"/>
  <c r="B53" i="20"/>
  <c r="R52" i="15"/>
  <c r="R52" i="18" s="1"/>
  <c r="R52" i="20" s="1"/>
  <c r="K15" i="13"/>
  <c r="K47" i="13"/>
  <c r="K37" i="13"/>
  <c r="P53" i="15"/>
  <c r="P53" i="18" s="1"/>
  <c r="P53" i="20" s="1"/>
  <c r="B8" i="13"/>
  <c r="E11" i="13"/>
  <c r="D10" i="13"/>
  <c r="G51" i="15"/>
  <c r="G51" i="20"/>
  <c r="G51" i="18"/>
  <c r="AC22" i="97"/>
  <c r="F17" i="26"/>
  <c r="F16" i="29" s="1"/>
  <c r="G17" i="14"/>
  <c r="T18" i="15"/>
  <c r="B19" i="14"/>
  <c r="O20" i="15"/>
  <c r="F51" i="14"/>
  <c r="F18" i="15"/>
  <c r="F18" i="17" s="1"/>
  <c r="F51" i="17" s="1"/>
  <c r="E51" i="14"/>
  <c r="E18" i="15"/>
  <c r="E18" i="17" s="1"/>
  <c r="E51" i="17" s="1"/>
  <c r="C52" i="14"/>
  <c r="C19" i="15"/>
  <c r="C19" i="17" s="1"/>
  <c r="C52" i="17" s="1"/>
  <c r="I13" i="13"/>
  <c r="I45" i="13"/>
  <c r="I35" i="13"/>
  <c r="D52" i="15"/>
  <c r="D52" i="18"/>
  <c r="D52" i="20"/>
  <c r="H16" i="25"/>
  <c r="W51" i="15"/>
  <c r="W51" i="18" s="1"/>
  <c r="W51" i="20" s="1"/>
  <c r="AG21" i="97"/>
  <c r="J16" i="26"/>
  <c r="J15" i="29" s="1"/>
  <c r="J17" i="15"/>
  <c r="J17" i="17" s="1"/>
  <c r="J50" i="17" s="1"/>
  <c r="J50" i="14"/>
  <c r="C9" i="13"/>
  <c r="K49" i="14"/>
  <c r="AH20" i="97"/>
  <c r="K15" i="26"/>
  <c r="K14" i="29" s="1"/>
  <c r="F11" i="13"/>
  <c r="Q19" i="15"/>
  <c r="D18" i="14"/>
  <c r="H12" i="13"/>
  <c r="H34" i="13"/>
  <c r="AB22" i="97"/>
  <c r="E17" i="26"/>
  <c r="E16" i="29" s="1"/>
  <c r="S52" i="15"/>
  <c r="S52" i="18" s="1"/>
  <c r="S52" i="20" s="1"/>
  <c r="V51" i="15"/>
  <c r="V51" i="18" s="1"/>
  <c r="V51" i="20" s="1"/>
  <c r="H51" i="15"/>
  <c r="H51" i="18"/>
  <c r="H51" i="20"/>
  <c r="AF21" i="97"/>
  <c r="I16" i="26"/>
  <c r="I15" i="29" s="1"/>
  <c r="U18" i="18" l="1"/>
  <c r="U18" i="20" s="1"/>
  <c r="O20" i="18"/>
  <c r="O20" i="20" s="1"/>
  <c r="T18" i="18"/>
  <c r="T18" i="20" s="1"/>
  <c r="Q19" i="18"/>
  <c r="Q19" i="20" s="1"/>
  <c r="J17" i="20"/>
  <c r="J15" i="25" s="1"/>
  <c r="I17" i="20"/>
  <c r="I15" i="25" s="1"/>
  <c r="C19" i="20"/>
  <c r="C17" i="25" s="1"/>
  <c r="E18" i="18"/>
  <c r="F18" i="20"/>
  <c r="F16" i="25" s="1"/>
  <c r="I17" i="18"/>
  <c r="J17" i="18"/>
  <c r="C19" i="18"/>
  <c r="E18" i="20"/>
  <c r="E16" i="25" s="1"/>
  <c r="F18" i="18"/>
  <c r="U51" i="15"/>
  <c r="E12" i="13"/>
  <c r="E34" i="13"/>
  <c r="H13" i="13"/>
  <c r="H45" i="13"/>
  <c r="H35" i="13"/>
  <c r="C10" i="13"/>
  <c r="G17" i="15"/>
  <c r="G17" i="17" s="1"/>
  <c r="G50" i="17" s="1"/>
  <c r="G50" i="14"/>
  <c r="D51" i="14"/>
  <c r="D18" i="15"/>
  <c r="D18" i="17" s="1"/>
  <c r="D51" i="17" s="1"/>
  <c r="P19" i="15"/>
  <c r="C18" i="14"/>
  <c r="S18" i="15"/>
  <c r="F17" i="14"/>
  <c r="D11" i="13"/>
  <c r="O53" i="15"/>
  <c r="O53" i="18" s="1"/>
  <c r="O53" i="20" s="1"/>
  <c r="Q52" i="15"/>
  <c r="Q52" i="18" s="1"/>
  <c r="Q52" i="20" s="1"/>
  <c r="C52" i="15"/>
  <c r="C52" i="18"/>
  <c r="C52" i="20"/>
  <c r="F51" i="15"/>
  <c r="F51" i="18"/>
  <c r="F51" i="20"/>
  <c r="B9" i="13"/>
  <c r="AE21" i="97"/>
  <c r="H16" i="26"/>
  <c r="H15" i="29" s="1"/>
  <c r="G13" i="13"/>
  <c r="G45" i="13"/>
  <c r="G35" i="13"/>
  <c r="I50" i="15"/>
  <c r="I50" i="20"/>
  <c r="I50" i="18"/>
  <c r="H17" i="15"/>
  <c r="H17" i="17" s="1"/>
  <c r="H50" i="17" s="1"/>
  <c r="H50" i="14"/>
  <c r="F12" i="13"/>
  <c r="F34" i="13"/>
  <c r="J50" i="15"/>
  <c r="J50" i="20"/>
  <c r="J50" i="18"/>
  <c r="B52" i="14"/>
  <c r="B19" i="15"/>
  <c r="B19" i="17" s="1"/>
  <c r="B52" i="17" s="1"/>
  <c r="K38" i="13"/>
  <c r="K16" i="13"/>
  <c r="K48" i="13"/>
  <c r="J46" i="13"/>
  <c r="J14" i="13"/>
  <c r="J36" i="13"/>
  <c r="I16" i="14"/>
  <c r="V17" i="15"/>
  <c r="V17" i="18" s="1"/>
  <c r="V17" i="20" s="1"/>
  <c r="J12" i="27" s="1"/>
  <c r="Q13" i="32" s="1"/>
  <c r="I17" i="97" s="1"/>
  <c r="I46" i="13"/>
  <c r="I36" i="13"/>
  <c r="I14" i="13"/>
  <c r="W17" i="15"/>
  <c r="J16" i="14"/>
  <c r="R18" i="15"/>
  <c r="E17" i="14"/>
  <c r="AA22" i="97"/>
  <c r="D17" i="26"/>
  <c r="D16" i="29" s="1"/>
  <c r="T51" i="15"/>
  <c r="T51" i="18" s="1"/>
  <c r="T51" i="20" s="1"/>
  <c r="U51" i="18"/>
  <c r="U51" i="20" s="1"/>
  <c r="E51" i="15"/>
  <c r="E51" i="20"/>
  <c r="E51" i="18"/>
  <c r="AD21" i="97"/>
  <c r="G16" i="26"/>
  <c r="G15" i="29" s="1"/>
  <c r="W17" i="18" l="1"/>
  <c r="W17" i="20" s="1"/>
  <c r="K12" i="27" s="1"/>
  <c r="R13" i="32" s="1"/>
  <c r="J17" i="97" s="1"/>
  <c r="R18" i="18"/>
  <c r="R18" i="20" s="1"/>
  <c r="P19" i="18"/>
  <c r="P19" i="20" s="1"/>
  <c r="S18" i="18"/>
  <c r="S18" i="20" s="1"/>
  <c r="B19" i="18"/>
  <c r="B19" i="20"/>
  <c r="B17" i="25" s="1"/>
  <c r="D18" i="20"/>
  <c r="D16" i="25" s="1"/>
  <c r="G17" i="18"/>
  <c r="H17" i="20"/>
  <c r="H15" i="25" s="1"/>
  <c r="H17" i="18"/>
  <c r="D18" i="18"/>
  <c r="G17" i="20"/>
  <c r="G15" i="25" s="1"/>
  <c r="O19" i="15"/>
  <c r="O19" i="18" s="1"/>
  <c r="B18" i="14"/>
  <c r="S51" i="15"/>
  <c r="S51" i="18" s="1"/>
  <c r="S51" i="20" s="1"/>
  <c r="Z22" i="97"/>
  <c r="C17" i="26"/>
  <c r="C16" i="29" s="1"/>
  <c r="E50" i="14"/>
  <c r="E17" i="15"/>
  <c r="E17" i="17" s="1"/>
  <c r="E50" i="17" s="1"/>
  <c r="I47" i="13"/>
  <c r="I37" i="13"/>
  <c r="I15" i="13"/>
  <c r="G50" i="15"/>
  <c r="G50" i="20"/>
  <c r="G50" i="18"/>
  <c r="J37" i="13"/>
  <c r="J47" i="13"/>
  <c r="J15" i="13"/>
  <c r="AB21" i="97"/>
  <c r="E16" i="26"/>
  <c r="E15" i="29" s="1"/>
  <c r="H50" i="15"/>
  <c r="H50" i="20"/>
  <c r="H50" i="18"/>
  <c r="P52" i="15"/>
  <c r="P52" i="18" s="1"/>
  <c r="P52" i="20" s="1"/>
  <c r="D12" i="13"/>
  <c r="D34" i="13"/>
  <c r="G16" i="14"/>
  <c r="T17" i="15"/>
  <c r="H36" i="13"/>
  <c r="H14" i="13"/>
  <c r="H46" i="13"/>
  <c r="B52" i="15"/>
  <c r="B52" i="20"/>
  <c r="B52" i="18"/>
  <c r="E45" i="13"/>
  <c r="E13" i="13"/>
  <c r="E35" i="13"/>
  <c r="R51" i="15"/>
  <c r="R51" i="18" s="1"/>
  <c r="R51" i="20" s="1"/>
  <c r="U17" i="15"/>
  <c r="H16" i="14"/>
  <c r="B10" i="13"/>
  <c r="AF20" i="97"/>
  <c r="I15" i="26"/>
  <c r="I14" i="29" s="1"/>
  <c r="F50" i="14"/>
  <c r="F17" i="15"/>
  <c r="F17" i="17" s="1"/>
  <c r="F50" i="17" s="1"/>
  <c r="AC21" i="97"/>
  <c r="F16" i="26"/>
  <c r="F15" i="29" s="1"/>
  <c r="K49" i="13"/>
  <c r="K43" i="17" s="1"/>
  <c r="K39" i="13"/>
  <c r="K10" i="17"/>
  <c r="K16" i="15"/>
  <c r="K16" i="17" s="1"/>
  <c r="K49" i="17" s="1"/>
  <c r="K11" i="17"/>
  <c r="J49" i="14"/>
  <c r="I49" i="14"/>
  <c r="W50" i="15"/>
  <c r="W50" i="18" s="1"/>
  <c r="W50" i="20" s="1"/>
  <c r="D17" i="14"/>
  <c r="Q18" i="15"/>
  <c r="C11" i="13"/>
  <c r="K9" i="17"/>
  <c r="F45" i="13"/>
  <c r="F13" i="13"/>
  <c r="F35" i="13"/>
  <c r="V50" i="15"/>
  <c r="V50" i="18" s="1"/>
  <c r="V50" i="20" s="1"/>
  <c r="G14" i="13"/>
  <c r="G36" i="13"/>
  <c r="G46" i="13"/>
  <c r="AG20" i="97"/>
  <c r="J15" i="26"/>
  <c r="J14" i="29" s="1"/>
  <c r="C18" i="15"/>
  <c r="C18" i="17" s="1"/>
  <c r="C51" i="17" s="1"/>
  <c r="C51" i="14"/>
  <c r="D51" i="15"/>
  <c r="D51" i="20"/>
  <c r="D51" i="18"/>
  <c r="T17" i="18" l="1"/>
  <c r="T17" i="20" s="1"/>
  <c r="H12" i="27" s="1"/>
  <c r="O13" i="32" s="1"/>
  <c r="G17" i="97" s="1"/>
  <c r="Q18" i="18"/>
  <c r="Q18" i="20" s="1"/>
  <c r="U17" i="18"/>
  <c r="U17" i="20" s="1"/>
  <c r="I12" i="27" s="1"/>
  <c r="P13" i="32" s="1"/>
  <c r="H17" i="97" s="1"/>
  <c r="O19" i="20"/>
  <c r="C18" i="20"/>
  <c r="C16" i="25" s="1"/>
  <c r="C18" i="18"/>
  <c r="F17" i="18"/>
  <c r="F17" i="20"/>
  <c r="F15" i="25" s="1"/>
  <c r="K16" i="20"/>
  <c r="K14" i="25" s="1"/>
  <c r="E17" i="20"/>
  <c r="E15" i="25" s="1"/>
  <c r="K16" i="18"/>
  <c r="E17" i="18"/>
  <c r="K44" i="17"/>
  <c r="X16" i="15"/>
  <c r="K15" i="14"/>
  <c r="AA21" i="97"/>
  <c r="D16" i="26"/>
  <c r="D15" i="29" s="1"/>
  <c r="E36" i="13"/>
  <c r="E14" i="13"/>
  <c r="E46" i="13"/>
  <c r="D50" i="14"/>
  <c r="D17" i="15"/>
  <c r="D17" i="17" s="1"/>
  <c r="D50" i="17" s="1"/>
  <c r="D45" i="13"/>
  <c r="D13" i="13"/>
  <c r="D35" i="13"/>
  <c r="T50" i="15"/>
  <c r="T50" i="18" s="1"/>
  <c r="T50" i="20" s="1"/>
  <c r="E50" i="15"/>
  <c r="E50" i="20"/>
  <c r="E50" i="18"/>
  <c r="AD20" i="97"/>
  <c r="G15" i="26"/>
  <c r="G14" i="29" s="1"/>
  <c r="Y22" i="97"/>
  <c r="B17" i="26"/>
  <c r="K42" i="22"/>
  <c r="K29" i="22" s="1"/>
  <c r="K16" i="22" s="1"/>
  <c r="K3" i="22" s="1"/>
  <c r="B11" i="13"/>
  <c r="G15" i="13"/>
  <c r="G47" i="13"/>
  <c r="G37" i="13"/>
  <c r="AE20" i="97"/>
  <c r="H15" i="26"/>
  <c r="H14" i="29" s="1"/>
  <c r="F16" i="14"/>
  <c r="S17" i="15"/>
  <c r="G49" i="14"/>
  <c r="J16" i="13"/>
  <c r="J48" i="13"/>
  <c r="J38" i="13"/>
  <c r="I16" i="13"/>
  <c r="I10" i="17" s="1"/>
  <c r="I48" i="13"/>
  <c r="I38" i="13"/>
  <c r="H47" i="13"/>
  <c r="H15" i="13"/>
  <c r="H37" i="13"/>
  <c r="Q51" i="15"/>
  <c r="Q51" i="18" s="1"/>
  <c r="Q51" i="20" s="1"/>
  <c r="C12" i="13"/>
  <c r="C34" i="13"/>
  <c r="K49" i="18"/>
  <c r="K49" i="20"/>
  <c r="K42" i="17"/>
  <c r="K49" i="15"/>
  <c r="F50" i="15"/>
  <c r="F50" i="20"/>
  <c r="F50" i="18"/>
  <c r="B51" i="14"/>
  <c r="B18" i="15"/>
  <c r="B18" i="17" s="1"/>
  <c r="B51" i="17" s="1"/>
  <c r="C51" i="15"/>
  <c r="C51" i="20"/>
  <c r="C51" i="18"/>
  <c r="P18" i="15"/>
  <c r="C17" i="14"/>
  <c r="F36" i="13"/>
  <c r="F14" i="13"/>
  <c r="F46" i="13"/>
  <c r="H49" i="14"/>
  <c r="O52" i="15"/>
  <c r="O52" i="18" s="1"/>
  <c r="O52" i="20" s="1"/>
  <c r="U50" i="15"/>
  <c r="U50" i="18" s="1"/>
  <c r="U50" i="20" s="1"/>
  <c r="E16" i="14"/>
  <c r="R17" i="15"/>
  <c r="X16" i="18" l="1"/>
  <c r="X16" i="20" s="1"/>
  <c r="L11" i="27" s="1"/>
  <c r="S12" i="32" s="1"/>
  <c r="K16" i="97" s="1"/>
  <c r="S17" i="18"/>
  <c r="S17" i="20" s="1"/>
  <c r="G12" i="27" s="1"/>
  <c r="N13" i="32" s="1"/>
  <c r="F17" i="97" s="1"/>
  <c r="P18" i="18"/>
  <c r="P18" i="20" s="1"/>
  <c r="R17" i="18"/>
  <c r="R17" i="20" s="1"/>
  <c r="F12" i="27" s="1"/>
  <c r="M13" i="32" s="1"/>
  <c r="E17" i="97" s="1"/>
  <c r="D17" i="18"/>
  <c r="D17" i="20"/>
  <c r="D15" i="25" s="1"/>
  <c r="B18" i="18"/>
  <c r="B18" i="20"/>
  <c r="B16" i="25" s="1"/>
  <c r="C50" i="14"/>
  <c r="C17" i="15"/>
  <c r="C17" i="17" s="1"/>
  <c r="C50" i="17" s="1"/>
  <c r="C13" i="13"/>
  <c r="C45" i="13"/>
  <c r="C35" i="13"/>
  <c r="B12" i="13"/>
  <c r="B34" i="13"/>
  <c r="E15" i="13"/>
  <c r="E47" i="13"/>
  <c r="E37" i="13"/>
  <c r="F49" i="14"/>
  <c r="D14" i="13"/>
  <c r="D46" i="13"/>
  <c r="D36" i="13"/>
  <c r="S50" i="15"/>
  <c r="S50" i="18" s="1"/>
  <c r="S50" i="20" s="1"/>
  <c r="G38" i="13"/>
  <c r="G48" i="13"/>
  <c r="G16" i="13"/>
  <c r="E49" i="14"/>
  <c r="Z21" i="97"/>
  <c r="C16" i="26"/>
  <c r="C15" i="29" s="1"/>
  <c r="B17" i="14"/>
  <c r="O18" i="15"/>
  <c r="O18" i="18" s="1"/>
  <c r="X49" i="15"/>
  <c r="X49" i="18" s="1"/>
  <c r="X49" i="20" s="1"/>
  <c r="K48" i="14"/>
  <c r="K15" i="15"/>
  <c r="K15" i="17" s="1"/>
  <c r="K48" i="17" s="1"/>
  <c r="P51" i="15"/>
  <c r="P51" i="18" s="1"/>
  <c r="P51" i="20" s="1"/>
  <c r="D16" i="14"/>
  <c r="Q17" i="15"/>
  <c r="AB20" i="97"/>
  <c r="E15" i="26"/>
  <c r="E14" i="29" s="1"/>
  <c r="F15" i="13"/>
  <c r="F47" i="13"/>
  <c r="F37" i="13"/>
  <c r="H38" i="13"/>
  <c r="H48" i="13"/>
  <c r="H16" i="13"/>
  <c r="R50" i="15"/>
  <c r="R50" i="18" s="1"/>
  <c r="R50" i="20" s="1"/>
  <c r="D50" i="15"/>
  <c r="D50" i="20"/>
  <c r="D50" i="18"/>
  <c r="AH19" i="97"/>
  <c r="K14" i="26"/>
  <c r="K13" i="29" s="1"/>
  <c r="B51" i="15"/>
  <c r="B51" i="18"/>
  <c r="B51" i="20"/>
  <c r="I39" i="13"/>
  <c r="I49" i="13"/>
  <c r="I9" i="17"/>
  <c r="I16" i="15"/>
  <c r="I16" i="17" s="1"/>
  <c r="I49" i="17" s="1"/>
  <c r="I11" i="17"/>
  <c r="J49" i="13"/>
  <c r="J39" i="13"/>
  <c r="J9" i="17"/>
  <c r="J11" i="17"/>
  <c r="J10" i="17"/>
  <c r="J16" i="15"/>
  <c r="J16" i="17" s="1"/>
  <c r="J49" i="17" s="1"/>
  <c r="G10" i="17"/>
  <c r="B16" i="29"/>
  <c r="L17" i="26"/>
  <c r="AC20" i="97"/>
  <c r="F15" i="26"/>
  <c r="F14" i="29" s="1"/>
  <c r="Q17" i="18" l="1"/>
  <c r="Q17" i="20" s="1"/>
  <c r="E12" i="27" s="1"/>
  <c r="L13" i="32" s="1"/>
  <c r="D17" i="97" s="1"/>
  <c r="O18" i="20"/>
  <c r="I16" i="20"/>
  <c r="I14" i="25" s="1"/>
  <c r="I16" i="18"/>
  <c r="K15" i="20"/>
  <c r="K13" i="25" s="1"/>
  <c r="C17" i="20"/>
  <c r="C15" i="25" s="1"/>
  <c r="C17" i="18"/>
  <c r="J16" i="20"/>
  <c r="J14" i="25" s="1"/>
  <c r="J16" i="18"/>
  <c r="K15" i="18"/>
  <c r="G9" i="17"/>
  <c r="J42" i="22"/>
  <c r="J29" i="22" s="1"/>
  <c r="J16" i="22" s="1"/>
  <c r="J3" i="22" s="1"/>
  <c r="K14" i="14"/>
  <c r="X15" i="15"/>
  <c r="X15" i="18" s="1"/>
  <c r="B45" i="13"/>
  <c r="B13" i="13"/>
  <c r="B35" i="13"/>
  <c r="H49" i="13"/>
  <c r="H39" i="13"/>
  <c r="H9" i="17"/>
  <c r="H16" i="15"/>
  <c r="H16" i="17" s="1"/>
  <c r="H49" i="17" s="1"/>
  <c r="H11" i="17"/>
  <c r="H10" i="17"/>
  <c r="F48" i="13"/>
  <c r="F38" i="13"/>
  <c r="F16" i="13"/>
  <c r="F11" i="17" s="1"/>
  <c r="K48" i="15"/>
  <c r="K48" i="20"/>
  <c r="K48" i="18"/>
  <c r="E38" i="13"/>
  <c r="E48" i="13"/>
  <c r="E16" i="13"/>
  <c r="J43" i="17"/>
  <c r="J49" i="15"/>
  <c r="J42" i="17"/>
  <c r="J49" i="18"/>
  <c r="J49" i="20"/>
  <c r="I42" i="22"/>
  <c r="I29" i="22" s="1"/>
  <c r="I16" i="22" s="1"/>
  <c r="I3" i="22" s="1"/>
  <c r="D49" i="14"/>
  <c r="AA20" i="97"/>
  <c r="D15" i="26"/>
  <c r="D14" i="29" s="1"/>
  <c r="C16" i="14"/>
  <c r="P17" i="15"/>
  <c r="P17" i="18" s="1"/>
  <c r="I44" i="17"/>
  <c r="I49" i="15"/>
  <c r="I49" i="18"/>
  <c r="I49" i="20"/>
  <c r="B50" i="14"/>
  <c r="B17" i="15"/>
  <c r="B17" i="17" s="1"/>
  <c r="B50" i="17" s="1"/>
  <c r="D37" i="13"/>
  <c r="D47" i="13"/>
  <c r="D15" i="13"/>
  <c r="C50" i="15"/>
  <c r="C50" i="20"/>
  <c r="C50" i="18"/>
  <c r="O51" i="15"/>
  <c r="O51" i="18" s="1"/>
  <c r="O51" i="20" s="1"/>
  <c r="J44" i="17"/>
  <c r="Y21" i="97"/>
  <c r="B16" i="26"/>
  <c r="I42" i="17"/>
  <c r="Q50" i="15"/>
  <c r="Q50" i="18" s="1"/>
  <c r="Q50" i="20" s="1"/>
  <c r="W16" i="15"/>
  <c r="J15" i="14"/>
  <c r="I15" i="14"/>
  <c r="V16" i="15"/>
  <c r="V16" i="18" s="1"/>
  <c r="V16" i="20" s="1"/>
  <c r="J11" i="27" s="1"/>
  <c r="Q12" i="32" s="1"/>
  <c r="I16" i="97" s="1"/>
  <c r="I43" i="17"/>
  <c r="G49" i="13"/>
  <c r="G42" i="17" s="1"/>
  <c r="G39" i="13"/>
  <c r="G42" i="22" s="1"/>
  <c r="G16" i="15"/>
  <c r="G16" i="17" s="1"/>
  <c r="G49" i="17" s="1"/>
  <c r="C14" i="13"/>
  <c r="C46" i="13"/>
  <c r="C36" i="13"/>
  <c r="G11" i="17"/>
  <c r="W16" i="18" l="1"/>
  <c r="W16" i="20" s="1"/>
  <c r="K11" i="27" s="1"/>
  <c r="R12" i="32" s="1"/>
  <c r="J16" i="97" s="1"/>
  <c r="X15" i="20"/>
  <c r="L10" i="27" s="1"/>
  <c r="S11" i="32" s="1"/>
  <c r="K15" i="97" s="1"/>
  <c r="P17" i="20"/>
  <c r="D12" i="27" s="1"/>
  <c r="K13" i="32" s="1"/>
  <c r="C17" i="97" s="1"/>
  <c r="H16" i="18"/>
  <c r="B17" i="20"/>
  <c r="G16" i="20"/>
  <c r="G14" i="25" s="1"/>
  <c r="B17" i="18"/>
  <c r="G16" i="18"/>
  <c r="H16" i="20"/>
  <c r="H14" i="25" s="1"/>
  <c r="H42" i="22"/>
  <c r="H29" i="22" s="1"/>
  <c r="H16" i="22" s="1"/>
  <c r="H3" i="22" s="1"/>
  <c r="E11" i="17"/>
  <c r="E10" i="17"/>
  <c r="B15" i="25"/>
  <c r="V49" i="15"/>
  <c r="V49" i="18" s="1"/>
  <c r="V49" i="20" s="1"/>
  <c r="W49" i="15"/>
  <c r="W49" i="18" s="1"/>
  <c r="W49" i="20" s="1"/>
  <c r="AG19" i="97"/>
  <c r="J14" i="26"/>
  <c r="J13" i="29" s="1"/>
  <c r="J15" i="15"/>
  <c r="J15" i="17" s="1"/>
  <c r="J48" i="17" s="1"/>
  <c r="J48" i="14"/>
  <c r="O17" i="15"/>
  <c r="B16" i="14"/>
  <c r="C37" i="13"/>
  <c r="C15" i="13"/>
  <c r="C47" i="13"/>
  <c r="G49" i="15"/>
  <c r="G49" i="20"/>
  <c r="G49" i="18"/>
  <c r="B15" i="29"/>
  <c r="L16" i="26"/>
  <c r="B50" i="15"/>
  <c r="B50" i="20"/>
  <c r="B50" i="18"/>
  <c r="AF19" i="97"/>
  <c r="I14" i="26"/>
  <c r="I13" i="29" s="1"/>
  <c r="H49" i="15"/>
  <c r="H43" i="17"/>
  <c r="H44" i="17"/>
  <c r="H49" i="18"/>
  <c r="H49" i="20"/>
  <c r="H42" i="17"/>
  <c r="D48" i="13"/>
  <c r="D16" i="13"/>
  <c r="D38" i="13"/>
  <c r="F39" i="13"/>
  <c r="F49" i="13"/>
  <c r="F9" i="17"/>
  <c r="F10" i="17"/>
  <c r="F16" i="15"/>
  <c r="F16" i="17" s="1"/>
  <c r="F49" i="17" s="1"/>
  <c r="U16" i="15"/>
  <c r="H15" i="14"/>
  <c r="K14" i="15"/>
  <c r="K14" i="17" s="1"/>
  <c r="K47" i="17" s="1"/>
  <c r="K47" i="14"/>
  <c r="I15" i="15"/>
  <c r="I15" i="17" s="1"/>
  <c r="I48" i="17" s="1"/>
  <c r="I48" i="14"/>
  <c r="AH18" i="97"/>
  <c r="K13" i="26"/>
  <c r="K12" i="29" s="1"/>
  <c r="G44" i="17"/>
  <c r="P50" i="15"/>
  <c r="P50" i="18" s="1"/>
  <c r="P50" i="20" s="1"/>
  <c r="C49" i="14"/>
  <c r="E49" i="13"/>
  <c r="E43" i="17" s="1"/>
  <c r="E39" i="13"/>
  <c r="E9" i="17"/>
  <c r="E16" i="15"/>
  <c r="E16" i="17" s="1"/>
  <c r="E49" i="17" s="1"/>
  <c r="X48" i="15"/>
  <c r="X48" i="18" s="1"/>
  <c r="X48" i="20" s="1"/>
  <c r="T16" i="15"/>
  <c r="G15" i="14"/>
  <c r="Z20" i="97"/>
  <c r="C15" i="26"/>
  <c r="C14" i="29" s="1"/>
  <c r="G29" i="22"/>
  <c r="G16" i="22" s="1"/>
  <c r="G3" i="22" s="1"/>
  <c r="B36" i="13"/>
  <c r="B14" i="13"/>
  <c r="B46" i="13"/>
  <c r="G43" i="17"/>
  <c r="T16" i="18" l="1"/>
  <c r="T16" i="20" s="1"/>
  <c r="H11" i="27" s="1"/>
  <c r="O12" i="32" s="1"/>
  <c r="G16" i="97" s="1"/>
  <c r="U16" i="18"/>
  <c r="U16" i="20" s="1"/>
  <c r="I11" i="27" s="1"/>
  <c r="P12" i="32" s="1"/>
  <c r="H16" i="97" s="1"/>
  <c r="F16" i="20"/>
  <c r="F14" i="25" s="1"/>
  <c r="O17" i="18"/>
  <c r="O17" i="20" s="1"/>
  <c r="C12" i="27" s="1"/>
  <c r="J13" i="32" s="1"/>
  <c r="B17" i="97" s="1"/>
  <c r="K14" i="20"/>
  <c r="K12" i="25" s="1"/>
  <c r="J15" i="18"/>
  <c r="E16" i="20"/>
  <c r="E14" i="25" s="1"/>
  <c r="I15" i="18"/>
  <c r="K14" i="18"/>
  <c r="F16" i="18"/>
  <c r="E16" i="18"/>
  <c r="I15" i="20"/>
  <c r="I13" i="25" s="1"/>
  <c r="J15" i="20"/>
  <c r="J13" i="25" s="1"/>
  <c r="E49" i="15"/>
  <c r="E44" i="17"/>
  <c r="E49" i="20"/>
  <c r="E49" i="18"/>
  <c r="U49" i="15"/>
  <c r="U49" i="18" s="1"/>
  <c r="U49" i="20" s="1"/>
  <c r="O50" i="15"/>
  <c r="O50" i="18" s="1"/>
  <c r="O50" i="20" s="1"/>
  <c r="X14" i="15"/>
  <c r="K13" i="14"/>
  <c r="S16" i="15"/>
  <c r="F15" i="14"/>
  <c r="B49" i="14"/>
  <c r="B47" i="13"/>
  <c r="B15" i="13"/>
  <c r="B37" i="13"/>
  <c r="R16" i="15"/>
  <c r="E15" i="14"/>
  <c r="E42" i="17"/>
  <c r="D10" i="17"/>
  <c r="AD19" i="97"/>
  <c r="G14" i="26"/>
  <c r="G13" i="29" s="1"/>
  <c r="C38" i="13"/>
  <c r="C48" i="13"/>
  <c r="C16" i="13"/>
  <c r="AE19" i="97"/>
  <c r="H14" i="26"/>
  <c r="H13" i="29" s="1"/>
  <c r="I48" i="15"/>
  <c r="I48" i="20"/>
  <c r="I48" i="18"/>
  <c r="H48" i="14"/>
  <c r="H15" i="15"/>
  <c r="H15" i="17" s="1"/>
  <c r="H48" i="17" s="1"/>
  <c r="V15" i="15"/>
  <c r="V15" i="18" s="1"/>
  <c r="V15" i="20" s="1"/>
  <c r="J10" i="27" s="1"/>
  <c r="Q11" i="32" s="1"/>
  <c r="I15" i="97" s="1"/>
  <c r="I14" i="14"/>
  <c r="D39" i="13"/>
  <c r="D49" i="13"/>
  <c r="D9" i="17"/>
  <c r="D16" i="15"/>
  <c r="D16" i="17" s="1"/>
  <c r="D49" i="17" s="1"/>
  <c r="D11" i="17"/>
  <c r="G15" i="15"/>
  <c r="G15" i="17" s="1"/>
  <c r="G48" i="17" s="1"/>
  <c r="G48" i="14"/>
  <c r="K47" i="15"/>
  <c r="K47" i="18"/>
  <c r="K47" i="20"/>
  <c r="F44" i="17"/>
  <c r="F49" i="20"/>
  <c r="F42" i="17"/>
  <c r="F49" i="15"/>
  <c r="F49" i="18"/>
  <c r="F43" i="17"/>
  <c r="T49" i="15"/>
  <c r="T49" i="18" s="1"/>
  <c r="T49" i="20" s="1"/>
  <c r="J48" i="15"/>
  <c r="J48" i="20"/>
  <c r="J48" i="18"/>
  <c r="E42" i="22"/>
  <c r="F42" i="22"/>
  <c r="J14" i="14"/>
  <c r="W15" i="15"/>
  <c r="Y20" i="97"/>
  <c r="B15" i="26"/>
  <c r="W15" i="18" l="1"/>
  <c r="W15" i="20" s="1"/>
  <c r="K10" i="27" s="1"/>
  <c r="R11" i="32" s="1"/>
  <c r="J15" i="97" s="1"/>
  <c r="X14" i="18"/>
  <c r="X14" i="20" s="1"/>
  <c r="L9" i="27" s="1"/>
  <c r="S10" i="32" s="1"/>
  <c r="K14" i="97" s="1"/>
  <c r="R16" i="18"/>
  <c r="R16" i="20" s="1"/>
  <c r="F11" i="27" s="1"/>
  <c r="M12" i="32" s="1"/>
  <c r="E16" i="97" s="1"/>
  <c r="S16" i="18"/>
  <c r="S16" i="20" s="1"/>
  <c r="G11" i="27" s="1"/>
  <c r="N12" i="32" s="1"/>
  <c r="F16" i="97" s="1"/>
  <c r="H15" i="18"/>
  <c r="H15" i="20"/>
  <c r="H13" i="25" s="1"/>
  <c r="G15" i="18"/>
  <c r="D16" i="20"/>
  <c r="D14" i="25" s="1"/>
  <c r="G15" i="20"/>
  <c r="G13" i="25" s="1"/>
  <c r="D16" i="18"/>
  <c r="C9" i="17"/>
  <c r="C11" i="17"/>
  <c r="D49" i="15"/>
  <c r="D43" i="17"/>
  <c r="D49" i="20"/>
  <c r="D49" i="18"/>
  <c r="D42" i="17"/>
  <c r="D44" i="17"/>
  <c r="R49" i="15"/>
  <c r="X47" i="15"/>
  <c r="X47" i="18" s="1"/>
  <c r="X47" i="20" s="1"/>
  <c r="J47" i="14"/>
  <c r="J14" i="15"/>
  <c r="J14" i="17" s="1"/>
  <c r="J47" i="17" s="1"/>
  <c r="G48" i="15"/>
  <c r="G48" i="20"/>
  <c r="G48" i="18"/>
  <c r="D15" i="14"/>
  <c r="Q16" i="15"/>
  <c r="D42" i="22"/>
  <c r="AB19" i="97"/>
  <c r="E14" i="26"/>
  <c r="E13" i="29" s="1"/>
  <c r="G14" i="14"/>
  <c r="T15" i="15"/>
  <c r="I14" i="15"/>
  <c r="I14" i="17" s="1"/>
  <c r="I47" i="17" s="1"/>
  <c r="I47" i="14"/>
  <c r="AG18" i="97"/>
  <c r="J13" i="26"/>
  <c r="J12" i="29" s="1"/>
  <c r="C49" i="13"/>
  <c r="C39" i="13"/>
  <c r="C16" i="15"/>
  <c r="C16" i="17" s="1"/>
  <c r="C49" i="17" s="1"/>
  <c r="C10" i="17"/>
  <c r="AF18" i="97"/>
  <c r="I13" i="26"/>
  <c r="I12" i="29" s="1"/>
  <c r="B48" i="13"/>
  <c r="B38" i="13"/>
  <c r="B16" i="13"/>
  <c r="F15" i="15"/>
  <c r="F15" i="17" s="1"/>
  <c r="F48" i="17" s="1"/>
  <c r="F48" i="14"/>
  <c r="AC19" i="97"/>
  <c r="F14" i="26"/>
  <c r="F13" i="29" s="1"/>
  <c r="E29" i="22"/>
  <c r="E16" i="22" s="1"/>
  <c r="E3" i="22" s="1"/>
  <c r="AH17" i="97"/>
  <c r="K12" i="26"/>
  <c r="K11" i="29" s="1"/>
  <c r="H14" i="14"/>
  <c r="U15" i="15"/>
  <c r="E15" i="15"/>
  <c r="E15" i="17" s="1"/>
  <c r="E48" i="17" s="1"/>
  <c r="E48" i="14"/>
  <c r="B14" i="29"/>
  <c r="L15" i="26"/>
  <c r="H48" i="15"/>
  <c r="H48" i="18"/>
  <c r="H48" i="20"/>
  <c r="V48" i="15"/>
  <c r="V48" i="18" s="1"/>
  <c r="V48" i="20" s="1"/>
  <c r="R49" i="18"/>
  <c r="R49" i="20" s="1"/>
  <c r="F29" i="22"/>
  <c r="F16" i="22" s="1"/>
  <c r="F3" i="22" s="1"/>
  <c r="W48" i="15"/>
  <c r="W48" i="18" s="1"/>
  <c r="W48" i="20" s="1"/>
  <c r="S49" i="15"/>
  <c r="S49" i="18" s="1"/>
  <c r="S49" i="20" s="1"/>
  <c r="K13" i="15"/>
  <c r="K13" i="17" s="1"/>
  <c r="K46" i="17" s="1"/>
  <c r="K46" i="14"/>
  <c r="U15" i="18" l="1"/>
  <c r="Q16" i="18"/>
  <c r="Q16" i="20" s="1"/>
  <c r="E11" i="27" s="1"/>
  <c r="L12" i="32" s="1"/>
  <c r="D16" i="97" s="1"/>
  <c r="T15" i="18"/>
  <c r="T15" i="20" s="1"/>
  <c r="H10" i="27" s="1"/>
  <c r="O11" i="32" s="1"/>
  <c r="G15" i="97" s="1"/>
  <c r="E15" i="20"/>
  <c r="E13" i="25" s="1"/>
  <c r="F15" i="20"/>
  <c r="F13" i="25" s="1"/>
  <c r="U15" i="20"/>
  <c r="I10" i="27" s="1"/>
  <c r="P11" i="32" s="1"/>
  <c r="H15" i="97" s="1"/>
  <c r="F15" i="18"/>
  <c r="C16" i="20"/>
  <c r="C14" i="25" s="1"/>
  <c r="J14" i="20"/>
  <c r="J12" i="25" s="1"/>
  <c r="J14" i="18"/>
  <c r="E15" i="18"/>
  <c r="C16" i="18"/>
  <c r="I14" i="20"/>
  <c r="I12" i="25" s="1"/>
  <c r="K13" i="18"/>
  <c r="K13" i="20"/>
  <c r="K11" i="25" s="1"/>
  <c r="I14" i="18"/>
  <c r="C44" i="17"/>
  <c r="C43" i="17"/>
  <c r="AA19" i="97"/>
  <c r="D14" i="26"/>
  <c r="D13" i="29" s="1"/>
  <c r="H14" i="15"/>
  <c r="H14" i="17" s="1"/>
  <c r="H47" i="17" s="1"/>
  <c r="H47" i="14"/>
  <c r="B49" i="13"/>
  <c r="B43" i="17" s="1"/>
  <c r="B39" i="13"/>
  <c r="B10" i="17"/>
  <c r="B11" i="17"/>
  <c r="B16" i="15"/>
  <c r="B16" i="17" s="1"/>
  <c r="B49" i="17" s="1"/>
  <c r="T48" i="15"/>
  <c r="T48" i="18" s="1"/>
  <c r="T48" i="20" s="1"/>
  <c r="E48" i="15"/>
  <c r="E48" i="18"/>
  <c r="E48" i="20"/>
  <c r="AE18" i="97"/>
  <c r="H13" i="26"/>
  <c r="H12" i="29" s="1"/>
  <c r="G14" i="15"/>
  <c r="G14" i="17" s="1"/>
  <c r="G47" i="17" s="1"/>
  <c r="G47" i="14"/>
  <c r="B9" i="17"/>
  <c r="Q49" i="15"/>
  <c r="Q49" i="18" s="1"/>
  <c r="Q49" i="20" s="1"/>
  <c r="R15" i="15"/>
  <c r="E14" i="14"/>
  <c r="AD18" i="97"/>
  <c r="G13" i="26"/>
  <c r="G12" i="29" s="1"/>
  <c r="C15" i="14"/>
  <c r="P16" i="15"/>
  <c r="F48" i="15"/>
  <c r="F48" i="18"/>
  <c r="F48" i="20"/>
  <c r="D15" i="15"/>
  <c r="D15" i="17" s="1"/>
  <c r="D48" i="17" s="1"/>
  <c r="D48" i="14"/>
  <c r="K46" i="15"/>
  <c r="K46" i="18"/>
  <c r="K46" i="20"/>
  <c r="F14" i="14"/>
  <c r="S15" i="15"/>
  <c r="C42" i="22"/>
  <c r="J13" i="14"/>
  <c r="W14" i="15"/>
  <c r="X13" i="15"/>
  <c r="K12" i="14"/>
  <c r="U48" i="15"/>
  <c r="U48" i="18" s="1"/>
  <c r="U48" i="20" s="1"/>
  <c r="C42" i="17"/>
  <c r="C49" i="18"/>
  <c r="C49" i="20"/>
  <c r="C49" i="15"/>
  <c r="I47" i="15"/>
  <c r="I47" i="20"/>
  <c r="I47" i="18"/>
  <c r="J47" i="15"/>
  <c r="J47" i="20"/>
  <c r="J47" i="18"/>
  <c r="I13" i="14"/>
  <c r="V14" i="15"/>
  <c r="D29" i="22"/>
  <c r="D16" i="22" s="1"/>
  <c r="D3" i="22" s="1"/>
  <c r="B44" i="17" l="1"/>
  <c r="R15" i="18"/>
  <c r="R15" i="20" s="1"/>
  <c r="F10" i="27" s="1"/>
  <c r="M11" i="32" s="1"/>
  <c r="E15" i="97" s="1"/>
  <c r="S15" i="18"/>
  <c r="S15" i="20" s="1"/>
  <c r="G10" i="27" s="1"/>
  <c r="N11" i="32" s="1"/>
  <c r="F15" i="97" s="1"/>
  <c r="P16" i="18"/>
  <c r="P16" i="20" s="1"/>
  <c r="D11" i="27" s="1"/>
  <c r="K12" i="32" s="1"/>
  <c r="C16" i="97" s="1"/>
  <c r="X13" i="18"/>
  <c r="X13" i="20" s="1"/>
  <c r="L8" i="27" s="1"/>
  <c r="S9" i="32" s="1"/>
  <c r="K13" i="97" s="1"/>
  <c r="W14" i="18"/>
  <c r="W14" i="20" s="1"/>
  <c r="K9" i="27" s="1"/>
  <c r="R10" i="32" s="1"/>
  <c r="J14" i="97" s="1"/>
  <c r="V14" i="18"/>
  <c r="V14" i="20" s="1"/>
  <c r="J9" i="27" s="1"/>
  <c r="Q10" i="32" s="1"/>
  <c r="I14" i="97" s="1"/>
  <c r="H14" i="18"/>
  <c r="H14" i="20"/>
  <c r="H12" i="25" s="1"/>
  <c r="D15" i="18"/>
  <c r="G14" i="18"/>
  <c r="B16" i="18"/>
  <c r="D15" i="20"/>
  <c r="D13" i="25" s="1"/>
  <c r="G14" i="20"/>
  <c r="G12" i="25" s="1"/>
  <c r="B16" i="20"/>
  <c r="B14" i="25" s="1"/>
  <c r="I46" i="14"/>
  <c r="I13" i="15"/>
  <c r="I13" i="17" s="1"/>
  <c r="I46" i="17" s="1"/>
  <c r="D48" i="15"/>
  <c r="D48" i="20"/>
  <c r="D48" i="18"/>
  <c r="F47" i="14"/>
  <c r="F14" i="15"/>
  <c r="F14" i="17" s="1"/>
  <c r="F47" i="17" s="1"/>
  <c r="Q15" i="15"/>
  <c r="D14" i="14"/>
  <c r="AG17" i="97"/>
  <c r="J12" i="26"/>
  <c r="J11" i="29" s="1"/>
  <c r="B15" i="14"/>
  <c r="O16" i="15"/>
  <c r="O16" i="18" s="1"/>
  <c r="B42" i="22"/>
  <c r="Z19" i="97"/>
  <c r="C14" i="26"/>
  <c r="C13" i="29" s="1"/>
  <c r="J13" i="15"/>
  <c r="J13" i="17" s="1"/>
  <c r="J46" i="17" s="1"/>
  <c r="J46" i="14"/>
  <c r="V47" i="15"/>
  <c r="V47" i="18" s="1"/>
  <c r="V47" i="20" s="1"/>
  <c r="AB18" i="97"/>
  <c r="E13" i="26"/>
  <c r="E12" i="29" s="1"/>
  <c r="G47" i="15"/>
  <c r="G47" i="18"/>
  <c r="G47" i="20"/>
  <c r="B49" i="20"/>
  <c r="B49" i="18"/>
  <c r="B42" i="17"/>
  <c r="B49" i="15"/>
  <c r="C29" i="22"/>
  <c r="C16" i="22" s="1"/>
  <c r="C3" i="22" s="1"/>
  <c r="AF17" i="97"/>
  <c r="I12" i="26"/>
  <c r="I11" i="29" s="1"/>
  <c r="C15" i="15"/>
  <c r="C15" i="17" s="1"/>
  <c r="C48" i="17" s="1"/>
  <c r="C48" i="14"/>
  <c r="G13" i="14"/>
  <c r="T14" i="15"/>
  <c r="K12" i="15"/>
  <c r="K12" i="17" s="1"/>
  <c r="K45" i="17" s="1"/>
  <c r="K45" i="14"/>
  <c r="X46" i="15"/>
  <c r="X46" i="18" s="1"/>
  <c r="X46" i="20" s="1"/>
  <c r="AH16" i="97"/>
  <c r="K11" i="26"/>
  <c r="K10" i="29" s="1"/>
  <c r="P49" i="15"/>
  <c r="P49" i="18" s="1"/>
  <c r="P49" i="20" s="1"/>
  <c r="AC18" i="97"/>
  <c r="F13" i="26"/>
  <c r="F12" i="29" s="1"/>
  <c r="R48" i="15"/>
  <c r="R48" i="18" s="1"/>
  <c r="R48" i="20" s="1"/>
  <c r="H47" i="15"/>
  <c r="H47" i="20"/>
  <c r="H47" i="18"/>
  <c r="W47" i="15"/>
  <c r="W47" i="18" s="1"/>
  <c r="W47" i="20" s="1"/>
  <c r="S48" i="15"/>
  <c r="S48" i="18" s="1"/>
  <c r="S48" i="20" s="1"/>
  <c r="E47" i="14"/>
  <c r="E14" i="15"/>
  <c r="E14" i="17" s="1"/>
  <c r="E47" i="17" s="1"/>
  <c r="U14" i="15"/>
  <c r="H13" i="14"/>
  <c r="U14" i="18" l="1"/>
  <c r="U14" i="20" s="1"/>
  <c r="I9" i="27" s="1"/>
  <c r="P10" i="32" s="1"/>
  <c r="H14" i="97" s="1"/>
  <c r="Q15" i="18"/>
  <c r="Q15" i="20" s="1"/>
  <c r="E10" i="27" s="1"/>
  <c r="L11" i="32" s="1"/>
  <c r="D15" i="97" s="1"/>
  <c r="K12" i="18"/>
  <c r="O16" i="20"/>
  <c r="C11" i="27" s="1"/>
  <c r="J12" i="32" s="1"/>
  <c r="B16" i="97" s="1"/>
  <c r="I13" i="20"/>
  <c r="I11" i="25" s="1"/>
  <c r="T14" i="18"/>
  <c r="T14" i="20" s="1"/>
  <c r="H9" i="27" s="1"/>
  <c r="O10" i="32" s="1"/>
  <c r="G14" i="97" s="1"/>
  <c r="F14" i="20"/>
  <c r="F12" i="25" s="1"/>
  <c r="I13" i="18"/>
  <c r="E14" i="20"/>
  <c r="E12" i="25" s="1"/>
  <c r="K12" i="20"/>
  <c r="K10" i="25" s="1"/>
  <c r="E14" i="18"/>
  <c r="C15" i="18"/>
  <c r="J13" i="20"/>
  <c r="J11" i="25" s="1"/>
  <c r="C15" i="20"/>
  <c r="C13" i="25" s="1"/>
  <c r="J13" i="18"/>
  <c r="F14" i="18"/>
  <c r="J12" i="14"/>
  <c r="W13" i="15"/>
  <c r="B15" i="15"/>
  <c r="B15" i="17" s="1"/>
  <c r="B48" i="17" s="1"/>
  <c r="B48" i="14"/>
  <c r="AD17" i="97"/>
  <c r="G12" i="26"/>
  <c r="G11" i="29" s="1"/>
  <c r="AA18" i="97"/>
  <c r="D13" i="26"/>
  <c r="D12" i="29" s="1"/>
  <c r="AE17" i="97"/>
  <c r="H12" i="26"/>
  <c r="H11" i="29" s="1"/>
  <c r="K45" i="15"/>
  <c r="K45" i="20"/>
  <c r="K45" i="18"/>
  <c r="G46" i="14"/>
  <c r="G13" i="15"/>
  <c r="G13" i="17" s="1"/>
  <c r="G46" i="17" s="1"/>
  <c r="Q48" i="15"/>
  <c r="Q48" i="18" s="1"/>
  <c r="Q48" i="20" s="1"/>
  <c r="C14" i="14"/>
  <c r="P15" i="15"/>
  <c r="F13" i="14"/>
  <c r="S14" i="15"/>
  <c r="B29" i="22"/>
  <c r="B16" i="22" s="1"/>
  <c r="B3" i="22" s="1"/>
  <c r="F47" i="15"/>
  <c r="F47" i="18"/>
  <c r="F47" i="20"/>
  <c r="E13" i="14"/>
  <c r="R14" i="15"/>
  <c r="X12" i="15"/>
  <c r="X12" i="18" s="1"/>
  <c r="K11" i="14"/>
  <c r="O49" i="15"/>
  <c r="O49" i="18" s="1"/>
  <c r="O49" i="20" s="1"/>
  <c r="I12" i="14"/>
  <c r="V13" i="15"/>
  <c r="Y19" i="97"/>
  <c r="B14" i="26"/>
  <c r="H46" i="14"/>
  <c r="H13" i="15"/>
  <c r="H13" i="17" s="1"/>
  <c r="H46" i="17" s="1"/>
  <c r="E47" i="15"/>
  <c r="E47" i="20"/>
  <c r="E47" i="18"/>
  <c r="U47" i="15"/>
  <c r="U47" i="18" s="1"/>
  <c r="U47" i="20" s="1"/>
  <c r="C48" i="15"/>
  <c r="C48" i="20"/>
  <c r="C48" i="18"/>
  <c r="T47" i="15"/>
  <c r="T47" i="18" s="1"/>
  <c r="T47" i="20" s="1"/>
  <c r="J46" i="15"/>
  <c r="J46" i="18"/>
  <c r="J46" i="20"/>
  <c r="D47" i="14"/>
  <c r="D14" i="15"/>
  <c r="D14" i="17" s="1"/>
  <c r="D47" i="17" s="1"/>
  <c r="I46" i="15"/>
  <c r="I46" i="20"/>
  <c r="I46" i="18"/>
  <c r="R14" i="18" l="1"/>
  <c r="W13" i="18"/>
  <c r="V13" i="18"/>
  <c r="V13" i="20" s="1"/>
  <c r="J8" i="27" s="1"/>
  <c r="Q9" i="32" s="1"/>
  <c r="I13" i="97" s="1"/>
  <c r="S14" i="18"/>
  <c r="S14" i="20" s="1"/>
  <c r="G9" i="27" s="1"/>
  <c r="N10" i="32" s="1"/>
  <c r="F14" i="97" s="1"/>
  <c r="P15" i="18"/>
  <c r="P15" i="20" s="1"/>
  <c r="D10" i="27" s="1"/>
  <c r="K11" i="32" s="1"/>
  <c r="C15" i="97" s="1"/>
  <c r="W13" i="20"/>
  <c r="K8" i="27" s="1"/>
  <c r="R9" i="32" s="1"/>
  <c r="J13" i="97" s="1"/>
  <c r="R14" i="20"/>
  <c r="F9" i="27" s="1"/>
  <c r="M10" i="32" s="1"/>
  <c r="E14" i="97" s="1"/>
  <c r="X12" i="20"/>
  <c r="L7" i="27" s="1"/>
  <c r="S8" i="32" s="1"/>
  <c r="K12" i="97" s="1"/>
  <c r="D14" i="20"/>
  <c r="B15" i="20"/>
  <c r="B13" i="25" s="1"/>
  <c r="B15" i="18"/>
  <c r="H13" i="20"/>
  <c r="H11" i="25" s="1"/>
  <c r="G13" i="20"/>
  <c r="G11" i="25" s="1"/>
  <c r="D14" i="18"/>
  <c r="H13" i="18"/>
  <c r="G13" i="18"/>
  <c r="T13" i="15"/>
  <c r="G12" i="14"/>
  <c r="V46" i="15"/>
  <c r="V46" i="18" s="1"/>
  <c r="V46" i="20" s="1"/>
  <c r="AB17" i="97"/>
  <c r="E12" i="26"/>
  <c r="E11" i="29" s="1"/>
  <c r="K11" i="18"/>
  <c r="K11" i="15"/>
  <c r="X11" i="15" s="1"/>
  <c r="K11" i="20"/>
  <c r="C14" i="15"/>
  <c r="C14" i="17" s="1"/>
  <c r="C47" i="17" s="1"/>
  <c r="C47" i="14"/>
  <c r="G46" i="15"/>
  <c r="G46" i="20"/>
  <c r="G46" i="18"/>
  <c r="B48" i="15"/>
  <c r="B48" i="20"/>
  <c r="B48" i="18"/>
  <c r="Z18" i="97"/>
  <c r="C13" i="26"/>
  <c r="C12" i="29" s="1"/>
  <c r="H12" i="14"/>
  <c r="U13" i="15"/>
  <c r="D12" i="25"/>
  <c r="H46" i="15"/>
  <c r="H46" i="20"/>
  <c r="H46" i="18"/>
  <c r="E13" i="15"/>
  <c r="E13" i="17" s="1"/>
  <c r="E46" i="17" s="1"/>
  <c r="E46" i="14"/>
  <c r="S47" i="15"/>
  <c r="S47" i="18" s="1"/>
  <c r="S47" i="20" s="1"/>
  <c r="AF16" i="97"/>
  <c r="I11" i="26"/>
  <c r="I10" i="29" s="1"/>
  <c r="B14" i="14"/>
  <c r="O15" i="15"/>
  <c r="Q14" i="15"/>
  <c r="D13" i="14"/>
  <c r="D47" i="15"/>
  <c r="D47" i="20"/>
  <c r="D47" i="18"/>
  <c r="P48" i="15"/>
  <c r="P48" i="18" s="1"/>
  <c r="P48" i="20" s="1"/>
  <c r="X45" i="15"/>
  <c r="X45" i="18" s="1"/>
  <c r="X45" i="20" s="1"/>
  <c r="K44" i="14"/>
  <c r="AG16" i="97"/>
  <c r="J11" i="26"/>
  <c r="J10" i="29" s="1"/>
  <c r="F13" i="15"/>
  <c r="F13" i="17" s="1"/>
  <c r="F46" i="17" s="1"/>
  <c r="F46" i="14"/>
  <c r="R47" i="15"/>
  <c r="R47" i="18" s="1"/>
  <c r="R47" i="20" s="1"/>
  <c r="AH15" i="97"/>
  <c r="K10" i="26"/>
  <c r="K9" i="29" s="1"/>
  <c r="AC17" i="97"/>
  <c r="F12" i="26"/>
  <c r="F11" i="29" s="1"/>
  <c r="B13" i="29"/>
  <c r="L14" i="26"/>
  <c r="W46" i="15"/>
  <c r="W46" i="18" s="1"/>
  <c r="W46" i="20" s="1"/>
  <c r="I45" i="14"/>
  <c r="I12" i="15"/>
  <c r="I12" i="17" s="1"/>
  <c r="I45" i="17" s="1"/>
  <c r="J45" i="14"/>
  <c r="J12" i="15"/>
  <c r="J12" i="17" s="1"/>
  <c r="J45" i="17" s="1"/>
  <c r="E13" i="18" l="1"/>
  <c r="Q14" i="18"/>
  <c r="Q14" i="20" s="1"/>
  <c r="E9" i="27" s="1"/>
  <c r="L10" i="32" s="1"/>
  <c r="D14" i="97" s="1"/>
  <c r="O15" i="18"/>
  <c r="O15" i="20" s="1"/>
  <c r="C10" i="27" s="1"/>
  <c r="J11" i="32" s="1"/>
  <c r="B15" i="97" s="1"/>
  <c r="F13" i="20"/>
  <c r="F11" i="25" s="1"/>
  <c r="T13" i="18"/>
  <c r="T13" i="20" s="1"/>
  <c r="H8" i="27" s="1"/>
  <c r="O9" i="32" s="1"/>
  <c r="G13" i="97" s="1"/>
  <c r="U13" i="18"/>
  <c r="U13" i="20" s="1"/>
  <c r="I8" i="27" s="1"/>
  <c r="P9" i="32" s="1"/>
  <c r="H13" i="97" s="1"/>
  <c r="I12" i="18"/>
  <c r="J12" i="20"/>
  <c r="I12" i="20"/>
  <c r="I10" i="25" s="1"/>
  <c r="F13" i="18"/>
  <c r="C14" i="20"/>
  <c r="C12" i="25" s="1"/>
  <c r="C14" i="18"/>
  <c r="J12" i="18"/>
  <c r="E13" i="20"/>
  <c r="E11" i="25" s="1"/>
  <c r="W12" i="15"/>
  <c r="J11" i="14"/>
  <c r="AD16" i="97"/>
  <c r="G11" i="26"/>
  <c r="G10" i="29" s="1"/>
  <c r="K9" i="25"/>
  <c r="J10" i="25"/>
  <c r="H45" i="14"/>
  <c r="H12" i="15"/>
  <c r="H12" i="17" s="1"/>
  <c r="H45" i="17" s="1"/>
  <c r="J45" i="15"/>
  <c r="J45" i="20"/>
  <c r="J45" i="18"/>
  <c r="F46" i="15"/>
  <c r="F46" i="18"/>
  <c r="F46" i="20"/>
  <c r="T46" i="15"/>
  <c r="T46" i="18" s="1"/>
  <c r="T46" i="20" s="1"/>
  <c r="X11" i="18"/>
  <c r="X11" i="20" s="1"/>
  <c r="L6" i="27" s="1"/>
  <c r="S7" i="32" s="1"/>
  <c r="K11" i="97" s="1"/>
  <c r="V12" i="15"/>
  <c r="I11" i="14"/>
  <c r="F12" i="14"/>
  <c r="S13" i="15"/>
  <c r="S13" i="18" s="1"/>
  <c r="U46" i="15"/>
  <c r="U46" i="18" s="1"/>
  <c r="U46" i="20" s="1"/>
  <c r="G45" i="14"/>
  <c r="G12" i="15"/>
  <c r="G12" i="17" s="1"/>
  <c r="G45" i="17" s="1"/>
  <c r="I45" i="15"/>
  <c r="I45" i="20"/>
  <c r="I45" i="18"/>
  <c r="C47" i="15"/>
  <c r="C47" i="20"/>
  <c r="C47" i="18"/>
  <c r="D13" i="15"/>
  <c r="D13" i="17" s="1"/>
  <c r="D46" i="17" s="1"/>
  <c r="D46" i="14"/>
  <c r="R13" i="15"/>
  <c r="E12" i="14"/>
  <c r="Y18" i="97"/>
  <c r="B13" i="26"/>
  <c r="B47" i="14"/>
  <c r="B14" i="15"/>
  <c r="B14" i="17" s="1"/>
  <c r="B47" i="17" s="1"/>
  <c r="AA17" i="97"/>
  <c r="D12" i="26"/>
  <c r="D11" i="29" s="1"/>
  <c r="P14" i="15"/>
  <c r="C13" i="14"/>
  <c r="AE16" i="97"/>
  <c r="H11" i="26"/>
  <c r="H10" i="29" s="1"/>
  <c r="K44" i="18"/>
  <c r="K44" i="15"/>
  <c r="K44" i="20"/>
  <c r="Q47" i="15"/>
  <c r="Q47" i="18" s="1"/>
  <c r="Q47" i="20" s="1"/>
  <c r="E46" i="15"/>
  <c r="E46" i="18"/>
  <c r="E46" i="20"/>
  <c r="O48" i="15"/>
  <c r="O48" i="18" s="1"/>
  <c r="O48" i="20" s="1"/>
  <c r="V12" i="18" l="1"/>
  <c r="P14" i="18"/>
  <c r="P14" i="20" s="1"/>
  <c r="D9" i="27" s="1"/>
  <c r="K10" i="32" s="1"/>
  <c r="C14" i="97" s="1"/>
  <c r="S13" i="20"/>
  <c r="G8" i="27" s="1"/>
  <c r="N9" i="32" s="1"/>
  <c r="F13" i="97" s="1"/>
  <c r="R13" i="18"/>
  <c r="R13" i="20" s="1"/>
  <c r="F8" i="27" s="1"/>
  <c r="M9" i="32" s="1"/>
  <c r="E13" i="97" s="1"/>
  <c r="D13" i="20"/>
  <c r="D11" i="25" s="1"/>
  <c r="G12" i="20"/>
  <c r="G10" i="25" s="1"/>
  <c r="W12" i="18"/>
  <c r="W12" i="20" s="1"/>
  <c r="K7" i="27" s="1"/>
  <c r="R8" i="32" s="1"/>
  <c r="J12" i="97" s="1"/>
  <c r="V12" i="20"/>
  <c r="J7" i="27" s="1"/>
  <c r="Q8" i="32" s="1"/>
  <c r="I12" i="97" s="1"/>
  <c r="D13" i="18"/>
  <c r="B14" i="18"/>
  <c r="G12" i="18"/>
  <c r="H12" i="20"/>
  <c r="H10" i="25" s="1"/>
  <c r="B14" i="20"/>
  <c r="B12" i="25" s="1"/>
  <c r="H12" i="18"/>
  <c r="AG15" i="97"/>
  <c r="J10" i="26"/>
  <c r="J9" i="29" s="1"/>
  <c r="B12" i="29"/>
  <c r="L13" i="26"/>
  <c r="D12" i="14"/>
  <c r="Q13" i="15"/>
  <c r="H45" i="15"/>
  <c r="H45" i="18"/>
  <c r="H45" i="20"/>
  <c r="D46" i="15"/>
  <c r="D46" i="20"/>
  <c r="D46" i="18"/>
  <c r="I11" i="15"/>
  <c r="V11" i="15" s="1"/>
  <c r="I11" i="18"/>
  <c r="I11" i="20"/>
  <c r="W45" i="15"/>
  <c r="W45" i="18" s="1"/>
  <c r="W45" i="20" s="1"/>
  <c r="J44" i="14"/>
  <c r="AH14" i="97"/>
  <c r="K9" i="26"/>
  <c r="K8" i="29" s="1"/>
  <c r="T12" i="15"/>
  <c r="G11" i="14"/>
  <c r="V45" i="15"/>
  <c r="V45" i="18" s="1"/>
  <c r="V45" i="20" s="1"/>
  <c r="I44" i="14"/>
  <c r="X44" i="15"/>
  <c r="X44" i="18" s="1"/>
  <c r="X44" i="20" s="1"/>
  <c r="K10" i="14"/>
  <c r="K43" i="14"/>
  <c r="O14" i="15"/>
  <c r="B13" i="14"/>
  <c r="E12" i="15"/>
  <c r="E12" i="17" s="1"/>
  <c r="E45" i="17" s="1"/>
  <c r="E45" i="14"/>
  <c r="K51" i="22"/>
  <c r="K38" i="22" s="1"/>
  <c r="K25" i="22" s="1"/>
  <c r="B47" i="15"/>
  <c r="B47" i="20"/>
  <c r="B47" i="18"/>
  <c r="P47" i="15"/>
  <c r="P47" i="18" s="1"/>
  <c r="P47" i="20" s="1"/>
  <c r="G45" i="15"/>
  <c r="G45" i="20"/>
  <c r="G45" i="18"/>
  <c r="AC16" i="97"/>
  <c r="F11" i="26"/>
  <c r="F10" i="29" s="1"/>
  <c r="Z17" i="97"/>
  <c r="C12" i="26"/>
  <c r="C11" i="29" s="1"/>
  <c r="S46" i="15"/>
  <c r="S46" i="18" s="1"/>
  <c r="S46" i="20" s="1"/>
  <c r="J11" i="18"/>
  <c r="J11" i="20"/>
  <c r="J11" i="15"/>
  <c r="W11" i="15" s="1"/>
  <c r="U12" i="15"/>
  <c r="H11" i="14"/>
  <c r="R46" i="15"/>
  <c r="R46" i="18" s="1"/>
  <c r="R46" i="20" s="1"/>
  <c r="C46" i="14"/>
  <c r="C13" i="15"/>
  <c r="C13" i="17" s="1"/>
  <c r="C46" i="17" s="1"/>
  <c r="AB16" i="97"/>
  <c r="E11" i="26"/>
  <c r="E10" i="29" s="1"/>
  <c r="F45" i="14"/>
  <c r="F12" i="15"/>
  <c r="F12" i="17" s="1"/>
  <c r="F45" i="17" s="1"/>
  <c r="AF15" i="97"/>
  <c r="I10" i="26"/>
  <c r="I9" i="29" s="1"/>
  <c r="U12" i="18" l="1"/>
  <c r="U12" i="20" s="1"/>
  <c r="I7" i="27" s="1"/>
  <c r="P8" i="32" s="1"/>
  <c r="H12" i="97" s="1"/>
  <c r="O14" i="18"/>
  <c r="O14" i="20" s="1"/>
  <c r="C9" i="27" s="1"/>
  <c r="J10" i="32" s="1"/>
  <c r="B14" i="97" s="1"/>
  <c r="F12" i="20"/>
  <c r="F10" i="25" s="1"/>
  <c r="Q13" i="18"/>
  <c r="Q13" i="20" s="1"/>
  <c r="E8" i="27" s="1"/>
  <c r="L9" i="32" s="1"/>
  <c r="D13" i="97" s="1"/>
  <c r="E12" i="20"/>
  <c r="E10" i="25" s="1"/>
  <c r="C13" i="18"/>
  <c r="T12" i="18"/>
  <c r="T12" i="20" s="1"/>
  <c r="H7" i="27" s="1"/>
  <c r="O8" i="32" s="1"/>
  <c r="G12" i="97" s="1"/>
  <c r="F12" i="18"/>
  <c r="C13" i="20"/>
  <c r="C11" i="25" s="1"/>
  <c r="E12" i="18"/>
  <c r="K63" i="22"/>
  <c r="K12" i="22"/>
  <c r="Q46" i="15"/>
  <c r="Q46" i="18" s="1"/>
  <c r="Q46" i="20" s="1"/>
  <c r="S12" i="15"/>
  <c r="F11" i="14"/>
  <c r="K43" i="15"/>
  <c r="K43" i="18"/>
  <c r="K43" i="20"/>
  <c r="D12" i="15"/>
  <c r="D12" i="17" s="1"/>
  <c r="D45" i="17" s="1"/>
  <c r="D45" i="14"/>
  <c r="H11" i="18"/>
  <c r="H11" i="15"/>
  <c r="U11" i="15" s="1"/>
  <c r="H11" i="20"/>
  <c r="C12" i="14"/>
  <c r="P13" i="15"/>
  <c r="K10" i="15"/>
  <c r="X10" i="15" s="1"/>
  <c r="K10" i="20"/>
  <c r="K10" i="18"/>
  <c r="G11" i="18"/>
  <c r="G11" i="15"/>
  <c r="T11" i="15" s="1"/>
  <c r="G11" i="20"/>
  <c r="J44" i="15"/>
  <c r="J44" i="18"/>
  <c r="J44" i="20"/>
  <c r="F45" i="15"/>
  <c r="F45" i="20"/>
  <c r="F45" i="18"/>
  <c r="C46" i="15"/>
  <c r="C46" i="20"/>
  <c r="C46" i="18"/>
  <c r="J9" i="25"/>
  <c r="E45" i="15"/>
  <c r="E45" i="20"/>
  <c r="E45" i="18"/>
  <c r="I9" i="25"/>
  <c r="U45" i="15"/>
  <c r="U45" i="18" s="1"/>
  <c r="U45" i="20" s="1"/>
  <c r="H44" i="14"/>
  <c r="W11" i="18"/>
  <c r="W11" i="20" s="1"/>
  <c r="K6" i="27" s="1"/>
  <c r="R7" i="32" s="1"/>
  <c r="J11" i="97" s="1"/>
  <c r="O47" i="15"/>
  <c r="O47" i="18" s="1"/>
  <c r="O47" i="20" s="1"/>
  <c r="V11" i="18"/>
  <c r="V11" i="20" s="1"/>
  <c r="J6" i="27" s="1"/>
  <c r="Q7" i="32" s="1"/>
  <c r="I11" i="97" s="1"/>
  <c r="R12" i="15"/>
  <c r="E11" i="14"/>
  <c r="T45" i="15"/>
  <c r="T45" i="18" s="1"/>
  <c r="T45" i="20" s="1"/>
  <c r="G44" i="14"/>
  <c r="Y17" i="97"/>
  <c r="B12" i="26"/>
  <c r="AE15" i="97"/>
  <c r="H10" i="26"/>
  <c r="H9" i="29" s="1"/>
  <c r="AA16" i="97"/>
  <c r="D11" i="26"/>
  <c r="D10" i="29" s="1"/>
  <c r="B13" i="15"/>
  <c r="B13" i="17" s="1"/>
  <c r="B46" i="17" s="1"/>
  <c r="B46" i="14"/>
  <c r="I44" i="15"/>
  <c r="I44" i="18"/>
  <c r="I44" i="20"/>
  <c r="AD15" i="97"/>
  <c r="G10" i="26"/>
  <c r="G9" i="29" s="1"/>
  <c r="P13" i="18" l="1"/>
  <c r="P13" i="20" s="1"/>
  <c r="D8" i="27" s="1"/>
  <c r="K9" i="32" s="1"/>
  <c r="C13" i="97" s="1"/>
  <c r="S12" i="18"/>
  <c r="S12" i="20" s="1"/>
  <c r="G7" i="27" s="1"/>
  <c r="N8" i="32" s="1"/>
  <c r="F12" i="97" s="1"/>
  <c r="R12" i="18"/>
  <c r="R12" i="20" s="1"/>
  <c r="F7" i="27" s="1"/>
  <c r="M8" i="32" s="1"/>
  <c r="E12" i="97" s="1"/>
  <c r="D12" i="20"/>
  <c r="D10" i="25" s="1"/>
  <c r="B13" i="20"/>
  <c r="B11" i="25" s="1"/>
  <c r="B13" i="18"/>
  <c r="D12" i="18"/>
  <c r="W44" i="15"/>
  <c r="W44" i="18" s="1"/>
  <c r="W44" i="20" s="1"/>
  <c r="J10" i="14"/>
  <c r="J43" i="14"/>
  <c r="AB15" i="97"/>
  <c r="E10" i="26"/>
  <c r="E9" i="29" s="1"/>
  <c r="F11" i="18"/>
  <c r="F11" i="15"/>
  <c r="S11" i="15" s="1"/>
  <c r="F11" i="20"/>
  <c r="K38" i="25"/>
  <c r="X11" i="22"/>
  <c r="L31" i="27" s="1"/>
  <c r="S32" i="32" s="1"/>
  <c r="K36" i="97" s="1"/>
  <c r="AG14" i="97"/>
  <c r="J9" i="26"/>
  <c r="J8" i="29" s="1"/>
  <c r="G9" i="25"/>
  <c r="D45" i="15"/>
  <c r="D45" i="18"/>
  <c r="D45" i="20"/>
  <c r="G44" i="15"/>
  <c r="G44" i="18"/>
  <c r="G44" i="20"/>
  <c r="Q12" i="15"/>
  <c r="D11" i="14"/>
  <c r="I51" i="22"/>
  <c r="I38" i="22" s="1"/>
  <c r="I25" i="22" s="1"/>
  <c r="AF14" i="97"/>
  <c r="I9" i="26"/>
  <c r="I8" i="29" s="1"/>
  <c r="T11" i="18"/>
  <c r="T11" i="20" s="1"/>
  <c r="H6" i="27" s="1"/>
  <c r="O7" i="32" s="1"/>
  <c r="G11" i="97" s="1"/>
  <c r="B12" i="14"/>
  <c r="O13" i="15"/>
  <c r="V44" i="15"/>
  <c r="V44" i="18" s="1"/>
  <c r="V44" i="20" s="1"/>
  <c r="I10" i="14"/>
  <c r="I43" i="14"/>
  <c r="AC15" i="97"/>
  <c r="F10" i="26"/>
  <c r="F9" i="29" s="1"/>
  <c r="P46" i="15"/>
  <c r="P46" i="18" s="1"/>
  <c r="P46" i="20" s="1"/>
  <c r="X10" i="18"/>
  <c r="X10" i="20" s="1"/>
  <c r="L5" i="27" s="1"/>
  <c r="S6" i="32" s="1"/>
  <c r="K10" i="97" s="1"/>
  <c r="C12" i="15"/>
  <c r="C12" i="17" s="1"/>
  <c r="C45" i="17" s="1"/>
  <c r="C45" i="14"/>
  <c r="E11" i="15"/>
  <c r="R11" i="15" s="1"/>
  <c r="E11" i="18"/>
  <c r="E11" i="20"/>
  <c r="H9" i="25"/>
  <c r="R45" i="15"/>
  <c r="R45" i="18" s="1"/>
  <c r="R45" i="20" s="1"/>
  <c r="E44" i="14"/>
  <c r="K50" i="22"/>
  <c r="K37" i="22" s="1"/>
  <c r="K24" i="22" s="1"/>
  <c r="K62" i="22" s="1"/>
  <c r="Z16" i="97"/>
  <c r="C11" i="26"/>
  <c r="C10" i="29" s="1"/>
  <c r="K8" i="25"/>
  <c r="K26" i="25"/>
  <c r="B11" i="29"/>
  <c r="L12" i="26"/>
  <c r="B46" i="15"/>
  <c r="B46" i="18"/>
  <c r="B46" i="20"/>
  <c r="H44" i="15"/>
  <c r="H44" i="18"/>
  <c r="H44" i="20"/>
  <c r="S45" i="15"/>
  <c r="S45" i="18" s="1"/>
  <c r="S45" i="20" s="1"/>
  <c r="F44" i="14"/>
  <c r="J51" i="22"/>
  <c r="J38" i="22" s="1"/>
  <c r="J25" i="22" s="1"/>
  <c r="U11" i="18"/>
  <c r="U11" i="20" s="1"/>
  <c r="I6" i="27" s="1"/>
  <c r="P7" i="32" s="1"/>
  <c r="H11" i="97" s="1"/>
  <c r="X43" i="15"/>
  <c r="X43" i="18" s="1"/>
  <c r="X43" i="20" s="1"/>
  <c r="K9" i="14"/>
  <c r="K42" i="14"/>
  <c r="O13" i="18" l="1"/>
  <c r="O13" i="20" s="1"/>
  <c r="C8" i="27" s="1"/>
  <c r="J9" i="32" s="1"/>
  <c r="B13" i="97" s="1"/>
  <c r="C12" i="20"/>
  <c r="C10" i="25" s="1"/>
  <c r="C12" i="18"/>
  <c r="Q12" i="18"/>
  <c r="Q12" i="20" s="1"/>
  <c r="E7" i="27" s="1"/>
  <c r="L8" i="32" s="1"/>
  <c r="D12" i="97" s="1"/>
  <c r="J63" i="22"/>
  <c r="J12" i="22"/>
  <c r="I63" i="22"/>
  <c r="I12" i="22"/>
  <c r="K42" i="18"/>
  <c r="K42" i="15"/>
  <c r="K42" i="20"/>
  <c r="E44" i="15"/>
  <c r="E44" i="18"/>
  <c r="E44" i="20"/>
  <c r="AE14" i="97"/>
  <c r="H9" i="26"/>
  <c r="H8" i="29" s="1"/>
  <c r="P12" i="15"/>
  <c r="C11" i="14"/>
  <c r="AD14" i="97"/>
  <c r="G9" i="26"/>
  <c r="G8" i="29" s="1"/>
  <c r="C45" i="15"/>
  <c r="C45" i="18"/>
  <c r="C45" i="20"/>
  <c r="S11" i="18"/>
  <c r="S11" i="20" s="1"/>
  <c r="G6" i="27" s="1"/>
  <c r="N7" i="32" s="1"/>
  <c r="F11" i="97" s="1"/>
  <c r="K9" i="18"/>
  <c r="K9" i="15"/>
  <c r="X9" i="15" s="1"/>
  <c r="K9" i="20"/>
  <c r="H51" i="22"/>
  <c r="H38" i="22" s="1"/>
  <c r="H25" i="22" s="1"/>
  <c r="H63" i="22" s="1"/>
  <c r="K26" i="26"/>
  <c r="K25" i="29" s="1"/>
  <c r="AH31" i="97"/>
  <c r="B12" i="15"/>
  <c r="B12" i="17" s="1"/>
  <c r="B45" i="17" s="1"/>
  <c r="B45" i="14"/>
  <c r="AA15" i="97"/>
  <c r="D10" i="26"/>
  <c r="D9" i="29" s="1"/>
  <c r="U44" i="15"/>
  <c r="U44" i="18" s="1"/>
  <c r="U44" i="20" s="1"/>
  <c r="H10" i="14"/>
  <c r="H43" i="14"/>
  <c r="K11" i="22"/>
  <c r="E9" i="25"/>
  <c r="G51" i="22"/>
  <c r="G38" i="22" s="1"/>
  <c r="G25" i="22" s="1"/>
  <c r="R11" i="18"/>
  <c r="R11" i="20" s="1"/>
  <c r="F6" i="27" s="1"/>
  <c r="M7" i="32" s="1"/>
  <c r="E11" i="97" s="1"/>
  <c r="AH13" i="97"/>
  <c r="K8" i="26"/>
  <c r="K7" i="29" s="1"/>
  <c r="I43" i="15"/>
  <c r="I43" i="18"/>
  <c r="I43" i="20"/>
  <c r="T44" i="15"/>
  <c r="T44" i="18" s="1"/>
  <c r="T44" i="20" s="1"/>
  <c r="G10" i="14"/>
  <c r="G43" i="14"/>
  <c r="I10" i="15"/>
  <c r="V10" i="15" s="1"/>
  <c r="I10" i="18"/>
  <c r="I10" i="20"/>
  <c r="D11" i="15"/>
  <c r="Q11" i="15" s="1"/>
  <c r="D11" i="18"/>
  <c r="D11" i="20"/>
  <c r="AH43" i="97"/>
  <c r="K38" i="26"/>
  <c r="K37" i="29" s="1"/>
  <c r="J43" i="15"/>
  <c r="J43" i="18"/>
  <c r="J43" i="20"/>
  <c r="O46" i="15"/>
  <c r="O46" i="18" s="1"/>
  <c r="O46" i="20" s="1"/>
  <c r="F9" i="25"/>
  <c r="J10" i="15"/>
  <c r="W10" i="15" s="1"/>
  <c r="J10" i="18"/>
  <c r="J10" i="20"/>
  <c r="K37" i="25"/>
  <c r="X10" i="22"/>
  <c r="L30" i="27" s="1"/>
  <c r="S31" i="32" s="1"/>
  <c r="K35" i="97" s="1"/>
  <c r="F44" i="15"/>
  <c r="F44" i="18"/>
  <c r="F44" i="20"/>
  <c r="Y16" i="97"/>
  <c r="B11" i="26"/>
  <c r="Q45" i="15"/>
  <c r="Q45" i="18" s="1"/>
  <c r="Q45" i="20" s="1"/>
  <c r="D44" i="14"/>
  <c r="P12" i="18" l="1"/>
  <c r="P12" i="20" s="1"/>
  <c r="D7" i="27" s="1"/>
  <c r="K8" i="32" s="1"/>
  <c r="C12" i="97" s="1"/>
  <c r="B12" i="18"/>
  <c r="B12" i="20"/>
  <c r="B10" i="25" s="1"/>
  <c r="G63" i="22"/>
  <c r="G12" i="22"/>
  <c r="AC14" i="97"/>
  <c r="F9" i="26"/>
  <c r="F8" i="29" s="1"/>
  <c r="S44" i="15"/>
  <c r="S44" i="18" s="1"/>
  <c r="S44" i="20" s="1"/>
  <c r="F10" i="14"/>
  <c r="F43" i="14"/>
  <c r="W43" i="15"/>
  <c r="W43" i="18" s="1"/>
  <c r="W43" i="20" s="1"/>
  <c r="J9" i="14"/>
  <c r="J42" i="14"/>
  <c r="V10" i="18"/>
  <c r="V10" i="20" s="1"/>
  <c r="J5" i="27" s="1"/>
  <c r="Q6" i="32" s="1"/>
  <c r="I10" i="97" s="1"/>
  <c r="V43" i="15"/>
  <c r="I9" i="14"/>
  <c r="I42" i="14"/>
  <c r="H12" i="22"/>
  <c r="C11" i="15"/>
  <c r="P11" i="15" s="1"/>
  <c r="C11" i="18"/>
  <c r="C11" i="20"/>
  <c r="H43" i="15"/>
  <c r="H43" i="18"/>
  <c r="H43" i="20"/>
  <c r="B45" i="15"/>
  <c r="B45" i="20"/>
  <c r="B45" i="18"/>
  <c r="K25" i="25"/>
  <c r="AH42" i="97"/>
  <c r="K37" i="26"/>
  <c r="K36" i="29" s="1"/>
  <c r="Z15" i="97"/>
  <c r="C10" i="26"/>
  <c r="C9" i="29" s="1"/>
  <c r="G43" i="15"/>
  <c r="G43" i="18"/>
  <c r="G43" i="20"/>
  <c r="H10" i="15"/>
  <c r="U10" i="15" s="1"/>
  <c r="H10" i="18"/>
  <c r="H10" i="20"/>
  <c r="X42" i="15"/>
  <c r="X42" i="18" s="1"/>
  <c r="X42" i="20" s="1"/>
  <c r="L20" i="27" s="1"/>
  <c r="S21" i="32" s="1"/>
  <c r="K25" i="97" s="1"/>
  <c r="K8" i="14"/>
  <c r="K41" i="14"/>
  <c r="G10" i="15"/>
  <c r="T10" i="15" s="1"/>
  <c r="G10" i="18"/>
  <c r="G10" i="20"/>
  <c r="O12" i="15"/>
  <c r="B11" i="14"/>
  <c r="K7" i="25"/>
  <c r="K49" i="22"/>
  <c r="K36" i="22" s="1"/>
  <c r="K23" i="22" s="1"/>
  <c r="J8" i="25"/>
  <c r="D44" i="15"/>
  <c r="D44" i="18"/>
  <c r="D44" i="20"/>
  <c r="B10" i="29"/>
  <c r="L11" i="26"/>
  <c r="W10" i="18"/>
  <c r="W10" i="20" s="1"/>
  <c r="K5" i="27" s="1"/>
  <c r="R6" i="32" s="1"/>
  <c r="J10" i="97" s="1"/>
  <c r="D9" i="25"/>
  <c r="Q11" i="18"/>
  <c r="Q11" i="20" s="1"/>
  <c r="E6" i="27" s="1"/>
  <c r="L7" i="32" s="1"/>
  <c r="D11" i="97" s="1"/>
  <c r="X9" i="18"/>
  <c r="X9" i="20" s="1"/>
  <c r="L4" i="27" s="1"/>
  <c r="S5" i="32" s="1"/>
  <c r="K9" i="97" s="1"/>
  <c r="P45" i="15"/>
  <c r="P45" i="18" s="1"/>
  <c r="P45" i="20" s="1"/>
  <c r="C44" i="14"/>
  <c r="I38" i="25"/>
  <c r="V11" i="22"/>
  <c r="J31" i="27" s="1"/>
  <c r="Q32" i="32" s="1"/>
  <c r="I36" i="97" s="1"/>
  <c r="J26" i="25"/>
  <c r="I26" i="25"/>
  <c r="E51" i="22"/>
  <c r="E38" i="22" s="1"/>
  <c r="E25" i="22" s="1"/>
  <c r="F51" i="22"/>
  <c r="F38" i="22" s="1"/>
  <c r="F25" i="22" s="1"/>
  <c r="J50" i="22"/>
  <c r="J37" i="22" s="1"/>
  <c r="J24" i="22" s="1"/>
  <c r="I8" i="25"/>
  <c r="V43" i="18"/>
  <c r="V43" i="20" s="1"/>
  <c r="I50" i="22"/>
  <c r="I37" i="22" s="1"/>
  <c r="I24" i="22" s="1"/>
  <c r="AB14" i="97"/>
  <c r="E9" i="26"/>
  <c r="E8" i="29" s="1"/>
  <c r="H38" i="25"/>
  <c r="U11" i="22"/>
  <c r="I31" i="27" s="1"/>
  <c r="P32" i="32" s="1"/>
  <c r="H36" i="97" s="1"/>
  <c r="R44" i="15"/>
  <c r="R44" i="18" s="1"/>
  <c r="R44" i="20" s="1"/>
  <c r="E10" i="14"/>
  <c r="E43" i="14"/>
  <c r="J38" i="25"/>
  <c r="W11" i="22"/>
  <c r="K31" i="27" s="1"/>
  <c r="R32" i="32" s="1"/>
  <c r="J36" i="97" s="1"/>
  <c r="O12" i="18" l="1"/>
  <c r="O12" i="20" s="1"/>
  <c r="C7" i="27" s="1"/>
  <c r="J8" i="32" s="1"/>
  <c r="B12" i="97" s="1"/>
  <c r="J62" i="22"/>
  <c r="J11" i="22"/>
  <c r="K61" i="22"/>
  <c r="K10" i="22"/>
  <c r="F63" i="22"/>
  <c r="F12" i="22"/>
  <c r="I62" i="22"/>
  <c r="I11" i="22"/>
  <c r="E63" i="22"/>
  <c r="E12" i="22"/>
  <c r="G26" i="25"/>
  <c r="K25" i="26"/>
  <c r="K24" i="29" s="1"/>
  <c r="AH30" i="97"/>
  <c r="P11" i="18"/>
  <c r="P11" i="20" s="1"/>
  <c r="D6" i="27" s="1"/>
  <c r="K7" i="32" s="1"/>
  <c r="C11" i="97" s="1"/>
  <c r="F43" i="15"/>
  <c r="F43" i="18"/>
  <c r="F43" i="20"/>
  <c r="AF43" i="97"/>
  <c r="I38" i="26"/>
  <c r="I37" i="29" s="1"/>
  <c r="F10" i="15"/>
  <c r="S10" i="15" s="1"/>
  <c r="F10" i="18"/>
  <c r="F10" i="20"/>
  <c r="AE43" i="97"/>
  <c r="H38" i="26"/>
  <c r="H37" i="29" s="1"/>
  <c r="AA14" i="97"/>
  <c r="D9" i="26"/>
  <c r="D8" i="29" s="1"/>
  <c r="G8" i="25"/>
  <c r="T43" i="15"/>
  <c r="T43" i="18" s="1"/>
  <c r="T43" i="20" s="1"/>
  <c r="G9" i="14"/>
  <c r="G42" i="14"/>
  <c r="AF13" i="97"/>
  <c r="I8" i="26"/>
  <c r="I7" i="29" s="1"/>
  <c r="C44" i="15"/>
  <c r="C44" i="18"/>
  <c r="C44" i="20"/>
  <c r="D51" i="22"/>
  <c r="D38" i="22" s="1"/>
  <c r="D25" i="22" s="1"/>
  <c r="T10" i="18"/>
  <c r="T10" i="20" s="1"/>
  <c r="H5" i="27" s="1"/>
  <c r="O6" i="32" s="1"/>
  <c r="G10" i="97" s="1"/>
  <c r="O45" i="15"/>
  <c r="O45" i="18" s="1"/>
  <c r="O45" i="20" s="1"/>
  <c r="B44" i="14"/>
  <c r="AG43" i="97"/>
  <c r="J38" i="26"/>
  <c r="J37" i="29" s="1"/>
  <c r="H26" i="25"/>
  <c r="Y15" i="97"/>
  <c r="B10" i="26"/>
  <c r="G50" i="22"/>
  <c r="G37" i="22" s="1"/>
  <c r="G24" i="22" s="1"/>
  <c r="I26" i="26"/>
  <c r="I25" i="29" s="1"/>
  <c r="AF31" i="97"/>
  <c r="Q44" i="15"/>
  <c r="Q44" i="18" s="1"/>
  <c r="Q44" i="20" s="1"/>
  <c r="D10" i="14"/>
  <c r="D43" i="14"/>
  <c r="E43" i="15"/>
  <c r="E43" i="18"/>
  <c r="E43" i="20"/>
  <c r="K41" i="15"/>
  <c r="K41" i="17" s="1"/>
  <c r="K41" i="18" s="1"/>
  <c r="H8" i="25"/>
  <c r="H50" i="22"/>
  <c r="H37" i="22" s="1"/>
  <c r="H24" i="22" s="1"/>
  <c r="I42" i="15"/>
  <c r="I42" i="18"/>
  <c r="I42" i="20"/>
  <c r="J42" i="15"/>
  <c r="J42" i="18"/>
  <c r="J42" i="20"/>
  <c r="E10" i="15"/>
  <c r="R10" i="15" s="1"/>
  <c r="E10" i="18"/>
  <c r="E10" i="20"/>
  <c r="J26" i="26"/>
  <c r="J25" i="29" s="1"/>
  <c r="AG31" i="97"/>
  <c r="AG13" i="97"/>
  <c r="J8" i="26"/>
  <c r="J7" i="29" s="1"/>
  <c r="AH12" i="97"/>
  <c r="K7" i="26"/>
  <c r="K6" i="29" s="1"/>
  <c r="K8" i="15"/>
  <c r="U10" i="18"/>
  <c r="U10" i="20" s="1"/>
  <c r="I5" i="27" s="1"/>
  <c r="P6" i="32" s="1"/>
  <c r="H10" i="97" s="1"/>
  <c r="U43" i="15"/>
  <c r="U43" i="18" s="1"/>
  <c r="U43" i="20" s="1"/>
  <c r="H9" i="14"/>
  <c r="H42" i="14"/>
  <c r="I9" i="15"/>
  <c r="V9" i="15" s="1"/>
  <c r="I9" i="18"/>
  <c r="I9" i="20"/>
  <c r="J9" i="15"/>
  <c r="W9" i="15" s="1"/>
  <c r="J9" i="18"/>
  <c r="J9" i="20"/>
  <c r="B11" i="15"/>
  <c r="O11" i="15" s="1"/>
  <c r="B11" i="18"/>
  <c r="B11" i="20"/>
  <c r="C9" i="25"/>
  <c r="G38" i="25"/>
  <c r="T11" i="22"/>
  <c r="H31" i="27" s="1"/>
  <c r="O32" i="32" s="1"/>
  <c r="G36" i="97" s="1"/>
  <c r="K41" i="20" l="1"/>
  <c r="K24" i="25" s="1"/>
  <c r="X8" i="15"/>
  <c r="K8" i="17"/>
  <c r="G62" i="22"/>
  <c r="G11" i="22"/>
  <c r="H62" i="22"/>
  <c r="H11" i="22"/>
  <c r="D63" i="22"/>
  <c r="D12" i="22"/>
  <c r="E8" i="25"/>
  <c r="I49" i="22"/>
  <c r="I36" i="22" s="1"/>
  <c r="I23" i="22" s="1"/>
  <c r="AE13" i="97"/>
  <c r="H8" i="26"/>
  <c r="H7" i="29" s="1"/>
  <c r="D10" i="15"/>
  <c r="Q10" i="15" s="1"/>
  <c r="D10" i="18"/>
  <c r="D10" i="20"/>
  <c r="B44" i="15"/>
  <c r="B44" i="18"/>
  <c r="B44" i="20"/>
  <c r="R10" i="18"/>
  <c r="R10" i="20" s="1"/>
  <c r="F5" i="27" s="1"/>
  <c r="M6" i="32" s="1"/>
  <c r="E10" i="97" s="1"/>
  <c r="V42" i="15"/>
  <c r="V42" i="18" s="1"/>
  <c r="V42" i="20" s="1"/>
  <c r="J20" i="27" s="1"/>
  <c r="Q21" i="32" s="1"/>
  <c r="I25" i="97" s="1"/>
  <c r="I8" i="14"/>
  <c r="I41" i="14"/>
  <c r="I37" i="25"/>
  <c r="V10" i="22"/>
  <c r="J30" i="27" s="1"/>
  <c r="Q31" i="32" s="1"/>
  <c r="I35" i="97" s="1"/>
  <c r="J7" i="25"/>
  <c r="K48" i="22"/>
  <c r="K35" i="22" s="1"/>
  <c r="K22" i="22" s="1"/>
  <c r="B9" i="29"/>
  <c r="L10" i="26"/>
  <c r="F26" i="25"/>
  <c r="AD43" i="97"/>
  <c r="G38" i="26"/>
  <c r="G37" i="29" s="1"/>
  <c r="X41" i="15"/>
  <c r="X41" i="18" s="1"/>
  <c r="K7" i="14"/>
  <c r="K40" i="14"/>
  <c r="G42" i="15"/>
  <c r="G42" i="18"/>
  <c r="G42" i="20"/>
  <c r="F50" i="22"/>
  <c r="F37" i="22" s="1"/>
  <c r="F24" i="22" s="1"/>
  <c r="F38" i="25"/>
  <c r="S11" i="22"/>
  <c r="G31" i="27" s="1"/>
  <c r="N32" i="32" s="1"/>
  <c r="F36" i="97" s="1"/>
  <c r="H9" i="18"/>
  <c r="H9" i="15"/>
  <c r="U9" i="15" s="1"/>
  <c r="H9" i="20"/>
  <c r="W9" i="18"/>
  <c r="W9" i="20" s="1"/>
  <c r="K4" i="27" s="1"/>
  <c r="R5" i="32" s="1"/>
  <c r="J9" i="97" s="1"/>
  <c r="J25" i="25"/>
  <c r="E26" i="25"/>
  <c r="G9" i="15"/>
  <c r="T9" i="15" s="1"/>
  <c r="G9" i="18"/>
  <c r="G9" i="20"/>
  <c r="S43" i="15"/>
  <c r="S43" i="18" s="1"/>
  <c r="S43" i="20" s="1"/>
  <c r="F9" i="14"/>
  <c r="F42" i="14"/>
  <c r="E50" i="22"/>
  <c r="E37" i="22" s="1"/>
  <c r="E24" i="22" s="1"/>
  <c r="H26" i="26"/>
  <c r="H25" i="29" s="1"/>
  <c r="AE31" i="97"/>
  <c r="F8" i="25"/>
  <c r="G26" i="26"/>
  <c r="G25" i="29" s="1"/>
  <c r="AD31" i="97"/>
  <c r="K36" i="25"/>
  <c r="X9" i="22"/>
  <c r="L29" i="27" s="1"/>
  <c r="S30" i="32" s="1"/>
  <c r="K34" i="97" s="1"/>
  <c r="I7" i="25"/>
  <c r="Z14" i="97"/>
  <c r="C9" i="26"/>
  <c r="C8" i="29" s="1"/>
  <c r="B9" i="25"/>
  <c r="C51" i="22"/>
  <c r="C38" i="22" s="1"/>
  <c r="C25" i="22" s="1"/>
  <c r="S10" i="18"/>
  <c r="S10" i="20" s="1"/>
  <c r="G5" i="27" s="1"/>
  <c r="N6" i="32" s="1"/>
  <c r="F10" i="97" s="1"/>
  <c r="V9" i="18"/>
  <c r="V9" i="20" s="1"/>
  <c r="J4" i="27" s="1"/>
  <c r="Q5" i="32" s="1"/>
  <c r="I9" i="97" s="1"/>
  <c r="J49" i="22"/>
  <c r="J36" i="22" s="1"/>
  <c r="J23" i="22" s="1"/>
  <c r="J61" i="22" s="1"/>
  <c r="W42" i="15"/>
  <c r="W42" i="18" s="1"/>
  <c r="W42" i="20" s="1"/>
  <c r="K20" i="27" s="1"/>
  <c r="R21" i="32" s="1"/>
  <c r="J25" i="97" s="1"/>
  <c r="J8" i="14"/>
  <c r="J41" i="14"/>
  <c r="R43" i="15"/>
  <c r="R43" i="18" s="1"/>
  <c r="R43" i="20" s="1"/>
  <c r="E9" i="14"/>
  <c r="E42" i="14"/>
  <c r="O11" i="18"/>
  <c r="O11" i="20" s="1"/>
  <c r="C6" i="27" s="1"/>
  <c r="J7" i="32" s="1"/>
  <c r="B11" i="97" s="1"/>
  <c r="H42" i="15"/>
  <c r="H42" i="18"/>
  <c r="H42" i="20"/>
  <c r="I25" i="25"/>
  <c r="D43" i="15"/>
  <c r="D43" i="18"/>
  <c r="D43" i="20"/>
  <c r="P44" i="15"/>
  <c r="P44" i="18" s="1"/>
  <c r="P44" i="20" s="1"/>
  <c r="C10" i="14"/>
  <c r="C43" i="14"/>
  <c r="AD13" i="97"/>
  <c r="G8" i="26"/>
  <c r="G7" i="29" s="1"/>
  <c r="E38" i="25"/>
  <c r="R11" i="22"/>
  <c r="F31" i="27" s="1"/>
  <c r="M32" i="32" s="1"/>
  <c r="E36" i="97" s="1"/>
  <c r="J37" i="25"/>
  <c r="W10" i="22"/>
  <c r="K30" i="27" s="1"/>
  <c r="R31" i="32" s="1"/>
  <c r="J35" i="97" s="1"/>
  <c r="X41" i="20" l="1"/>
  <c r="L19" i="27" s="1"/>
  <c r="S20" i="32" s="1"/>
  <c r="K24" i="97" s="1"/>
  <c r="K8" i="18"/>
  <c r="X8" i="18" s="1"/>
  <c r="K8" i="20"/>
  <c r="I61" i="22"/>
  <c r="I10" i="22"/>
  <c r="F62" i="22"/>
  <c r="F11" i="22"/>
  <c r="E62" i="22"/>
  <c r="E11" i="22"/>
  <c r="C63" i="22"/>
  <c r="C12" i="22"/>
  <c r="K60" i="22"/>
  <c r="K9" i="22"/>
  <c r="AG42" i="97"/>
  <c r="J37" i="26"/>
  <c r="J36" i="29" s="1"/>
  <c r="G49" i="22"/>
  <c r="G36" i="22" s="1"/>
  <c r="G23" i="22" s="1"/>
  <c r="F26" i="26"/>
  <c r="F25" i="29" s="1"/>
  <c r="AC31" i="97"/>
  <c r="D26" i="25"/>
  <c r="H49" i="22"/>
  <c r="H36" i="22" s="1"/>
  <c r="H23" i="22" s="1"/>
  <c r="E9" i="18"/>
  <c r="E9" i="20"/>
  <c r="E9" i="15"/>
  <c r="R9" i="15" s="1"/>
  <c r="J10" i="22"/>
  <c r="AH41" i="97"/>
  <c r="K36" i="26"/>
  <c r="K35" i="29" s="1"/>
  <c r="G7" i="25"/>
  <c r="AC43" i="97"/>
  <c r="F38" i="26"/>
  <c r="F37" i="29" s="1"/>
  <c r="T42" i="15"/>
  <c r="T42" i="18" s="1"/>
  <c r="T42" i="20" s="1"/>
  <c r="H20" i="27" s="1"/>
  <c r="O21" i="32" s="1"/>
  <c r="G25" i="97" s="1"/>
  <c r="G8" i="14"/>
  <c r="G41" i="14"/>
  <c r="AG12" i="97"/>
  <c r="J7" i="26"/>
  <c r="J6" i="29" s="1"/>
  <c r="AB13" i="97"/>
  <c r="E8" i="26"/>
  <c r="E7" i="29" s="1"/>
  <c r="J36" i="25"/>
  <c r="W9" i="22"/>
  <c r="K29" i="27" s="1"/>
  <c r="R30" i="32" s="1"/>
  <c r="J34" i="97" s="1"/>
  <c r="AB43" i="97"/>
  <c r="E38" i="26"/>
  <c r="E37" i="29" s="1"/>
  <c r="D50" i="22"/>
  <c r="D37" i="22" s="1"/>
  <c r="D24" i="22" s="1"/>
  <c r="U42" i="15"/>
  <c r="U42" i="18" s="1"/>
  <c r="U42" i="20" s="1"/>
  <c r="I20" i="27" s="1"/>
  <c r="P21" i="32" s="1"/>
  <c r="H25" i="97" s="1"/>
  <c r="H8" i="14"/>
  <c r="H41" i="14"/>
  <c r="T9" i="18"/>
  <c r="T9" i="20" s="1"/>
  <c r="H4" i="27" s="1"/>
  <c r="O5" i="32" s="1"/>
  <c r="G9" i="97" s="1"/>
  <c r="K40" i="15"/>
  <c r="K40" i="17" s="1"/>
  <c r="K40" i="20" s="1"/>
  <c r="H25" i="25"/>
  <c r="J41" i="15"/>
  <c r="J41" i="17" s="1"/>
  <c r="J41" i="18" s="1"/>
  <c r="K7" i="15"/>
  <c r="AF42" i="97"/>
  <c r="I37" i="26"/>
  <c r="I36" i="29" s="1"/>
  <c r="D38" i="25"/>
  <c r="Q11" i="22"/>
  <c r="E31" i="27" s="1"/>
  <c r="L32" i="32" s="1"/>
  <c r="D36" i="97" s="1"/>
  <c r="E42" i="15"/>
  <c r="E42" i="18"/>
  <c r="E42" i="20"/>
  <c r="Q43" i="15"/>
  <c r="Q43" i="18" s="1"/>
  <c r="Q43" i="20" s="1"/>
  <c r="D9" i="14"/>
  <c r="D42" i="14"/>
  <c r="J8" i="15"/>
  <c r="B51" i="22"/>
  <c r="B38" i="22" s="1"/>
  <c r="B25" i="22" s="1"/>
  <c r="Y14" i="97"/>
  <c r="B9" i="26"/>
  <c r="C43" i="15"/>
  <c r="C43" i="18"/>
  <c r="C43" i="20"/>
  <c r="I25" i="26"/>
  <c r="I24" i="29" s="1"/>
  <c r="AF30" i="97"/>
  <c r="AC13" i="97"/>
  <c r="F8" i="26"/>
  <c r="F7" i="29" s="1"/>
  <c r="E26" i="26"/>
  <c r="E25" i="29" s="1"/>
  <c r="AB31" i="97"/>
  <c r="H7" i="25"/>
  <c r="K24" i="26"/>
  <c r="K23" i="29" s="1"/>
  <c r="AH29" i="97"/>
  <c r="O44" i="15"/>
  <c r="O44" i="18" s="1"/>
  <c r="O44" i="20" s="1"/>
  <c r="B10" i="14"/>
  <c r="B43" i="14"/>
  <c r="H37" i="25"/>
  <c r="U10" i="22"/>
  <c r="I30" i="27" s="1"/>
  <c r="P31" i="32" s="1"/>
  <c r="H35" i="97" s="1"/>
  <c r="C10" i="15"/>
  <c r="P10" i="15" s="1"/>
  <c r="C10" i="18"/>
  <c r="C10" i="20"/>
  <c r="F42" i="15"/>
  <c r="F42" i="18"/>
  <c r="F42" i="20"/>
  <c r="I41" i="15"/>
  <c r="I41" i="17" s="1"/>
  <c r="I41" i="18" s="1"/>
  <c r="D8" i="25"/>
  <c r="AF12" i="97"/>
  <c r="I7" i="26"/>
  <c r="I6" i="29" s="1"/>
  <c r="F9" i="15"/>
  <c r="S9" i="15" s="1"/>
  <c r="F9" i="18"/>
  <c r="F9" i="20"/>
  <c r="J25" i="26"/>
  <c r="J24" i="29" s="1"/>
  <c r="AG30" i="97"/>
  <c r="U9" i="18"/>
  <c r="U9" i="20" s="1"/>
  <c r="I4" i="27" s="1"/>
  <c r="P5" i="32" s="1"/>
  <c r="H9" i="97" s="1"/>
  <c r="G25" i="25"/>
  <c r="I8" i="15"/>
  <c r="Q10" i="18"/>
  <c r="Q10" i="20" s="1"/>
  <c r="E5" i="27" s="1"/>
  <c r="L6" i="32" s="1"/>
  <c r="D10" i="97" s="1"/>
  <c r="G37" i="25"/>
  <c r="T10" i="22"/>
  <c r="H30" i="27" s="1"/>
  <c r="O31" i="32" s="1"/>
  <c r="G35" i="97" s="1"/>
  <c r="J41" i="20" l="1"/>
  <c r="J24" i="25" s="1"/>
  <c r="W8" i="15"/>
  <c r="J8" i="17"/>
  <c r="K40" i="18"/>
  <c r="V8" i="15"/>
  <c r="I8" i="17"/>
  <c r="I41" i="20"/>
  <c r="X7" i="15"/>
  <c r="K7" i="17"/>
  <c r="K6" i="25"/>
  <c r="X8" i="20"/>
  <c r="L3" i="27" s="1"/>
  <c r="S4" i="32" s="1"/>
  <c r="K8" i="97" s="1"/>
  <c r="B63" i="22"/>
  <c r="B12" i="22"/>
  <c r="D62" i="22"/>
  <c r="D11" i="22"/>
  <c r="G61" i="22"/>
  <c r="G10" i="22"/>
  <c r="H61" i="22"/>
  <c r="H10" i="22"/>
  <c r="G25" i="26"/>
  <c r="G24" i="29" s="1"/>
  <c r="AD30" i="97"/>
  <c r="S9" i="18"/>
  <c r="V41" i="15"/>
  <c r="V41" i="18" s="1"/>
  <c r="V41" i="20" s="1"/>
  <c r="J19" i="27" s="1"/>
  <c r="Q20" i="32" s="1"/>
  <c r="I24" i="97" s="1"/>
  <c r="I7" i="14"/>
  <c r="I40" i="14"/>
  <c r="AE42" i="97"/>
  <c r="H37" i="26"/>
  <c r="H36" i="29" s="1"/>
  <c r="AE12" i="97"/>
  <c r="H7" i="26"/>
  <c r="H6" i="29" s="1"/>
  <c r="C50" i="22"/>
  <c r="C37" i="22" s="1"/>
  <c r="C24" i="22" s="1"/>
  <c r="C62" i="22" s="1"/>
  <c r="E49" i="22"/>
  <c r="E36" i="22" s="1"/>
  <c r="E23" i="22" s="1"/>
  <c r="K47" i="22"/>
  <c r="K34" i="22" s="1"/>
  <c r="K21" i="22" s="1"/>
  <c r="H8" i="15"/>
  <c r="G8" i="15"/>
  <c r="R42" i="15"/>
  <c r="R42" i="18" s="1"/>
  <c r="R42" i="20" s="1"/>
  <c r="F20" i="27" s="1"/>
  <c r="M21" i="32" s="1"/>
  <c r="E25" i="97" s="1"/>
  <c r="E8" i="14"/>
  <c r="E41" i="14"/>
  <c r="X40" i="15"/>
  <c r="K6" i="14"/>
  <c r="K39" i="14"/>
  <c r="F49" i="22"/>
  <c r="F36" i="22" s="1"/>
  <c r="F23" i="22" s="1"/>
  <c r="B10" i="15"/>
  <c r="O10" i="15" s="1"/>
  <c r="B10" i="18"/>
  <c r="B10" i="20"/>
  <c r="B8" i="29"/>
  <c r="L9" i="26"/>
  <c r="AG41" i="97"/>
  <c r="J36" i="26"/>
  <c r="J35" i="29" s="1"/>
  <c r="E7" i="25"/>
  <c r="D26" i="26"/>
  <c r="D25" i="29" s="1"/>
  <c r="AA31" i="97"/>
  <c r="C38" i="25"/>
  <c r="P11" i="22"/>
  <c r="D31" i="27" s="1"/>
  <c r="K32" i="32" s="1"/>
  <c r="C36" i="97" s="1"/>
  <c r="S42" i="15"/>
  <c r="S42" i="18" s="1"/>
  <c r="S42" i="20" s="1"/>
  <c r="G20" i="27" s="1"/>
  <c r="N21" i="32" s="1"/>
  <c r="F25" i="97" s="1"/>
  <c r="F8" i="14"/>
  <c r="F41" i="14"/>
  <c r="AA43" i="97"/>
  <c r="D38" i="26"/>
  <c r="D37" i="29" s="1"/>
  <c r="W41" i="15"/>
  <c r="W41" i="18" s="1"/>
  <c r="J7" i="14"/>
  <c r="J40" i="14"/>
  <c r="R9" i="18"/>
  <c r="R9" i="20" s="1"/>
  <c r="F4" i="27" s="1"/>
  <c r="M5" i="32" s="1"/>
  <c r="E9" i="97" s="1"/>
  <c r="E37" i="25"/>
  <c r="R10" i="22"/>
  <c r="F30" i="27" s="1"/>
  <c r="M31" i="32" s="1"/>
  <c r="E35" i="97" s="1"/>
  <c r="C8" i="25"/>
  <c r="D42" i="15"/>
  <c r="D42" i="18"/>
  <c r="D42" i="20"/>
  <c r="J48" i="22"/>
  <c r="J35" i="22" s="1"/>
  <c r="J22" i="22" s="1"/>
  <c r="AD42" i="97"/>
  <c r="G37" i="26"/>
  <c r="G36" i="29" s="1"/>
  <c r="AA13" i="97"/>
  <c r="D8" i="26"/>
  <c r="D7" i="29" s="1"/>
  <c r="D9" i="18"/>
  <c r="D9" i="15"/>
  <c r="Q9" i="15" s="1"/>
  <c r="D9" i="20"/>
  <c r="AD12" i="97"/>
  <c r="G7" i="26"/>
  <c r="G6" i="29" s="1"/>
  <c r="F37" i="25"/>
  <c r="S10" i="22"/>
  <c r="G30" i="27" s="1"/>
  <c r="N31" i="32" s="1"/>
  <c r="F35" i="97" s="1"/>
  <c r="B43" i="15"/>
  <c r="B43" i="18"/>
  <c r="B43" i="20"/>
  <c r="P43" i="15"/>
  <c r="P43" i="18" s="1"/>
  <c r="P43" i="20" s="1"/>
  <c r="C9" i="14"/>
  <c r="C42" i="14"/>
  <c r="P10" i="18"/>
  <c r="P10" i="20" s="1"/>
  <c r="D5" i="27" s="1"/>
  <c r="K6" i="32" s="1"/>
  <c r="C10" i="97" s="1"/>
  <c r="I24" i="25"/>
  <c r="H25" i="26"/>
  <c r="H24" i="29" s="1"/>
  <c r="AE30" i="97"/>
  <c r="F25" i="25"/>
  <c r="F7" i="25"/>
  <c r="S9" i="20"/>
  <c r="G4" i="27" s="1"/>
  <c r="N5" i="32" s="1"/>
  <c r="F9" i="97" s="1"/>
  <c r="I48" i="22"/>
  <c r="I35" i="22" s="1"/>
  <c r="I22" i="22" s="1"/>
  <c r="C26" i="25"/>
  <c r="E25" i="25"/>
  <c r="K23" i="25"/>
  <c r="H41" i="15"/>
  <c r="H41" i="17" s="1"/>
  <c r="H41" i="18" s="1"/>
  <c r="G41" i="15"/>
  <c r="G41" i="17" s="1"/>
  <c r="G41" i="18" s="1"/>
  <c r="K35" i="25"/>
  <c r="X8" i="22"/>
  <c r="L28" i="27" s="1"/>
  <c r="S29" i="32" s="1"/>
  <c r="K33" i="97" s="1"/>
  <c r="I36" i="25"/>
  <c r="V9" i="22"/>
  <c r="J29" i="27" s="1"/>
  <c r="Q30" i="32" s="1"/>
  <c r="I34" i="97" s="1"/>
  <c r="W41" i="20" l="1"/>
  <c r="K19" i="27" s="1"/>
  <c r="R20" i="32" s="1"/>
  <c r="J24" i="97" s="1"/>
  <c r="X40" i="18"/>
  <c r="X40" i="20" s="1"/>
  <c r="L18" i="27" s="1"/>
  <c r="S19" i="32" s="1"/>
  <c r="K23" i="97" s="1"/>
  <c r="G41" i="20"/>
  <c r="G24" i="25" s="1"/>
  <c r="H41" i="20"/>
  <c r="H24" i="25" s="1"/>
  <c r="T8" i="15"/>
  <c r="G8" i="17"/>
  <c r="K7" i="18"/>
  <c r="X7" i="18" s="1"/>
  <c r="K7" i="20"/>
  <c r="U8" i="15"/>
  <c r="H8" i="17"/>
  <c r="J8" i="20"/>
  <c r="J6" i="25" s="1"/>
  <c r="AG11" i="97" s="1"/>
  <c r="J8" i="18"/>
  <c r="W8" i="18" s="1"/>
  <c r="AH11" i="97"/>
  <c r="K6" i="26"/>
  <c r="K5" i="29" s="1"/>
  <c r="I8" i="18"/>
  <c r="V8" i="18" s="1"/>
  <c r="I8" i="20"/>
  <c r="I6" i="25" s="1"/>
  <c r="AF11" i="97" s="1"/>
  <c r="K59" i="22"/>
  <c r="K8" i="22"/>
  <c r="J60" i="22"/>
  <c r="J9" i="22"/>
  <c r="F61" i="22"/>
  <c r="F10" i="22"/>
  <c r="E61" i="22"/>
  <c r="E10" i="22"/>
  <c r="I60" i="22"/>
  <c r="I9" i="22"/>
  <c r="B50" i="22"/>
  <c r="B37" i="22" s="1"/>
  <c r="B24" i="22" s="1"/>
  <c r="T41" i="15"/>
  <c r="G7" i="14"/>
  <c r="G40" i="14"/>
  <c r="AF29" i="97"/>
  <c r="I24" i="26"/>
  <c r="I23" i="29" s="1"/>
  <c r="O43" i="15"/>
  <c r="O43" i="18" s="1"/>
  <c r="O43" i="20" s="1"/>
  <c r="B9" i="14"/>
  <c r="B42" i="14"/>
  <c r="F8" i="15"/>
  <c r="E25" i="26"/>
  <c r="E24" i="29" s="1"/>
  <c r="AB30" i="97"/>
  <c r="D25" i="25"/>
  <c r="H36" i="25"/>
  <c r="U9" i="22"/>
  <c r="I29" i="27" s="1"/>
  <c r="P30" i="32" s="1"/>
  <c r="H34" i="97" s="1"/>
  <c r="AC12" i="97"/>
  <c r="F7" i="26"/>
  <c r="F6" i="29" s="1"/>
  <c r="AC42" i="97"/>
  <c r="F37" i="26"/>
  <c r="F36" i="29" s="1"/>
  <c r="D49" i="22"/>
  <c r="D36" i="22" s="1"/>
  <c r="D23" i="22" s="1"/>
  <c r="B8" i="25"/>
  <c r="K39" i="15"/>
  <c r="K39" i="17" s="1"/>
  <c r="K39" i="20" s="1"/>
  <c r="T41" i="18"/>
  <c r="G48" i="22"/>
  <c r="G35" i="22" s="1"/>
  <c r="G22" i="22" s="1"/>
  <c r="C42" i="15"/>
  <c r="C42" i="18"/>
  <c r="C42" i="20"/>
  <c r="Q42" i="15"/>
  <c r="Q42" i="18" s="1"/>
  <c r="Q42" i="20" s="1"/>
  <c r="E20" i="27" s="1"/>
  <c r="L21" i="32" s="1"/>
  <c r="D25" i="97" s="1"/>
  <c r="D8" i="14"/>
  <c r="D41" i="14"/>
  <c r="AB12" i="97"/>
  <c r="E7" i="26"/>
  <c r="E6" i="29" s="1"/>
  <c r="O10" i="18"/>
  <c r="O10" i="20" s="1"/>
  <c r="C5" i="27" s="1"/>
  <c r="J6" i="32" s="1"/>
  <c r="B10" i="97" s="1"/>
  <c r="K6" i="15"/>
  <c r="G36" i="25"/>
  <c r="T9" i="22"/>
  <c r="H29" i="27" s="1"/>
  <c r="O30" i="32" s="1"/>
  <c r="G34" i="97" s="1"/>
  <c r="F25" i="26"/>
  <c r="F24" i="29" s="1"/>
  <c r="AC30" i="97"/>
  <c r="H48" i="22"/>
  <c r="H35" i="22" s="1"/>
  <c r="H22" i="22" s="1"/>
  <c r="U41" i="15"/>
  <c r="U41" i="18" s="1"/>
  <c r="H7" i="14"/>
  <c r="H40" i="14"/>
  <c r="C9" i="18"/>
  <c r="C9" i="15"/>
  <c r="P9" i="15" s="1"/>
  <c r="C9" i="20"/>
  <c r="AH40" i="97"/>
  <c r="K35" i="26"/>
  <c r="K34" i="29" s="1"/>
  <c r="K23" i="26"/>
  <c r="K22" i="29" s="1"/>
  <c r="AH28" i="97"/>
  <c r="D7" i="25"/>
  <c r="Z13" i="97"/>
  <c r="C8" i="26"/>
  <c r="C7" i="29" s="1"/>
  <c r="J40" i="15"/>
  <c r="J40" i="17" s="1"/>
  <c r="J40" i="18" s="1"/>
  <c r="Z43" i="97"/>
  <c r="C38" i="26"/>
  <c r="C37" i="29" s="1"/>
  <c r="E41" i="15"/>
  <c r="E41" i="17" s="1"/>
  <c r="E41" i="20" s="1"/>
  <c r="D37" i="25"/>
  <c r="Q10" i="22"/>
  <c r="E30" i="27" s="1"/>
  <c r="L31" i="32" s="1"/>
  <c r="D35" i="97" s="1"/>
  <c r="AF41" i="97"/>
  <c r="I36" i="26"/>
  <c r="I35" i="29" s="1"/>
  <c r="C26" i="26"/>
  <c r="C25" i="29" s="1"/>
  <c r="Z31" i="97"/>
  <c r="B26" i="25"/>
  <c r="J7" i="15"/>
  <c r="E8" i="15"/>
  <c r="C11" i="22"/>
  <c r="I40" i="15"/>
  <c r="I40" i="17" s="1"/>
  <c r="I40" i="18" s="1"/>
  <c r="Q9" i="18"/>
  <c r="Q9" i="20" s="1"/>
  <c r="E4" i="27" s="1"/>
  <c r="L5" i="32" s="1"/>
  <c r="D9" i="97" s="1"/>
  <c r="AB42" i="97"/>
  <c r="E37" i="26"/>
  <c r="E36" i="29" s="1"/>
  <c r="F41" i="15"/>
  <c r="F41" i="17" s="1"/>
  <c r="F41" i="20" s="1"/>
  <c r="J24" i="26"/>
  <c r="J23" i="29" s="1"/>
  <c r="AG29" i="97"/>
  <c r="C37" i="25"/>
  <c r="P10" i="22"/>
  <c r="D30" i="27" s="1"/>
  <c r="K31" i="32" s="1"/>
  <c r="C35" i="97" s="1"/>
  <c r="I7" i="15"/>
  <c r="B38" i="25"/>
  <c r="O11" i="22"/>
  <c r="C31" i="27" s="1"/>
  <c r="J32" i="32" s="1"/>
  <c r="B36" i="97" s="1"/>
  <c r="U41" i="20" l="1"/>
  <c r="I19" i="27" s="1"/>
  <c r="P20" i="32" s="1"/>
  <c r="H24" i="97" s="1"/>
  <c r="I6" i="26"/>
  <c r="I5" i="29" s="1"/>
  <c r="J6" i="26"/>
  <c r="J5" i="29" s="1"/>
  <c r="T41" i="20"/>
  <c r="H19" i="27" s="1"/>
  <c r="O20" i="32" s="1"/>
  <c r="G24" i="97" s="1"/>
  <c r="E41" i="18"/>
  <c r="E48" i="22" s="1"/>
  <c r="E35" i="22" s="1"/>
  <c r="E22" i="22" s="1"/>
  <c r="E60" i="22" s="1"/>
  <c r="J40" i="20"/>
  <c r="J23" i="25" s="1"/>
  <c r="I40" i="20"/>
  <c r="I23" i="25" s="1"/>
  <c r="W8" i="20"/>
  <c r="K3" i="27" s="1"/>
  <c r="R4" i="32" s="1"/>
  <c r="J8" i="97" s="1"/>
  <c r="V7" i="15"/>
  <c r="I7" i="17"/>
  <c r="F41" i="18"/>
  <c r="K39" i="18"/>
  <c r="K46" i="22" s="1"/>
  <c r="K33" i="22" s="1"/>
  <c r="K20" i="22" s="1"/>
  <c r="X7" i="20"/>
  <c r="K5" i="25"/>
  <c r="S8" i="15"/>
  <c r="F8" i="17"/>
  <c r="V8" i="20"/>
  <c r="J3" i="27" s="1"/>
  <c r="Q4" i="32" s="1"/>
  <c r="I8" i="97" s="1"/>
  <c r="R8" i="15"/>
  <c r="E8" i="17"/>
  <c r="H8" i="18"/>
  <c r="U8" i="18" s="1"/>
  <c r="H8" i="20"/>
  <c r="H6" i="25" s="1"/>
  <c r="H6" i="26" s="1"/>
  <c r="H5" i="29" s="1"/>
  <c r="G8" i="18"/>
  <c r="T8" i="18" s="1"/>
  <c r="G8" i="20"/>
  <c r="G6" i="25" s="1"/>
  <c r="AD11" i="97" s="1"/>
  <c r="W7" i="15"/>
  <c r="J7" i="17"/>
  <c r="X6" i="15"/>
  <c r="K6" i="17"/>
  <c r="D61" i="22"/>
  <c r="D10" i="22"/>
  <c r="B62" i="22"/>
  <c r="B11" i="22"/>
  <c r="G60" i="22"/>
  <c r="G9" i="22"/>
  <c r="H60" i="22"/>
  <c r="H9" i="22"/>
  <c r="C49" i="22"/>
  <c r="C36" i="22" s="1"/>
  <c r="C23" i="22" s="1"/>
  <c r="C61" i="22" s="1"/>
  <c r="B9" i="15"/>
  <c r="O9" i="15" s="1"/>
  <c r="B9" i="18"/>
  <c r="B9" i="20"/>
  <c r="F24" i="25"/>
  <c r="V40" i="15"/>
  <c r="V40" i="18" s="1"/>
  <c r="I6" i="14"/>
  <c r="I39" i="14"/>
  <c r="B26" i="26"/>
  <c r="Y31" i="97"/>
  <c r="AA42" i="97"/>
  <c r="D37" i="26"/>
  <c r="D36" i="29" s="1"/>
  <c r="R41" i="15"/>
  <c r="E7" i="14"/>
  <c r="E40" i="14"/>
  <c r="P9" i="18"/>
  <c r="P9" i="20" s="1"/>
  <c r="D4" i="27" s="1"/>
  <c r="K5" i="32" s="1"/>
  <c r="C9" i="97" s="1"/>
  <c r="P42" i="15"/>
  <c r="P42" i="18" s="1"/>
  <c r="P42" i="20" s="1"/>
  <c r="D20" i="27" s="1"/>
  <c r="K21" i="32" s="1"/>
  <c r="C25" i="97" s="1"/>
  <c r="C8" i="14"/>
  <c r="C41" i="14"/>
  <c r="X39" i="15"/>
  <c r="K5" i="14"/>
  <c r="K38" i="14"/>
  <c r="H24" i="26"/>
  <c r="H23" i="29" s="1"/>
  <c r="AE29" i="97"/>
  <c r="E36" i="25"/>
  <c r="R9" i="22"/>
  <c r="F29" i="27" s="1"/>
  <c r="M30" i="32" s="1"/>
  <c r="E34" i="97" s="1"/>
  <c r="AA12" i="97"/>
  <c r="D7" i="26"/>
  <c r="D6" i="29" s="1"/>
  <c r="H40" i="15"/>
  <c r="H40" i="17" s="1"/>
  <c r="H40" i="20" s="1"/>
  <c r="Z42" i="97"/>
  <c r="C37" i="26"/>
  <c r="C36" i="29" s="1"/>
  <c r="Y43" i="97"/>
  <c r="B38" i="26"/>
  <c r="G24" i="26"/>
  <c r="G23" i="29" s="1"/>
  <c r="AD29" i="97"/>
  <c r="H7" i="15"/>
  <c r="Y13" i="97"/>
  <c r="B8" i="26"/>
  <c r="F36" i="25"/>
  <c r="S9" i="22"/>
  <c r="G29" i="27" s="1"/>
  <c r="N30" i="32" s="1"/>
  <c r="F34" i="97" s="1"/>
  <c r="D41" i="15"/>
  <c r="D41" i="17" s="1"/>
  <c r="D41" i="18" s="1"/>
  <c r="G40" i="15"/>
  <c r="G40" i="17" s="1"/>
  <c r="G40" i="18" s="1"/>
  <c r="F48" i="22"/>
  <c r="F35" i="22" s="1"/>
  <c r="F22" i="22" s="1"/>
  <c r="W40" i="15"/>
  <c r="W40" i="18" s="1"/>
  <c r="J6" i="14"/>
  <c r="J39" i="14"/>
  <c r="AD41" i="97"/>
  <c r="G36" i="26"/>
  <c r="G35" i="29" s="1"/>
  <c r="D8" i="15"/>
  <c r="D25" i="26"/>
  <c r="D24" i="29" s="1"/>
  <c r="AA30" i="97"/>
  <c r="G7" i="15"/>
  <c r="J35" i="25"/>
  <c r="W8" i="22"/>
  <c r="K28" i="27" s="1"/>
  <c r="R29" i="32" s="1"/>
  <c r="J33" i="97" s="1"/>
  <c r="S41" i="15"/>
  <c r="F7" i="14"/>
  <c r="F40" i="14"/>
  <c r="J47" i="22"/>
  <c r="J34" i="22" s="1"/>
  <c r="J21" i="22" s="1"/>
  <c r="AE41" i="97"/>
  <c r="H36" i="26"/>
  <c r="H35" i="29" s="1"/>
  <c r="I47" i="22"/>
  <c r="I34" i="22" s="1"/>
  <c r="I21" i="22" s="1"/>
  <c r="E24" i="25"/>
  <c r="C7" i="25"/>
  <c r="C25" i="25"/>
  <c r="K22" i="25"/>
  <c r="B42" i="15"/>
  <c r="B42" i="18"/>
  <c r="B42" i="20"/>
  <c r="I35" i="25"/>
  <c r="V8" i="22"/>
  <c r="J28" i="27" s="1"/>
  <c r="Q29" i="32" s="1"/>
  <c r="I33" i="97" s="1"/>
  <c r="K34" i="25"/>
  <c r="X7" i="22"/>
  <c r="L27" i="27" s="1"/>
  <c r="S28" i="32" s="1"/>
  <c r="K32" i="97" s="1"/>
  <c r="S41" i="18" l="1"/>
  <c r="S41" i="20" s="1"/>
  <c r="G19" i="27" s="1"/>
  <c r="N20" i="32" s="1"/>
  <c r="F24" i="97" s="1"/>
  <c r="G6" i="26"/>
  <c r="G5" i="29" s="1"/>
  <c r="V40" i="20"/>
  <c r="J18" i="27" s="1"/>
  <c r="Q19" i="32" s="1"/>
  <c r="I23" i="97" s="1"/>
  <c r="R41" i="18"/>
  <c r="R41" i="20" s="1"/>
  <c r="F19" i="27" s="1"/>
  <c r="M20" i="32" s="1"/>
  <c r="E24" i="97" s="1"/>
  <c r="AE11" i="97"/>
  <c r="W40" i="20"/>
  <c r="K18" i="27" s="1"/>
  <c r="R19" i="32" s="1"/>
  <c r="J23" i="97" s="1"/>
  <c r="X39" i="18"/>
  <c r="X39" i="20" s="1"/>
  <c r="L17" i="27" s="1"/>
  <c r="S18" i="32" s="1"/>
  <c r="K22" i="97" s="1"/>
  <c r="D41" i="20"/>
  <c r="D24" i="25" s="1"/>
  <c r="G40" i="20"/>
  <c r="G23" i="25" s="1"/>
  <c r="Q8" i="15"/>
  <c r="D8" i="17"/>
  <c r="H40" i="18"/>
  <c r="H47" i="22" s="1"/>
  <c r="H34" i="22" s="1"/>
  <c r="H21" i="22" s="1"/>
  <c r="U8" i="20"/>
  <c r="I3" i="27" s="1"/>
  <c r="P4" i="32" s="1"/>
  <c r="H8" i="97" s="1"/>
  <c r="F8" i="18"/>
  <c r="S8" i="18" s="1"/>
  <c r="F8" i="20"/>
  <c r="F6" i="25" s="1"/>
  <c r="AC11" i="97" s="1"/>
  <c r="U7" i="15"/>
  <c r="H7" i="17"/>
  <c r="K6" i="18"/>
  <c r="X6" i="18" s="1"/>
  <c r="K6" i="20"/>
  <c r="K4" i="25" s="1"/>
  <c r="AH9" i="97" s="1"/>
  <c r="E8" i="18"/>
  <c r="R8" i="18" s="1"/>
  <c r="E8" i="20"/>
  <c r="T8" i="20"/>
  <c r="H3" i="27" s="1"/>
  <c r="O4" i="32" s="1"/>
  <c r="G8" i="97" s="1"/>
  <c r="AH10" i="97"/>
  <c r="K5" i="26"/>
  <c r="K4" i="29" s="1"/>
  <c r="I7" i="18"/>
  <c r="V7" i="18" s="1"/>
  <c r="I7" i="20"/>
  <c r="I5" i="25" s="1"/>
  <c r="AF10" i="97" s="1"/>
  <c r="T7" i="15"/>
  <c r="G7" i="17"/>
  <c r="J7" i="18"/>
  <c r="W7" i="18" s="1"/>
  <c r="J7" i="20"/>
  <c r="J5" i="25" s="1"/>
  <c r="J5" i="26" s="1"/>
  <c r="J4" i="29" s="1"/>
  <c r="K58" i="22"/>
  <c r="K7" i="22"/>
  <c r="F60" i="22"/>
  <c r="F9" i="22"/>
  <c r="I59" i="22"/>
  <c r="I8" i="22"/>
  <c r="J59" i="22"/>
  <c r="J8" i="22"/>
  <c r="K38" i="15"/>
  <c r="K38" i="17" s="1"/>
  <c r="K38" i="18" s="1"/>
  <c r="AC29" i="97"/>
  <c r="F24" i="26"/>
  <c r="F23" i="29" s="1"/>
  <c r="E35" i="25"/>
  <c r="R8" i="22"/>
  <c r="F28" i="27" s="1"/>
  <c r="M29" i="32" s="1"/>
  <c r="E33" i="97" s="1"/>
  <c r="B25" i="25"/>
  <c r="B49" i="22"/>
  <c r="B36" i="22" s="1"/>
  <c r="B23" i="22" s="1"/>
  <c r="C25" i="26"/>
  <c r="C24" i="29" s="1"/>
  <c r="Z30" i="97"/>
  <c r="F7" i="15"/>
  <c r="AF40" i="97"/>
  <c r="I35" i="26"/>
  <c r="I34" i="29" s="1"/>
  <c r="G47" i="22"/>
  <c r="G34" i="22" s="1"/>
  <c r="G21" i="22" s="1"/>
  <c r="J23" i="26"/>
  <c r="J22" i="29" s="1"/>
  <c r="AG28" i="97"/>
  <c r="K5" i="15"/>
  <c r="B7" i="25"/>
  <c r="H35" i="25"/>
  <c r="U8" i="22"/>
  <c r="I28" i="27" s="1"/>
  <c r="P29" i="32" s="1"/>
  <c r="H33" i="97" s="1"/>
  <c r="T40" i="15"/>
  <c r="T40" i="18" s="1"/>
  <c r="G6" i="14"/>
  <c r="G39" i="14"/>
  <c r="O9" i="18"/>
  <c r="O9" i="20" s="1"/>
  <c r="C4" i="27" s="1"/>
  <c r="J5" i="32" s="1"/>
  <c r="B9" i="97" s="1"/>
  <c r="C36" i="25"/>
  <c r="P9" i="22"/>
  <c r="D29" i="27" s="1"/>
  <c r="K30" i="32" s="1"/>
  <c r="C34" i="97" s="1"/>
  <c r="AG40" i="97"/>
  <c r="J35" i="26"/>
  <c r="J34" i="29" s="1"/>
  <c r="AC41" i="97"/>
  <c r="F36" i="26"/>
  <c r="F35" i="29" s="1"/>
  <c r="C41" i="15"/>
  <c r="C41" i="17" s="1"/>
  <c r="C41" i="18" s="1"/>
  <c r="B25" i="29"/>
  <c r="L26" i="26"/>
  <c r="G35" i="25"/>
  <c r="T8" i="22"/>
  <c r="H28" i="27" s="1"/>
  <c r="O29" i="32" s="1"/>
  <c r="G33" i="97" s="1"/>
  <c r="O42" i="15"/>
  <c r="O42" i="18" s="1"/>
  <c r="O42" i="20" s="1"/>
  <c r="C20" i="27" s="1"/>
  <c r="J21" i="32" s="1"/>
  <c r="B25" i="97" s="1"/>
  <c r="B8" i="14"/>
  <c r="B41" i="14"/>
  <c r="C8" i="15"/>
  <c r="I39" i="15"/>
  <c r="I39" i="17" s="1"/>
  <c r="I39" i="18" s="1"/>
  <c r="C10" i="22"/>
  <c r="H23" i="25"/>
  <c r="AB41" i="97"/>
  <c r="E36" i="26"/>
  <c r="E35" i="29" s="1"/>
  <c r="E40" i="15"/>
  <c r="E40" i="17" s="1"/>
  <c r="E40" i="18" s="1"/>
  <c r="I6" i="15"/>
  <c r="B37" i="25"/>
  <c r="O10" i="22"/>
  <c r="C30" i="27" s="1"/>
  <c r="J31" i="32" s="1"/>
  <c r="B35" i="97" s="1"/>
  <c r="Z12" i="97"/>
  <c r="C7" i="26"/>
  <c r="C6" i="29" s="1"/>
  <c r="K22" i="26"/>
  <c r="K21" i="29" s="1"/>
  <c r="AH27" i="97"/>
  <c r="AB29" i="97"/>
  <c r="E24" i="26"/>
  <c r="E23" i="29" s="1"/>
  <c r="I23" i="26"/>
  <c r="I22" i="29" s="1"/>
  <c r="AF28" i="97"/>
  <c r="J39" i="15"/>
  <c r="J39" i="17" s="1"/>
  <c r="J39" i="20" s="1"/>
  <c r="D48" i="22"/>
  <c r="D35" i="22" s="1"/>
  <c r="D22" i="22" s="1"/>
  <c r="B7" i="29"/>
  <c r="L8" i="26"/>
  <c r="E7" i="15"/>
  <c r="AH39" i="97"/>
  <c r="K34" i="26"/>
  <c r="K33" i="29" s="1"/>
  <c r="F40" i="15"/>
  <c r="F40" i="17" s="1"/>
  <c r="F40" i="18" s="1"/>
  <c r="J6" i="15"/>
  <c r="Q41" i="15"/>
  <c r="Q41" i="18" s="1"/>
  <c r="D7" i="14"/>
  <c r="D40" i="14"/>
  <c r="B37" i="29"/>
  <c r="L38" i="26"/>
  <c r="U40" i="15"/>
  <c r="H6" i="14"/>
  <c r="H39" i="14"/>
  <c r="E9" i="22"/>
  <c r="D36" i="25"/>
  <c r="Q9" i="22"/>
  <c r="E29" i="27" s="1"/>
  <c r="L30" i="32" s="1"/>
  <c r="D34" i="97" s="1"/>
  <c r="Q41" i="20" l="1"/>
  <c r="E19" i="27" s="1"/>
  <c r="L20" i="32" s="1"/>
  <c r="D24" i="97" s="1"/>
  <c r="U40" i="18"/>
  <c r="U40" i="20" s="1"/>
  <c r="I18" i="27" s="1"/>
  <c r="P19" i="32" s="1"/>
  <c r="H23" i="97" s="1"/>
  <c r="I5" i="26"/>
  <c r="I4" i="29" s="1"/>
  <c r="AG10" i="97"/>
  <c r="E40" i="20"/>
  <c r="E23" i="25" s="1"/>
  <c r="J39" i="18"/>
  <c r="J46" i="22" s="1"/>
  <c r="J33" i="22" s="1"/>
  <c r="J20" i="22" s="1"/>
  <c r="T40" i="20"/>
  <c r="H18" i="27" s="1"/>
  <c r="O19" i="32" s="1"/>
  <c r="G23" i="97" s="1"/>
  <c r="F40" i="20"/>
  <c r="F23" i="25" s="1"/>
  <c r="W7" i="20"/>
  <c r="V7" i="20"/>
  <c r="K4" i="26"/>
  <c r="K3" i="29" s="1"/>
  <c r="F6" i="26"/>
  <c r="F5" i="29" s="1"/>
  <c r="E6" i="25"/>
  <c r="R8" i="20"/>
  <c r="F3" i="27" s="1"/>
  <c r="M4" i="32" s="1"/>
  <c r="E8" i="97" s="1"/>
  <c r="H7" i="20"/>
  <c r="H5" i="25" s="1"/>
  <c r="H5" i="26" s="1"/>
  <c r="H4" i="29" s="1"/>
  <c r="H7" i="18"/>
  <c r="U7" i="18" s="1"/>
  <c r="W6" i="15"/>
  <c r="J6" i="17"/>
  <c r="R7" i="15"/>
  <c r="E7" i="17"/>
  <c r="I39" i="20"/>
  <c r="I22" i="25" s="1"/>
  <c r="C41" i="20"/>
  <c r="C24" i="25" s="1"/>
  <c r="S7" i="15"/>
  <c r="F7" i="17"/>
  <c r="G7" i="18"/>
  <c r="T7" i="18" s="1"/>
  <c r="G7" i="20"/>
  <c r="G5" i="25" s="1"/>
  <c r="AD10" i="97" s="1"/>
  <c r="P8" i="15"/>
  <c r="C8" i="17"/>
  <c r="X5" i="15"/>
  <c r="K5" i="17"/>
  <c r="K38" i="20"/>
  <c r="K21" i="25" s="1"/>
  <c r="D8" i="20"/>
  <c r="D6" i="25" s="1"/>
  <c r="D6" i="26" s="1"/>
  <c r="D5" i="29" s="1"/>
  <c r="D8" i="18"/>
  <c r="Q8" i="18" s="1"/>
  <c r="V6" i="15"/>
  <c r="I6" i="17"/>
  <c r="X6" i="20"/>
  <c r="S8" i="20"/>
  <c r="G3" i="27" s="1"/>
  <c r="N4" i="32" s="1"/>
  <c r="F8" i="97" s="1"/>
  <c r="G59" i="22"/>
  <c r="G8" i="22"/>
  <c r="B61" i="22"/>
  <c r="B10" i="22"/>
  <c r="D60" i="22"/>
  <c r="D9" i="22"/>
  <c r="H59" i="22"/>
  <c r="H8" i="22"/>
  <c r="H6" i="15"/>
  <c r="J22" i="25"/>
  <c r="H23" i="26"/>
  <c r="H22" i="29" s="1"/>
  <c r="AE28" i="97"/>
  <c r="G6" i="15"/>
  <c r="Z41" i="97"/>
  <c r="C36" i="26"/>
  <c r="C35" i="29" s="1"/>
  <c r="J34" i="25"/>
  <c r="W7" i="22"/>
  <c r="K27" i="27" s="1"/>
  <c r="R28" i="32" s="1"/>
  <c r="J32" i="97" s="1"/>
  <c r="W39" i="15"/>
  <c r="J5" i="14"/>
  <c r="J38" i="14"/>
  <c r="D24" i="26"/>
  <c r="D23" i="29" s="1"/>
  <c r="AA29" i="97"/>
  <c r="I46" i="22"/>
  <c r="I33" i="22" s="1"/>
  <c r="I20" i="22" s="1"/>
  <c r="K45" i="22"/>
  <c r="K32" i="22" s="1"/>
  <c r="K19" i="22" s="1"/>
  <c r="F47" i="22"/>
  <c r="F34" i="22" s="1"/>
  <c r="F21" i="22" s="1"/>
  <c r="E47" i="22"/>
  <c r="E34" i="22" s="1"/>
  <c r="E21" i="22" s="1"/>
  <c r="I34" i="25"/>
  <c r="V7" i="22"/>
  <c r="J27" i="27" s="1"/>
  <c r="Q28" i="32" s="1"/>
  <c r="I32" i="97" s="1"/>
  <c r="V39" i="15"/>
  <c r="V39" i="18" s="1"/>
  <c r="V39" i="20" s="1"/>
  <c r="J17" i="27" s="1"/>
  <c r="Q18" i="32" s="1"/>
  <c r="I22" i="97" s="1"/>
  <c r="I5" i="14"/>
  <c r="I38" i="14"/>
  <c r="C48" i="22"/>
  <c r="C35" i="22" s="1"/>
  <c r="C22" i="22" s="1"/>
  <c r="D40" i="15"/>
  <c r="D40" i="17" s="1"/>
  <c r="D40" i="20" s="1"/>
  <c r="S40" i="15"/>
  <c r="S40" i="18" s="1"/>
  <c r="F6" i="14"/>
  <c r="F39" i="14"/>
  <c r="B8" i="15"/>
  <c r="P41" i="15"/>
  <c r="P41" i="18" s="1"/>
  <c r="C7" i="14"/>
  <c r="C40" i="14"/>
  <c r="B25" i="26"/>
  <c r="Y30" i="97"/>
  <c r="AA41" i="97"/>
  <c r="D36" i="26"/>
  <c r="D35" i="29" s="1"/>
  <c r="B41" i="15"/>
  <c r="B41" i="17" s="1"/>
  <c r="B41" i="18" s="1"/>
  <c r="AE40" i="97"/>
  <c r="H35" i="26"/>
  <c r="H34" i="29" s="1"/>
  <c r="X38" i="15"/>
  <c r="X38" i="18" s="1"/>
  <c r="K4" i="14"/>
  <c r="K37" i="14"/>
  <c r="R40" i="15"/>
  <c r="R40" i="18" s="1"/>
  <c r="E6" i="14"/>
  <c r="E39" i="14"/>
  <c r="D7" i="15"/>
  <c r="Y12" i="97"/>
  <c r="B7" i="26"/>
  <c r="F35" i="25"/>
  <c r="S8" i="22"/>
  <c r="G28" i="27" s="1"/>
  <c r="N29" i="32" s="1"/>
  <c r="F33" i="97" s="1"/>
  <c r="Y42" i="97"/>
  <c r="B37" i="26"/>
  <c r="AB40" i="97"/>
  <c r="E35" i="26"/>
  <c r="E34" i="29" s="1"/>
  <c r="H39" i="15"/>
  <c r="H39" i="17" s="1"/>
  <c r="H39" i="18" s="1"/>
  <c r="AD40" i="97"/>
  <c r="G35" i="26"/>
  <c r="G34" i="29" s="1"/>
  <c r="G39" i="15"/>
  <c r="G39" i="17" s="1"/>
  <c r="G39" i="18" s="1"/>
  <c r="AD28" i="97"/>
  <c r="G23" i="26"/>
  <c r="G22" i="29" s="1"/>
  <c r="K33" i="25"/>
  <c r="X6" i="22"/>
  <c r="L26" i="27" s="1"/>
  <c r="S27" i="32" s="1"/>
  <c r="K31" i="97" s="1"/>
  <c r="AE10" i="97" l="1"/>
  <c r="AA11" i="97"/>
  <c r="X38" i="20"/>
  <c r="L16" i="27" s="1"/>
  <c r="S17" i="32" s="1"/>
  <c r="K21" i="97" s="1"/>
  <c r="R40" i="20"/>
  <c r="F18" i="27" s="1"/>
  <c r="M19" i="32" s="1"/>
  <c r="E23" i="97" s="1"/>
  <c r="W39" i="18"/>
  <c r="W39" i="20" s="1"/>
  <c r="K17" i="27" s="1"/>
  <c r="R18" i="32" s="1"/>
  <c r="J22" i="97" s="1"/>
  <c r="S40" i="20"/>
  <c r="G18" i="27" s="1"/>
  <c r="N19" i="32" s="1"/>
  <c r="F23" i="97" s="1"/>
  <c r="G5" i="26"/>
  <c r="G4" i="29" s="1"/>
  <c r="U7" i="20"/>
  <c r="P41" i="20"/>
  <c r="D19" i="27" s="1"/>
  <c r="K20" i="32" s="1"/>
  <c r="C24" i="97" s="1"/>
  <c r="D40" i="18"/>
  <c r="D47" i="22" s="1"/>
  <c r="D34" i="22" s="1"/>
  <c r="D21" i="22" s="1"/>
  <c r="H39" i="20"/>
  <c r="H22" i="25" s="1"/>
  <c r="B41" i="20"/>
  <c r="B24" i="25" s="1"/>
  <c r="C8" i="18"/>
  <c r="P8" i="18" s="1"/>
  <c r="C8" i="20"/>
  <c r="C6" i="25" s="1"/>
  <c r="Z11" i="97" s="1"/>
  <c r="F7" i="20"/>
  <c r="F5" i="25" s="1"/>
  <c r="AC10" i="97" s="1"/>
  <c r="F7" i="18"/>
  <c r="S7" i="18" s="1"/>
  <c r="E7" i="18"/>
  <c r="R7" i="18" s="1"/>
  <c r="E7" i="20"/>
  <c r="U6" i="15"/>
  <c r="H6" i="17"/>
  <c r="I6" i="18"/>
  <c r="V6" i="18" s="1"/>
  <c r="I6" i="20"/>
  <c r="T6" i="15"/>
  <c r="G6" i="17"/>
  <c r="K5" i="18"/>
  <c r="X5" i="18" s="1"/>
  <c r="K5" i="20"/>
  <c r="K3" i="25" s="1"/>
  <c r="AH8" i="97" s="1"/>
  <c r="J6" i="18"/>
  <c r="W6" i="18" s="1"/>
  <c r="J6" i="20"/>
  <c r="J4" i="25" s="1"/>
  <c r="AG9" i="97" s="1"/>
  <c r="G39" i="20"/>
  <c r="G22" i="25" s="1"/>
  <c r="Q7" i="15"/>
  <c r="D7" i="17"/>
  <c r="O8" i="15"/>
  <c r="B8" i="17"/>
  <c r="Q8" i="20"/>
  <c r="E3" i="27" s="1"/>
  <c r="L4" i="32" s="1"/>
  <c r="D8" i="97" s="1"/>
  <c r="T7" i="20"/>
  <c r="AB11" i="97"/>
  <c r="E6" i="26"/>
  <c r="E5" i="29" s="1"/>
  <c r="K57" i="22"/>
  <c r="K6" i="22"/>
  <c r="C60" i="22"/>
  <c r="C9" i="22"/>
  <c r="E59" i="22"/>
  <c r="E8" i="22"/>
  <c r="I58" i="22"/>
  <c r="I7" i="22"/>
  <c r="F59" i="22"/>
  <c r="F8" i="22"/>
  <c r="J58" i="22"/>
  <c r="J7" i="22"/>
  <c r="T39" i="15"/>
  <c r="T39" i="18" s="1"/>
  <c r="G5" i="14"/>
  <c r="G38" i="14"/>
  <c r="C40" i="15"/>
  <c r="C40" i="17" s="1"/>
  <c r="C40" i="20" s="1"/>
  <c r="F39" i="15"/>
  <c r="F39" i="17" s="1"/>
  <c r="F39" i="20" s="1"/>
  <c r="B6" i="29"/>
  <c r="L7" i="26"/>
  <c r="B36" i="29"/>
  <c r="L37" i="26"/>
  <c r="E39" i="15"/>
  <c r="E39" i="17" s="1"/>
  <c r="E39" i="18" s="1"/>
  <c r="C7" i="15"/>
  <c r="F6" i="15"/>
  <c r="AF39" i="97"/>
  <c r="I34" i="26"/>
  <c r="I33" i="29" s="1"/>
  <c r="AG39" i="97"/>
  <c r="J34" i="26"/>
  <c r="J33" i="29" s="1"/>
  <c r="AF27" i="97"/>
  <c r="I22" i="26"/>
  <c r="I21" i="29" s="1"/>
  <c r="D35" i="25"/>
  <c r="Q8" i="22"/>
  <c r="E28" i="27" s="1"/>
  <c r="L29" i="32" s="1"/>
  <c r="D33" i="97" s="1"/>
  <c r="B48" i="22"/>
  <c r="B35" i="22" s="1"/>
  <c r="B22" i="22" s="1"/>
  <c r="E23" i="26"/>
  <c r="E22" i="29" s="1"/>
  <c r="AB28" i="97"/>
  <c r="J22" i="26"/>
  <c r="J21" i="29" s="1"/>
  <c r="AG27" i="97"/>
  <c r="B24" i="29"/>
  <c r="L25" i="26"/>
  <c r="C24" i="26"/>
  <c r="C23" i="29" s="1"/>
  <c r="Z29" i="97"/>
  <c r="F23" i="26"/>
  <c r="F22" i="29" s="1"/>
  <c r="AC28" i="97"/>
  <c r="U39" i="15"/>
  <c r="U39" i="18" s="1"/>
  <c r="H5" i="14"/>
  <c r="H38" i="14"/>
  <c r="E6" i="15"/>
  <c r="O41" i="15"/>
  <c r="O41" i="18" s="1"/>
  <c r="B7" i="14"/>
  <c r="B40" i="14"/>
  <c r="D23" i="25"/>
  <c r="I38" i="15"/>
  <c r="I38" i="17" s="1"/>
  <c r="I38" i="18" s="1"/>
  <c r="J38" i="15"/>
  <c r="J38" i="17" s="1"/>
  <c r="J38" i="20" s="1"/>
  <c r="AH26" i="97"/>
  <c r="K21" i="26"/>
  <c r="K20" i="29" s="1"/>
  <c r="B36" i="25"/>
  <c r="O9" i="22"/>
  <c r="C29" i="27" s="1"/>
  <c r="J30" i="32" s="1"/>
  <c r="B34" i="97" s="1"/>
  <c r="H46" i="22"/>
  <c r="H33" i="22" s="1"/>
  <c r="H20" i="22" s="1"/>
  <c r="AC40" i="97"/>
  <c r="F35" i="26"/>
  <c r="F34" i="29" s="1"/>
  <c r="K37" i="15"/>
  <c r="K37" i="17" s="1"/>
  <c r="K37" i="20" s="1"/>
  <c r="I5" i="15"/>
  <c r="J5" i="15"/>
  <c r="G46" i="22"/>
  <c r="G33" i="22" s="1"/>
  <c r="G20" i="22" s="1"/>
  <c r="H34" i="25"/>
  <c r="U7" i="22"/>
  <c r="I27" i="27" s="1"/>
  <c r="P28" i="32" s="1"/>
  <c r="H32" i="97" s="1"/>
  <c r="AH38" i="97"/>
  <c r="K33" i="26"/>
  <c r="K32" i="29" s="1"/>
  <c r="K4" i="15"/>
  <c r="Q40" i="15"/>
  <c r="D6" i="14"/>
  <c r="D39" i="14"/>
  <c r="G34" i="25"/>
  <c r="T7" i="22"/>
  <c r="H27" i="27" s="1"/>
  <c r="O28" i="32" s="1"/>
  <c r="G32" i="97" s="1"/>
  <c r="C6" i="26" l="1"/>
  <c r="C5" i="29" s="1"/>
  <c r="J4" i="26"/>
  <c r="J3" i="29" s="1"/>
  <c r="F5" i="26"/>
  <c r="F4" i="29" s="1"/>
  <c r="T39" i="20"/>
  <c r="H17" i="27" s="1"/>
  <c r="O18" i="32" s="1"/>
  <c r="G22" i="97" s="1"/>
  <c r="U39" i="20"/>
  <c r="I17" i="27" s="1"/>
  <c r="P18" i="32" s="1"/>
  <c r="H22" i="97" s="1"/>
  <c r="Q40" i="18"/>
  <c r="Q40" i="20" s="1"/>
  <c r="E18" i="27" s="1"/>
  <c r="L19" i="32" s="1"/>
  <c r="D23" i="97" s="1"/>
  <c r="K3" i="26"/>
  <c r="K2" i="29" s="1"/>
  <c r="X5" i="20"/>
  <c r="P8" i="20"/>
  <c r="D3" i="27" s="1"/>
  <c r="K4" i="32" s="1"/>
  <c r="C8" i="97" s="1"/>
  <c r="F39" i="18"/>
  <c r="F46" i="22" s="1"/>
  <c r="F33" i="22" s="1"/>
  <c r="F20" i="22" s="1"/>
  <c r="S7" i="20"/>
  <c r="J38" i="18"/>
  <c r="J45" i="22" s="1"/>
  <c r="J32" i="22" s="1"/>
  <c r="J19" i="22" s="1"/>
  <c r="E39" i="20"/>
  <c r="E22" i="25" s="1"/>
  <c r="O41" i="20"/>
  <c r="C19" i="27" s="1"/>
  <c r="J20" i="32" s="1"/>
  <c r="B24" i="97" s="1"/>
  <c r="K37" i="18"/>
  <c r="K44" i="22" s="1"/>
  <c r="K31" i="22" s="1"/>
  <c r="K18" i="22" s="1"/>
  <c r="V5" i="15"/>
  <c r="I5" i="17"/>
  <c r="X4" i="15"/>
  <c r="K4" i="17"/>
  <c r="C40" i="18"/>
  <c r="C47" i="22" s="1"/>
  <c r="C34" i="22" s="1"/>
  <c r="C21" i="22" s="1"/>
  <c r="V6" i="20"/>
  <c r="I4" i="25"/>
  <c r="E5" i="25"/>
  <c r="R7" i="20"/>
  <c r="R6" i="15"/>
  <c r="E6" i="17"/>
  <c r="B8" i="20"/>
  <c r="B6" i="25" s="1"/>
  <c r="Y11" i="97" s="1"/>
  <c r="B8" i="18"/>
  <c r="O8" i="18" s="1"/>
  <c r="W5" i="15"/>
  <c r="J5" i="17"/>
  <c r="I38" i="20"/>
  <c r="I21" i="25" s="1"/>
  <c r="P7" i="15"/>
  <c r="C7" i="17"/>
  <c r="G6" i="18"/>
  <c r="T6" i="18" s="1"/>
  <c r="G6" i="20"/>
  <c r="G4" i="25" s="1"/>
  <c r="AD9" i="97" s="1"/>
  <c r="H6" i="18"/>
  <c r="U6" i="18" s="1"/>
  <c r="H6" i="20"/>
  <c r="H4" i="25" s="1"/>
  <c r="AE9" i="97" s="1"/>
  <c r="S6" i="15"/>
  <c r="F6" i="17"/>
  <c r="D7" i="18"/>
  <c r="Q7" i="18" s="1"/>
  <c r="D7" i="20"/>
  <c r="D5" i="25" s="1"/>
  <c r="AA10" i="97" s="1"/>
  <c r="W6" i="20"/>
  <c r="H58" i="22"/>
  <c r="H7" i="22"/>
  <c r="D59" i="22"/>
  <c r="D8" i="22"/>
  <c r="G58" i="22"/>
  <c r="G7" i="22"/>
  <c r="B60" i="22"/>
  <c r="B9" i="22"/>
  <c r="I45" i="22"/>
  <c r="I32" i="22" s="1"/>
  <c r="I19" i="22" s="1"/>
  <c r="G5" i="15"/>
  <c r="P40" i="15"/>
  <c r="C6" i="14"/>
  <c r="C39" i="14"/>
  <c r="I33" i="25"/>
  <c r="V6" i="22"/>
  <c r="J26" i="27" s="1"/>
  <c r="Q27" i="32" s="1"/>
  <c r="I31" i="97" s="1"/>
  <c r="D23" i="26"/>
  <c r="D22" i="29" s="1"/>
  <c r="AA28" i="97"/>
  <c r="E34" i="25"/>
  <c r="R7" i="22"/>
  <c r="F27" i="27" s="1"/>
  <c r="M28" i="32" s="1"/>
  <c r="E32" i="97" s="1"/>
  <c r="K20" i="25"/>
  <c r="J21" i="25"/>
  <c r="Y29" i="97"/>
  <c r="B24" i="26"/>
  <c r="F22" i="25"/>
  <c r="AE39" i="97"/>
  <c r="H34" i="26"/>
  <c r="H33" i="29" s="1"/>
  <c r="G22" i="26"/>
  <c r="G21" i="29" s="1"/>
  <c r="AD27" i="97"/>
  <c r="W38" i="15"/>
  <c r="J4" i="14"/>
  <c r="J37" i="14"/>
  <c r="H22" i="26"/>
  <c r="H21" i="29" s="1"/>
  <c r="AE27" i="97"/>
  <c r="J33" i="25"/>
  <c r="W6" i="22"/>
  <c r="K26" i="27" s="1"/>
  <c r="R27" i="32" s="1"/>
  <c r="J31" i="97" s="1"/>
  <c r="C35" i="25"/>
  <c r="P8" i="22"/>
  <c r="D28" i="27" s="1"/>
  <c r="K29" i="32" s="1"/>
  <c r="C33" i="97" s="1"/>
  <c r="D6" i="15"/>
  <c r="X37" i="15"/>
  <c r="K3" i="14"/>
  <c r="K36" i="14"/>
  <c r="B40" i="15"/>
  <c r="B40" i="17" s="1"/>
  <c r="B40" i="18" s="1"/>
  <c r="H38" i="15"/>
  <c r="H38" i="17" s="1"/>
  <c r="H38" i="20" s="1"/>
  <c r="E46" i="22"/>
  <c r="E33" i="22" s="1"/>
  <c r="E20" i="22" s="1"/>
  <c r="S39" i="15"/>
  <c r="F5" i="14"/>
  <c r="F38" i="14"/>
  <c r="V38" i="15"/>
  <c r="V38" i="18" s="1"/>
  <c r="I4" i="14"/>
  <c r="I37" i="14"/>
  <c r="AA40" i="97"/>
  <c r="D35" i="26"/>
  <c r="D34" i="29" s="1"/>
  <c r="AD39" i="97"/>
  <c r="G34" i="26"/>
  <c r="G33" i="29" s="1"/>
  <c r="D39" i="15"/>
  <c r="D39" i="17" s="1"/>
  <c r="D39" i="18" s="1"/>
  <c r="Y41" i="97"/>
  <c r="B36" i="26"/>
  <c r="B7" i="15"/>
  <c r="H5" i="15"/>
  <c r="R39" i="15"/>
  <c r="R39" i="18" s="1"/>
  <c r="E5" i="14"/>
  <c r="E38" i="14"/>
  <c r="C23" i="25"/>
  <c r="G38" i="15"/>
  <c r="G38" i="17" s="1"/>
  <c r="G38" i="18" s="1"/>
  <c r="F34" i="25"/>
  <c r="S7" i="22"/>
  <c r="G27" i="27" s="1"/>
  <c r="N28" i="32" s="1"/>
  <c r="F32" i="97" s="1"/>
  <c r="K32" i="25"/>
  <c r="X5" i="22"/>
  <c r="L25" i="27" s="1"/>
  <c r="S26" i="32" s="1"/>
  <c r="K30" i="97" s="1"/>
  <c r="V38" i="20" l="1"/>
  <c r="J16" i="27" s="1"/>
  <c r="Q17" i="32" s="1"/>
  <c r="I21" i="97" s="1"/>
  <c r="G4" i="26"/>
  <c r="G3" i="29" s="1"/>
  <c r="P40" i="18"/>
  <c r="P40" i="20" s="1"/>
  <c r="D18" i="27" s="1"/>
  <c r="K19" i="32" s="1"/>
  <c r="C23" i="97" s="1"/>
  <c r="W38" i="18"/>
  <c r="W38" i="20" s="1"/>
  <c r="K16" i="27" s="1"/>
  <c r="R17" i="32" s="1"/>
  <c r="J21" i="97" s="1"/>
  <c r="H38" i="18"/>
  <c r="S39" i="18"/>
  <c r="S39" i="20" s="1"/>
  <c r="G17" i="27" s="1"/>
  <c r="N18" i="32" s="1"/>
  <c r="F22" i="97" s="1"/>
  <c r="R39" i="20"/>
  <c r="F17" i="27" s="1"/>
  <c r="M18" i="32" s="1"/>
  <c r="E22" i="97" s="1"/>
  <c r="D5" i="26"/>
  <c r="D4" i="29" s="1"/>
  <c r="H4" i="26"/>
  <c r="H3" i="29" s="1"/>
  <c r="B6" i="26"/>
  <c r="B5" i="29" s="1"/>
  <c r="D39" i="20"/>
  <c r="X37" i="18"/>
  <c r="X37" i="20" s="1"/>
  <c r="L15" i="27" s="1"/>
  <c r="S16" i="32" s="1"/>
  <c r="K20" i="97" s="1"/>
  <c r="T5" i="15"/>
  <c r="G5" i="17"/>
  <c r="F6" i="20"/>
  <c r="F4" i="25" s="1"/>
  <c r="F4" i="26" s="1"/>
  <c r="F3" i="29" s="1"/>
  <c r="F6" i="18"/>
  <c r="S6" i="18" s="1"/>
  <c r="AB10" i="97"/>
  <c r="E5" i="26"/>
  <c r="E4" i="29" s="1"/>
  <c r="K4" i="18"/>
  <c r="X4" i="18" s="1"/>
  <c r="K4" i="20"/>
  <c r="U5" i="15"/>
  <c r="H5" i="17"/>
  <c r="T6" i="20"/>
  <c r="J5" i="18"/>
  <c r="W5" i="18" s="1"/>
  <c r="J5" i="20"/>
  <c r="J3" i="25" s="1"/>
  <c r="J3" i="26" s="1"/>
  <c r="E6" i="18"/>
  <c r="R6" i="18" s="1"/>
  <c r="E6" i="20"/>
  <c r="E4" i="25" s="1"/>
  <c r="E4" i="26" s="1"/>
  <c r="E3" i="29" s="1"/>
  <c r="AF9" i="97"/>
  <c r="I4" i="26"/>
  <c r="I3" i="29" s="1"/>
  <c r="G38" i="20"/>
  <c r="G21" i="25" s="1"/>
  <c r="B40" i="20"/>
  <c r="B23" i="25" s="1"/>
  <c r="C7" i="18"/>
  <c r="P7" i="18" s="1"/>
  <c r="C7" i="20"/>
  <c r="C5" i="25" s="1"/>
  <c r="Z10" i="97" s="1"/>
  <c r="I5" i="20"/>
  <c r="I3" i="25" s="1"/>
  <c r="AF8" i="97" s="1"/>
  <c r="I5" i="18"/>
  <c r="V5" i="18" s="1"/>
  <c r="O7" i="15"/>
  <c r="B7" i="17"/>
  <c r="Q6" i="15"/>
  <c r="D6" i="17"/>
  <c r="Q7" i="20"/>
  <c r="U6" i="20"/>
  <c r="O8" i="20"/>
  <c r="C3" i="27" s="1"/>
  <c r="J4" i="32" s="1"/>
  <c r="B8" i="97" s="1"/>
  <c r="E58" i="22"/>
  <c r="E7" i="22"/>
  <c r="J57" i="22"/>
  <c r="J6" i="22"/>
  <c r="C59" i="22"/>
  <c r="C8" i="22"/>
  <c r="K56" i="22"/>
  <c r="K5" i="22"/>
  <c r="F58" i="22"/>
  <c r="F7" i="22"/>
  <c r="I57" i="22"/>
  <c r="I6" i="22"/>
  <c r="J37" i="15"/>
  <c r="J37" i="17" s="1"/>
  <c r="J37" i="18" s="1"/>
  <c r="F38" i="15"/>
  <c r="F38" i="17" s="1"/>
  <c r="F38" i="18" s="1"/>
  <c r="H21" i="25"/>
  <c r="J4" i="15"/>
  <c r="Q39" i="15"/>
  <c r="Q39" i="18" s="1"/>
  <c r="Q39" i="20" s="1"/>
  <c r="E17" i="27" s="1"/>
  <c r="L18" i="32" s="1"/>
  <c r="D22" i="97" s="1"/>
  <c r="D5" i="14"/>
  <c r="D38" i="14"/>
  <c r="AH37" i="97"/>
  <c r="K32" i="26"/>
  <c r="K31" i="29" s="1"/>
  <c r="F5" i="15"/>
  <c r="F22" i="26"/>
  <c r="F21" i="29" s="1"/>
  <c r="AC27" i="97"/>
  <c r="AF38" i="97"/>
  <c r="I33" i="26"/>
  <c r="I32" i="29" s="1"/>
  <c r="B35" i="25"/>
  <c r="O8" i="22"/>
  <c r="C28" i="27" s="1"/>
  <c r="J29" i="32" s="1"/>
  <c r="B33" i="97" s="1"/>
  <c r="Z28" i="97"/>
  <c r="C23" i="26"/>
  <c r="C22" i="29" s="1"/>
  <c r="I21" i="26"/>
  <c r="I20" i="29" s="1"/>
  <c r="AF26" i="97"/>
  <c r="U38" i="15"/>
  <c r="H4" i="14"/>
  <c r="H37" i="14"/>
  <c r="Z40" i="97"/>
  <c r="C35" i="26"/>
  <c r="C34" i="29" s="1"/>
  <c r="B23" i="29"/>
  <c r="L24" i="26"/>
  <c r="C39" i="15"/>
  <c r="C39" i="17" s="1"/>
  <c r="C39" i="20" s="1"/>
  <c r="C6" i="15"/>
  <c r="G33" i="25"/>
  <c r="T6" i="22"/>
  <c r="H26" i="27" s="1"/>
  <c r="O27" i="32" s="1"/>
  <c r="G31" i="97" s="1"/>
  <c r="AC39" i="97"/>
  <c r="F34" i="26"/>
  <c r="F33" i="29" s="1"/>
  <c r="AB39" i="97"/>
  <c r="E34" i="26"/>
  <c r="E33" i="29" s="1"/>
  <c r="I37" i="15"/>
  <c r="I37" i="17" s="1"/>
  <c r="I37" i="18" s="1"/>
  <c r="B47" i="22"/>
  <c r="B34" i="22" s="1"/>
  <c r="B21" i="22" s="1"/>
  <c r="K3" i="15"/>
  <c r="AG38" i="97"/>
  <c r="J33" i="26"/>
  <c r="J32" i="29" s="1"/>
  <c r="B35" i="29"/>
  <c r="L36" i="26"/>
  <c r="K36" i="15"/>
  <c r="K36" i="17" s="1"/>
  <c r="K36" i="18" s="1"/>
  <c r="E5" i="15"/>
  <c r="I4" i="15"/>
  <c r="O40" i="15"/>
  <c r="O40" i="18" s="1"/>
  <c r="B6" i="14"/>
  <c r="B39" i="14"/>
  <c r="E22" i="26"/>
  <c r="E21" i="29" s="1"/>
  <c r="AB27" i="97"/>
  <c r="J21" i="26"/>
  <c r="J20" i="29" s="1"/>
  <c r="AG26" i="97"/>
  <c r="D34" i="25"/>
  <c r="Q7" i="22"/>
  <c r="E27" i="27" s="1"/>
  <c r="L28" i="32" s="1"/>
  <c r="D32" i="97" s="1"/>
  <c r="H45" i="22"/>
  <c r="H32" i="22" s="1"/>
  <c r="H19" i="22" s="1"/>
  <c r="E38" i="15"/>
  <c r="E38" i="17" s="1"/>
  <c r="E38" i="18" s="1"/>
  <c r="G45" i="22"/>
  <c r="G32" i="22" s="1"/>
  <c r="G19" i="22" s="1"/>
  <c r="D22" i="25"/>
  <c r="T38" i="15"/>
  <c r="T38" i="18" s="1"/>
  <c r="G4" i="14"/>
  <c r="G37" i="14"/>
  <c r="D46" i="22"/>
  <c r="D33" i="22" s="1"/>
  <c r="D20" i="22" s="1"/>
  <c r="D58" i="22" s="1"/>
  <c r="AC9" i="97"/>
  <c r="K20" i="26"/>
  <c r="K19" i="29" s="1"/>
  <c r="AH25" i="97"/>
  <c r="H33" i="25"/>
  <c r="U6" i="22"/>
  <c r="I26" i="27" s="1"/>
  <c r="P27" i="32" s="1"/>
  <c r="H31" i="97" s="1"/>
  <c r="U38" i="18" l="1"/>
  <c r="U38" i="20" s="1"/>
  <c r="I16" i="27" s="1"/>
  <c r="P17" i="32" s="1"/>
  <c r="H21" i="97" s="1"/>
  <c r="C39" i="18"/>
  <c r="C46" i="22" s="1"/>
  <c r="C33" i="22" s="1"/>
  <c r="C20" i="22" s="1"/>
  <c r="AB9" i="97"/>
  <c r="O40" i="20"/>
  <c r="C18" i="27" s="1"/>
  <c r="J19" i="32" s="1"/>
  <c r="B23" i="97" s="1"/>
  <c r="AG8" i="97"/>
  <c r="I3" i="26"/>
  <c r="I2" i="29" s="1"/>
  <c r="L6" i="26"/>
  <c r="S6" i="20"/>
  <c r="T38" i="20"/>
  <c r="H16" i="27" s="1"/>
  <c r="O17" i="32" s="1"/>
  <c r="G21" i="97" s="1"/>
  <c r="J37" i="20"/>
  <c r="J20" i="25" s="1"/>
  <c r="C5" i="26"/>
  <c r="C4" i="29" s="1"/>
  <c r="P7" i="20"/>
  <c r="W5" i="20"/>
  <c r="E38" i="20"/>
  <c r="E21" i="25" s="1"/>
  <c r="V5" i="20"/>
  <c r="K36" i="20"/>
  <c r="K19" i="25" s="1"/>
  <c r="R5" i="15"/>
  <c r="E5" i="17"/>
  <c r="I37" i="20"/>
  <c r="P6" i="15"/>
  <c r="C6" i="17"/>
  <c r="D6" i="18"/>
  <c r="Q6" i="18" s="1"/>
  <c r="D6" i="20"/>
  <c r="X4" i="20"/>
  <c r="V4" i="15"/>
  <c r="I4" i="17"/>
  <c r="X3" i="15"/>
  <c r="K3" i="17"/>
  <c r="S5" i="15"/>
  <c r="F5" i="17"/>
  <c r="F38" i="20"/>
  <c r="F21" i="25" s="1"/>
  <c r="R6" i="20"/>
  <c r="H5" i="20"/>
  <c r="H3" i="25" s="1"/>
  <c r="AE8" i="97" s="1"/>
  <c r="H5" i="18"/>
  <c r="U5" i="18" s="1"/>
  <c r="G5" i="20"/>
  <c r="G3" i="25" s="1"/>
  <c r="G3" i="26" s="1"/>
  <c r="G5" i="18"/>
  <c r="T5" i="18" s="1"/>
  <c r="W4" i="15"/>
  <c r="J4" i="17"/>
  <c r="B7" i="20"/>
  <c r="B5" i="25" s="1"/>
  <c r="Y10" i="97" s="1"/>
  <c r="B7" i="18"/>
  <c r="O7" i="18" s="1"/>
  <c r="G57" i="22"/>
  <c r="G6" i="22"/>
  <c r="B59" i="22"/>
  <c r="B8" i="22"/>
  <c r="H57" i="22"/>
  <c r="H6" i="22"/>
  <c r="D33" i="25"/>
  <c r="Q6" i="22"/>
  <c r="E26" i="27" s="1"/>
  <c r="L27" i="32" s="1"/>
  <c r="D31" i="97" s="1"/>
  <c r="B23" i="26"/>
  <c r="Y28" i="97"/>
  <c r="E45" i="22"/>
  <c r="E32" i="22" s="1"/>
  <c r="E19" i="22" s="1"/>
  <c r="AA39" i="97"/>
  <c r="D34" i="26"/>
  <c r="D33" i="29" s="1"/>
  <c r="B6" i="15"/>
  <c r="V37" i="15"/>
  <c r="V37" i="18" s="1"/>
  <c r="V37" i="20" s="1"/>
  <c r="J15" i="27" s="1"/>
  <c r="Q16" i="32" s="1"/>
  <c r="I20" i="97" s="1"/>
  <c r="I3" i="14"/>
  <c r="I36" i="14"/>
  <c r="D38" i="15"/>
  <c r="D38" i="17" s="1"/>
  <c r="D38" i="18" s="1"/>
  <c r="B39" i="15"/>
  <c r="B39" i="17" s="1"/>
  <c r="B39" i="20" s="1"/>
  <c r="R38" i="15"/>
  <c r="R38" i="18" s="1"/>
  <c r="E4" i="14"/>
  <c r="E37" i="14"/>
  <c r="X36" i="15"/>
  <c r="X36" i="18" s="1"/>
  <c r="K2" i="14"/>
  <c r="K35" i="14"/>
  <c r="I44" i="22"/>
  <c r="I31" i="22" s="1"/>
  <c r="I18" i="22" s="1"/>
  <c r="D5" i="15"/>
  <c r="H21" i="26"/>
  <c r="H20" i="29" s="1"/>
  <c r="AE26" i="97"/>
  <c r="C34" i="25"/>
  <c r="P7" i="22"/>
  <c r="D27" i="27" s="1"/>
  <c r="K28" i="32" s="1"/>
  <c r="C32" i="97" s="1"/>
  <c r="K31" i="25"/>
  <c r="X4" i="22"/>
  <c r="L24" i="27" s="1"/>
  <c r="S25" i="32" s="1"/>
  <c r="K29" i="97" s="1"/>
  <c r="K43" i="22"/>
  <c r="K30" i="22" s="1"/>
  <c r="K17" i="22" s="1"/>
  <c r="H37" i="15"/>
  <c r="H37" i="17" s="1"/>
  <c r="H37" i="20" s="1"/>
  <c r="Y40" i="97"/>
  <c r="B35" i="26"/>
  <c r="B5" i="26"/>
  <c r="AE38" i="97"/>
  <c r="H33" i="26"/>
  <c r="H32" i="29" s="1"/>
  <c r="G37" i="15"/>
  <c r="G37" i="17" s="1"/>
  <c r="G37" i="18" s="1"/>
  <c r="AD26" i="97"/>
  <c r="G21" i="26"/>
  <c r="G20" i="29" s="1"/>
  <c r="AD38" i="97"/>
  <c r="G33" i="26"/>
  <c r="G32" i="29" s="1"/>
  <c r="C22" i="25"/>
  <c r="H4" i="15"/>
  <c r="J2" i="29"/>
  <c r="F45" i="22"/>
  <c r="F32" i="22" s="1"/>
  <c r="F19" i="22" s="1"/>
  <c r="F57" i="22" s="1"/>
  <c r="W37" i="15"/>
  <c r="W37" i="18" s="1"/>
  <c r="J3" i="14"/>
  <c r="J36" i="14"/>
  <c r="I32" i="25"/>
  <c r="V5" i="22"/>
  <c r="J25" i="27" s="1"/>
  <c r="Q26" i="32" s="1"/>
  <c r="I30" i="97" s="1"/>
  <c r="J32" i="25"/>
  <c r="W5" i="22"/>
  <c r="K25" i="27" s="1"/>
  <c r="R26" i="32" s="1"/>
  <c r="J30" i="97" s="1"/>
  <c r="G4" i="15"/>
  <c r="AD8" i="97"/>
  <c r="S38" i="15"/>
  <c r="S38" i="18" s="1"/>
  <c r="F4" i="14"/>
  <c r="F37" i="14"/>
  <c r="J44" i="22"/>
  <c r="J31" i="22" s="1"/>
  <c r="J18" i="22" s="1"/>
  <c r="D22" i="26"/>
  <c r="D21" i="29" s="1"/>
  <c r="AA27" i="97"/>
  <c r="I20" i="25"/>
  <c r="D7" i="22"/>
  <c r="P39" i="15"/>
  <c r="C5" i="14"/>
  <c r="C38" i="14"/>
  <c r="F33" i="25"/>
  <c r="S6" i="22"/>
  <c r="G26" i="27" s="1"/>
  <c r="N27" i="32" s="1"/>
  <c r="F31" i="97" s="1"/>
  <c r="E33" i="25"/>
  <c r="R6" i="22"/>
  <c r="F26" i="27" s="1"/>
  <c r="M27" i="32" s="1"/>
  <c r="E31" i="97" s="1"/>
  <c r="S38" i="20" l="1"/>
  <c r="G16" i="27" s="1"/>
  <c r="N17" i="32" s="1"/>
  <c r="F21" i="97" s="1"/>
  <c r="X36" i="20"/>
  <c r="L14" i="27" s="1"/>
  <c r="S15" i="32" s="1"/>
  <c r="K19" i="97" s="1"/>
  <c r="H3" i="26"/>
  <c r="P39" i="18"/>
  <c r="P39" i="20" s="1"/>
  <c r="D17" i="27" s="1"/>
  <c r="K18" i="32" s="1"/>
  <c r="C22" i="97" s="1"/>
  <c r="W37" i="20"/>
  <c r="K15" i="27" s="1"/>
  <c r="R16" i="32" s="1"/>
  <c r="J20" i="97" s="1"/>
  <c r="U5" i="20"/>
  <c r="H37" i="18"/>
  <c r="B39" i="18"/>
  <c r="O7" i="20"/>
  <c r="T5" i="20"/>
  <c r="R38" i="20"/>
  <c r="F16" i="27" s="1"/>
  <c r="M17" i="32" s="1"/>
  <c r="E21" i="97" s="1"/>
  <c r="G37" i="20"/>
  <c r="K3" i="20"/>
  <c r="K3" i="18"/>
  <c r="X3" i="18" s="1"/>
  <c r="O6" i="15"/>
  <c r="B6" i="17"/>
  <c r="Q6" i="20"/>
  <c r="D4" i="25"/>
  <c r="U4" i="15"/>
  <c r="H4" i="17"/>
  <c r="J4" i="20"/>
  <c r="J4" i="18"/>
  <c r="W4" i="18" s="1"/>
  <c r="E5" i="18"/>
  <c r="R5" i="18" s="1"/>
  <c r="E5" i="20"/>
  <c r="Q5" i="15"/>
  <c r="D5" i="17"/>
  <c r="D38" i="20"/>
  <c r="F5" i="18"/>
  <c r="S5" i="18" s="1"/>
  <c r="F5" i="20"/>
  <c r="F3" i="25" s="1"/>
  <c r="AC8" i="97" s="1"/>
  <c r="I4" i="20"/>
  <c r="I4" i="18"/>
  <c r="V4" i="18" s="1"/>
  <c r="T4" i="15"/>
  <c r="G4" i="17"/>
  <c r="C6" i="20"/>
  <c r="C6" i="18"/>
  <c r="P6" i="18" s="1"/>
  <c r="C58" i="22"/>
  <c r="C33" i="25" s="1"/>
  <c r="C7" i="22"/>
  <c r="I56" i="22"/>
  <c r="I5" i="22"/>
  <c r="E57" i="22"/>
  <c r="E6" i="22"/>
  <c r="K55" i="22"/>
  <c r="K4" i="22"/>
  <c r="J56" i="22"/>
  <c r="J5" i="22"/>
  <c r="AB38" i="97"/>
  <c r="E33" i="26"/>
  <c r="E32" i="29" s="1"/>
  <c r="E21" i="26"/>
  <c r="E20" i="29" s="1"/>
  <c r="AB26" i="97"/>
  <c r="F21" i="26"/>
  <c r="F20" i="29" s="1"/>
  <c r="AC26" i="97"/>
  <c r="H2" i="29"/>
  <c r="J3" i="15"/>
  <c r="T37" i="15"/>
  <c r="G3" i="14"/>
  <c r="G36" i="14"/>
  <c r="F6" i="22"/>
  <c r="B34" i="29"/>
  <c r="L35" i="26"/>
  <c r="AA38" i="97"/>
  <c r="D33" i="26"/>
  <c r="D32" i="29" s="1"/>
  <c r="F37" i="15"/>
  <c r="F37" i="17" s="1"/>
  <c r="F37" i="18" s="1"/>
  <c r="AC38" i="97"/>
  <c r="F33" i="26"/>
  <c r="F32" i="29" s="1"/>
  <c r="AG37" i="97"/>
  <c r="J32" i="26"/>
  <c r="J31" i="29" s="1"/>
  <c r="K35" i="15"/>
  <c r="K35" i="17" s="1"/>
  <c r="K35" i="18" s="1"/>
  <c r="B22" i="25"/>
  <c r="I36" i="15"/>
  <c r="I36" i="17" s="1"/>
  <c r="I36" i="20" s="1"/>
  <c r="I20" i="26"/>
  <c r="I19" i="29" s="1"/>
  <c r="AF25" i="97"/>
  <c r="F32" i="25"/>
  <c r="S5" i="22"/>
  <c r="G25" i="27" s="1"/>
  <c r="N26" i="32" s="1"/>
  <c r="F30" i="97" s="1"/>
  <c r="B4" i="29"/>
  <c r="L5" i="26"/>
  <c r="U37" i="15"/>
  <c r="U37" i="18" s="1"/>
  <c r="U37" i="20" s="1"/>
  <c r="I15" i="27" s="1"/>
  <c r="P16" i="32" s="1"/>
  <c r="H20" i="97" s="1"/>
  <c r="H3" i="14"/>
  <c r="H36" i="14"/>
  <c r="K2" i="15"/>
  <c r="B46" i="22"/>
  <c r="B33" i="22" s="1"/>
  <c r="B20" i="22" s="1"/>
  <c r="I3" i="15"/>
  <c r="H32" i="25"/>
  <c r="U5" i="22"/>
  <c r="I25" i="27" s="1"/>
  <c r="P26" i="32" s="1"/>
  <c r="H30" i="97" s="1"/>
  <c r="G2" i="29"/>
  <c r="F4" i="15"/>
  <c r="AF37" i="97"/>
  <c r="I32" i="26"/>
  <c r="I31" i="29" s="1"/>
  <c r="G20" i="25"/>
  <c r="O39" i="15"/>
  <c r="B5" i="14"/>
  <c r="B38" i="14"/>
  <c r="C38" i="15"/>
  <c r="C38" i="17" s="1"/>
  <c r="C38" i="20" s="1"/>
  <c r="H20" i="25"/>
  <c r="C5" i="15"/>
  <c r="J36" i="15"/>
  <c r="J36" i="17" s="1"/>
  <c r="J36" i="20" s="1"/>
  <c r="C22" i="26"/>
  <c r="C21" i="29" s="1"/>
  <c r="Z27" i="97"/>
  <c r="T37" i="18"/>
  <c r="G44" i="22"/>
  <c r="G31" i="22" s="1"/>
  <c r="G18" i="22" s="1"/>
  <c r="H44" i="22"/>
  <c r="H31" i="22" s="1"/>
  <c r="H18" i="22" s="1"/>
  <c r="AH36" i="97"/>
  <c r="K31" i="26"/>
  <c r="K30" i="29" s="1"/>
  <c r="E37" i="15"/>
  <c r="E37" i="17" s="1"/>
  <c r="E37" i="20" s="1"/>
  <c r="D21" i="25"/>
  <c r="B22" i="29"/>
  <c r="L23" i="26"/>
  <c r="B34" i="25"/>
  <c r="O7" i="22"/>
  <c r="C27" i="27" s="1"/>
  <c r="J28" i="32" s="1"/>
  <c r="B32" i="97" s="1"/>
  <c r="E4" i="15"/>
  <c r="D45" i="22"/>
  <c r="D32" i="22" s="1"/>
  <c r="D19" i="22" s="1"/>
  <c r="J20" i="26"/>
  <c r="J19" i="29" s="1"/>
  <c r="AG25" i="97"/>
  <c r="Z39" i="97"/>
  <c r="C34" i="26"/>
  <c r="C33" i="29" s="1"/>
  <c r="Q38" i="15"/>
  <c r="Q38" i="18" s="1"/>
  <c r="Q38" i="20" s="1"/>
  <c r="E16" i="27" s="1"/>
  <c r="L17" i="32" s="1"/>
  <c r="D21" i="97" s="1"/>
  <c r="D4" i="14"/>
  <c r="D37" i="14"/>
  <c r="AH24" i="97"/>
  <c r="K19" i="26"/>
  <c r="G32" i="25"/>
  <c r="T5" i="22"/>
  <c r="H25" i="27" s="1"/>
  <c r="O26" i="32" s="1"/>
  <c r="G30" i="97" s="1"/>
  <c r="S5" i="20" l="1"/>
  <c r="T37" i="20"/>
  <c r="H15" i="27" s="1"/>
  <c r="O16" i="32" s="1"/>
  <c r="G20" i="97" s="1"/>
  <c r="O39" i="18"/>
  <c r="O39" i="20" s="1"/>
  <c r="C17" i="27" s="1"/>
  <c r="J18" i="32" s="1"/>
  <c r="B22" i="97" s="1"/>
  <c r="F3" i="26"/>
  <c r="F2" i="29" s="1"/>
  <c r="K35" i="20"/>
  <c r="I36" i="18"/>
  <c r="F37" i="20"/>
  <c r="E37" i="18"/>
  <c r="E44" i="22" s="1"/>
  <c r="E31" i="22" s="1"/>
  <c r="E18" i="22" s="1"/>
  <c r="J36" i="18"/>
  <c r="J43" i="22" s="1"/>
  <c r="J30" i="22" s="1"/>
  <c r="J17" i="22" s="1"/>
  <c r="C38" i="18"/>
  <c r="E3" i="25"/>
  <c r="R5" i="20"/>
  <c r="H4" i="20"/>
  <c r="H4" i="18"/>
  <c r="U4" i="18" s="1"/>
  <c r="B6" i="18"/>
  <c r="O6" i="18" s="1"/>
  <c r="B6" i="20"/>
  <c r="B4" i="25" s="1"/>
  <c r="Y9" i="97" s="1"/>
  <c r="S4" i="15"/>
  <c r="F4" i="17"/>
  <c r="V4" i="20"/>
  <c r="V3" i="15"/>
  <c r="I3" i="17"/>
  <c r="X2" i="15"/>
  <c r="K2" i="17"/>
  <c r="W3" i="15"/>
  <c r="J3" i="17"/>
  <c r="P6" i="20"/>
  <c r="C4" i="25"/>
  <c r="D5" i="18"/>
  <c r="Q5" i="18" s="1"/>
  <c r="D5" i="20"/>
  <c r="D3" i="25" s="1"/>
  <c r="AA8" i="97" s="1"/>
  <c r="AA9" i="97"/>
  <c r="D4" i="26"/>
  <c r="D3" i="29" s="1"/>
  <c r="P5" i="15"/>
  <c r="C5" i="17"/>
  <c r="R4" i="15"/>
  <c r="E4" i="17"/>
  <c r="G4" i="20"/>
  <c r="G4" i="18"/>
  <c r="T4" i="18" s="1"/>
  <c r="W4" i="20"/>
  <c r="X3" i="20"/>
  <c r="P6" i="22"/>
  <c r="D26" i="27" s="1"/>
  <c r="K27" i="32" s="1"/>
  <c r="C31" i="97" s="1"/>
  <c r="G56" i="22"/>
  <c r="G5" i="22"/>
  <c r="D57" i="22"/>
  <c r="D6" i="22"/>
  <c r="H56" i="22"/>
  <c r="H5" i="22"/>
  <c r="B58" i="22"/>
  <c r="B7" i="22"/>
  <c r="C21" i="25"/>
  <c r="AE37" i="97"/>
  <c r="H32" i="26"/>
  <c r="H31" i="29" s="1"/>
  <c r="V36" i="15"/>
  <c r="I2" i="14"/>
  <c r="I35" i="14"/>
  <c r="F20" i="25"/>
  <c r="D4" i="15"/>
  <c r="C45" i="22"/>
  <c r="C32" i="22" s="1"/>
  <c r="C19" i="22" s="1"/>
  <c r="H36" i="15"/>
  <c r="H36" i="17" s="1"/>
  <c r="H36" i="20" s="1"/>
  <c r="I43" i="22"/>
  <c r="I30" i="22" s="1"/>
  <c r="I17" i="22" s="1"/>
  <c r="F44" i="22"/>
  <c r="F31" i="22" s="1"/>
  <c r="F18" i="22" s="1"/>
  <c r="J31" i="25"/>
  <c r="W4" i="22"/>
  <c r="K24" i="27" s="1"/>
  <c r="R25" i="32" s="1"/>
  <c r="J29" i="97" s="1"/>
  <c r="P38" i="15"/>
  <c r="C4" i="14"/>
  <c r="C37" i="14"/>
  <c r="H3" i="15"/>
  <c r="S37" i="15"/>
  <c r="S37" i="18" s="1"/>
  <c r="S37" i="20" s="1"/>
  <c r="G15" i="27" s="1"/>
  <c r="N16" i="32" s="1"/>
  <c r="F20" i="97" s="1"/>
  <c r="F3" i="14"/>
  <c r="F36" i="14"/>
  <c r="G36" i="15"/>
  <c r="G36" i="17" s="1"/>
  <c r="G36" i="20" s="1"/>
  <c r="D21" i="26"/>
  <c r="D20" i="29" s="1"/>
  <c r="AA26" i="97"/>
  <c r="B38" i="15"/>
  <c r="B38" i="17" s="1"/>
  <c r="B38" i="18" s="1"/>
  <c r="B22" i="26"/>
  <c r="Y27" i="97"/>
  <c r="G3" i="15"/>
  <c r="K30" i="25"/>
  <c r="X3" i="22"/>
  <c r="L23" i="27" s="1"/>
  <c r="S24" i="32" s="1"/>
  <c r="K28" i="97" s="1"/>
  <c r="AD37" i="97"/>
  <c r="G32" i="26"/>
  <c r="G31" i="29" s="1"/>
  <c r="E20" i="25"/>
  <c r="B5" i="15"/>
  <c r="X35" i="15"/>
  <c r="X35" i="18" s="1"/>
  <c r="X35" i="20" s="1"/>
  <c r="K34" i="14"/>
  <c r="J19" i="25"/>
  <c r="E32" i="25"/>
  <c r="R5" i="22"/>
  <c r="F25" i="27" s="1"/>
  <c r="M26" i="32" s="1"/>
  <c r="E30" i="97" s="1"/>
  <c r="K18" i="29"/>
  <c r="R37" i="15"/>
  <c r="E3" i="14"/>
  <c r="E36" i="14"/>
  <c r="H20" i="26"/>
  <c r="H19" i="29" s="1"/>
  <c r="AE25" i="97"/>
  <c r="K54" i="22"/>
  <c r="D37" i="15"/>
  <c r="D37" i="17" s="1"/>
  <c r="D37" i="18" s="1"/>
  <c r="Y39" i="97"/>
  <c r="B34" i="26"/>
  <c r="W36" i="15"/>
  <c r="J2" i="14"/>
  <c r="J35" i="14"/>
  <c r="G20" i="26"/>
  <c r="G19" i="29" s="1"/>
  <c r="AD25" i="97"/>
  <c r="AC37" i="97"/>
  <c r="F32" i="26"/>
  <c r="F31" i="29" s="1"/>
  <c r="I19" i="25"/>
  <c r="Z38" i="97"/>
  <c r="C33" i="26"/>
  <c r="C32" i="29" s="1"/>
  <c r="I31" i="25"/>
  <c r="V4" i="22"/>
  <c r="J24" i="27" s="1"/>
  <c r="Q25" i="32" s="1"/>
  <c r="I29" i="97" s="1"/>
  <c r="V36" i="18" l="1"/>
  <c r="V36" i="20" s="1"/>
  <c r="J14" i="27" s="1"/>
  <c r="Q15" i="32" s="1"/>
  <c r="I19" i="97" s="1"/>
  <c r="P38" i="18"/>
  <c r="P38" i="20" s="1"/>
  <c r="D16" i="27" s="1"/>
  <c r="K17" i="32" s="1"/>
  <c r="C21" i="97" s="1"/>
  <c r="R37" i="18"/>
  <c r="R37" i="20" s="1"/>
  <c r="F15" i="27" s="1"/>
  <c r="M16" i="32" s="1"/>
  <c r="E20" i="97" s="1"/>
  <c r="B4" i="26"/>
  <c r="B3" i="29" s="1"/>
  <c r="D3" i="26"/>
  <c r="D2" i="29" s="1"/>
  <c r="Q5" i="20"/>
  <c r="W36" i="18"/>
  <c r="W36" i="20" s="1"/>
  <c r="K14" i="27" s="1"/>
  <c r="R15" i="32" s="1"/>
  <c r="J19" i="97" s="1"/>
  <c r="B38" i="20"/>
  <c r="B21" i="25" s="1"/>
  <c r="D37" i="20"/>
  <c r="D20" i="25" s="1"/>
  <c r="O5" i="15"/>
  <c r="B5" i="17"/>
  <c r="G36" i="18"/>
  <c r="H36" i="18"/>
  <c r="H43" i="22" s="1"/>
  <c r="H30" i="22" s="1"/>
  <c r="H17" i="22" s="1"/>
  <c r="F4" i="18"/>
  <c r="S4" i="18" s="1"/>
  <c r="F4" i="20"/>
  <c r="U4" i="20"/>
  <c r="U3" i="15"/>
  <c r="H3" i="17"/>
  <c r="T3" i="15"/>
  <c r="G3" i="17"/>
  <c r="Q4" i="15"/>
  <c r="D4" i="17"/>
  <c r="T4" i="20"/>
  <c r="C5" i="18"/>
  <c r="P5" i="18" s="1"/>
  <c r="C5" i="20"/>
  <c r="C3" i="25" s="1"/>
  <c r="Z8" i="97" s="1"/>
  <c r="J3" i="20"/>
  <c r="J3" i="18"/>
  <c r="W3" i="18" s="1"/>
  <c r="I3" i="18"/>
  <c r="V3" i="18" s="1"/>
  <c r="I3" i="20"/>
  <c r="E4" i="20"/>
  <c r="E4" i="18"/>
  <c r="R4" i="18" s="1"/>
  <c r="Z9" i="97"/>
  <c r="C4" i="26"/>
  <c r="C3" i="29" s="1"/>
  <c r="K2" i="20"/>
  <c r="K2" i="18"/>
  <c r="X2" i="18" s="1"/>
  <c r="O6" i="20"/>
  <c r="E3" i="26"/>
  <c r="E2" i="29" s="1"/>
  <c r="AB8" i="97"/>
  <c r="F56" i="22"/>
  <c r="F31" i="25" s="1"/>
  <c r="F5" i="22"/>
  <c r="J55" i="22"/>
  <c r="J4" i="22"/>
  <c r="C57" i="22"/>
  <c r="C6" i="22"/>
  <c r="E56" i="22"/>
  <c r="E5" i="22"/>
  <c r="I55" i="22"/>
  <c r="I4" i="22"/>
  <c r="E36" i="15"/>
  <c r="E36" i="17" s="1"/>
  <c r="E36" i="20" s="1"/>
  <c r="K29" i="25"/>
  <c r="H19" i="25"/>
  <c r="B33" i="29"/>
  <c r="L34" i="26"/>
  <c r="G19" i="25"/>
  <c r="I35" i="15"/>
  <c r="I35" i="17" s="1"/>
  <c r="I35" i="18" s="1"/>
  <c r="B33" i="25"/>
  <c r="O6" i="22"/>
  <c r="C26" i="27" s="1"/>
  <c r="J27" i="32" s="1"/>
  <c r="B31" i="97" s="1"/>
  <c r="K34" i="15"/>
  <c r="K30" i="26"/>
  <c r="K29" i="29" s="1"/>
  <c r="AH35" i="97"/>
  <c r="U36" i="15"/>
  <c r="H2" i="14"/>
  <c r="H35" i="14"/>
  <c r="I2" i="15"/>
  <c r="B45" i="22"/>
  <c r="B32" i="22" s="1"/>
  <c r="B19" i="22" s="1"/>
  <c r="T36" i="15"/>
  <c r="G2" i="14"/>
  <c r="G35" i="14"/>
  <c r="AG36" i="97"/>
  <c r="J31" i="26"/>
  <c r="J30" i="29" s="1"/>
  <c r="H31" i="25"/>
  <c r="U4" i="22"/>
  <c r="I24" i="27" s="1"/>
  <c r="P25" i="32" s="1"/>
  <c r="H29" i="97" s="1"/>
  <c r="I19" i="26"/>
  <c r="AF24" i="97"/>
  <c r="J19" i="26"/>
  <c r="AG24" i="97"/>
  <c r="O38" i="15"/>
  <c r="O38" i="18" s="1"/>
  <c r="B4" i="14"/>
  <c r="B37" i="14"/>
  <c r="F36" i="15"/>
  <c r="F36" i="17" s="1"/>
  <c r="F36" i="18" s="1"/>
  <c r="Q37" i="15"/>
  <c r="Q37" i="18" s="1"/>
  <c r="D3" i="14"/>
  <c r="D36" i="14"/>
  <c r="AB25" i="97"/>
  <c r="E20" i="26"/>
  <c r="E19" i="29" s="1"/>
  <c r="F3" i="15"/>
  <c r="C37" i="15"/>
  <c r="C37" i="17" s="1"/>
  <c r="C37" i="18" s="1"/>
  <c r="D32" i="25"/>
  <c r="Q5" i="22"/>
  <c r="E25" i="27" s="1"/>
  <c r="L26" i="32" s="1"/>
  <c r="D30" i="97" s="1"/>
  <c r="E3" i="15"/>
  <c r="D44" i="22"/>
  <c r="D31" i="22" s="1"/>
  <c r="D18" i="22" s="1"/>
  <c r="AF36" i="97"/>
  <c r="I31" i="26"/>
  <c r="I30" i="29" s="1"/>
  <c r="J35" i="15"/>
  <c r="J35" i="17" s="1"/>
  <c r="J35" i="18" s="1"/>
  <c r="C4" i="15"/>
  <c r="F20" i="26"/>
  <c r="F19" i="29" s="1"/>
  <c r="AC25" i="97"/>
  <c r="J2" i="15"/>
  <c r="AB37" i="97"/>
  <c r="E32" i="26"/>
  <c r="E31" i="29" s="1"/>
  <c r="B21" i="29"/>
  <c r="L22" i="26"/>
  <c r="Z26" i="97"/>
  <c r="C21" i="26"/>
  <c r="C20" i="29" s="1"/>
  <c r="G31" i="25"/>
  <c r="T4" i="22"/>
  <c r="H24" i="27" s="1"/>
  <c r="O25" i="32" s="1"/>
  <c r="G29" i="97" s="1"/>
  <c r="C3" i="26" l="1"/>
  <c r="O38" i="20"/>
  <c r="C16" i="27" s="1"/>
  <c r="J17" i="32" s="1"/>
  <c r="B21" i="97" s="1"/>
  <c r="L4" i="26"/>
  <c r="X2" i="20"/>
  <c r="J35" i="20"/>
  <c r="J54" i="22" s="1"/>
  <c r="V3" i="20"/>
  <c r="P5" i="20"/>
  <c r="T36" i="18"/>
  <c r="T36" i="20" s="1"/>
  <c r="H14" i="27" s="1"/>
  <c r="O15" i="32" s="1"/>
  <c r="G19" i="97" s="1"/>
  <c r="F36" i="20"/>
  <c r="F19" i="25" s="1"/>
  <c r="Q37" i="20"/>
  <c r="E15" i="27" s="1"/>
  <c r="L16" i="32" s="1"/>
  <c r="D20" i="97" s="1"/>
  <c r="U36" i="18"/>
  <c r="U36" i="20" s="1"/>
  <c r="I14" i="27" s="1"/>
  <c r="P15" i="32" s="1"/>
  <c r="H19" i="97" s="1"/>
  <c r="S3" i="15"/>
  <c r="F3" i="17"/>
  <c r="G43" i="22"/>
  <c r="G30" i="22" s="1"/>
  <c r="G17" i="22" s="1"/>
  <c r="G4" i="22" s="1"/>
  <c r="I35" i="20"/>
  <c r="I54" i="22" s="1"/>
  <c r="E36" i="18"/>
  <c r="E43" i="22" s="1"/>
  <c r="E30" i="22" s="1"/>
  <c r="E17" i="22" s="1"/>
  <c r="R4" i="20"/>
  <c r="W3" i="20"/>
  <c r="B5" i="18"/>
  <c r="O5" i="18" s="1"/>
  <c r="B5" i="20"/>
  <c r="B3" i="25" s="1"/>
  <c r="N9" i="25" s="1"/>
  <c r="G3" i="20"/>
  <c r="G3" i="18"/>
  <c r="T3" i="18" s="1"/>
  <c r="W2" i="15"/>
  <c r="J2" i="17"/>
  <c r="C37" i="20"/>
  <c r="D4" i="18"/>
  <c r="Q4" i="18" s="1"/>
  <c r="D4" i="20"/>
  <c r="H3" i="18"/>
  <c r="U3" i="18" s="1"/>
  <c r="H3" i="20"/>
  <c r="S4" i="20"/>
  <c r="X34" i="15"/>
  <c r="K34" i="17"/>
  <c r="P4" i="15"/>
  <c r="C4" i="17"/>
  <c r="R3" i="15"/>
  <c r="E3" i="17"/>
  <c r="V2" i="15"/>
  <c r="I2" i="17"/>
  <c r="S4" i="22"/>
  <c r="G24" i="27" s="1"/>
  <c r="N25" i="32" s="1"/>
  <c r="F29" i="97" s="1"/>
  <c r="D56" i="22"/>
  <c r="D5" i="22"/>
  <c r="H55" i="22"/>
  <c r="H4" i="22"/>
  <c r="B57" i="22"/>
  <c r="B6" i="22"/>
  <c r="G55" i="22"/>
  <c r="B4" i="15"/>
  <c r="H35" i="15"/>
  <c r="H35" i="17" s="1"/>
  <c r="H35" i="18" s="1"/>
  <c r="Y38" i="97"/>
  <c r="B33" i="26"/>
  <c r="H19" i="26"/>
  <c r="AE24" i="97"/>
  <c r="D20" i="26"/>
  <c r="D19" i="29" s="1"/>
  <c r="AA25" i="97"/>
  <c r="B37" i="15"/>
  <c r="B37" i="17" s="1"/>
  <c r="B37" i="18" s="1"/>
  <c r="I18" i="29"/>
  <c r="AE36" i="97"/>
  <c r="H31" i="26"/>
  <c r="H30" i="29" s="1"/>
  <c r="H2" i="15"/>
  <c r="B21" i="26"/>
  <c r="Y26" i="97"/>
  <c r="C2" i="29"/>
  <c r="I30" i="25"/>
  <c r="V3" i="22"/>
  <c r="J23" i="27" s="1"/>
  <c r="Q24" i="32" s="1"/>
  <c r="I28" i="97" s="1"/>
  <c r="V35" i="15"/>
  <c r="V35" i="18" s="1"/>
  <c r="I34" i="14"/>
  <c r="F31" i="26"/>
  <c r="F30" i="29" s="1"/>
  <c r="AC36" i="97"/>
  <c r="E31" i="25"/>
  <c r="R4" i="22"/>
  <c r="F24" i="27" s="1"/>
  <c r="M25" i="32" s="1"/>
  <c r="E29" i="97" s="1"/>
  <c r="AA37" i="97"/>
  <c r="D32" i="26"/>
  <c r="D31" i="29" s="1"/>
  <c r="AD24" i="97"/>
  <c r="G19" i="26"/>
  <c r="AH34" i="97"/>
  <c r="K29" i="26"/>
  <c r="W35" i="15"/>
  <c r="W35" i="18" s="1"/>
  <c r="J34" i="14"/>
  <c r="C20" i="25"/>
  <c r="D36" i="15"/>
  <c r="D36" i="17" s="1"/>
  <c r="D36" i="18" s="1"/>
  <c r="F43" i="22"/>
  <c r="F30" i="22" s="1"/>
  <c r="F17" i="22" s="1"/>
  <c r="J18" i="29"/>
  <c r="G35" i="15"/>
  <c r="G35" i="17" s="1"/>
  <c r="G35" i="20" s="1"/>
  <c r="E19" i="25"/>
  <c r="C32" i="25"/>
  <c r="P5" i="22"/>
  <c r="D25" i="27" s="1"/>
  <c r="K26" i="32" s="1"/>
  <c r="C30" i="97" s="1"/>
  <c r="AD36" i="97"/>
  <c r="G31" i="26"/>
  <c r="G30" i="29" s="1"/>
  <c r="C44" i="22"/>
  <c r="C31" i="22" s="1"/>
  <c r="C18" i="22" s="1"/>
  <c r="C56" i="22" s="1"/>
  <c r="D3" i="15"/>
  <c r="S36" i="15"/>
  <c r="S36" i="18" s="1"/>
  <c r="F2" i="14"/>
  <c r="F35" i="14"/>
  <c r="G2" i="15"/>
  <c r="R36" i="15"/>
  <c r="E2" i="14"/>
  <c r="E35" i="14"/>
  <c r="P37" i="15"/>
  <c r="P37" i="18" s="1"/>
  <c r="C3" i="14"/>
  <c r="C36" i="14"/>
  <c r="J30" i="25"/>
  <c r="W3" i="22"/>
  <c r="K23" i="27" s="1"/>
  <c r="R24" i="32" s="1"/>
  <c r="J28" i="97" s="1"/>
  <c r="B3" i="26" l="1"/>
  <c r="S36" i="20"/>
  <c r="G14" i="27" s="1"/>
  <c r="N15" i="32" s="1"/>
  <c r="F19" i="97" s="1"/>
  <c r="W35" i="20"/>
  <c r="P37" i="20"/>
  <c r="D15" i="27" s="1"/>
  <c r="K16" i="32" s="1"/>
  <c r="C20" i="97" s="1"/>
  <c r="B37" i="20"/>
  <c r="B20" i="25" s="1"/>
  <c r="R36" i="18"/>
  <c r="R36" i="20" s="1"/>
  <c r="F14" i="27" s="1"/>
  <c r="M15" i="32" s="1"/>
  <c r="E19" i="97" s="1"/>
  <c r="Y8" i="97"/>
  <c r="O5" i="20"/>
  <c r="O9" i="25"/>
  <c r="P9" i="25" s="1"/>
  <c r="G35" i="18"/>
  <c r="D36" i="20"/>
  <c r="D19" i="25" s="1"/>
  <c r="H35" i="20"/>
  <c r="H54" i="22" s="1"/>
  <c r="U3" i="20"/>
  <c r="U2" i="15"/>
  <c r="H2" i="17"/>
  <c r="O4" i="15"/>
  <c r="B4" i="17"/>
  <c r="I2" i="20"/>
  <c r="I2" i="18"/>
  <c r="V2" i="18" s="1"/>
  <c r="C4" i="20"/>
  <c r="C4" i="18"/>
  <c r="P4" i="18" s="1"/>
  <c r="Q4" i="20"/>
  <c r="T3" i="20"/>
  <c r="Q3" i="15"/>
  <c r="D3" i="17"/>
  <c r="F3" i="18"/>
  <c r="S3" i="18" s="1"/>
  <c r="F3" i="20"/>
  <c r="T2" i="15"/>
  <c r="G2" i="17"/>
  <c r="V35" i="20"/>
  <c r="E3" i="20"/>
  <c r="E3" i="18"/>
  <c r="R3" i="18" s="1"/>
  <c r="K34" i="20"/>
  <c r="K34" i="18"/>
  <c r="X34" i="18" s="1"/>
  <c r="J2" i="20"/>
  <c r="J2" i="18"/>
  <c r="W2" i="18" s="1"/>
  <c r="E55" i="22"/>
  <c r="E4" i="22"/>
  <c r="F55" i="22"/>
  <c r="F4" i="22"/>
  <c r="C36" i="15"/>
  <c r="C36" i="17" s="1"/>
  <c r="C36" i="18" s="1"/>
  <c r="G54" i="22"/>
  <c r="B20" i="29"/>
  <c r="L21" i="26"/>
  <c r="B32" i="29"/>
  <c r="L33" i="26"/>
  <c r="Q36" i="15"/>
  <c r="Q36" i="18" s="1"/>
  <c r="D2" i="14"/>
  <c r="D35" i="14"/>
  <c r="G18" i="29"/>
  <c r="G30" i="25"/>
  <c r="T3" i="22"/>
  <c r="H23" i="27" s="1"/>
  <c r="O24" i="32" s="1"/>
  <c r="G28" i="97" s="1"/>
  <c r="C3" i="15"/>
  <c r="J30" i="26"/>
  <c r="J29" i="29" s="1"/>
  <c r="AG35" i="97"/>
  <c r="F35" i="15"/>
  <c r="F35" i="17" s="1"/>
  <c r="F35" i="18" s="1"/>
  <c r="Z37" i="97"/>
  <c r="C32" i="26"/>
  <c r="C31" i="29" s="1"/>
  <c r="D43" i="22"/>
  <c r="D30" i="22" s="1"/>
  <c r="D17" i="22" s="1"/>
  <c r="AB36" i="97"/>
  <c r="E31" i="26"/>
  <c r="E30" i="29" s="1"/>
  <c r="B44" i="22"/>
  <c r="B31" i="22" s="1"/>
  <c r="B18" i="22" s="1"/>
  <c r="U35" i="15"/>
  <c r="U35" i="18" s="1"/>
  <c r="H34" i="14"/>
  <c r="C31" i="25"/>
  <c r="P4" i="22"/>
  <c r="D24" i="27" s="1"/>
  <c r="K25" i="32" s="1"/>
  <c r="C29" i="97" s="1"/>
  <c r="E35" i="15"/>
  <c r="E35" i="17" s="1"/>
  <c r="E35" i="20" s="1"/>
  <c r="F2" i="15"/>
  <c r="C5" i="22"/>
  <c r="I29" i="25"/>
  <c r="I30" i="26"/>
  <c r="I29" i="29" s="1"/>
  <c r="AF35" i="97"/>
  <c r="O37" i="15"/>
  <c r="O37" i="18" s="1"/>
  <c r="B3" i="14"/>
  <c r="B36" i="14"/>
  <c r="B32" i="25"/>
  <c r="O5" i="22"/>
  <c r="C25" i="27" s="1"/>
  <c r="J26" i="32" s="1"/>
  <c r="B30" i="97" s="1"/>
  <c r="E19" i="26"/>
  <c r="AB24" i="97"/>
  <c r="C20" i="26"/>
  <c r="C19" i="29" s="1"/>
  <c r="Z25" i="97"/>
  <c r="F19" i="26"/>
  <c r="AC24" i="97"/>
  <c r="E2" i="15"/>
  <c r="J29" i="25"/>
  <c r="D43" i="26"/>
  <c r="B2" i="29"/>
  <c r="L3" i="26"/>
  <c r="J34" i="15"/>
  <c r="I34" i="15"/>
  <c r="H30" i="25"/>
  <c r="U3" i="22"/>
  <c r="I23" i="27" s="1"/>
  <c r="P24" i="32" s="1"/>
  <c r="H28" i="97" s="1"/>
  <c r="T35" i="15"/>
  <c r="G34" i="14"/>
  <c r="K28" i="29"/>
  <c r="K39" i="26"/>
  <c r="H18" i="29"/>
  <c r="D31" i="25"/>
  <c r="Q4" i="22"/>
  <c r="E24" i="27" s="1"/>
  <c r="L25" i="32" s="1"/>
  <c r="D29" i="97" s="1"/>
  <c r="T35" i="18" l="1"/>
  <c r="T35" i="20" s="1"/>
  <c r="U35" i="20"/>
  <c r="O37" i="20"/>
  <c r="C15" i="27" s="1"/>
  <c r="J16" i="32" s="1"/>
  <c r="B20" i="97" s="1"/>
  <c r="P4" i="20"/>
  <c r="F35" i="20"/>
  <c r="F54" i="22" s="1"/>
  <c r="Q36" i="20"/>
  <c r="E14" i="27" s="1"/>
  <c r="L15" i="32" s="1"/>
  <c r="D19" i="97" s="1"/>
  <c r="E35" i="18"/>
  <c r="R3" i="20"/>
  <c r="V34" i="15"/>
  <c r="I34" i="17"/>
  <c r="C36" i="20"/>
  <c r="C19" i="25" s="1"/>
  <c r="G2" i="18"/>
  <c r="T2" i="18" s="1"/>
  <c r="G2" i="20"/>
  <c r="D3" i="20"/>
  <c r="D3" i="18"/>
  <c r="Q3" i="18" s="1"/>
  <c r="B4" i="20"/>
  <c r="B4" i="18"/>
  <c r="O4" i="18" s="1"/>
  <c r="R2" i="15"/>
  <c r="E2" i="17"/>
  <c r="S2" i="15"/>
  <c r="F2" i="17"/>
  <c r="W2" i="20"/>
  <c r="H2" i="20"/>
  <c r="H2" i="18"/>
  <c r="U2" i="18" s="1"/>
  <c r="W34" i="15"/>
  <c r="J34" i="17"/>
  <c r="P3" i="15"/>
  <c r="C3" i="17"/>
  <c r="X34" i="20"/>
  <c r="X2" i="22" s="1"/>
  <c r="L22" i="27" s="1"/>
  <c r="S23" i="32" s="1"/>
  <c r="K27" i="97" s="1"/>
  <c r="S3" i="20"/>
  <c r="V2" i="20"/>
  <c r="B56" i="22"/>
  <c r="B5" i="22"/>
  <c r="D55" i="22"/>
  <c r="D4" i="22"/>
  <c r="B20" i="26"/>
  <c r="Y25" i="97"/>
  <c r="K41" i="29"/>
  <c r="K39" i="29"/>
  <c r="K40" i="29" s="1"/>
  <c r="E18" i="29"/>
  <c r="G34" i="15"/>
  <c r="H29" i="25"/>
  <c r="Y37" i="97"/>
  <c r="B32" i="26"/>
  <c r="R35" i="15"/>
  <c r="E34" i="14"/>
  <c r="E54" i="22"/>
  <c r="P36" i="15"/>
  <c r="P36" i="18" s="1"/>
  <c r="C2" i="14"/>
  <c r="C35" i="14"/>
  <c r="D31" i="26"/>
  <c r="D30" i="29" s="1"/>
  <c r="AA36" i="97"/>
  <c r="F18" i="29"/>
  <c r="B36" i="15"/>
  <c r="B36" i="17" s="1"/>
  <c r="B36" i="18" s="1"/>
  <c r="I29" i="26"/>
  <c r="AF34" i="97"/>
  <c r="C43" i="22"/>
  <c r="C30" i="22" s="1"/>
  <c r="C17" i="22" s="1"/>
  <c r="J29" i="26"/>
  <c r="AG34" i="97"/>
  <c r="Z36" i="97"/>
  <c r="C31" i="26"/>
  <c r="C30" i="29" s="1"/>
  <c r="H34" i="15"/>
  <c r="S35" i="15"/>
  <c r="S35" i="18" s="1"/>
  <c r="F34" i="14"/>
  <c r="D2" i="15"/>
  <c r="G29" i="25"/>
  <c r="F30" i="25"/>
  <c r="S3" i="22"/>
  <c r="G23" i="27" s="1"/>
  <c r="N24" i="32" s="1"/>
  <c r="F28" i="97" s="1"/>
  <c r="B3" i="15"/>
  <c r="D35" i="15"/>
  <c r="D35" i="17" s="1"/>
  <c r="D35" i="20" s="1"/>
  <c r="D19" i="26"/>
  <c r="AA24" i="97"/>
  <c r="H30" i="26"/>
  <c r="H29" i="29" s="1"/>
  <c r="AE35" i="97"/>
  <c r="G30" i="26"/>
  <c r="G29" i="29" s="1"/>
  <c r="AD35" i="97"/>
  <c r="E30" i="25"/>
  <c r="R3" i="22"/>
  <c r="F23" i="27" s="1"/>
  <c r="M24" i="32" s="1"/>
  <c r="E28" i="97" s="1"/>
  <c r="S35" i="20" l="1"/>
  <c r="R35" i="18"/>
  <c r="R35" i="20" s="1"/>
  <c r="P36" i="20"/>
  <c r="D14" i="27" s="1"/>
  <c r="K15" i="32" s="1"/>
  <c r="C19" i="97" s="1"/>
  <c r="D35" i="18"/>
  <c r="U2" i="20"/>
  <c r="T2" i="20"/>
  <c r="B36" i="20"/>
  <c r="B19" i="25" s="1"/>
  <c r="T34" i="15"/>
  <c r="G34" i="17"/>
  <c r="C3" i="18"/>
  <c r="P3" i="18" s="1"/>
  <c r="C3" i="20"/>
  <c r="Q2" i="15"/>
  <c r="D2" i="17"/>
  <c r="E2" i="20"/>
  <c r="E2" i="18"/>
  <c r="R2" i="18" s="1"/>
  <c r="Q3" i="20"/>
  <c r="U34" i="15"/>
  <c r="H34" i="17"/>
  <c r="J34" i="18"/>
  <c r="W34" i="18" s="1"/>
  <c r="J34" i="20"/>
  <c r="I34" i="20"/>
  <c r="I34" i="18"/>
  <c r="V34" i="18" s="1"/>
  <c r="O3" i="15"/>
  <c r="B3" i="17"/>
  <c r="F2" i="18"/>
  <c r="S2" i="18" s="1"/>
  <c r="F2" i="20"/>
  <c r="O4" i="20"/>
  <c r="C55" i="22"/>
  <c r="C4" i="22"/>
  <c r="AB35" i="97"/>
  <c r="E30" i="26"/>
  <c r="E29" i="29" s="1"/>
  <c r="J28" i="29"/>
  <c r="J39" i="26"/>
  <c r="C19" i="26"/>
  <c r="Z24" i="97"/>
  <c r="AE34" i="97"/>
  <c r="H29" i="26"/>
  <c r="F29" i="25"/>
  <c r="E34" i="15"/>
  <c r="K42" i="29"/>
  <c r="K44" i="29"/>
  <c r="K43" i="29"/>
  <c r="D18" i="29"/>
  <c r="F30" i="26"/>
  <c r="F29" i="29" s="1"/>
  <c r="AC35" i="97"/>
  <c r="B43" i="22"/>
  <c r="B30" i="22" s="1"/>
  <c r="B17" i="22" s="1"/>
  <c r="C35" i="15"/>
  <c r="C35" i="17" s="1"/>
  <c r="C35" i="20" s="1"/>
  <c r="O36" i="15"/>
  <c r="O36" i="18" s="1"/>
  <c r="B2" i="14"/>
  <c r="B35" i="14"/>
  <c r="C2" i="15"/>
  <c r="B31" i="29"/>
  <c r="L32" i="26"/>
  <c r="B19" i="29"/>
  <c r="L20" i="26"/>
  <c r="F34" i="15"/>
  <c r="I28" i="29"/>
  <c r="I39" i="26"/>
  <c r="Q35" i="15"/>
  <c r="D34" i="14"/>
  <c r="AD34" i="97"/>
  <c r="G29" i="26"/>
  <c r="D30" i="25"/>
  <c r="Q3" i="22"/>
  <c r="E23" i="27" s="1"/>
  <c r="L24" i="32" s="1"/>
  <c r="D28" i="97" s="1"/>
  <c r="D54" i="22"/>
  <c r="E29" i="25"/>
  <c r="B31" i="25"/>
  <c r="O4" i="22"/>
  <c r="C24" i="27" s="1"/>
  <c r="J25" i="32" s="1"/>
  <c r="B29" i="97" s="1"/>
  <c r="Q35" i="18" l="1"/>
  <c r="Q35" i="20" s="1"/>
  <c r="V34" i="20"/>
  <c r="V2" i="22" s="1"/>
  <c r="J22" i="27" s="1"/>
  <c r="Q23" i="32" s="1"/>
  <c r="I27" i="97" s="1"/>
  <c r="O36" i="20"/>
  <c r="C14" i="27" s="1"/>
  <c r="J15" i="32" s="1"/>
  <c r="B19" i="97" s="1"/>
  <c r="W34" i="20"/>
  <c r="W2" i="22" s="1"/>
  <c r="K22" i="27" s="1"/>
  <c r="R23" i="32" s="1"/>
  <c r="J27" i="97" s="1"/>
  <c r="P3" i="20"/>
  <c r="C35" i="18"/>
  <c r="P2" i="15"/>
  <c r="C2" i="17"/>
  <c r="R34" i="15"/>
  <c r="E34" i="17"/>
  <c r="S2" i="20"/>
  <c r="D2" i="20"/>
  <c r="D2" i="18"/>
  <c r="Q2" i="18" s="1"/>
  <c r="G34" i="20"/>
  <c r="G34" i="18"/>
  <c r="T34" i="18" s="1"/>
  <c r="B3" i="20"/>
  <c r="B3" i="18"/>
  <c r="O3" i="18" s="1"/>
  <c r="H34" i="18"/>
  <c r="U34" i="18" s="1"/>
  <c r="H34" i="20"/>
  <c r="S34" i="15"/>
  <c r="F34" i="17"/>
  <c r="R2" i="20"/>
  <c r="B55" i="22"/>
  <c r="B4" i="22"/>
  <c r="AA35" i="97"/>
  <c r="D30" i="26"/>
  <c r="D29" i="29" s="1"/>
  <c r="C30" i="25"/>
  <c r="P3" i="22"/>
  <c r="D23" i="27" s="1"/>
  <c r="K24" i="32" s="1"/>
  <c r="C28" i="97" s="1"/>
  <c r="B31" i="26"/>
  <c r="Y36" i="97"/>
  <c r="G28" i="29"/>
  <c r="G39" i="26"/>
  <c r="C54" i="22"/>
  <c r="C18" i="29"/>
  <c r="P35" i="15"/>
  <c r="C34" i="14"/>
  <c r="B35" i="15"/>
  <c r="B35" i="17" s="1"/>
  <c r="B35" i="18" s="1"/>
  <c r="E29" i="26"/>
  <c r="AB34" i="97"/>
  <c r="D34" i="15"/>
  <c r="B2" i="15"/>
  <c r="B19" i="26"/>
  <c r="N10" i="25"/>
  <c r="O10" i="25"/>
  <c r="Y24" i="97"/>
  <c r="J39" i="29"/>
  <c r="J40" i="29" s="1"/>
  <c r="J41" i="29"/>
  <c r="F29" i="26"/>
  <c r="AC34" i="97"/>
  <c r="D29" i="25"/>
  <c r="I39" i="29"/>
  <c r="I40" i="29" s="1"/>
  <c r="I41" i="29"/>
  <c r="H28" i="29"/>
  <c r="H39" i="26"/>
  <c r="P35" i="18" l="1"/>
  <c r="P35" i="20" s="1"/>
  <c r="U34" i="20"/>
  <c r="U2" i="22" s="1"/>
  <c r="I22" i="27" s="1"/>
  <c r="P23" i="32" s="1"/>
  <c r="H27" i="97" s="1"/>
  <c r="B35" i="20"/>
  <c r="B54" i="22" s="1"/>
  <c r="F34" i="18"/>
  <c r="S34" i="18" s="1"/>
  <c r="F34" i="20"/>
  <c r="O3" i="20"/>
  <c r="Q2" i="20"/>
  <c r="O2" i="15"/>
  <c r="B2" i="17"/>
  <c r="E34" i="20"/>
  <c r="E34" i="18"/>
  <c r="R34" i="18" s="1"/>
  <c r="C2" i="18"/>
  <c r="P2" i="18" s="1"/>
  <c r="C2" i="20"/>
  <c r="Q34" i="15"/>
  <c r="D34" i="17"/>
  <c r="T34" i="20"/>
  <c r="T2" i="22" s="1"/>
  <c r="H22" i="27" s="1"/>
  <c r="O23" i="32" s="1"/>
  <c r="G27" i="97" s="1"/>
  <c r="O35" i="15"/>
  <c r="O35" i="18" s="1"/>
  <c r="B34" i="14"/>
  <c r="Z35" i="97"/>
  <c r="C30" i="26"/>
  <c r="C29" i="29" s="1"/>
  <c r="H41" i="29"/>
  <c r="H39" i="29"/>
  <c r="H40" i="29" s="1"/>
  <c r="C34" i="15"/>
  <c r="J44" i="29"/>
  <c r="J43" i="29"/>
  <c r="J42" i="29"/>
  <c r="I42" i="29"/>
  <c r="I43" i="29"/>
  <c r="I44" i="29"/>
  <c r="F28" i="29"/>
  <c r="F39" i="26"/>
  <c r="G41" i="29"/>
  <c r="G39" i="29"/>
  <c r="G40" i="29" s="1"/>
  <c r="P10" i="25"/>
  <c r="D29" i="26"/>
  <c r="AA34" i="97"/>
  <c r="D44" i="26"/>
  <c r="B18" i="29"/>
  <c r="L19" i="26"/>
  <c r="E28" i="29"/>
  <c r="E39" i="26"/>
  <c r="B30" i="29"/>
  <c r="L31" i="26"/>
  <c r="C29" i="25"/>
  <c r="B30" i="25"/>
  <c r="O3" i="22"/>
  <c r="C23" i="27" s="1"/>
  <c r="J24" i="32" s="1"/>
  <c r="B28" i="97" s="1"/>
  <c r="O35" i="20" l="1"/>
  <c r="B2" i="20"/>
  <c r="B2" i="18"/>
  <c r="O2" i="18" s="1"/>
  <c r="S34" i="20"/>
  <c r="S2" i="22" s="1"/>
  <c r="G22" i="27" s="1"/>
  <c r="N23" i="32" s="1"/>
  <c r="F27" i="97" s="1"/>
  <c r="P2" i="20"/>
  <c r="P34" i="15"/>
  <c r="C34" i="17"/>
  <c r="D34" i="20"/>
  <c r="D34" i="18"/>
  <c r="Q34" i="18" s="1"/>
  <c r="R34" i="20"/>
  <c r="R2" i="22" s="1"/>
  <c r="F22" i="27" s="1"/>
  <c r="M23" i="32" s="1"/>
  <c r="E27" i="97" s="1"/>
  <c r="C29" i="26"/>
  <c r="Z34" i="97"/>
  <c r="H44" i="29"/>
  <c r="H43" i="29"/>
  <c r="H42" i="29"/>
  <c r="G42" i="29"/>
  <c r="G43" i="29"/>
  <c r="G44" i="29"/>
  <c r="B29" i="25"/>
  <c r="Y35" i="97"/>
  <c r="B30" i="26"/>
  <c r="E39" i="29"/>
  <c r="E40" i="29" s="1"/>
  <c r="E41" i="29"/>
  <c r="D28" i="29"/>
  <c r="D39" i="26"/>
  <c r="F41" i="29"/>
  <c r="F39" i="29"/>
  <c r="F40" i="29" s="1"/>
  <c r="B34" i="15"/>
  <c r="Q34" i="20" l="1"/>
  <c r="Q2" i="22" s="1"/>
  <c r="E22" i="27" s="1"/>
  <c r="L23" i="32" s="1"/>
  <c r="D27" i="97" s="1"/>
  <c r="O2" i="20"/>
  <c r="C34" i="18"/>
  <c r="P34" i="18" s="1"/>
  <c r="C34" i="20"/>
  <c r="O34" i="15"/>
  <c r="B34" i="17"/>
  <c r="C28" i="29"/>
  <c r="C39" i="26"/>
  <c r="B29" i="29"/>
  <c r="L30" i="26"/>
  <c r="F44" i="29"/>
  <c r="F43" i="29"/>
  <c r="F42" i="29"/>
  <c r="E43" i="29"/>
  <c r="E44" i="29"/>
  <c r="E42" i="29"/>
  <c r="D41" i="29"/>
  <c r="D39" i="29"/>
  <c r="D40" i="29" s="1"/>
  <c r="O11" i="25"/>
  <c r="O12" i="25" s="1"/>
  <c r="N11" i="25"/>
  <c r="B29" i="26"/>
  <c r="Y34" i="97"/>
  <c r="P4" i="25"/>
  <c r="P5" i="25"/>
  <c r="O3" i="25"/>
  <c r="P3" i="25"/>
  <c r="O4" i="25"/>
  <c r="O5" i="25"/>
  <c r="N4" i="25"/>
  <c r="R14" i="29" s="1"/>
  <c r="N3" i="25"/>
  <c r="B34" i="18" l="1"/>
  <c r="O34" i="18" s="1"/>
  <c r="B34" i="20"/>
  <c r="P34" i="20"/>
  <c r="P2" i="22" s="1"/>
  <c r="D22" i="27" s="1"/>
  <c r="K23" i="32" s="1"/>
  <c r="C27" i="97" s="1"/>
  <c r="N5" i="25"/>
  <c r="Q3" i="25" s="1"/>
  <c r="P14" i="29"/>
  <c r="D45" i="26"/>
  <c r="B28" i="29"/>
  <c r="L29" i="26"/>
  <c r="L39" i="26" s="1"/>
  <c r="L44" i="26"/>
  <c r="R13" i="29" s="1"/>
  <c r="L43" i="26"/>
  <c r="B39" i="26"/>
  <c r="C39" i="29"/>
  <c r="C40" i="29" s="1"/>
  <c r="C41" i="29"/>
  <c r="P11" i="25"/>
  <c r="P12" i="25" s="1"/>
  <c r="N12" i="25"/>
  <c r="D42" i="29"/>
  <c r="D44" i="29"/>
  <c r="D43" i="29"/>
  <c r="O34" i="20" l="1"/>
  <c r="O2" i="22" s="1"/>
  <c r="C22" i="27" s="1"/>
  <c r="J23" i="32" s="1"/>
  <c r="B27" i="97" s="1"/>
  <c r="B39" i="29"/>
  <c r="B40" i="29" s="1"/>
  <c r="B41" i="29"/>
  <c r="O5" i="29"/>
  <c r="O4" i="29"/>
  <c r="L45" i="26"/>
  <c r="P13" i="29"/>
  <c r="N13" i="29" s="1"/>
  <c r="J43" i="26"/>
  <c r="H46" i="26"/>
  <c r="Q4" i="25"/>
  <c r="Q5" i="25" s="1"/>
  <c r="C44" i="29"/>
  <c r="C42" i="29"/>
  <c r="C43" i="29"/>
  <c r="P15" i="29" l="1"/>
  <c r="R15" i="29"/>
  <c r="Q4" i="29"/>
  <c r="R4" i="29" s="1"/>
  <c r="P4" i="29"/>
  <c r="O6" i="29"/>
  <c r="O7" i="29"/>
  <c r="Q5" i="29"/>
  <c r="R5" i="29" s="1"/>
  <c r="P5" i="29"/>
  <c r="B43" i="29"/>
  <c r="L43" i="29" s="1"/>
  <c r="B44" i="29"/>
  <c r="B42" i="29"/>
  <c r="C21" i="32"/>
  <c r="B32" i="27"/>
  <c r="B33" i="27"/>
  <c r="H47" i="26"/>
  <c r="F20" i="32" l="1"/>
  <c r="E20" i="32"/>
  <c r="C20" i="32"/>
  <c r="B20" i="32"/>
  <c r="Q6" i="29"/>
  <c r="R6" i="29" s="1"/>
  <c r="P6" i="29"/>
  <c r="K2" i="35"/>
  <c r="E21" i="32"/>
  <c r="L44" i="29"/>
  <c r="C47" i="29"/>
  <c r="C48" i="29" s="1"/>
  <c r="A38" i="97"/>
  <c r="I34" i="32"/>
  <c r="E2" i="35"/>
  <c r="M3" i="97"/>
  <c r="R16" i="29"/>
  <c r="P7" i="29"/>
  <c r="A37" i="97"/>
  <c r="I33" i="32"/>
  <c r="C2" i="35"/>
  <c r="E3" i="97"/>
  <c r="P16" i="29"/>
  <c r="S15" i="29"/>
  <c r="G21" i="32" l="1"/>
  <c r="B36" i="35"/>
  <c r="B21" i="35"/>
  <c r="B5" i="35"/>
  <c r="G2" i="35"/>
  <c r="R3" i="97"/>
  <c r="J36" i="35"/>
  <c r="J21" i="35"/>
  <c r="J5" i="35"/>
  <c r="S16" i="29"/>
  <c r="D5" i="35"/>
  <c r="D36" i="35"/>
  <c r="D21" i="35"/>
  <c r="F5" i="35" l="1"/>
  <c r="S8" i="35" s="1"/>
  <c r="F21" i="35"/>
  <c r="AB3" i="97"/>
  <c r="F36" i="35"/>
  <c r="E40" i="35"/>
  <c r="E39" i="35"/>
  <c r="C9" i="35"/>
  <c r="B8" i="35"/>
  <c r="C17" i="35"/>
  <c r="C11" i="35"/>
  <c r="C16" i="35"/>
  <c r="C10" i="35"/>
  <c r="C14" i="35"/>
  <c r="C13" i="35"/>
  <c r="C15" i="35"/>
  <c r="C12" i="35"/>
  <c r="T8" i="35"/>
  <c r="D8" i="35"/>
  <c r="W8" i="35" s="1"/>
  <c r="D30" i="35"/>
  <c r="D29" i="35"/>
  <c r="D31" i="35"/>
  <c r="D33" i="35"/>
  <c r="D26" i="35"/>
  <c r="D32" i="35"/>
  <c r="D27" i="35"/>
  <c r="D28" i="35"/>
  <c r="D25" i="35"/>
  <c r="D24" i="35"/>
  <c r="E47" i="35"/>
  <c r="E44" i="35"/>
  <c r="E43" i="35"/>
  <c r="E42" i="35"/>
  <c r="E46" i="35"/>
  <c r="E45" i="35"/>
  <c r="E48" i="35"/>
  <c r="E41" i="35"/>
  <c r="U8" i="35" l="1"/>
  <c r="V8" i="35" s="1"/>
  <c r="E28" i="35"/>
  <c r="C28" i="35"/>
  <c r="B13" i="35"/>
  <c r="D13" i="35"/>
  <c r="D39" i="35"/>
  <c r="C39" i="35" s="1"/>
  <c r="F39" i="35"/>
  <c r="C31" i="35"/>
  <c r="E31" i="35"/>
  <c r="B17" i="35"/>
  <c r="D17" i="35"/>
  <c r="F43" i="35"/>
  <c r="D43" i="35"/>
  <c r="C43" i="35" s="1"/>
  <c r="D44" i="35"/>
  <c r="C44" i="35" s="1"/>
  <c r="F44" i="35"/>
  <c r="D14" i="35"/>
  <c r="B14" i="35"/>
  <c r="F47" i="35"/>
  <c r="D47" i="35"/>
  <c r="C47" i="35" s="1"/>
  <c r="E27" i="35"/>
  <c r="C27" i="35"/>
  <c r="D10" i="35"/>
  <c r="B10" i="35"/>
  <c r="R8" i="35"/>
  <c r="N8" i="35"/>
  <c r="D40" i="35"/>
  <c r="C40" i="35" s="1"/>
  <c r="F40" i="35"/>
  <c r="D16" i="35"/>
  <c r="B16" i="35"/>
  <c r="D41" i="35"/>
  <c r="C41" i="35" s="1"/>
  <c r="F41" i="35"/>
  <c r="D46" i="35"/>
  <c r="C46" i="35" s="1"/>
  <c r="F46" i="35"/>
  <c r="C24" i="35"/>
  <c r="E24" i="35"/>
  <c r="C26" i="35"/>
  <c r="E26" i="35"/>
  <c r="E32" i="35"/>
  <c r="C32" i="35"/>
  <c r="D48" i="35"/>
  <c r="C48" i="35" s="1"/>
  <c r="F48" i="35"/>
  <c r="B15" i="35"/>
  <c r="D15" i="35"/>
  <c r="B9" i="35"/>
  <c r="D9" i="35"/>
  <c r="B12" i="35"/>
  <c r="D12" i="35"/>
  <c r="D42" i="35"/>
  <c r="C42" i="35" s="1"/>
  <c r="F42" i="35"/>
  <c r="C29" i="35"/>
  <c r="E29" i="35"/>
  <c r="F45" i="35"/>
  <c r="D45" i="35"/>
  <c r="C45" i="35" s="1"/>
  <c r="C25" i="35"/>
  <c r="E25" i="35"/>
  <c r="C33" i="35"/>
  <c r="E33" i="35"/>
  <c r="C30" i="35"/>
  <c r="E30" i="35"/>
  <c r="B11" i="35"/>
  <c r="D11" i="35"/>
  <c r="E9" i="35" l="1"/>
  <c r="E2" i="80" s="1"/>
  <c r="D4" i="80" s="1"/>
  <c r="T9" i="35"/>
  <c r="I2" i="80" s="1"/>
  <c r="H4" i="80" s="1"/>
  <c r="G43" i="35"/>
  <c r="H43" i="35" s="1"/>
  <c r="I43" i="35" s="1"/>
  <c r="J43" i="35" s="1"/>
  <c r="F29" i="35"/>
  <c r="G29" i="35" s="1"/>
  <c r="H29" i="35" s="1"/>
  <c r="I29" i="35" s="1"/>
  <c r="J29" i="35" s="1"/>
  <c r="F33" i="35"/>
  <c r="G33" i="35" s="1"/>
  <c r="H33" i="35" s="1"/>
  <c r="I33" i="35" s="1"/>
  <c r="J33" i="35" s="1"/>
  <c r="K33" i="35" s="1"/>
  <c r="L33" i="35" s="1"/>
  <c r="M33" i="35" s="1"/>
  <c r="N33" i="35" s="1"/>
  <c r="B29" i="35"/>
  <c r="C2" i="80"/>
  <c r="B46" i="35"/>
  <c r="S9" i="35"/>
  <c r="E17" i="35"/>
  <c r="F17" i="35" s="1"/>
  <c r="G17" i="35" s="1"/>
  <c r="H17" i="35" s="1"/>
  <c r="I17" i="35" s="1"/>
  <c r="J17" i="35" s="1"/>
  <c r="K17" i="35" s="1"/>
  <c r="L17" i="35" s="1"/>
  <c r="M17" i="35" s="1"/>
  <c r="E2" i="96" s="1"/>
  <c r="D4" i="96" s="1"/>
  <c r="E13" i="35"/>
  <c r="G47" i="35"/>
  <c r="H47" i="35" s="1"/>
  <c r="I47" i="35" s="1"/>
  <c r="J47" i="35" s="1"/>
  <c r="K47" i="35" s="1"/>
  <c r="L47" i="35" s="1"/>
  <c r="M47" i="35" s="1"/>
  <c r="N47" i="35" s="1"/>
  <c r="G42" i="35"/>
  <c r="H42" i="35" s="1"/>
  <c r="I42" i="35" s="1"/>
  <c r="E15" i="35"/>
  <c r="F15" i="35" s="1"/>
  <c r="G15" i="35" s="1"/>
  <c r="H15" i="35" s="1"/>
  <c r="I15" i="35" s="1"/>
  <c r="J15" i="35" s="1"/>
  <c r="K15" i="35" s="1"/>
  <c r="E2" i="93" s="1"/>
  <c r="D4" i="93" s="1"/>
  <c r="G41" i="35"/>
  <c r="H41" i="35" s="1"/>
  <c r="C2" i="92"/>
  <c r="C2" i="96"/>
  <c r="C2" i="91"/>
  <c r="G46" i="35"/>
  <c r="H46" i="35" s="1"/>
  <c r="I46" i="35" s="1"/>
  <c r="J46" i="35" s="1"/>
  <c r="K46" i="35" s="1"/>
  <c r="L46" i="35" s="1"/>
  <c r="M46" i="35" s="1"/>
  <c r="F25" i="35"/>
  <c r="W25" i="35" s="1"/>
  <c r="B41" i="35"/>
  <c r="C2" i="87"/>
  <c r="E14" i="35"/>
  <c r="F31" i="35"/>
  <c r="G31" i="35" s="1"/>
  <c r="H31" i="35" s="1"/>
  <c r="I31" i="35" s="1"/>
  <c r="J31" i="35" s="1"/>
  <c r="K31" i="35" s="1"/>
  <c r="L31" i="35" s="1"/>
  <c r="B28" i="35"/>
  <c r="C2" i="93"/>
  <c r="B25" i="35"/>
  <c r="T25" i="35"/>
  <c r="S25" i="35"/>
  <c r="F26" i="35"/>
  <c r="G26" i="35" s="1"/>
  <c r="C2" i="94"/>
  <c r="E10" i="35"/>
  <c r="G44" i="35"/>
  <c r="H44" i="35" s="1"/>
  <c r="I44" i="35" s="1"/>
  <c r="J44" i="35" s="1"/>
  <c r="K44" i="35" s="1"/>
  <c r="B31" i="35"/>
  <c r="F28" i="35"/>
  <c r="G28" i="35" s="1"/>
  <c r="H28" i="35" s="1"/>
  <c r="I28" i="35" s="1"/>
  <c r="B42" i="35"/>
  <c r="E11" i="35"/>
  <c r="F11" i="35" s="1"/>
  <c r="G11" i="35" s="1"/>
  <c r="E2" i="88" s="1"/>
  <c r="D4" i="88" s="1"/>
  <c r="C2" i="88"/>
  <c r="E16" i="35"/>
  <c r="B27" i="35"/>
  <c r="B44" i="35"/>
  <c r="W39" i="35"/>
  <c r="B33" i="35"/>
  <c r="G48" i="35"/>
  <c r="H48" i="35" s="1"/>
  <c r="I48" i="35" s="1"/>
  <c r="J48" i="35" s="1"/>
  <c r="K48" i="35" s="1"/>
  <c r="L48" i="35" s="1"/>
  <c r="M48" i="35" s="1"/>
  <c r="N48" i="35" s="1"/>
  <c r="O48" i="35" s="1"/>
  <c r="B45" i="35"/>
  <c r="E12" i="35"/>
  <c r="F12" i="35" s="1"/>
  <c r="G12" i="35" s="1"/>
  <c r="H12" i="35" s="1"/>
  <c r="E2" i="90" s="1"/>
  <c r="D4" i="90" s="1"/>
  <c r="B48" i="35"/>
  <c r="B26" i="35"/>
  <c r="G45" i="35"/>
  <c r="H45" i="35" s="1"/>
  <c r="I45" i="35" s="1"/>
  <c r="J45" i="35" s="1"/>
  <c r="K45" i="35" s="1"/>
  <c r="L45" i="35" s="1"/>
  <c r="C2" i="90"/>
  <c r="B32" i="35"/>
  <c r="W24" i="35"/>
  <c r="G40" i="35"/>
  <c r="F27" i="35"/>
  <c r="G27" i="35" s="1"/>
  <c r="H27" i="35" s="1"/>
  <c r="B39" i="35"/>
  <c r="R39" i="35" s="1"/>
  <c r="T39" i="35"/>
  <c r="S39" i="35"/>
  <c r="B30" i="35"/>
  <c r="F30" i="35"/>
  <c r="G30" i="35" s="1"/>
  <c r="H30" i="35" s="1"/>
  <c r="I30" i="35" s="1"/>
  <c r="J30" i="35" s="1"/>
  <c r="K30" i="35" s="1"/>
  <c r="F32" i="35"/>
  <c r="G32" i="35" s="1"/>
  <c r="H32" i="35" s="1"/>
  <c r="I32" i="35" s="1"/>
  <c r="J32" i="35" s="1"/>
  <c r="K32" i="35" s="1"/>
  <c r="L32" i="35" s="1"/>
  <c r="M32" i="35" s="1"/>
  <c r="B24" i="35"/>
  <c r="R24" i="35" s="1"/>
  <c r="S24" i="35"/>
  <c r="T24" i="35"/>
  <c r="B40" i="35"/>
  <c r="T40" i="35"/>
  <c r="S40" i="35"/>
  <c r="B47" i="35"/>
  <c r="B43" i="35"/>
  <c r="N9" i="35" l="1"/>
  <c r="S43" i="35"/>
  <c r="U40" i="35"/>
  <c r="R25" i="35"/>
  <c r="T15" i="35"/>
  <c r="I2" i="93" s="1"/>
  <c r="H4" i="93" s="1"/>
  <c r="T7" i="93" s="1"/>
  <c r="R41" i="35"/>
  <c r="T12" i="35"/>
  <c r="I2" i="90" s="1"/>
  <c r="H4" i="90" s="1"/>
  <c r="T7" i="90" s="1"/>
  <c r="S12" i="35"/>
  <c r="G2" i="90" s="1"/>
  <c r="F4" i="90" s="1"/>
  <c r="W12" i="35"/>
  <c r="P40" i="35"/>
  <c r="S42" i="35"/>
  <c r="G2" i="99" s="1"/>
  <c r="F4" i="99" s="1"/>
  <c r="S47" i="35"/>
  <c r="G2" i="111" s="1"/>
  <c r="F4" i="111" s="1"/>
  <c r="T42" i="35"/>
  <c r="I2" i="99" s="1"/>
  <c r="H4" i="99" s="1"/>
  <c r="U25" i="35"/>
  <c r="V25" i="35" s="1"/>
  <c r="T41" i="35"/>
  <c r="W41" i="35"/>
  <c r="S29" i="35"/>
  <c r="G2" i="102" s="1"/>
  <c r="F4" i="102" s="1"/>
  <c r="T47" i="35"/>
  <c r="I2" i="111" s="1"/>
  <c r="H4" i="111" s="1"/>
  <c r="W29" i="35"/>
  <c r="T28" i="35"/>
  <c r="I2" i="101" s="1"/>
  <c r="H4" i="101" s="1"/>
  <c r="T30" i="35"/>
  <c r="I2" i="103" s="1"/>
  <c r="H4" i="103" s="1"/>
  <c r="R12" i="35"/>
  <c r="T43" i="35"/>
  <c r="I2" i="107" s="1"/>
  <c r="H4" i="107" s="1"/>
  <c r="N12" i="35"/>
  <c r="W11" i="35"/>
  <c r="W46" i="35"/>
  <c r="W42" i="35"/>
  <c r="T17" i="35"/>
  <c r="I2" i="96" s="1"/>
  <c r="H4" i="96" s="1"/>
  <c r="T7" i="96" s="1"/>
  <c r="T11" i="35"/>
  <c r="I2" i="88" s="1"/>
  <c r="H4" i="88" s="1"/>
  <c r="T7" i="88" s="1"/>
  <c r="S44" i="35"/>
  <c r="G2" i="108" s="1"/>
  <c r="F4" i="108" s="1"/>
  <c r="S11" i="35"/>
  <c r="G2" i="88" s="1"/>
  <c r="F4" i="88" s="1"/>
  <c r="W44" i="35"/>
  <c r="N15" i="35"/>
  <c r="S41" i="35"/>
  <c r="S33" i="35"/>
  <c r="G2" i="106" s="1"/>
  <c r="F4" i="106" s="1"/>
  <c r="S48" i="35"/>
  <c r="G2" i="112" s="1"/>
  <c r="F4" i="112" s="1"/>
  <c r="N11" i="35"/>
  <c r="R9" i="35"/>
  <c r="T33" i="35"/>
  <c r="I2" i="106" s="1"/>
  <c r="H4" i="106" s="1"/>
  <c r="R11" i="35"/>
  <c r="S17" i="35"/>
  <c r="G2" i="96" s="1"/>
  <c r="F4" i="96" s="1"/>
  <c r="W9" i="35"/>
  <c r="P39" i="35"/>
  <c r="N17" i="35"/>
  <c r="C2" i="107"/>
  <c r="R43" i="35"/>
  <c r="U24" i="35"/>
  <c r="V24" i="35" s="1"/>
  <c r="C2" i="103"/>
  <c r="R30" i="35"/>
  <c r="W40" i="35"/>
  <c r="T48" i="35"/>
  <c r="I2" i="112" s="1"/>
  <c r="H4" i="112" s="1"/>
  <c r="W48" i="35"/>
  <c r="E2" i="108"/>
  <c r="D4" i="108" s="1"/>
  <c r="P44" i="35"/>
  <c r="C2" i="101"/>
  <c r="R28" i="35"/>
  <c r="E2" i="89"/>
  <c r="D4" i="89" s="1"/>
  <c r="O26" i="35"/>
  <c r="E2" i="112"/>
  <c r="D4" i="112" s="1"/>
  <c r="P48" i="35"/>
  <c r="T44" i="35"/>
  <c r="I2" i="108" s="1"/>
  <c r="H4" i="108" s="1"/>
  <c r="C2" i="99"/>
  <c r="R42" i="35"/>
  <c r="W31" i="35"/>
  <c r="B4" i="91"/>
  <c r="P41" i="35"/>
  <c r="F13" i="35"/>
  <c r="E2" i="102"/>
  <c r="D4" i="102" s="1"/>
  <c r="O29" i="35"/>
  <c r="W32" i="35"/>
  <c r="U39" i="35"/>
  <c r="V39" i="35" s="1"/>
  <c r="O24" i="35"/>
  <c r="W45" i="35"/>
  <c r="C2" i="112"/>
  <c r="R48" i="35"/>
  <c r="C2" i="108"/>
  <c r="R44" i="35"/>
  <c r="B4" i="88"/>
  <c r="C16" i="88" s="1"/>
  <c r="D1" i="88"/>
  <c r="W28" i="35"/>
  <c r="F10" i="35"/>
  <c r="S10" i="35"/>
  <c r="E2" i="104"/>
  <c r="D4" i="104" s="1"/>
  <c r="O31" i="35"/>
  <c r="R17" i="35"/>
  <c r="W15" i="35"/>
  <c r="W17" i="35"/>
  <c r="B4" i="80"/>
  <c r="C10" i="80" s="1"/>
  <c r="D1" i="80"/>
  <c r="W43" i="35"/>
  <c r="C2" i="89"/>
  <c r="R26" i="35"/>
  <c r="E2" i="109"/>
  <c r="D4" i="109" s="1"/>
  <c r="P45" i="35"/>
  <c r="T27" i="35"/>
  <c r="I2" i="100" s="1"/>
  <c r="H4" i="100" s="1"/>
  <c r="E2" i="101"/>
  <c r="D4" i="101" s="1"/>
  <c r="O28" i="35"/>
  <c r="D7" i="93"/>
  <c r="D7" i="96"/>
  <c r="W7" i="96" s="1"/>
  <c r="E2" i="107"/>
  <c r="D4" i="107" s="1"/>
  <c r="P43" i="35"/>
  <c r="E2" i="105"/>
  <c r="D4" i="105" s="1"/>
  <c r="O32" i="35"/>
  <c r="W30" i="35"/>
  <c r="S32" i="35"/>
  <c r="D7" i="90"/>
  <c r="W7" i="90" s="1"/>
  <c r="C2" i="106"/>
  <c r="R33" i="35"/>
  <c r="S27" i="35"/>
  <c r="T31" i="35"/>
  <c r="I2" i="104" s="1"/>
  <c r="H4" i="104" s="1"/>
  <c r="R15" i="35"/>
  <c r="F14" i="35"/>
  <c r="O25" i="35"/>
  <c r="B4" i="96"/>
  <c r="C16" i="96" s="1"/>
  <c r="D1" i="96"/>
  <c r="G2" i="80"/>
  <c r="F4" i="80" s="1"/>
  <c r="U9" i="35"/>
  <c r="T29" i="35"/>
  <c r="I2" i="102" s="1"/>
  <c r="H4" i="102" s="1"/>
  <c r="C2" i="109"/>
  <c r="R45" i="35"/>
  <c r="B4" i="90"/>
  <c r="C14" i="90" s="1"/>
  <c r="D1" i="90"/>
  <c r="C2" i="111"/>
  <c r="R47" i="35"/>
  <c r="E2" i="103"/>
  <c r="D4" i="103" s="1"/>
  <c r="O30" i="35"/>
  <c r="T32" i="35"/>
  <c r="I2" i="105" s="1"/>
  <c r="H4" i="105" s="1"/>
  <c r="S26" i="35"/>
  <c r="S45" i="35"/>
  <c r="T10" i="35"/>
  <c r="I2" i="87" s="1"/>
  <c r="H4" i="87" s="1"/>
  <c r="C2" i="100"/>
  <c r="R27" i="35"/>
  <c r="S31" i="35"/>
  <c r="B4" i="94"/>
  <c r="B4" i="93"/>
  <c r="C16" i="93" s="1"/>
  <c r="D1" i="93"/>
  <c r="E2" i="99"/>
  <c r="P42" i="35"/>
  <c r="S46" i="35"/>
  <c r="C2" i="102"/>
  <c r="R29" i="35"/>
  <c r="G2" i="107"/>
  <c r="F4" i="107" s="1"/>
  <c r="U43" i="35"/>
  <c r="R40" i="35"/>
  <c r="S30" i="35"/>
  <c r="W27" i="35"/>
  <c r="C2" i="105"/>
  <c r="R32" i="35"/>
  <c r="T26" i="35"/>
  <c r="I2" i="89" s="1"/>
  <c r="H4" i="89" s="1"/>
  <c r="T45" i="35"/>
  <c r="I2" i="109" s="1"/>
  <c r="H4" i="109" s="1"/>
  <c r="D7" i="88"/>
  <c r="W7" i="88" s="1"/>
  <c r="C2" i="104"/>
  <c r="R31" i="35"/>
  <c r="W26" i="35"/>
  <c r="S28" i="35"/>
  <c r="E2" i="110"/>
  <c r="D4" i="110" s="1"/>
  <c r="P46" i="35"/>
  <c r="W47" i="35"/>
  <c r="T46" i="35"/>
  <c r="I2" i="110" s="1"/>
  <c r="H4" i="110" s="1"/>
  <c r="W33" i="35"/>
  <c r="D7" i="80"/>
  <c r="W7" i="80" s="1"/>
  <c r="T7" i="80"/>
  <c r="E2" i="100"/>
  <c r="D4" i="100" s="1"/>
  <c r="O27" i="35"/>
  <c r="F16" i="35"/>
  <c r="G16" i="35" s="1"/>
  <c r="H16" i="35" s="1"/>
  <c r="I16" i="35" s="1"/>
  <c r="J16" i="35" s="1"/>
  <c r="K16" i="35" s="1"/>
  <c r="L16" i="35" s="1"/>
  <c r="B4" i="87"/>
  <c r="B4" i="92"/>
  <c r="E2" i="111"/>
  <c r="D4" i="111" s="1"/>
  <c r="P47" i="35"/>
  <c r="C2" i="110"/>
  <c r="R46" i="35"/>
  <c r="E2" i="106"/>
  <c r="D4" i="106" s="1"/>
  <c r="O33" i="35"/>
  <c r="S15" i="35"/>
  <c r="C13" i="88" l="1"/>
  <c r="B13" i="88" s="1"/>
  <c r="C10" i="88"/>
  <c r="B10" i="88" s="1"/>
  <c r="U12" i="35"/>
  <c r="V12" i="35" s="1"/>
  <c r="C15" i="88"/>
  <c r="C12" i="88"/>
  <c r="B12" i="88" s="1"/>
  <c r="C9" i="88"/>
  <c r="B9" i="88" s="1"/>
  <c r="V40" i="35"/>
  <c r="U17" i="35"/>
  <c r="V17" i="35" s="1"/>
  <c r="C13" i="80"/>
  <c r="B13" i="80" s="1"/>
  <c r="U47" i="35"/>
  <c r="V47" i="35" s="1"/>
  <c r="C16" i="80"/>
  <c r="B16" i="80" s="1"/>
  <c r="C12" i="80"/>
  <c r="B12" i="80" s="1"/>
  <c r="C15" i="80"/>
  <c r="B15" i="80" s="1"/>
  <c r="C11" i="80"/>
  <c r="D11" i="80" s="1"/>
  <c r="C9" i="80"/>
  <c r="D10" i="80" s="1"/>
  <c r="C14" i="80"/>
  <c r="B14" i="80" s="1"/>
  <c r="U42" i="35"/>
  <c r="V42" i="35" s="1"/>
  <c r="C11" i="88"/>
  <c r="C14" i="88"/>
  <c r="B14" i="88" s="1"/>
  <c r="U11" i="35"/>
  <c r="V11" i="35" s="1"/>
  <c r="C13" i="90"/>
  <c r="B13" i="90" s="1"/>
  <c r="C9" i="96"/>
  <c r="B9" i="96" s="1"/>
  <c r="U41" i="35"/>
  <c r="V41" i="35" s="1"/>
  <c r="S16" i="35"/>
  <c r="G2" i="94" s="1"/>
  <c r="C12" i="90"/>
  <c r="B12" i="90" s="1"/>
  <c r="U33" i="35"/>
  <c r="V33" i="35" s="1"/>
  <c r="T16" i="35"/>
  <c r="I2" i="94" s="1"/>
  <c r="H4" i="94" s="1"/>
  <c r="C9" i="93"/>
  <c r="B9" i="93" s="1"/>
  <c r="V9" i="35"/>
  <c r="S7" i="80"/>
  <c r="U7" i="80" s="1"/>
  <c r="C13" i="96"/>
  <c r="B13" i="96" s="1"/>
  <c r="U48" i="35"/>
  <c r="V48" i="35" s="1"/>
  <c r="B14" i="90"/>
  <c r="B16" i="96"/>
  <c r="B16" i="93"/>
  <c r="K2" i="99"/>
  <c r="J4" i="99" s="1"/>
  <c r="D4" i="99"/>
  <c r="B4" i="109"/>
  <c r="C16" i="109" s="1"/>
  <c r="D1" i="109"/>
  <c r="C10" i="93"/>
  <c r="C12" i="93"/>
  <c r="B4" i="89"/>
  <c r="C13" i="89" s="1"/>
  <c r="D1" i="89"/>
  <c r="G13" i="35"/>
  <c r="H13" i="35" s="1"/>
  <c r="I13" i="35" s="1"/>
  <c r="B4" i="103"/>
  <c r="C16" i="103" s="1"/>
  <c r="B16" i="103" s="1"/>
  <c r="D1" i="103"/>
  <c r="B7" i="92"/>
  <c r="T7" i="106"/>
  <c r="D7" i="106"/>
  <c r="W7" i="106" s="1"/>
  <c r="G2" i="101"/>
  <c r="F4" i="101" s="1"/>
  <c r="U28" i="35"/>
  <c r="V28" i="35" s="1"/>
  <c r="B4" i="111"/>
  <c r="C13" i="111" s="1"/>
  <c r="K2" i="111"/>
  <c r="J4" i="111" s="1"/>
  <c r="D1" i="111"/>
  <c r="B4" i="106"/>
  <c r="C11" i="106" s="1"/>
  <c r="K2" i="106"/>
  <c r="J4" i="106" s="1"/>
  <c r="D1" i="106"/>
  <c r="V43" i="35"/>
  <c r="K2" i="90"/>
  <c r="J4" i="90" s="1"/>
  <c r="G14" i="35"/>
  <c r="C9" i="90"/>
  <c r="C16" i="90"/>
  <c r="U29" i="35"/>
  <c r="V29" i="35" s="1"/>
  <c r="C11" i="96"/>
  <c r="K2" i="80"/>
  <c r="J4" i="80" s="1"/>
  <c r="G2" i="87"/>
  <c r="U10" i="35"/>
  <c r="T7" i="112"/>
  <c r="D7" i="112"/>
  <c r="W7" i="112" s="1"/>
  <c r="U44" i="35"/>
  <c r="V44" i="35" s="1"/>
  <c r="T7" i="110"/>
  <c r="D7" i="110"/>
  <c r="W7" i="110" s="1"/>
  <c r="B7" i="87"/>
  <c r="G2" i="103"/>
  <c r="F4" i="103" s="1"/>
  <c r="U30" i="35"/>
  <c r="V30" i="35" s="1"/>
  <c r="B7" i="93"/>
  <c r="N7" i="93" s="1"/>
  <c r="C8" i="93"/>
  <c r="G2" i="109"/>
  <c r="F4" i="109" s="1"/>
  <c r="U45" i="35"/>
  <c r="V45" i="35" s="1"/>
  <c r="C15" i="96"/>
  <c r="D16" i="96" s="1"/>
  <c r="C11" i="93"/>
  <c r="D7" i="101"/>
  <c r="W7" i="101" s="1"/>
  <c r="T7" i="101"/>
  <c r="E2" i="87"/>
  <c r="N10" i="35"/>
  <c r="R10" i="35"/>
  <c r="B7" i="91"/>
  <c r="B4" i="107"/>
  <c r="C12" i="107" s="1"/>
  <c r="B12" i="107" s="1"/>
  <c r="D1" i="107"/>
  <c r="K2" i="107"/>
  <c r="J4" i="107" s="1"/>
  <c r="D7" i="100"/>
  <c r="W7" i="100" s="1"/>
  <c r="T7" i="100"/>
  <c r="B4" i="100"/>
  <c r="C11" i="100" s="1"/>
  <c r="D1" i="100"/>
  <c r="B10" i="80"/>
  <c r="B4" i="104"/>
  <c r="C10" i="104" s="1"/>
  <c r="D1" i="104"/>
  <c r="G2" i="89"/>
  <c r="F4" i="89" s="1"/>
  <c r="U26" i="35"/>
  <c r="V26" i="35" s="1"/>
  <c r="S7" i="90"/>
  <c r="U7" i="90" s="1"/>
  <c r="C8" i="90"/>
  <c r="B7" i="90"/>
  <c r="K2" i="96"/>
  <c r="J4" i="96" s="1"/>
  <c r="C11" i="90"/>
  <c r="G2" i="105"/>
  <c r="F4" i="105" s="1"/>
  <c r="U32" i="35"/>
  <c r="V32" i="35" s="1"/>
  <c r="C13" i="93"/>
  <c r="B7" i="80"/>
  <c r="C8" i="80"/>
  <c r="T7" i="89"/>
  <c r="D7" i="89"/>
  <c r="W7" i="89" s="1"/>
  <c r="B4" i="105"/>
  <c r="C15" i="105" s="1"/>
  <c r="D1" i="105"/>
  <c r="W7" i="93"/>
  <c r="T7" i="104"/>
  <c r="D7" i="104"/>
  <c r="W7" i="104" s="1"/>
  <c r="B4" i="108"/>
  <c r="C15" i="108" s="1"/>
  <c r="K2" i="108"/>
  <c r="J4" i="108" s="1"/>
  <c r="D1" i="108"/>
  <c r="B4" i="110"/>
  <c r="C12" i="110" s="1"/>
  <c r="D1" i="110"/>
  <c r="B4" i="102"/>
  <c r="C14" i="102" s="1"/>
  <c r="K2" i="102"/>
  <c r="J4" i="102" s="1"/>
  <c r="D1" i="102"/>
  <c r="C15" i="90"/>
  <c r="B4" i="112"/>
  <c r="C12" i="112" s="1"/>
  <c r="K2" i="112"/>
  <c r="J4" i="112" s="1"/>
  <c r="D1" i="112"/>
  <c r="T7" i="102"/>
  <c r="D7" i="102"/>
  <c r="W7" i="102" s="1"/>
  <c r="D7" i="111"/>
  <c r="W7" i="111" s="1"/>
  <c r="T7" i="111"/>
  <c r="E2" i="94"/>
  <c r="R16" i="35"/>
  <c r="N16" i="35"/>
  <c r="G2" i="110"/>
  <c r="F4" i="110" s="1"/>
  <c r="U46" i="35"/>
  <c r="V46" i="35" s="1"/>
  <c r="B7" i="94"/>
  <c r="C8" i="96"/>
  <c r="B7" i="96"/>
  <c r="S7" i="96"/>
  <c r="U7" i="96" s="1"/>
  <c r="C10" i="90"/>
  <c r="C14" i="96"/>
  <c r="C10" i="96"/>
  <c r="C14" i="93"/>
  <c r="D7" i="109"/>
  <c r="W7" i="109" s="1"/>
  <c r="T7" i="109"/>
  <c r="K2" i="88"/>
  <c r="J4" i="88" s="1"/>
  <c r="B4" i="101"/>
  <c r="C16" i="101" s="1"/>
  <c r="D1" i="101"/>
  <c r="W16" i="35"/>
  <c r="D7" i="107"/>
  <c r="W7" i="107" s="1"/>
  <c r="T7" i="107"/>
  <c r="T7" i="108"/>
  <c r="D7" i="108"/>
  <c r="W7" i="108" s="1"/>
  <c r="G2" i="93"/>
  <c r="U15" i="35"/>
  <c r="V15" i="35" s="1"/>
  <c r="B16" i="88"/>
  <c r="G2" i="104"/>
  <c r="F4" i="104" s="1"/>
  <c r="U31" i="35"/>
  <c r="V31" i="35" s="1"/>
  <c r="T7" i="103"/>
  <c r="D7" i="103"/>
  <c r="W7" i="103" s="1"/>
  <c r="G2" i="100"/>
  <c r="F4" i="100" s="1"/>
  <c r="U27" i="35"/>
  <c r="V27" i="35" s="1"/>
  <c r="T7" i="105"/>
  <c r="D7" i="105"/>
  <c r="W7" i="105" s="1"/>
  <c r="C12" i="96"/>
  <c r="C15" i="93"/>
  <c r="D16" i="93" s="1"/>
  <c r="B7" i="88"/>
  <c r="C8" i="88"/>
  <c r="S7" i="88"/>
  <c r="U7" i="88" s="1"/>
  <c r="B4" i="99"/>
  <c r="D1" i="99"/>
  <c r="W10" i="35"/>
  <c r="D15" i="88" l="1"/>
  <c r="D16" i="88"/>
  <c r="E16" i="88" s="1"/>
  <c r="B15" i="88"/>
  <c r="D14" i="88"/>
  <c r="E14" i="88" s="1"/>
  <c r="D13" i="88"/>
  <c r="E13" i="88" s="1"/>
  <c r="F13" i="88" s="1"/>
  <c r="G13" i="88" s="1"/>
  <c r="H13" i="88" s="1"/>
  <c r="I13" i="88" s="1"/>
  <c r="J13" i="88" s="1"/>
  <c r="R13" i="88" s="1"/>
  <c r="D10" i="88"/>
  <c r="E10" i="88" s="1"/>
  <c r="D12" i="88"/>
  <c r="E12" i="88" s="1"/>
  <c r="F12" i="88" s="1"/>
  <c r="G12" i="88" s="1"/>
  <c r="B11" i="88"/>
  <c r="C16" i="89"/>
  <c r="B16" i="89" s="1"/>
  <c r="C11" i="104"/>
  <c r="D11" i="104" s="1"/>
  <c r="D13" i="80"/>
  <c r="E13" i="80" s="1"/>
  <c r="C13" i="104"/>
  <c r="B13" i="104" s="1"/>
  <c r="D11" i="88"/>
  <c r="E11" i="88" s="1"/>
  <c r="C10" i="89"/>
  <c r="B10" i="89" s="1"/>
  <c r="D16" i="80"/>
  <c r="E16" i="80" s="1"/>
  <c r="D9" i="93"/>
  <c r="E9" i="93" s="1"/>
  <c r="R7" i="93"/>
  <c r="S21" i="93" s="1"/>
  <c r="C10" i="111"/>
  <c r="B10" i="111" s="1"/>
  <c r="C13" i="105"/>
  <c r="B13" i="105" s="1"/>
  <c r="B11" i="80"/>
  <c r="C14" i="107"/>
  <c r="B14" i="107" s="1"/>
  <c r="D12" i="80"/>
  <c r="E12" i="80" s="1"/>
  <c r="F12" i="80" s="1"/>
  <c r="G12" i="80" s="1"/>
  <c r="H12" i="80" s="1"/>
  <c r="I12" i="80" s="1"/>
  <c r="R12" i="80" s="1"/>
  <c r="C13" i="109"/>
  <c r="C14" i="109"/>
  <c r="B14" i="109" s="1"/>
  <c r="C9" i="109"/>
  <c r="B9" i="109" s="1"/>
  <c r="C10" i="109"/>
  <c r="B10" i="109" s="1"/>
  <c r="C11" i="109"/>
  <c r="B9" i="80"/>
  <c r="C12" i="109"/>
  <c r="B12" i="109" s="1"/>
  <c r="C15" i="109"/>
  <c r="B15" i="109" s="1"/>
  <c r="D14" i="90"/>
  <c r="E14" i="90" s="1"/>
  <c r="D15" i="80"/>
  <c r="E15" i="80" s="1"/>
  <c r="D13" i="90"/>
  <c r="E13" i="90" s="1"/>
  <c r="D14" i="80"/>
  <c r="E14" i="80" s="1"/>
  <c r="C9" i="104"/>
  <c r="D10" i="104" s="1"/>
  <c r="C9" i="103"/>
  <c r="C14" i="103"/>
  <c r="B14" i="103" s="1"/>
  <c r="C13" i="103"/>
  <c r="C15" i="103"/>
  <c r="D16" i="103" s="1"/>
  <c r="D12" i="90"/>
  <c r="E12" i="90" s="1"/>
  <c r="F12" i="90" s="1"/>
  <c r="G12" i="90" s="1"/>
  <c r="H12" i="90" s="1"/>
  <c r="I12" i="90" s="1"/>
  <c r="N12" i="90" s="1"/>
  <c r="C12" i="103"/>
  <c r="B12" i="103" s="1"/>
  <c r="C10" i="103"/>
  <c r="B10" i="103" s="1"/>
  <c r="C11" i="103"/>
  <c r="B11" i="103" s="1"/>
  <c r="C9" i="108"/>
  <c r="B9" i="108" s="1"/>
  <c r="C10" i="108"/>
  <c r="B10" i="108" s="1"/>
  <c r="C16" i="107"/>
  <c r="B16" i="107" s="1"/>
  <c r="C16" i="104"/>
  <c r="B16" i="104" s="1"/>
  <c r="C9" i="107"/>
  <c r="B9" i="107" s="1"/>
  <c r="C9" i="106"/>
  <c r="C12" i="108"/>
  <c r="C15" i="107"/>
  <c r="U16" i="35"/>
  <c r="V16" i="35" s="1"/>
  <c r="C10" i="106"/>
  <c r="D11" i="106" s="1"/>
  <c r="C10" i="107"/>
  <c r="C13" i="108"/>
  <c r="C11" i="107"/>
  <c r="D12" i="107" s="1"/>
  <c r="K2" i="101"/>
  <c r="J4" i="101" s="1"/>
  <c r="C15" i="104"/>
  <c r="C13" i="106"/>
  <c r="B13" i="106" s="1"/>
  <c r="C11" i="108"/>
  <c r="B11" i="108" s="1"/>
  <c r="C13" i="107"/>
  <c r="B13" i="107" s="1"/>
  <c r="K2" i="105"/>
  <c r="J4" i="105" s="1"/>
  <c r="C14" i="106"/>
  <c r="C14" i="108"/>
  <c r="D15" i="108" s="1"/>
  <c r="C16" i="108"/>
  <c r="B16" i="108" s="1"/>
  <c r="C15" i="106"/>
  <c r="B15" i="106" s="1"/>
  <c r="C10" i="102"/>
  <c r="B10" i="102" s="1"/>
  <c r="C12" i="111"/>
  <c r="D13" i="111" s="1"/>
  <c r="C12" i="102"/>
  <c r="B12" i="102" s="1"/>
  <c r="C16" i="111"/>
  <c r="B16" i="111" s="1"/>
  <c r="C16" i="102"/>
  <c r="B16" i="102" s="1"/>
  <c r="C15" i="102"/>
  <c r="B15" i="102" s="1"/>
  <c r="B3" i="113"/>
  <c r="B3" i="95"/>
  <c r="N8" i="97" s="1"/>
  <c r="B24" i="32" s="1"/>
  <c r="V7" i="80"/>
  <c r="C12" i="100"/>
  <c r="B12" i="100" s="1"/>
  <c r="K2" i="109"/>
  <c r="J4" i="109" s="1"/>
  <c r="C9" i="111"/>
  <c r="C16" i="100"/>
  <c r="C14" i="111"/>
  <c r="D14" i="111" s="1"/>
  <c r="C9" i="100"/>
  <c r="C15" i="101"/>
  <c r="D16" i="101" s="1"/>
  <c r="C11" i="112"/>
  <c r="B11" i="112" s="1"/>
  <c r="C13" i="100"/>
  <c r="D13" i="100" s="1"/>
  <c r="S13" i="35"/>
  <c r="G2" i="91" s="1"/>
  <c r="C15" i="111"/>
  <c r="B15" i="111" s="1"/>
  <c r="C11" i="111"/>
  <c r="B11" i="111" s="1"/>
  <c r="C10" i="100"/>
  <c r="D11" i="100" s="1"/>
  <c r="T13" i="35"/>
  <c r="I2" i="91" s="1"/>
  <c r="H4" i="91" s="1"/>
  <c r="C12" i="106"/>
  <c r="B12" i="106" s="1"/>
  <c r="C15" i="100"/>
  <c r="B15" i="100" s="1"/>
  <c r="W13" i="35"/>
  <c r="E16" i="93"/>
  <c r="F16" i="93" s="1"/>
  <c r="G16" i="93" s="1"/>
  <c r="H16" i="93" s="1"/>
  <c r="I16" i="93" s="1"/>
  <c r="J16" i="93" s="1"/>
  <c r="K16" i="93" s="1"/>
  <c r="L16" i="93" s="1"/>
  <c r="M16" i="93" s="1"/>
  <c r="R16" i="93" s="1"/>
  <c r="S30" i="93" s="1"/>
  <c r="B12" i="110"/>
  <c r="B16" i="101"/>
  <c r="B15" i="105"/>
  <c r="B14" i="102"/>
  <c r="B13" i="89"/>
  <c r="D3" i="95"/>
  <c r="P8" i="97" s="1"/>
  <c r="D24" i="32" s="1"/>
  <c r="D3" i="113"/>
  <c r="V7" i="88"/>
  <c r="B7" i="99"/>
  <c r="S7" i="99"/>
  <c r="C8" i="99"/>
  <c r="D12" i="96"/>
  <c r="B12" i="96"/>
  <c r="J3" i="95"/>
  <c r="V8" i="97" s="1"/>
  <c r="J3" i="113"/>
  <c r="V7" i="96"/>
  <c r="B7" i="112"/>
  <c r="S7" i="112"/>
  <c r="U7" i="112" s="1"/>
  <c r="C8" i="112"/>
  <c r="E15" i="88"/>
  <c r="B7" i="108"/>
  <c r="S7" i="108"/>
  <c r="U7" i="108" s="1"/>
  <c r="C8" i="108"/>
  <c r="B10" i="104"/>
  <c r="C11" i="89"/>
  <c r="E3" i="95"/>
  <c r="Q8" i="97" s="1"/>
  <c r="E24" i="32" s="1"/>
  <c r="E3" i="113"/>
  <c r="V7" i="90"/>
  <c r="C8" i="104"/>
  <c r="B7" i="104"/>
  <c r="S7" i="104"/>
  <c r="U7" i="104" s="1"/>
  <c r="B11" i="100"/>
  <c r="C11" i="101"/>
  <c r="C12" i="101"/>
  <c r="C10" i="110"/>
  <c r="C15" i="112"/>
  <c r="B16" i="90"/>
  <c r="D16" i="90"/>
  <c r="K2" i="89"/>
  <c r="J4" i="89" s="1"/>
  <c r="N7" i="96"/>
  <c r="R7" i="96"/>
  <c r="S21" i="96" s="1"/>
  <c r="U21" i="96" s="1"/>
  <c r="B15" i="90"/>
  <c r="D15" i="90"/>
  <c r="C8" i="105"/>
  <c r="B7" i="105"/>
  <c r="S7" i="105"/>
  <c r="U7" i="105" s="1"/>
  <c r="E16" i="96"/>
  <c r="F16" i="96" s="1"/>
  <c r="G16" i="96" s="1"/>
  <c r="H16" i="96" s="1"/>
  <c r="I16" i="96" s="1"/>
  <c r="J16" i="96" s="1"/>
  <c r="K16" i="96" s="1"/>
  <c r="L16" i="96" s="1"/>
  <c r="M16" i="96" s="1"/>
  <c r="N16" i="96" s="1"/>
  <c r="C10" i="105"/>
  <c r="F4" i="93"/>
  <c r="K2" i="93"/>
  <c r="J4" i="93" s="1"/>
  <c r="B16" i="109"/>
  <c r="B8" i="96"/>
  <c r="D8" i="96"/>
  <c r="T8" i="96" s="1"/>
  <c r="C13" i="102"/>
  <c r="D14" i="102" s="1"/>
  <c r="F4" i="94"/>
  <c r="K2" i="94"/>
  <c r="J4" i="94" s="1"/>
  <c r="C14" i="89"/>
  <c r="C9" i="89"/>
  <c r="E10" i="80"/>
  <c r="F10" i="80" s="1"/>
  <c r="G10" i="80" s="1"/>
  <c r="R10" i="80" s="1"/>
  <c r="C9" i="101"/>
  <c r="D15" i="96"/>
  <c r="B15" i="96"/>
  <c r="C11" i="110"/>
  <c r="C16" i="112"/>
  <c r="B7" i="111"/>
  <c r="S7" i="111"/>
  <c r="U7" i="111" s="1"/>
  <c r="C8" i="111"/>
  <c r="K2" i="103"/>
  <c r="J4" i="103" s="1"/>
  <c r="D13" i="93"/>
  <c r="B12" i="93"/>
  <c r="D12" i="93"/>
  <c r="C8" i="109"/>
  <c r="S7" i="109"/>
  <c r="U7" i="109" s="1"/>
  <c r="B7" i="109"/>
  <c r="C14" i="105"/>
  <c r="D15" i="105" s="1"/>
  <c r="C12" i="89"/>
  <c r="D13" i="89" s="1"/>
  <c r="C13" i="101"/>
  <c r="C13" i="110"/>
  <c r="C13" i="112"/>
  <c r="V10" i="35"/>
  <c r="H14" i="35"/>
  <c r="I14" i="35" s="1"/>
  <c r="J14" i="35" s="1"/>
  <c r="B11" i="106"/>
  <c r="D11" i="93"/>
  <c r="B10" i="93"/>
  <c r="D10" i="93"/>
  <c r="C14" i="99"/>
  <c r="T7" i="99"/>
  <c r="C11" i="99"/>
  <c r="C9" i="99"/>
  <c r="C10" i="99"/>
  <c r="C12" i="99"/>
  <c r="C13" i="99"/>
  <c r="C15" i="99"/>
  <c r="D7" i="99"/>
  <c r="C16" i="99"/>
  <c r="B13" i="111"/>
  <c r="B8" i="88"/>
  <c r="D8" i="88"/>
  <c r="C12" i="105"/>
  <c r="D14" i="93"/>
  <c r="B14" i="93"/>
  <c r="K2" i="110"/>
  <c r="J4" i="110" s="1"/>
  <c r="C14" i="104"/>
  <c r="C15" i="89"/>
  <c r="B8" i="80"/>
  <c r="D8" i="80"/>
  <c r="T8" i="80" s="1"/>
  <c r="B11" i="90"/>
  <c r="D11" i="90"/>
  <c r="C10" i="112"/>
  <c r="F4" i="87"/>
  <c r="K2" i="87"/>
  <c r="J4" i="87" s="1"/>
  <c r="D9" i="80"/>
  <c r="C8" i="103"/>
  <c r="S7" i="103"/>
  <c r="U7" i="103" s="1"/>
  <c r="B7" i="103"/>
  <c r="E11" i="80"/>
  <c r="F11" i="80" s="1"/>
  <c r="G11" i="80" s="1"/>
  <c r="H11" i="80" s="1"/>
  <c r="B12" i="112"/>
  <c r="D10" i="96"/>
  <c r="B10" i="96"/>
  <c r="C8" i="102"/>
  <c r="S7" i="102"/>
  <c r="U7" i="102" s="1"/>
  <c r="B7" i="102"/>
  <c r="S7" i="110"/>
  <c r="U7" i="110" s="1"/>
  <c r="C8" i="110"/>
  <c r="B7" i="110"/>
  <c r="N7" i="80"/>
  <c r="R7" i="80"/>
  <c r="K2" i="100"/>
  <c r="J4" i="100" s="1"/>
  <c r="D4" i="87"/>
  <c r="D1" i="87"/>
  <c r="D8" i="93"/>
  <c r="T8" i="93" s="1"/>
  <c r="B8" i="93"/>
  <c r="C14" i="110"/>
  <c r="C16" i="110"/>
  <c r="C14" i="112"/>
  <c r="D9" i="96"/>
  <c r="B11" i="93"/>
  <c r="D9" i="90"/>
  <c r="B9" i="90"/>
  <c r="N7" i="88"/>
  <c r="R7" i="88"/>
  <c r="C11" i="105"/>
  <c r="B15" i="108"/>
  <c r="C8" i="101"/>
  <c r="S7" i="101"/>
  <c r="U7" i="101" s="1"/>
  <c r="B7" i="101"/>
  <c r="D14" i="96"/>
  <c r="B14" i="96"/>
  <c r="D4" i="94"/>
  <c r="D1" i="94"/>
  <c r="C9" i="102"/>
  <c r="B13" i="93"/>
  <c r="N7" i="90"/>
  <c r="R7" i="90"/>
  <c r="K2" i="104"/>
  <c r="J4" i="104" s="1"/>
  <c r="C10" i="101"/>
  <c r="C9" i="110"/>
  <c r="D11" i="96"/>
  <c r="B11" i="96"/>
  <c r="D9" i="88"/>
  <c r="E2" i="91"/>
  <c r="N13" i="35"/>
  <c r="R13" i="35"/>
  <c r="S7" i="89"/>
  <c r="U7" i="89" s="1"/>
  <c r="C8" i="89"/>
  <c r="B7" i="89"/>
  <c r="C9" i="105"/>
  <c r="B15" i="93"/>
  <c r="D15" i="93"/>
  <c r="C16" i="105"/>
  <c r="D10" i="90"/>
  <c r="B10" i="90"/>
  <c r="C11" i="102"/>
  <c r="C12" i="104"/>
  <c r="D13" i="96"/>
  <c r="B8" i="90"/>
  <c r="D8" i="90"/>
  <c r="T8" i="90" s="1"/>
  <c r="C8" i="100"/>
  <c r="B7" i="100"/>
  <c r="S7" i="100"/>
  <c r="U7" i="100" s="1"/>
  <c r="C14" i="100"/>
  <c r="B7" i="107"/>
  <c r="S7" i="107"/>
  <c r="U7" i="107" s="1"/>
  <c r="C8" i="107"/>
  <c r="C14" i="101"/>
  <c r="C15" i="110"/>
  <c r="C9" i="112"/>
  <c r="B7" i="106"/>
  <c r="S7" i="106"/>
  <c r="U7" i="106" s="1"/>
  <c r="C8" i="106"/>
  <c r="C16" i="106"/>
  <c r="B15" i="101" l="1"/>
  <c r="B11" i="107"/>
  <c r="B14" i="108"/>
  <c r="B11" i="104"/>
  <c r="D16" i="89"/>
  <c r="E16" i="89" s="1"/>
  <c r="F16" i="89" s="1"/>
  <c r="G16" i="89" s="1"/>
  <c r="H16" i="89" s="1"/>
  <c r="I16" i="89" s="1"/>
  <c r="J16" i="89" s="1"/>
  <c r="K16" i="89" s="1"/>
  <c r="L16" i="89" s="1"/>
  <c r="M16" i="89" s="1"/>
  <c r="R16" i="89" s="1"/>
  <c r="S30" i="89" s="1"/>
  <c r="B14" i="111"/>
  <c r="D9" i="107"/>
  <c r="D15" i="102"/>
  <c r="E15" i="102" s="1"/>
  <c r="B10" i="100"/>
  <c r="B9" i="104"/>
  <c r="D13" i="108"/>
  <c r="E13" i="108" s="1"/>
  <c r="F13" i="108" s="1"/>
  <c r="G13" i="108" s="1"/>
  <c r="H13" i="108" s="1"/>
  <c r="I13" i="108" s="1"/>
  <c r="J13" i="108" s="1"/>
  <c r="D10" i="103"/>
  <c r="E10" i="103" s="1"/>
  <c r="F10" i="103" s="1"/>
  <c r="G10" i="103" s="1"/>
  <c r="R10" i="103" s="1"/>
  <c r="S24" i="103" s="1"/>
  <c r="U7" i="99"/>
  <c r="U3" i="95" s="1"/>
  <c r="D10" i="89"/>
  <c r="E10" i="89" s="1"/>
  <c r="D15" i="106"/>
  <c r="E15" i="106" s="1"/>
  <c r="B9" i="103"/>
  <c r="D9" i="108"/>
  <c r="E9" i="108" s="1"/>
  <c r="S9" i="108" s="1"/>
  <c r="D12" i="100"/>
  <c r="E12" i="100" s="1"/>
  <c r="R11" i="80"/>
  <c r="S37" i="80" s="1"/>
  <c r="B12" i="111"/>
  <c r="B13" i="100"/>
  <c r="D13" i="104"/>
  <c r="E13" i="104" s="1"/>
  <c r="F13" i="104" s="1"/>
  <c r="G13" i="104" s="1"/>
  <c r="H13" i="104" s="1"/>
  <c r="I13" i="104" s="1"/>
  <c r="J13" i="104" s="1"/>
  <c r="N13" i="104" s="1"/>
  <c r="D14" i="109"/>
  <c r="B13" i="108"/>
  <c r="B14" i="106"/>
  <c r="D12" i="111"/>
  <c r="E12" i="111" s="1"/>
  <c r="B15" i="103"/>
  <c r="D14" i="108"/>
  <c r="E14" i="108" s="1"/>
  <c r="F14" i="108" s="1"/>
  <c r="G14" i="108" s="1"/>
  <c r="H14" i="108" s="1"/>
  <c r="I14" i="108" s="1"/>
  <c r="J14" i="108" s="1"/>
  <c r="K14" i="108" s="1"/>
  <c r="B13" i="109"/>
  <c r="D16" i="102"/>
  <c r="E16" i="102" s="1"/>
  <c r="H15" i="95"/>
  <c r="S33" i="93"/>
  <c r="H39" i="113" s="1"/>
  <c r="E21" i="93"/>
  <c r="H27" i="95" s="1"/>
  <c r="E45" i="93"/>
  <c r="H51" i="95" s="1"/>
  <c r="E33" i="93"/>
  <c r="H39" i="95" s="1"/>
  <c r="S45" i="93"/>
  <c r="H51" i="113" s="1"/>
  <c r="H15" i="113"/>
  <c r="D11" i="109"/>
  <c r="E11" i="109" s="1"/>
  <c r="T12" i="90"/>
  <c r="D13" i="105"/>
  <c r="E13" i="105" s="1"/>
  <c r="F13" i="105" s="1"/>
  <c r="G13" i="105" s="1"/>
  <c r="H13" i="105" s="1"/>
  <c r="I13" i="105" s="1"/>
  <c r="J13" i="105" s="1"/>
  <c r="R13" i="105" s="1"/>
  <c r="S27" i="105" s="1"/>
  <c r="D9" i="104"/>
  <c r="E9" i="104" s="1"/>
  <c r="S9" i="104" s="1"/>
  <c r="B11" i="109"/>
  <c r="D10" i="108"/>
  <c r="E10" i="108" s="1"/>
  <c r="F10" i="108" s="1"/>
  <c r="G10" i="108" s="1"/>
  <c r="N10" i="108" s="1"/>
  <c r="R16" i="96"/>
  <c r="S30" i="96" s="1"/>
  <c r="D10" i="100"/>
  <c r="E10" i="100" s="1"/>
  <c r="D14" i="107"/>
  <c r="E14" i="107" s="1"/>
  <c r="D12" i="109"/>
  <c r="E12" i="109" s="1"/>
  <c r="F12" i="109" s="1"/>
  <c r="G12" i="109" s="1"/>
  <c r="H12" i="109" s="1"/>
  <c r="I12" i="109" s="1"/>
  <c r="N12" i="109" s="1"/>
  <c r="N16" i="93"/>
  <c r="D13" i="109"/>
  <c r="E13" i="109" s="1"/>
  <c r="F13" i="109" s="1"/>
  <c r="G13" i="109" s="1"/>
  <c r="H13" i="109" s="1"/>
  <c r="I13" i="109" s="1"/>
  <c r="J13" i="109" s="1"/>
  <c r="B10" i="106"/>
  <c r="D15" i="107"/>
  <c r="E15" i="107" s="1"/>
  <c r="D15" i="103"/>
  <c r="D11" i="108"/>
  <c r="E11" i="108" s="1"/>
  <c r="F11" i="108" s="1"/>
  <c r="G11" i="108" s="1"/>
  <c r="H11" i="108" s="1"/>
  <c r="N11" i="108" s="1"/>
  <c r="D10" i="106"/>
  <c r="E10" i="106" s="1"/>
  <c r="D13" i="107"/>
  <c r="E13" i="107" s="1"/>
  <c r="D10" i="109"/>
  <c r="E10" i="109" s="1"/>
  <c r="F10" i="109" s="1"/>
  <c r="G10" i="109" s="1"/>
  <c r="D16" i="108"/>
  <c r="E16" i="108" s="1"/>
  <c r="F16" i="108" s="1"/>
  <c r="G16" i="108" s="1"/>
  <c r="H16" i="108" s="1"/>
  <c r="I16" i="108" s="1"/>
  <c r="J16" i="108" s="1"/>
  <c r="K16" i="108" s="1"/>
  <c r="L16" i="108" s="1"/>
  <c r="M16" i="108" s="1"/>
  <c r="N16" i="108" s="1"/>
  <c r="D10" i="107"/>
  <c r="E10" i="107" s="1"/>
  <c r="B9" i="106"/>
  <c r="B9" i="100"/>
  <c r="D9" i="109"/>
  <c r="E9" i="109" s="1"/>
  <c r="U13" i="35"/>
  <c r="V13" i="35" s="1"/>
  <c r="S13" i="88"/>
  <c r="D9" i="106"/>
  <c r="E9" i="106" s="1"/>
  <c r="F9" i="106" s="1"/>
  <c r="D16" i="109"/>
  <c r="E16" i="109" s="1"/>
  <c r="T10" i="80"/>
  <c r="N10" i="80"/>
  <c r="B10" i="107"/>
  <c r="D11" i="107"/>
  <c r="E11" i="107" s="1"/>
  <c r="F11" i="107" s="1"/>
  <c r="G11" i="107" s="1"/>
  <c r="H11" i="107" s="1"/>
  <c r="W11" i="107" s="1"/>
  <c r="D15" i="109"/>
  <c r="E15" i="109" s="1"/>
  <c r="D9" i="111"/>
  <c r="E9" i="111" s="1"/>
  <c r="F9" i="111" s="1"/>
  <c r="D14" i="103"/>
  <c r="E14" i="103" s="1"/>
  <c r="B13" i="103"/>
  <c r="D13" i="103"/>
  <c r="E13" i="103" s="1"/>
  <c r="B9" i="111"/>
  <c r="D10" i="111"/>
  <c r="E10" i="111" s="1"/>
  <c r="D16" i="104"/>
  <c r="E16" i="104" s="1"/>
  <c r="D12" i="108"/>
  <c r="E12" i="108" s="1"/>
  <c r="D11" i="112"/>
  <c r="E11" i="112" s="1"/>
  <c r="F11" i="112" s="1"/>
  <c r="G11" i="112" s="1"/>
  <c r="H11" i="112" s="1"/>
  <c r="R11" i="112" s="1"/>
  <c r="S25" i="112" s="1"/>
  <c r="B15" i="107"/>
  <c r="D11" i="103"/>
  <c r="E11" i="103" s="1"/>
  <c r="D12" i="103"/>
  <c r="E12" i="103" s="1"/>
  <c r="F12" i="103" s="1"/>
  <c r="G12" i="103" s="1"/>
  <c r="H12" i="103" s="1"/>
  <c r="I12" i="103" s="1"/>
  <c r="N12" i="103" s="1"/>
  <c r="D11" i="111"/>
  <c r="E11" i="111" s="1"/>
  <c r="D10" i="102"/>
  <c r="E10" i="102" s="1"/>
  <c r="F10" i="102" s="1"/>
  <c r="G10" i="102" s="1"/>
  <c r="N10" i="102" s="1"/>
  <c r="D15" i="100"/>
  <c r="E15" i="100" s="1"/>
  <c r="F15" i="100" s="1"/>
  <c r="G15" i="100" s="1"/>
  <c r="H15" i="100" s="1"/>
  <c r="I15" i="100" s="1"/>
  <c r="J15" i="100" s="1"/>
  <c r="K15" i="100" s="1"/>
  <c r="L15" i="100" s="1"/>
  <c r="B15" i="104"/>
  <c r="D16" i="107"/>
  <c r="E16" i="107" s="1"/>
  <c r="F16" i="107" s="1"/>
  <c r="G16" i="107" s="1"/>
  <c r="H16" i="107" s="1"/>
  <c r="I16" i="107" s="1"/>
  <c r="J16" i="107" s="1"/>
  <c r="K16" i="107" s="1"/>
  <c r="L16" i="107" s="1"/>
  <c r="M16" i="107" s="1"/>
  <c r="N16" i="107" s="1"/>
  <c r="B12" i="108"/>
  <c r="D14" i="106"/>
  <c r="E14" i="106" s="1"/>
  <c r="F14" i="106" s="1"/>
  <c r="G14" i="106" s="1"/>
  <c r="H14" i="106" s="1"/>
  <c r="I14" i="106" s="1"/>
  <c r="J14" i="106" s="1"/>
  <c r="K14" i="106" s="1"/>
  <c r="R14" i="106" s="1"/>
  <c r="S28" i="106" s="1"/>
  <c r="D12" i="112"/>
  <c r="E12" i="112" s="1"/>
  <c r="D13" i="106"/>
  <c r="E13" i="106" s="1"/>
  <c r="D12" i="106"/>
  <c r="E12" i="106" s="1"/>
  <c r="D16" i="100"/>
  <c r="E16" i="100" s="1"/>
  <c r="S16" i="96"/>
  <c r="S10" i="80"/>
  <c r="R12" i="90"/>
  <c r="S38" i="90" s="1"/>
  <c r="D15" i="111"/>
  <c r="E15" i="111" s="1"/>
  <c r="D16" i="111"/>
  <c r="E16" i="111" s="1"/>
  <c r="F16" i="111" s="1"/>
  <c r="G16" i="111" s="1"/>
  <c r="H16" i="111" s="1"/>
  <c r="I16" i="111" s="1"/>
  <c r="J16" i="111" s="1"/>
  <c r="K16" i="111" s="1"/>
  <c r="L16" i="111" s="1"/>
  <c r="M16" i="111" s="1"/>
  <c r="N16" i="111" s="1"/>
  <c r="W13" i="88"/>
  <c r="B16" i="100"/>
  <c r="W10" i="80"/>
  <c r="D21" i="113"/>
  <c r="S39" i="88"/>
  <c r="E39" i="88"/>
  <c r="E27" i="88"/>
  <c r="D21" i="95"/>
  <c r="E51" i="88"/>
  <c r="S27" i="88"/>
  <c r="S51" i="88"/>
  <c r="V3" i="95"/>
  <c r="V3" i="113"/>
  <c r="V7" i="107"/>
  <c r="E15" i="105"/>
  <c r="F15" i="105" s="1"/>
  <c r="G15" i="105" s="1"/>
  <c r="H15" i="105" s="1"/>
  <c r="I15" i="105" s="1"/>
  <c r="J15" i="105" s="1"/>
  <c r="K15" i="105" s="1"/>
  <c r="L15" i="105" s="1"/>
  <c r="N15" i="105" s="1"/>
  <c r="M3" i="95"/>
  <c r="M3" i="113"/>
  <c r="V7" i="100"/>
  <c r="L3" i="95"/>
  <c r="L3" i="113"/>
  <c r="V7" i="89"/>
  <c r="D15" i="95"/>
  <c r="S33" i="88"/>
  <c r="U33" i="88" s="1"/>
  <c r="D15" i="113"/>
  <c r="S21" i="88"/>
  <c r="U21" i="88" s="1"/>
  <c r="S45" i="88"/>
  <c r="U45" i="88" s="1"/>
  <c r="E21" i="88"/>
  <c r="G21" i="88" s="1"/>
  <c r="E45" i="88"/>
  <c r="G45" i="88" s="1"/>
  <c r="E33" i="88"/>
  <c r="G33" i="88" s="1"/>
  <c r="B8" i="110"/>
  <c r="D8" i="110"/>
  <c r="E8" i="110" s="1"/>
  <c r="W8" i="110" s="1"/>
  <c r="D14" i="104"/>
  <c r="B14" i="104"/>
  <c r="B12" i="105"/>
  <c r="D12" i="105"/>
  <c r="F13" i="80"/>
  <c r="G13" i="80" s="1"/>
  <c r="H13" i="80" s="1"/>
  <c r="I13" i="80" s="1"/>
  <c r="J13" i="80" s="1"/>
  <c r="B12" i="99"/>
  <c r="D12" i="99"/>
  <c r="E2" i="92"/>
  <c r="R14" i="35"/>
  <c r="N14" i="35"/>
  <c r="R7" i="109"/>
  <c r="S21" i="109" s="1"/>
  <c r="U21" i="109" s="1"/>
  <c r="N7" i="109"/>
  <c r="E13" i="100"/>
  <c r="Q3" i="95"/>
  <c r="Q3" i="113"/>
  <c r="V7" i="104"/>
  <c r="D11" i="89"/>
  <c r="B11" i="89"/>
  <c r="F15" i="88"/>
  <c r="B8" i="112"/>
  <c r="D8" i="112"/>
  <c r="T8" i="112" s="1"/>
  <c r="S3" i="95"/>
  <c r="S3" i="113"/>
  <c r="V7" i="106"/>
  <c r="R7" i="100"/>
  <c r="S21" i="100" s="1"/>
  <c r="U21" i="100" s="1"/>
  <c r="N7" i="100"/>
  <c r="Y3" i="95"/>
  <c r="Y3" i="113"/>
  <c r="V7" i="110"/>
  <c r="E11" i="90"/>
  <c r="F11" i="90" s="1"/>
  <c r="G11" i="90" s="1"/>
  <c r="H11" i="90" s="1"/>
  <c r="N11" i="90" s="1"/>
  <c r="E11" i="93"/>
  <c r="F11" i="93" s="1"/>
  <c r="G11" i="93" s="1"/>
  <c r="H11" i="93" s="1"/>
  <c r="N11" i="93" s="1"/>
  <c r="S8" i="96"/>
  <c r="U8" i="96" s="1"/>
  <c r="E8" i="96"/>
  <c r="W8" i="96" s="1"/>
  <c r="E10" i="104"/>
  <c r="F10" i="104" s="1"/>
  <c r="G10" i="104" s="1"/>
  <c r="R10" i="104" s="1"/>
  <c r="S24" i="104" s="1"/>
  <c r="AA3" i="95"/>
  <c r="AA3" i="113"/>
  <c r="V7" i="112"/>
  <c r="R7" i="106"/>
  <c r="S21" i="106" s="1"/>
  <c r="U21" i="106" s="1"/>
  <c r="N7" i="106"/>
  <c r="D15" i="101"/>
  <c r="W12" i="90"/>
  <c r="E15" i="108"/>
  <c r="B14" i="112"/>
  <c r="D14" i="112"/>
  <c r="S8" i="93"/>
  <c r="U8" i="93" s="1"/>
  <c r="E8" i="93"/>
  <c r="W8" i="93" s="1"/>
  <c r="E12" i="107"/>
  <c r="E14" i="93"/>
  <c r="B9" i="99"/>
  <c r="D9" i="99"/>
  <c r="B13" i="112"/>
  <c r="D13" i="112"/>
  <c r="T13" i="88"/>
  <c r="B8" i="109"/>
  <c r="D8" i="109"/>
  <c r="T8" i="109" s="1"/>
  <c r="D16" i="112"/>
  <c r="B16" i="112"/>
  <c r="B9" i="101"/>
  <c r="D9" i="101"/>
  <c r="S7" i="94"/>
  <c r="E16" i="103"/>
  <c r="R7" i="105"/>
  <c r="S21" i="105" s="1"/>
  <c r="U21" i="105" s="1"/>
  <c r="N7" i="105"/>
  <c r="D10" i="110"/>
  <c r="B10" i="110"/>
  <c r="B8" i="104"/>
  <c r="D8" i="104"/>
  <c r="T8" i="104" s="1"/>
  <c r="R7" i="112"/>
  <c r="S21" i="112" s="1"/>
  <c r="U21" i="112" s="1"/>
  <c r="N7" i="112"/>
  <c r="E12" i="96"/>
  <c r="S12" i="80"/>
  <c r="D8" i="106"/>
  <c r="E8" i="106" s="1"/>
  <c r="W8" i="106" s="1"/>
  <c r="B8" i="106"/>
  <c r="E13" i="96"/>
  <c r="F13" i="96" s="1"/>
  <c r="G13" i="96" s="1"/>
  <c r="H13" i="96" s="1"/>
  <c r="I13" i="96" s="1"/>
  <c r="J13" i="96" s="1"/>
  <c r="B10" i="101"/>
  <c r="D10" i="101"/>
  <c r="D10" i="99"/>
  <c r="B10" i="99"/>
  <c r="X3" i="95"/>
  <c r="X3" i="113"/>
  <c r="V7" i="109"/>
  <c r="E15" i="96"/>
  <c r="F15" i="96" s="1"/>
  <c r="G15" i="96" s="1"/>
  <c r="H15" i="96" s="1"/>
  <c r="I15" i="96" s="1"/>
  <c r="J15" i="96" s="1"/>
  <c r="K15" i="96" s="1"/>
  <c r="L15" i="96" s="1"/>
  <c r="R15" i="96" s="1"/>
  <c r="S29" i="96" s="1"/>
  <c r="R7" i="104"/>
  <c r="S21" i="104" s="1"/>
  <c r="U21" i="104" s="1"/>
  <c r="N7" i="104"/>
  <c r="D8" i="107"/>
  <c r="T8" i="107" s="1"/>
  <c r="B8" i="107"/>
  <c r="B16" i="105"/>
  <c r="D16" i="105"/>
  <c r="E9" i="88"/>
  <c r="F9" i="88" s="1"/>
  <c r="R7" i="101"/>
  <c r="S21" i="101" s="1"/>
  <c r="U21" i="101" s="1"/>
  <c r="N7" i="101"/>
  <c r="B16" i="110"/>
  <c r="D16" i="110"/>
  <c r="N7" i="102"/>
  <c r="R7" i="102"/>
  <c r="S21" i="102" s="1"/>
  <c r="U21" i="102" s="1"/>
  <c r="B18" i="113"/>
  <c r="S36" i="80"/>
  <c r="S48" i="80"/>
  <c r="S24" i="80"/>
  <c r="B18" i="95"/>
  <c r="N16" i="97" s="1"/>
  <c r="B32" i="32" s="1"/>
  <c r="E48" i="80"/>
  <c r="E36" i="80"/>
  <c r="E24" i="80"/>
  <c r="B11" i="99"/>
  <c r="D11" i="99"/>
  <c r="E11" i="106"/>
  <c r="B13" i="110"/>
  <c r="D13" i="110"/>
  <c r="B11" i="110"/>
  <c r="D11" i="110"/>
  <c r="D9" i="89"/>
  <c r="B9" i="89"/>
  <c r="B13" i="102"/>
  <c r="D13" i="102"/>
  <c r="D10" i="105"/>
  <c r="B10" i="105"/>
  <c r="D8" i="105"/>
  <c r="T8" i="105" s="1"/>
  <c r="B8" i="105"/>
  <c r="B12" i="101"/>
  <c r="D12" i="101"/>
  <c r="T16" i="96"/>
  <c r="W14" i="35"/>
  <c r="F16" i="80"/>
  <c r="G16" i="80" s="1"/>
  <c r="H16" i="80" s="1"/>
  <c r="I16" i="80" s="1"/>
  <c r="J16" i="80" s="1"/>
  <c r="K16" i="80" s="1"/>
  <c r="L16" i="80" s="1"/>
  <c r="M16" i="80" s="1"/>
  <c r="R3" i="95"/>
  <c r="R3" i="113"/>
  <c r="V7" i="105"/>
  <c r="E14" i="102"/>
  <c r="F14" i="102" s="1"/>
  <c r="G14" i="102" s="1"/>
  <c r="H14" i="102" s="1"/>
  <c r="I14" i="102" s="1"/>
  <c r="J14" i="102" s="1"/>
  <c r="K14" i="102" s="1"/>
  <c r="N14" i="102" s="1"/>
  <c r="D8" i="100"/>
  <c r="E8" i="100" s="1"/>
  <c r="W8" i="100" s="1"/>
  <c r="B8" i="100"/>
  <c r="F13" i="90"/>
  <c r="D9" i="112"/>
  <c r="B9" i="112"/>
  <c r="E10" i="90"/>
  <c r="F10" i="90" s="1"/>
  <c r="B9" i="105"/>
  <c r="D9" i="105"/>
  <c r="N3" i="95"/>
  <c r="N3" i="113"/>
  <c r="V7" i="101"/>
  <c r="N12" i="80"/>
  <c r="D14" i="110"/>
  <c r="B14" i="110"/>
  <c r="C13" i="87"/>
  <c r="B13" i="87" s="1"/>
  <c r="T7" i="87"/>
  <c r="C11" i="87"/>
  <c r="B11" i="87" s="1"/>
  <c r="C14" i="87"/>
  <c r="C9" i="87"/>
  <c r="C10" i="87"/>
  <c r="C16" i="87"/>
  <c r="D7" i="87"/>
  <c r="C12" i="87"/>
  <c r="C15" i="87"/>
  <c r="C8" i="87"/>
  <c r="D15" i="104"/>
  <c r="O3" i="95"/>
  <c r="O3" i="113"/>
  <c r="V7" i="102"/>
  <c r="E9" i="80"/>
  <c r="F9" i="80" s="1"/>
  <c r="E8" i="80"/>
  <c r="R8" i="80" s="1"/>
  <c r="S8" i="80"/>
  <c r="U8" i="80" s="1"/>
  <c r="H27" i="113"/>
  <c r="T24" i="97" s="1"/>
  <c r="E14" i="109"/>
  <c r="D9" i="100"/>
  <c r="D16" i="99"/>
  <c r="B16" i="99"/>
  <c r="E12" i="93"/>
  <c r="B8" i="111"/>
  <c r="D8" i="111"/>
  <c r="B14" i="89"/>
  <c r="D14" i="89"/>
  <c r="N11" i="80"/>
  <c r="W16" i="96"/>
  <c r="D11" i="101"/>
  <c r="B11" i="101"/>
  <c r="D8" i="108"/>
  <c r="B8" i="108"/>
  <c r="B8" i="99"/>
  <c r="D8" i="99"/>
  <c r="D12" i="110"/>
  <c r="F14" i="80"/>
  <c r="G14" i="80" s="1"/>
  <c r="H14" i="80" s="1"/>
  <c r="I14" i="80" s="1"/>
  <c r="J14" i="80" s="1"/>
  <c r="K14" i="80" s="1"/>
  <c r="H24" i="113"/>
  <c r="H24" i="95"/>
  <c r="E54" i="93"/>
  <c r="E30" i="93"/>
  <c r="S42" i="93"/>
  <c r="S54" i="93"/>
  <c r="E42" i="93"/>
  <c r="E15" i="93"/>
  <c r="B8" i="103"/>
  <c r="D8" i="103"/>
  <c r="S8" i="103" s="1"/>
  <c r="T8" i="88"/>
  <c r="E8" i="88"/>
  <c r="W8" i="88" s="1"/>
  <c r="S8" i="88"/>
  <c r="E13" i="89"/>
  <c r="B16" i="106"/>
  <c r="D16" i="106"/>
  <c r="D15" i="110"/>
  <c r="B15" i="110"/>
  <c r="R7" i="107"/>
  <c r="S21" i="107" s="1"/>
  <c r="U21" i="107" s="1"/>
  <c r="N7" i="107"/>
  <c r="E8" i="90"/>
  <c r="N8" i="90" s="1"/>
  <c r="S8" i="90"/>
  <c r="U8" i="90" s="1"/>
  <c r="D11" i="102"/>
  <c r="B11" i="102"/>
  <c r="T12" i="80"/>
  <c r="D4" i="91"/>
  <c r="D1" i="91"/>
  <c r="E15" i="95"/>
  <c r="S45" i="90"/>
  <c r="U45" i="90" s="1"/>
  <c r="E15" i="113"/>
  <c r="S21" i="90"/>
  <c r="U21" i="90" s="1"/>
  <c r="S33" i="90"/>
  <c r="U33" i="90" s="1"/>
  <c r="E21" i="90"/>
  <c r="G21" i="90" s="1"/>
  <c r="E33" i="90"/>
  <c r="G33" i="90" s="1"/>
  <c r="E45" i="90"/>
  <c r="G45" i="90" s="1"/>
  <c r="B9" i="102"/>
  <c r="D9" i="102"/>
  <c r="D8" i="101"/>
  <c r="B8" i="101"/>
  <c r="D11" i="105"/>
  <c r="B11" i="105"/>
  <c r="D8" i="102"/>
  <c r="S8" i="102" s="1"/>
  <c r="B8" i="102"/>
  <c r="E10" i="96"/>
  <c r="T11" i="80"/>
  <c r="F16" i="88"/>
  <c r="R7" i="99"/>
  <c r="S21" i="99" s="1"/>
  <c r="W7" i="99"/>
  <c r="B14" i="99"/>
  <c r="D14" i="99"/>
  <c r="F9" i="93"/>
  <c r="T9" i="93"/>
  <c r="F14" i="88"/>
  <c r="Z3" i="95"/>
  <c r="Z3" i="113"/>
  <c r="V7" i="111"/>
  <c r="E15" i="90"/>
  <c r="W3" i="95"/>
  <c r="W3" i="113"/>
  <c r="V7" i="108"/>
  <c r="S11" i="80"/>
  <c r="T16" i="93"/>
  <c r="D14" i="101"/>
  <c r="B14" i="101"/>
  <c r="E11" i="104"/>
  <c r="F11" i="104" s="1"/>
  <c r="G11" i="104" s="1"/>
  <c r="H11" i="104" s="1"/>
  <c r="D15" i="112"/>
  <c r="B15" i="112"/>
  <c r="B14" i="100"/>
  <c r="D14" i="100"/>
  <c r="W12" i="80"/>
  <c r="R7" i="89"/>
  <c r="S21" i="89" s="1"/>
  <c r="U21" i="89" s="1"/>
  <c r="N7" i="89"/>
  <c r="E11" i="96"/>
  <c r="E14" i="96"/>
  <c r="E9" i="90"/>
  <c r="S9" i="90" s="1"/>
  <c r="F14" i="90"/>
  <c r="G14" i="90" s="1"/>
  <c r="H14" i="90" s="1"/>
  <c r="I14" i="90" s="1"/>
  <c r="J14" i="90" s="1"/>
  <c r="D12" i="102"/>
  <c r="W11" i="80"/>
  <c r="R7" i="103"/>
  <c r="S21" i="103" s="1"/>
  <c r="U21" i="103" s="1"/>
  <c r="N7" i="103"/>
  <c r="S7" i="87"/>
  <c r="E13" i="111"/>
  <c r="D15" i="99"/>
  <c r="B15" i="99"/>
  <c r="T14" i="35"/>
  <c r="I2" i="92" s="1"/>
  <c r="H4" i="92" s="1"/>
  <c r="F10" i="88"/>
  <c r="S10" i="88" s="1"/>
  <c r="E13" i="93"/>
  <c r="R7" i="111"/>
  <c r="S21" i="111" s="1"/>
  <c r="U21" i="111" s="1"/>
  <c r="N7" i="111"/>
  <c r="N13" i="88"/>
  <c r="E11" i="100"/>
  <c r="R7" i="108"/>
  <c r="S21" i="108" s="1"/>
  <c r="U21" i="108" s="1"/>
  <c r="N7" i="108"/>
  <c r="N7" i="99"/>
  <c r="E16" i="101"/>
  <c r="W16" i="93"/>
  <c r="D12" i="104"/>
  <c r="E12" i="104" s="1"/>
  <c r="F12" i="104" s="1"/>
  <c r="G12" i="104" s="1"/>
  <c r="H12" i="104" s="1"/>
  <c r="B12" i="104"/>
  <c r="C15" i="94"/>
  <c r="C14" i="94"/>
  <c r="D7" i="94"/>
  <c r="C9" i="94"/>
  <c r="T7" i="94"/>
  <c r="C16" i="94"/>
  <c r="C11" i="94"/>
  <c r="C13" i="94"/>
  <c r="C10" i="94"/>
  <c r="C12" i="94"/>
  <c r="C8" i="94"/>
  <c r="D14" i="105"/>
  <c r="B14" i="105"/>
  <c r="E9" i="107"/>
  <c r="K2" i="91"/>
  <c r="J4" i="91" s="1"/>
  <c r="F4" i="91"/>
  <c r="E38" i="80"/>
  <c r="B20" i="113"/>
  <c r="E50" i="80"/>
  <c r="S50" i="80"/>
  <c r="B20" i="95"/>
  <c r="E26" i="80"/>
  <c r="S38" i="80"/>
  <c r="S26" i="80"/>
  <c r="D9" i="103"/>
  <c r="D8" i="89"/>
  <c r="B8" i="89"/>
  <c r="D9" i="110"/>
  <c r="B9" i="110"/>
  <c r="S12" i="90"/>
  <c r="E14" i="111"/>
  <c r="F14" i="111" s="1"/>
  <c r="G14" i="111" s="1"/>
  <c r="H14" i="111" s="1"/>
  <c r="I14" i="111" s="1"/>
  <c r="J14" i="111" s="1"/>
  <c r="K14" i="111" s="1"/>
  <c r="E9" i="96"/>
  <c r="F9" i="96" s="1"/>
  <c r="F15" i="80"/>
  <c r="G15" i="80" s="1"/>
  <c r="H15" i="80" s="1"/>
  <c r="I15" i="80" s="1"/>
  <c r="J15" i="80" s="1"/>
  <c r="K15" i="80" s="1"/>
  <c r="L15" i="80" s="1"/>
  <c r="B15" i="95"/>
  <c r="B15" i="113"/>
  <c r="S45" i="80"/>
  <c r="U45" i="80" s="1"/>
  <c r="S21" i="80"/>
  <c r="U21" i="80" s="1"/>
  <c r="S33" i="80"/>
  <c r="U33" i="80" s="1"/>
  <c r="E33" i="80"/>
  <c r="G33" i="80" s="1"/>
  <c r="E45" i="80"/>
  <c r="G45" i="80" s="1"/>
  <c r="E21" i="80"/>
  <c r="G21" i="80" s="1"/>
  <c r="R7" i="110"/>
  <c r="S21" i="110" s="1"/>
  <c r="U21" i="110" s="1"/>
  <c r="N7" i="110"/>
  <c r="P3" i="95"/>
  <c r="P3" i="113"/>
  <c r="V7" i="103"/>
  <c r="B10" i="112"/>
  <c r="D10" i="112"/>
  <c r="E10" i="112" s="1"/>
  <c r="F10" i="112" s="1"/>
  <c r="F11" i="88"/>
  <c r="G11" i="88" s="1"/>
  <c r="H11" i="88" s="1"/>
  <c r="B15" i="89"/>
  <c r="D15" i="89"/>
  <c r="D13" i="99"/>
  <c r="B13" i="99"/>
  <c r="E10" i="93"/>
  <c r="F10" i="93" s="1"/>
  <c r="G10" i="93" s="1"/>
  <c r="N10" i="93" s="1"/>
  <c r="S14" i="35"/>
  <c r="B13" i="101"/>
  <c r="D13" i="101"/>
  <c r="B12" i="89"/>
  <c r="D12" i="89"/>
  <c r="S9" i="93"/>
  <c r="S7" i="93"/>
  <c r="U7" i="93" s="1"/>
  <c r="S16" i="93"/>
  <c r="J15" i="95"/>
  <c r="S33" i="96"/>
  <c r="U33" i="96" s="1"/>
  <c r="J15" i="113"/>
  <c r="S45" i="96"/>
  <c r="U45" i="96" s="1"/>
  <c r="E33" i="96"/>
  <c r="G33" i="96" s="1"/>
  <c r="E45" i="96"/>
  <c r="G45" i="96" s="1"/>
  <c r="E21" i="96"/>
  <c r="G21" i="96" s="1"/>
  <c r="E16" i="90"/>
  <c r="F16" i="90" s="1"/>
  <c r="G16" i="90" s="1"/>
  <c r="H16" i="90" s="1"/>
  <c r="I16" i="90" s="1"/>
  <c r="J16" i="90" s="1"/>
  <c r="K16" i="90" s="1"/>
  <c r="L16" i="90" s="1"/>
  <c r="M16" i="90" s="1"/>
  <c r="R16" i="90" s="1"/>
  <c r="H12" i="88"/>
  <c r="S12" i="88" s="1"/>
  <c r="S10" i="104"/>
  <c r="R14" i="111" l="1"/>
  <c r="S28" i="111" s="1"/>
  <c r="R11" i="104"/>
  <c r="S25" i="104" s="1"/>
  <c r="T10" i="104"/>
  <c r="U10" i="104" s="1"/>
  <c r="U24" i="104" s="1"/>
  <c r="R14" i="108"/>
  <c r="S28" i="108" s="1"/>
  <c r="S49" i="80"/>
  <c r="B55" i="113" s="1"/>
  <c r="U3" i="113"/>
  <c r="V7" i="99"/>
  <c r="U21" i="99"/>
  <c r="N13" i="108"/>
  <c r="E26" i="90"/>
  <c r="E32" i="95" s="1"/>
  <c r="S13" i="80"/>
  <c r="G21" i="93"/>
  <c r="S50" i="90"/>
  <c r="E56" i="113" s="1"/>
  <c r="E38" i="90"/>
  <c r="E20" i="95"/>
  <c r="E50" i="90"/>
  <c r="E56" i="95" s="1"/>
  <c r="S26" i="90"/>
  <c r="E32" i="113" s="1"/>
  <c r="E20" i="113"/>
  <c r="B19" i="113"/>
  <c r="S25" i="80"/>
  <c r="B31" i="113" s="1"/>
  <c r="S13" i="105"/>
  <c r="E49" i="80"/>
  <c r="B55" i="95" s="1"/>
  <c r="E25" i="80"/>
  <c r="B31" i="95" s="1"/>
  <c r="S42" i="96"/>
  <c r="J48" i="113" s="1"/>
  <c r="B19" i="95"/>
  <c r="U7" i="87"/>
  <c r="C3" i="95" s="1"/>
  <c r="O8" i="97" s="1"/>
  <c r="C24" i="32" s="1"/>
  <c r="E42" i="96"/>
  <c r="J48" i="95" s="1"/>
  <c r="E37" i="80"/>
  <c r="B43" i="95" s="1"/>
  <c r="S54" i="96"/>
  <c r="J60" i="113" s="1"/>
  <c r="E15" i="103"/>
  <c r="F15" i="103" s="1"/>
  <c r="G15" i="103" s="1"/>
  <c r="H15" i="103" s="1"/>
  <c r="I15" i="103" s="1"/>
  <c r="J15" i="103" s="1"/>
  <c r="K15" i="103" s="1"/>
  <c r="L15" i="103" s="1"/>
  <c r="N15" i="103" s="1"/>
  <c r="E30" i="96"/>
  <c r="J36" i="95" s="1"/>
  <c r="J24" i="113"/>
  <c r="J24" i="95"/>
  <c r="E54" i="96"/>
  <c r="J60" i="95" s="1"/>
  <c r="N13" i="109"/>
  <c r="S13" i="108"/>
  <c r="R13" i="108"/>
  <c r="S27" i="108" s="1"/>
  <c r="W10" i="109"/>
  <c r="R10" i="109"/>
  <c r="S24" i="109" s="1"/>
  <c r="N10" i="109"/>
  <c r="U13" i="88"/>
  <c r="T39" i="88" s="1"/>
  <c r="T10" i="103"/>
  <c r="S10" i="103"/>
  <c r="U12" i="90"/>
  <c r="S8" i="106"/>
  <c r="R16" i="108"/>
  <c r="S30" i="108" s="1"/>
  <c r="T14" i="102"/>
  <c r="S14" i="102"/>
  <c r="T13" i="105"/>
  <c r="R9" i="106"/>
  <c r="S23" i="106" s="1"/>
  <c r="T16" i="89"/>
  <c r="S16" i="89"/>
  <c r="U10" i="80"/>
  <c r="V10" i="80" s="1"/>
  <c r="U16" i="93"/>
  <c r="U30" i="93" s="1"/>
  <c r="N16" i="89"/>
  <c r="F11" i="103"/>
  <c r="G11" i="103" s="1"/>
  <c r="H11" i="103" s="1"/>
  <c r="R11" i="103" s="1"/>
  <c r="S25" i="103" s="1"/>
  <c r="R11" i="90"/>
  <c r="E37" i="90" s="1"/>
  <c r="N9" i="111"/>
  <c r="T12" i="109"/>
  <c r="U16" i="96"/>
  <c r="U30" i="96" s="1"/>
  <c r="T16" i="80"/>
  <c r="R8" i="93"/>
  <c r="S22" i="93" s="1"/>
  <c r="U22" i="93" s="1"/>
  <c r="W13" i="80"/>
  <c r="S10" i="108"/>
  <c r="S8" i="110"/>
  <c r="N11" i="107"/>
  <c r="N9" i="106"/>
  <c r="R15" i="100"/>
  <c r="S29" i="100" s="1"/>
  <c r="N15" i="100"/>
  <c r="T9" i="106"/>
  <c r="N10" i="103"/>
  <c r="S9" i="106"/>
  <c r="T11" i="107"/>
  <c r="R11" i="107"/>
  <c r="S25" i="107" s="1"/>
  <c r="S14" i="108"/>
  <c r="S11" i="107"/>
  <c r="W9" i="111"/>
  <c r="N10" i="104"/>
  <c r="T15" i="96"/>
  <c r="W13" i="108"/>
  <c r="T8" i="110"/>
  <c r="R13" i="104"/>
  <c r="S27" i="104" s="1"/>
  <c r="W10" i="103"/>
  <c r="T11" i="93"/>
  <c r="S9" i="80"/>
  <c r="S11" i="93"/>
  <c r="W15" i="96"/>
  <c r="F12" i="112"/>
  <c r="G12" i="112" s="1"/>
  <c r="H12" i="112" s="1"/>
  <c r="I12" i="112" s="1"/>
  <c r="W12" i="112" s="1"/>
  <c r="S9" i="96"/>
  <c r="T14" i="90"/>
  <c r="W14" i="106"/>
  <c r="W13" i="96"/>
  <c r="S10" i="93"/>
  <c r="W11" i="93"/>
  <c r="W16" i="111"/>
  <c r="W9" i="106"/>
  <c r="T16" i="107"/>
  <c r="S14" i="106"/>
  <c r="S8" i="112"/>
  <c r="U8" i="112" s="1"/>
  <c r="AA4" i="113" s="1"/>
  <c r="S15" i="80"/>
  <c r="R16" i="107"/>
  <c r="S30" i="107" s="1"/>
  <c r="N13" i="105"/>
  <c r="S16" i="107"/>
  <c r="S13" i="96"/>
  <c r="W16" i="107"/>
  <c r="W14" i="111"/>
  <c r="T12" i="103"/>
  <c r="W9" i="80"/>
  <c r="W16" i="89"/>
  <c r="W14" i="108"/>
  <c r="U8" i="88"/>
  <c r="D4" i="113" s="1"/>
  <c r="S16" i="80"/>
  <c r="W15" i="100"/>
  <c r="T8" i="103"/>
  <c r="U8" i="103" s="1"/>
  <c r="P4" i="113" s="1"/>
  <c r="W12" i="109"/>
  <c r="B44" i="95"/>
  <c r="T8" i="102"/>
  <c r="U8" i="102" s="1"/>
  <c r="T10" i="112"/>
  <c r="N8" i="93"/>
  <c r="B54" i="95"/>
  <c r="W9" i="88"/>
  <c r="W10" i="102"/>
  <c r="D57" i="95"/>
  <c r="W11" i="112"/>
  <c r="F33" i="93"/>
  <c r="U21" i="93"/>
  <c r="R8" i="90"/>
  <c r="E22" i="90" s="1"/>
  <c r="H48" i="95"/>
  <c r="T16" i="108"/>
  <c r="T13" i="109"/>
  <c r="R8" i="96"/>
  <c r="S22" i="96" s="1"/>
  <c r="U22" i="96" s="1"/>
  <c r="S13" i="104"/>
  <c r="D33" i="95"/>
  <c r="G33" i="93"/>
  <c r="U9" i="93"/>
  <c r="H5" i="113" s="1"/>
  <c r="H60" i="113"/>
  <c r="S14" i="80"/>
  <c r="T9" i="80"/>
  <c r="W16" i="108"/>
  <c r="W13" i="109"/>
  <c r="B54" i="113"/>
  <c r="T13" i="96"/>
  <c r="N8" i="96"/>
  <c r="B43" i="113"/>
  <c r="T13" i="104"/>
  <c r="D45" i="95"/>
  <c r="G45" i="93"/>
  <c r="B32" i="95"/>
  <c r="D45" i="113"/>
  <c r="U33" i="93"/>
  <c r="N11" i="112"/>
  <c r="W14" i="80"/>
  <c r="S13" i="109"/>
  <c r="T14" i="80"/>
  <c r="H36" i="95"/>
  <c r="R13" i="109"/>
  <c r="S27" i="109" s="1"/>
  <c r="T10" i="108"/>
  <c r="E44" i="113"/>
  <c r="R10" i="102"/>
  <c r="S24" i="102" s="1"/>
  <c r="S11" i="90"/>
  <c r="U45" i="93"/>
  <c r="H48" i="113"/>
  <c r="T11" i="108"/>
  <c r="S14" i="111"/>
  <c r="W10" i="93"/>
  <c r="S11" i="88"/>
  <c r="B56" i="113"/>
  <c r="H60" i="95"/>
  <c r="B30" i="95"/>
  <c r="N21" i="97" s="1"/>
  <c r="B37" i="32" s="1"/>
  <c r="W10" i="108"/>
  <c r="S15" i="96"/>
  <c r="T8" i="106"/>
  <c r="W11" i="90"/>
  <c r="T10" i="102"/>
  <c r="D57" i="113"/>
  <c r="S11" i="112"/>
  <c r="B56" i="95"/>
  <c r="B42" i="95"/>
  <c r="T9" i="88"/>
  <c r="S10" i="102"/>
  <c r="T11" i="112"/>
  <c r="Q18" i="113"/>
  <c r="S36" i="104"/>
  <c r="Q18" i="95"/>
  <c r="E48" i="104"/>
  <c r="E36" i="104"/>
  <c r="E24" i="104"/>
  <c r="S48" i="104"/>
  <c r="E24" i="113"/>
  <c r="E30" i="90"/>
  <c r="E24" i="95"/>
  <c r="E54" i="90"/>
  <c r="E42" i="90"/>
  <c r="S30" i="90"/>
  <c r="S42" i="90"/>
  <c r="S54" i="90"/>
  <c r="H4" i="113"/>
  <c r="V8" i="93"/>
  <c r="H4" i="95"/>
  <c r="R21" i="113"/>
  <c r="R21" i="95"/>
  <c r="E27" i="105"/>
  <c r="E51" i="105"/>
  <c r="E39" i="105"/>
  <c r="S39" i="105"/>
  <c r="S51" i="105"/>
  <c r="S22" i="113"/>
  <c r="E28" i="106"/>
  <c r="S22" i="95"/>
  <c r="S40" i="106"/>
  <c r="E40" i="106"/>
  <c r="S52" i="106"/>
  <c r="E52" i="106"/>
  <c r="J4" i="113"/>
  <c r="V8" i="96"/>
  <c r="J4" i="95"/>
  <c r="E12" i="89"/>
  <c r="F12" i="89" s="1"/>
  <c r="G12" i="89" s="1"/>
  <c r="H12" i="89" s="1"/>
  <c r="I12" i="89" s="1"/>
  <c r="N12" i="89" s="1"/>
  <c r="D9" i="94"/>
  <c r="B9" i="94"/>
  <c r="E15" i="99"/>
  <c r="F15" i="99" s="1"/>
  <c r="G15" i="99" s="1"/>
  <c r="H15" i="99" s="1"/>
  <c r="I15" i="99" s="1"/>
  <c r="J15" i="99" s="1"/>
  <c r="K15" i="99" s="1"/>
  <c r="L15" i="99" s="1"/>
  <c r="R15" i="99" s="1"/>
  <c r="S29" i="99" s="1"/>
  <c r="F15" i="102"/>
  <c r="G15" i="102" s="1"/>
  <c r="H15" i="102" s="1"/>
  <c r="I15" i="102" s="1"/>
  <c r="J15" i="102" s="1"/>
  <c r="K15" i="102" s="1"/>
  <c r="E14" i="99"/>
  <c r="T11" i="104"/>
  <c r="E8" i="101"/>
  <c r="R8" i="101" s="1"/>
  <c r="S22" i="101" s="1"/>
  <c r="S8" i="101"/>
  <c r="F21" i="90"/>
  <c r="E27" i="95"/>
  <c r="F13" i="89"/>
  <c r="G13" i="89" s="1"/>
  <c r="H13" i="89" s="1"/>
  <c r="I13" i="89" s="1"/>
  <c r="J13" i="89" s="1"/>
  <c r="E8" i="108"/>
  <c r="W8" i="108" s="1"/>
  <c r="S8" i="108"/>
  <c r="E9" i="100"/>
  <c r="F9" i="100" s="1"/>
  <c r="T21" i="93"/>
  <c r="D8" i="87"/>
  <c r="T8" i="87" s="1"/>
  <c r="B8" i="87"/>
  <c r="D14" i="87"/>
  <c r="B14" i="87"/>
  <c r="L24" i="113"/>
  <c r="E30" i="89"/>
  <c r="L24" i="95"/>
  <c r="E54" i="89"/>
  <c r="E42" i="89"/>
  <c r="S42" i="89"/>
  <c r="S54" i="89"/>
  <c r="T10" i="90"/>
  <c r="G10" i="90"/>
  <c r="W10" i="90" s="1"/>
  <c r="B30" i="113"/>
  <c r="E16" i="105"/>
  <c r="F16" i="105" s="1"/>
  <c r="G16" i="105" s="1"/>
  <c r="H16" i="105" s="1"/>
  <c r="I16" i="105" s="1"/>
  <c r="J16" i="105" s="1"/>
  <c r="K16" i="105" s="1"/>
  <c r="L16" i="105" s="1"/>
  <c r="M16" i="105" s="1"/>
  <c r="N16" i="105" s="1"/>
  <c r="F13" i="106"/>
  <c r="G13" i="106" s="1"/>
  <c r="H13" i="106" s="1"/>
  <c r="I13" i="106" s="1"/>
  <c r="J13" i="106" s="1"/>
  <c r="M15" i="95"/>
  <c r="S33" i="100"/>
  <c r="M15" i="113"/>
  <c r="S45" i="100"/>
  <c r="U45" i="100" s="1"/>
  <c r="E45" i="100"/>
  <c r="G45" i="100" s="1"/>
  <c r="E21" i="100"/>
  <c r="G21" i="100" s="1"/>
  <c r="E33" i="100"/>
  <c r="F16" i="104"/>
  <c r="G16" i="104" s="1"/>
  <c r="H16" i="104" s="1"/>
  <c r="I16" i="104" s="1"/>
  <c r="J16" i="104" s="1"/>
  <c r="K16" i="104" s="1"/>
  <c r="L16" i="104" s="1"/>
  <c r="M16" i="104" s="1"/>
  <c r="F33" i="88"/>
  <c r="D39" i="95"/>
  <c r="W11" i="88"/>
  <c r="B39" i="113"/>
  <c r="T33" i="80"/>
  <c r="B8" i="94"/>
  <c r="D8" i="94"/>
  <c r="E8" i="94" s="1"/>
  <c r="W8" i="94" s="1"/>
  <c r="J27" i="95"/>
  <c r="F21" i="96"/>
  <c r="E13" i="99"/>
  <c r="F13" i="99" s="1"/>
  <c r="G13" i="99" s="1"/>
  <c r="H13" i="99" s="1"/>
  <c r="I13" i="99" s="1"/>
  <c r="J13" i="99" s="1"/>
  <c r="N13" i="99" s="1"/>
  <c r="E15" i="89"/>
  <c r="B27" i="113"/>
  <c r="T21" i="80"/>
  <c r="W9" i="96"/>
  <c r="R9" i="96"/>
  <c r="S23" i="96" s="1"/>
  <c r="N9" i="96"/>
  <c r="Z22" i="113"/>
  <c r="E52" i="111"/>
  <c r="E28" i="111"/>
  <c r="Z22" i="95"/>
  <c r="E40" i="111"/>
  <c r="S40" i="111"/>
  <c r="S52" i="111"/>
  <c r="T8" i="89"/>
  <c r="E8" i="89"/>
  <c r="N8" i="89" s="1"/>
  <c r="W7" i="94"/>
  <c r="N7" i="94"/>
  <c r="R7" i="94"/>
  <c r="S21" i="94" s="1"/>
  <c r="F13" i="93"/>
  <c r="T9" i="109"/>
  <c r="S14" i="90"/>
  <c r="K14" i="90"/>
  <c r="W14" i="90" s="1"/>
  <c r="F14" i="96"/>
  <c r="E15" i="112"/>
  <c r="G16" i="88"/>
  <c r="T15" i="80"/>
  <c r="E39" i="113"/>
  <c r="T33" i="90"/>
  <c r="C16" i="91"/>
  <c r="C13" i="91"/>
  <c r="C12" i="91"/>
  <c r="D7" i="91"/>
  <c r="C15" i="91"/>
  <c r="T7" i="91"/>
  <c r="C9" i="91"/>
  <c r="C11" i="91"/>
  <c r="C14" i="91"/>
  <c r="C10" i="91"/>
  <c r="C8" i="91"/>
  <c r="E11" i="102"/>
  <c r="E15" i="110"/>
  <c r="R14" i="80"/>
  <c r="N14" i="80"/>
  <c r="F14" i="109"/>
  <c r="B4" i="113"/>
  <c r="B4" i="95"/>
  <c r="W11" i="108"/>
  <c r="E9" i="105"/>
  <c r="W14" i="102"/>
  <c r="E12" i="101"/>
  <c r="E10" i="105"/>
  <c r="F10" i="105" s="1"/>
  <c r="G10" i="105" s="1"/>
  <c r="N10" i="105" s="1"/>
  <c r="E11" i="110"/>
  <c r="F11" i="106"/>
  <c r="T45" i="93"/>
  <c r="E16" i="110"/>
  <c r="S9" i="88"/>
  <c r="Q15" i="95"/>
  <c r="S33" i="104"/>
  <c r="Q15" i="113"/>
  <c r="S45" i="104"/>
  <c r="U45" i="104" s="1"/>
  <c r="E45" i="104"/>
  <c r="G45" i="104" s="1"/>
  <c r="E33" i="104"/>
  <c r="E21" i="104"/>
  <c r="G21" i="104" s="1"/>
  <c r="E10" i="101"/>
  <c r="R8" i="106"/>
  <c r="S22" i="106" s="1"/>
  <c r="N8" i="106"/>
  <c r="E9" i="101"/>
  <c r="S9" i="101" s="1"/>
  <c r="F14" i="93"/>
  <c r="R10" i="108"/>
  <c r="S24" i="108" s="1"/>
  <c r="R12" i="109"/>
  <c r="S26" i="109" s="1"/>
  <c r="F45" i="88"/>
  <c r="D51" i="95"/>
  <c r="F14" i="107"/>
  <c r="T10" i="93"/>
  <c r="S9" i="111"/>
  <c r="S16" i="108"/>
  <c r="S8" i="89"/>
  <c r="S12" i="103"/>
  <c r="F45" i="96"/>
  <c r="J51" i="95"/>
  <c r="B51" i="113"/>
  <c r="T45" i="80"/>
  <c r="E9" i="103"/>
  <c r="F9" i="103" s="1"/>
  <c r="F9" i="107"/>
  <c r="S9" i="107"/>
  <c r="B12" i="94"/>
  <c r="D12" i="94"/>
  <c r="D14" i="94"/>
  <c r="B14" i="94"/>
  <c r="W15" i="95"/>
  <c r="S45" i="108"/>
  <c r="U45" i="108" s="1"/>
  <c r="W15" i="113"/>
  <c r="S33" i="108"/>
  <c r="U33" i="108" s="1"/>
  <c r="E21" i="108"/>
  <c r="G21" i="108" s="1"/>
  <c r="E45" i="108"/>
  <c r="G45" i="108" s="1"/>
  <c r="E33" i="108"/>
  <c r="G33" i="108" s="1"/>
  <c r="F15" i="109"/>
  <c r="G15" i="109" s="1"/>
  <c r="H15" i="109" s="1"/>
  <c r="I15" i="109" s="1"/>
  <c r="J15" i="109" s="1"/>
  <c r="K15" i="109" s="1"/>
  <c r="L15" i="109" s="1"/>
  <c r="T33" i="93"/>
  <c r="N14" i="111"/>
  <c r="L15" i="95"/>
  <c r="L15" i="113"/>
  <c r="S45" i="89"/>
  <c r="U45" i="89" s="1"/>
  <c r="S33" i="89"/>
  <c r="E21" i="89"/>
  <c r="G21" i="89" s="1"/>
  <c r="E45" i="89"/>
  <c r="G45" i="89" s="1"/>
  <c r="E33" i="89"/>
  <c r="E14" i="100"/>
  <c r="F14" i="100" s="1"/>
  <c r="G14" i="100" s="1"/>
  <c r="H14" i="100" s="1"/>
  <c r="I14" i="100" s="1"/>
  <c r="J14" i="100" s="1"/>
  <c r="K14" i="100" s="1"/>
  <c r="N14" i="100" s="1"/>
  <c r="W11" i="104"/>
  <c r="F12" i="108"/>
  <c r="T21" i="90"/>
  <c r="E27" i="113"/>
  <c r="E4" i="113"/>
  <c r="E4" i="95"/>
  <c r="E12" i="110"/>
  <c r="F12" i="110" s="1"/>
  <c r="G12" i="110" s="1"/>
  <c r="H12" i="110" s="1"/>
  <c r="I12" i="110" s="1"/>
  <c r="F16" i="109"/>
  <c r="F12" i="93"/>
  <c r="W8" i="80"/>
  <c r="V8" i="80" s="1"/>
  <c r="D15" i="87"/>
  <c r="B15" i="87"/>
  <c r="F16" i="100"/>
  <c r="T14" i="106"/>
  <c r="E11" i="99"/>
  <c r="B42" i="113"/>
  <c r="AA15" i="95"/>
  <c r="AA15" i="113"/>
  <c r="S45" i="112"/>
  <c r="S33" i="112"/>
  <c r="U33" i="112" s="1"/>
  <c r="E33" i="112"/>
  <c r="G33" i="112" s="1"/>
  <c r="E21" i="112"/>
  <c r="G21" i="112" s="1"/>
  <c r="E45" i="112"/>
  <c r="E9" i="99"/>
  <c r="F9" i="99" s="1"/>
  <c r="R9" i="99" s="1"/>
  <c r="S23" i="99" s="1"/>
  <c r="W10" i="104"/>
  <c r="G15" i="88"/>
  <c r="F12" i="106"/>
  <c r="T13" i="80"/>
  <c r="N8" i="110"/>
  <c r="R8" i="110"/>
  <c r="S22" i="110" s="1"/>
  <c r="F21" i="88"/>
  <c r="D27" i="95"/>
  <c r="T10" i="109"/>
  <c r="S8" i="100"/>
  <c r="W16" i="80"/>
  <c r="J39" i="95"/>
  <c r="F33" i="96"/>
  <c r="B32" i="113"/>
  <c r="S7" i="91"/>
  <c r="D10" i="94"/>
  <c r="B10" i="94"/>
  <c r="B15" i="94"/>
  <c r="D15" i="94"/>
  <c r="F13" i="111"/>
  <c r="G13" i="111" s="1"/>
  <c r="H13" i="111" s="1"/>
  <c r="I13" i="111" s="1"/>
  <c r="J13" i="111" s="1"/>
  <c r="F9" i="109"/>
  <c r="S9" i="109"/>
  <c r="F9" i="90"/>
  <c r="W9" i="90" s="1"/>
  <c r="T9" i="90"/>
  <c r="U9" i="90" s="1"/>
  <c r="Q19" i="113"/>
  <c r="E25" i="104"/>
  <c r="E14" i="101"/>
  <c r="F14" i="101" s="1"/>
  <c r="G14" i="101" s="1"/>
  <c r="H14" i="101" s="1"/>
  <c r="I14" i="101" s="1"/>
  <c r="J14" i="101" s="1"/>
  <c r="K14" i="101" s="1"/>
  <c r="R14" i="101" s="1"/>
  <c r="S28" i="101" s="1"/>
  <c r="U15" i="95"/>
  <c r="S45" i="99"/>
  <c r="U45" i="99" s="1"/>
  <c r="U15" i="113"/>
  <c r="S33" i="99"/>
  <c r="E33" i="99"/>
  <c r="E21" i="99"/>
  <c r="G21" i="99" s="1"/>
  <c r="E45" i="99"/>
  <c r="G45" i="99" s="1"/>
  <c r="F10" i="96"/>
  <c r="G10" i="96" s="1"/>
  <c r="E16" i="106"/>
  <c r="F16" i="106" s="1"/>
  <c r="G16" i="106" s="1"/>
  <c r="H16" i="106" s="1"/>
  <c r="I16" i="106" s="1"/>
  <c r="J16" i="106" s="1"/>
  <c r="K16" i="106" s="1"/>
  <c r="L16" i="106" s="1"/>
  <c r="M16" i="106" s="1"/>
  <c r="N16" i="106" s="1"/>
  <c r="B16" i="113"/>
  <c r="S22" i="80"/>
  <c r="S46" i="80"/>
  <c r="S34" i="80"/>
  <c r="U34" i="80" s="1"/>
  <c r="E46" i="80"/>
  <c r="E22" i="80"/>
  <c r="E34" i="80"/>
  <c r="B16" i="95"/>
  <c r="N14" i="97" s="1"/>
  <c r="B30" i="32" s="1"/>
  <c r="D13" i="87"/>
  <c r="B12" i="87"/>
  <c r="D12" i="87"/>
  <c r="E9" i="112"/>
  <c r="T9" i="112" s="1"/>
  <c r="F9" i="108"/>
  <c r="W9" i="108" s="1"/>
  <c r="T9" i="108"/>
  <c r="U9" i="108" s="1"/>
  <c r="R16" i="111"/>
  <c r="S30" i="111" s="1"/>
  <c r="E10" i="110"/>
  <c r="F10" i="110" s="1"/>
  <c r="G10" i="110" s="1"/>
  <c r="R10" i="110" s="1"/>
  <c r="S24" i="110" s="1"/>
  <c r="F16" i="103"/>
  <c r="G16" i="103" s="1"/>
  <c r="H16" i="103" s="1"/>
  <c r="I16" i="103" s="1"/>
  <c r="J16" i="103" s="1"/>
  <c r="K16" i="103" s="1"/>
  <c r="L16" i="103" s="1"/>
  <c r="M16" i="103" s="1"/>
  <c r="F12" i="107"/>
  <c r="G12" i="107" s="1"/>
  <c r="H12" i="107" s="1"/>
  <c r="I12" i="107" s="1"/>
  <c r="F15" i="108"/>
  <c r="G15" i="108" s="1"/>
  <c r="H15" i="108" s="1"/>
  <c r="I15" i="108" s="1"/>
  <c r="J15" i="108" s="1"/>
  <c r="K15" i="108" s="1"/>
  <c r="L15" i="108" s="1"/>
  <c r="S12" i="104"/>
  <c r="F9" i="104"/>
  <c r="T9" i="104"/>
  <c r="U9" i="104" s="1"/>
  <c r="N13" i="80"/>
  <c r="R13" i="80"/>
  <c r="T45" i="88"/>
  <c r="D51" i="113"/>
  <c r="S11" i="108"/>
  <c r="W15" i="80"/>
  <c r="F14" i="103"/>
  <c r="R11" i="88"/>
  <c r="N11" i="88"/>
  <c r="Y15" i="95"/>
  <c r="S45" i="110"/>
  <c r="U45" i="110" s="1"/>
  <c r="Y15" i="113"/>
  <c r="S33" i="110"/>
  <c r="U33" i="110" s="1"/>
  <c r="E21" i="110"/>
  <c r="G21" i="110" s="1"/>
  <c r="E33" i="110"/>
  <c r="G33" i="110" s="1"/>
  <c r="E45" i="110"/>
  <c r="G45" i="110" s="1"/>
  <c r="B44" i="113"/>
  <c r="D13" i="94"/>
  <c r="B13" i="94"/>
  <c r="F16" i="101"/>
  <c r="F13" i="103"/>
  <c r="E12" i="102"/>
  <c r="F12" i="102" s="1"/>
  <c r="G12" i="102" s="1"/>
  <c r="H12" i="102" s="1"/>
  <c r="I12" i="102" s="1"/>
  <c r="J36" i="113"/>
  <c r="F10" i="107"/>
  <c r="S10" i="107" s="1"/>
  <c r="E9" i="102"/>
  <c r="T45" i="90"/>
  <c r="E51" i="113"/>
  <c r="W8" i="90"/>
  <c r="V8" i="90" s="1"/>
  <c r="F15" i="93"/>
  <c r="E11" i="101"/>
  <c r="F11" i="101" s="1"/>
  <c r="G11" i="101" s="1"/>
  <c r="H11" i="101" s="1"/>
  <c r="R11" i="101" s="1"/>
  <c r="S25" i="101" s="1"/>
  <c r="W7" i="87"/>
  <c r="N7" i="87"/>
  <c r="R7" i="87"/>
  <c r="E13" i="102"/>
  <c r="R11" i="108"/>
  <c r="S25" i="108" s="1"/>
  <c r="N9" i="88"/>
  <c r="R9" i="88"/>
  <c r="U12" i="80"/>
  <c r="T26" i="80" s="1"/>
  <c r="S15" i="95"/>
  <c r="S33" i="106"/>
  <c r="S15" i="113"/>
  <c r="S45" i="106"/>
  <c r="U45" i="106" s="1"/>
  <c r="E33" i="106"/>
  <c r="E21" i="106"/>
  <c r="G21" i="106" s="1"/>
  <c r="E45" i="106"/>
  <c r="G45" i="106" s="1"/>
  <c r="F11" i="109"/>
  <c r="N16" i="90"/>
  <c r="X15" i="95"/>
  <c r="S33" i="109"/>
  <c r="U33" i="109" s="1"/>
  <c r="X15" i="113"/>
  <c r="S45" i="109"/>
  <c r="U45" i="109" s="1"/>
  <c r="E33" i="109"/>
  <c r="G33" i="109" s="1"/>
  <c r="E45" i="109"/>
  <c r="G45" i="109" s="1"/>
  <c r="E21" i="109"/>
  <c r="G21" i="109" s="1"/>
  <c r="D4" i="92"/>
  <c r="D1" i="92"/>
  <c r="E14" i="104"/>
  <c r="N14" i="106"/>
  <c r="T21" i="88"/>
  <c r="D27" i="113"/>
  <c r="S16" i="111"/>
  <c r="T14" i="108"/>
  <c r="W13" i="104"/>
  <c r="AA19" i="113"/>
  <c r="S37" i="112"/>
  <c r="AA19" i="95"/>
  <c r="E49" i="112"/>
  <c r="E37" i="112"/>
  <c r="S49" i="112"/>
  <c r="E25" i="112"/>
  <c r="T45" i="96"/>
  <c r="J51" i="113"/>
  <c r="G2" i="92"/>
  <c r="U14" i="35"/>
  <c r="V14" i="35" s="1"/>
  <c r="B27" i="95"/>
  <c r="F21" i="80"/>
  <c r="E9" i="110"/>
  <c r="E14" i="105"/>
  <c r="B11" i="94"/>
  <c r="D11" i="94"/>
  <c r="F11" i="100"/>
  <c r="G11" i="100" s="1"/>
  <c r="H11" i="100" s="1"/>
  <c r="G10" i="88"/>
  <c r="T10" i="88"/>
  <c r="U10" i="88" s="1"/>
  <c r="F11" i="96"/>
  <c r="F10" i="106"/>
  <c r="S10" i="106" s="1"/>
  <c r="G14" i="88"/>
  <c r="E11" i="105"/>
  <c r="H36" i="113"/>
  <c r="E14" i="89"/>
  <c r="D16" i="87"/>
  <c r="B16" i="87"/>
  <c r="G13" i="90"/>
  <c r="E8" i="105"/>
  <c r="N8" i="105" s="1"/>
  <c r="S8" i="105"/>
  <c r="U8" i="105" s="1"/>
  <c r="O15" i="95"/>
  <c r="S33" i="102"/>
  <c r="O15" i="113"/>
  <c r="S45" i="102"/>
  <c r="U45" i="102" s="1"/>
  <c r="E45" i="102"/>
  <c r="G45" i="102" s="1"/>
  <c r="E33" i="102"/>
  <c r="E21" i="102"/>
  <c r="G21" i="102" s="1"/>
  <c r="E10" i="99"/>
  <c r="P18" i="113"/>
  <c r="S36" i="103"/>
  <c r="P18" i="95"/>
  <c r="E36" i="103"/>
  <c r="E24" i="103"/>
  <c r="E48" i="103"/>
  <c r="S48" i="103"/>
  <c r="U7" i="94"/>
  <c r="E16" i="112"/>
  <c r="F10" i="100"/>
  <c r="G10" i="100" s="1"/>
  <c r="E15" i="101"/>
  <c r="F15" i="101" s="1"/>
  <c r="G15" i="101" s="1"/>
  <c r="H15" i="101" s="1"/>
  <c r="I15" i="101" s="1"/>
  <c r="J15" i="101" s="1"/>
  <c r="K15" i="101" s="1"/>
  <c r="L15" i="101" s="1"/>
  <c r="R12" i="103"/>
  <c r="S26" i="103" s="1"/>
  <c r="R15" i="105"/>
  <c r="S29" i="105" s="1"/>
  <c r="E11" i="89"/>
  <c r="S10" i="109"/>
  <c r="R10" i="93"/>
  <c r="S24" i="93" s="1"/>
  <c r="E12" i="105"/>
  <c r="F12" i="105" s="1"/>
  <c r="G12" i="105" s="1"/>
  <c r="H12" i="105" s="1"/>
  <c r="I12" i="105" s="1"/>
  <c r="R12" i="105" s="1"/>
  <c r="S26" i="105" s="1"/>
  <c r="S15" i="105"/>
  <c r="T16" i="90"/>
  <c r="H3" i="95"/>
  <c r="T8" i="97" s="1"/>
  <c r="T44" i="97" s="1"/>
  <c r="H3" i="113"/>
  <c r="H63" i="113" s="1"/>
  <c r="T34" i="97" s="1"/>
  <c r="V7" i="93"/>
  <c r="S16" i="90"/>
  <c r="S10" i="112"/>
  <c r="G10" i="112"/>
  <c r="W10" i="112" s="1"/>
  <c r="F45" i="80"/>
  <c r="B51" i="95"/>
  <c r="R15" i="80"/>
  <c r="N15" i="80"/>
  <c r="B16" i="94"/>
  <c r="D16" i="94"/>
  <c r="T12" i="104"/>
  <c r="I12" i="104"/>
  <c r="W12" i="104" s="1"/>
  <c r="F15" i="107"/>
  <c r="P15" i="95"/>
  <c r="S45" i="103"/>
  <c r="U45" i="103" s="1"/>
  <c r="P15" i="113"/>
  <c r="S33" i="103"/>
  <c r="E21" i="103"/>
  <c r="G21" i="103" s="1"/>
  <c r="E45" i="103"/>
  <c r="G45" i="103" s="1"/>
  <c r="E33" i="103"/>
  <c r="F13" i="107"/>
  <c r="F12" i="100"/>
  <c r="N8" i="80"/>
  <c r="E8" i="102"/>
  <c r="N8" i="102" s="1"/>
  <c r="T8" i="101"/>
  <c r="F45" i="90"/>
  <c r="E51" i="95"/>
  <c r="V15" i="95"/>
  <c r="S33" i="107"/>
  <c r="U33" i="107" s="1"/>
  <c r="V15" i="113"/>
  <c r="S45" i="107"/>
  <c r="U45" i="107" s="1"/>
  <c r="E33" i="107"/>
  <c r="G33" i="107" s="1"/>
  <c r="E21" i="107"/>
  <c r="G21" i="107" s="1"/>
  <c r="E45" i="107"/>
  <c r="G45" i="107" s="1"/>
  <c r="E8" i="99"/>
  <c r="N8" i="99" s="1"/>
  <c r="S8" i="99"/>
  <c r="T8" i="99"/>
  <c r="T8" i="108"/>
  <c r="F12" i="111"/>
  <c r="D11" i="87"/>
  <c r="D10" i="87"/>
  <c r="B10" i="87"/>
  <c r="E14" i="110"/>
  <c r="S10" i="90"/>
  <c r="T8" i="100"/>
  <c r="F45" i="93"/>
  <c r="F16" i="102"/>
  <c r="E13" i="110"/>
  <c r="F10" i="89"/>
  <c r="S10" i="89" s="1"/>
  <c r="J23" i="113"/>
  <c r="E29" i="96"/>
  <c r="J23" i="95"/>
  <c r="S41" i="96"/>
  <c r="S53" i="96"/>
  <c r="E41" i="96"/>
  <c r="E53" i="96"/>
  <c r="F12" i="96"/>
  <c r="S8" i="104"/>
  <c r="U8" i="104" s="1"/>
  <c r="E8" i="104"/>
  <c r="R8" i="104" s="1"/>
  <c r="S22" i="104" s="1"/>
  <c r="N8" i="88"/>
  <c r="R14" i="102"/>
  <c r="S28" i="102" s="1"/>
  <c r="F13" i="100"/>
  <c r="N14" i="108"/>
  <c r="F21" i="93"/>
  <c r="R9" i="111"/>
  <c r="S23" i="111" s="1"/>
  <c r="R11" i="93"/>
  <c r="S25" i="93" s="1"/>
  <c r="T33" i="88"/>
  <c r="D39" i="113"/>
  <c r="T15" i="105"/>
  <c r="S15" i="100"/>
  <c r="S11" i="104"/>
  <c r="E13" i="101"/>
  <c r="F13" i="101" s="1"/>
  <c r="G13" i="101" s="1"/>
  <c r="H13" i="101" s="1"/>
  <c r="I13" i="101" s="1"/>
  <c r="J13" i="101" s="1"/>
  <c r="R13" i="101" s="1"/>
  <c r="S27" i="101" s="1"/>
  <c r="T21" i="96"/>
  <c r="J27" i="113"/>
  <c r="T12" i="88"/>
  <c r="U12" i="88" s="1"/>
  <c r="I12" i="88"/>
  <c r="F15" i="111"/>
  <c r="W16" i="90"/>
  <c r="T33" i="96"/>
  <c r="J39" i="113"/>
  <c r="T9" i="107"/>
  <c r="F33" i="80"/>
  <c r="B39" i="95"/>
  <c r="T9" i="96"/>
  <c r="T14" i="111"/>
  <c r="F15" i="106"/>
  <c r="T16" i="111"/>
  <c r="F11" i="111"/>
  <c r="Z15" i="95"/>
  <c r="S33" i="111"/>
  <c r="U33" i="111" s="1"/>
  <c r="Z15" i="113"/>
  <c r="S45" i="111"/>
  <c r="U45" i="111" s="1"/>
  <c r="E21" i="111"/>
  <c r="G21" i="111" s="1"/>
  <c r="E45" i="111"/>
  <c r="G45" i="111" s="1"/>
  <c r="E33" i="111"/>
  <c r="G33" i="111" s="1"/>
  <c r="F10" i="111"/>
  <c r="U11" i="80"/>
  <c r="F15" i="90"/>
  <c r="G15" i="90" s="1"/>
  <c r="H15" i="90" s="1"/>
  <c r="I15" i="90" s="1"/>
  <c r="J15" i="90" s="1"/>
  <c r="K15" i="90" s="1"/>
  <c r="L15" i="90" s="1"/>
  <c r="W9" i="93"/>
  <c r="R9" i="93"/>
  <c r="S23" i="93" s="1"/>
  <c r="N9" i="93"/>
  <c r="T11" i="88"/>
  <c r="F33" i="90"/>
  <c r="E39" i="95"/>
  <c r="E8" i="103"/>
  <c r="W8" i="103" s="1"/>
  <c r="W12" i="103"/>
  <c r="T8" i="111"/>
  <c r="E8" i="111"/>
  <c r="R8" i="111" s="1"/>
  <c r="S22" i="111" s="1"/>
  <c r="S8" i="111"/>
  <c r="E16" i="99"/>
  <c r="F16" i="99" s="1"/>
  <c r="G16" i="99" s="1"/>
  <c r="H16" i="99" s="1"/>
  <c r="I16" i="99" s="1"/>
  <c r="J16" i="99" s="1"/>
  <c r="K16" i="99" s="1"/>
  <c r="L16" i="99" s="1"/>
  <c r="M16" i="99" s="1"/>
  <c r="N16" i="99" s="1"/>
  <c r="R9" i="80"/>
  <c r="N9" i="80"/>
  <c r="E15" i="104"/>
  <c r="F15" i="104" s="1"/>
  <c r="G15" i="104" s="1"/>
  <c r="H15" i="104" s="1"/>
  <c r="I15" i="104" s="1"/>
  <c r="J15" i="104" s="1"/>
  <c r="K15" i="104" s="1"/>
  <c r="L15" i="104" s="1"/>
  <c r="B9" i="87"/>
  <c r="D9" i="87"/>
  <c r="N8" i="100"/>
  <c r="R8" i="100"/>
  <c r="S22" i="100" s="1"/>
  <c r="N16" i="80"/>
  <c r="R16" i="80"/>
  <c r="T9" i="111"/>
  <c r="E9" i="89"/>
  <c r="N15" i="95"/>
  <c r="S45" i="101"/>
  <c r="U45" i="101" s="1"/>
  <c r="N15" i="113"/>
  <c r="S33" i="101"/>
  <c r="E21" i="101"/>
  <c r="G21" i="101" s="1"/>
  <c r="E33" i="101"/>
  <c r="E45" i="101"/>
  <c r="G45" i="101" s="1"/>
  <c r="E8" i="107"/>
  <c r="R8" i="107" s="1"/>
  <c r="S22" i="107" s="1"/>
  <c r="S8" i="107"/>
  <c r="U8" i="107" s="1"/>
  <c r="N13" i="96"/>
  <c r="R13" i="96"/>
  <c r="S27" i="96" s="1"/>
  <c r="R15" i="95"/>
  <c r="R15" i="113"/>
  <c r="S33" i="105"/>
  <c r="S45" i="105"/>
  <c r="U45" i="105" s="1"/>
  <c r="E33" i="105"/>
  <c r="E21" i="105"/>
  <c r="G21" i="105" s="1"/>
  <c r="E45" i="105"/>
  <c r="G45" i="105" s="1"/>
  <c r="E8" i="109"/>
  <c r="R8" i="109" s="1"/>
  <c r="S22" i="109" s="1"/>
  <c r="S8" i="109"/>
  <c r="U8" i="109" s="1"/>
  <c r="E13" i="112"/>
  <c r="R8" i="88"/>
  <c r="E14" i="112"/>
  <c r="E8" i="112"/>
  <c r="R8" i="112" s="1"/>
  <c r="S22" i="112" s="1"/>
  <c r="N15" i="96"/>
  <c r="N11" i="104"/>
  <c r="E12" i="99"/>
  <c r="T13" i="108"/>
  <c r="W13" i="105"/>
  <c r="W15" i="105"/>
  <c r="S12" i="109"/>
  <c r="T15" i="100"/>
  <c r="T11" i="90"/>
  <c r="D33" i="113"/>
  <c r="E40" i="108" l="1"/>
  <c r="W46" i="95" s="1"/>
  <c r="Q19" i="95"/>
  <c r="S49" i="104"/>
  <c r="E37" i="104"/>
  <c r="E49" i="104"/>
  <c r="Q55" i="95" s="1"/>
  <c r="S37" i="104"/>
  <c r="U49" i="80"/>
  <c r="S52" i="108"/>
  <c r="W58" i="113" s="1"/>
  <c r="W22" i="95"/>
  <c r="E52" i="108"/>
  <c r="W58" i="95" s="1"/>
  <c r="E28" i="108"/>
  <c r="W34" i="95" s="1"/>
  <c r="S40" i="108"/>
  <c r="W46" i="113" s="1"/>
  <c r="W22" i="113"/>
  <c r="X18" i="95"/>
  <c r="E24" i="109"/>
  <c r="X30" i="95" s="1"/>
  <c r="E48" i="109"/>
  <c r="X54" i="95" s="1"/>
  <c r="U13" i="80"/>
  <c r="B9" i="113" s="1"/>
  <c r="E36" i="109"/>
  <c r="X42" i="95" s="1"/>
  <c r="S36" i="109"/>
  <c r="X42" i="113" s="1"/>
  <c r="S48" i="109"/>
  <c r="X54" i="113" s="1"/>
  <c r="X18" i="113"/>
  <c r="W13" i="106"/>
  <c r="R15" i="103"/>
  <c r="S29" i="103" s="1"/>
  <c r="W15" i="103"/>
  <c r="E30" i="108"/>
  <c r="W36" i="95" s="1"/>
  <c r="S51" i="108"/>
  <c r="W57" i="113" s="1"/>
  <c r="E27" i="108"/>
  <c r="W33" i="95" s="1"/>
  <c r="F39" i="88"/>
  <c r="E51" i="108"/>
  <c r="W57" i="95" s="1"/>
  <c r="W21" i="95"/>
  <c r="F36" i="80"/>
  <c r="F51" i="88"/>
  <c r="G39" i="88"/>
  <c r="T26" i="90"/>
  <c r="T27" i="88"/>
  <c r="S39" i="108"/>
  <c r="W45" i="113" s="1"/>
  <c r="W21" i="113"/>
  <c r="M23" i="95"/>
  <c r="T51" i="88"/>
  <c r="V13" i="88"/>
  <c r="E39" i="108"/>
  <c r="W45" i="95" s="1"/>
  <c r="T30" i="96"/>
  <c r="F27" i="88"/>
  <c r="D9" i="113"/>
  <c r="D69" i="113" s="1"/>
  <c r="U27" i="88"/>
  <c r="E25" i="103"/>
  <c r="P31" i="95" s="1"/>
  <c r="S37" i="103"/>
  <c r="E37" i="103"/>
  <c r="P19" i="113"/>
  <c r="E49" i="103"/>
  <c r="P55" i="95" s="1"/>
  <c r="F38" i="90"/>
  <c r="P19" i="95"/>
  <c r="S49" i="103"/>
  <c r="P55" i="113" s="1"/>
  <c r="S42" i="108"/>
  <c r="W48" i="113" s="1"/>
  <c r="W24" i="95"/>
  <c r="E44" i="95"/>
  <c r="S54" i="108"/>
  <c r="W60" i="113" s="1"/>
  <c r="E42" i="108"/>
  <c r="W48" i="95" s="1"/>
  <c r="S42" i="107"/>
  <c r="V48" i="113" s="1"/>
  <c r="E35" i="106"/>
  <c r="E54" i="108"/>
  <c r="W24" i="113"/>
  <c r="G38" i="90"/>
  <c r="D4" i="95"/>
  <c r="P9" i="97" s="1"/>
  <c r="D25" i="32" s="1"/>
  <c r="V8" i="88"/>
  <c r="F50" i="90"/>
  <c r="H5" i="95"/>
  <c r="T10" i="97" s="1"/>
  <c r="F26" i="90"/>
  <c r="G26" i="90"/>
  <c r="V12" i="90"/>
  <c r="U13" i="105"/>
  <c r="U27" i="105" s="1"/>
  <c r="E8" i="95"/>
  <c r="E67" i="95" s="1"/>
  <c r="T38" i="90"/>
  <c r="E53" i="100"/>
  <c r="M59" i="95" s="1"/>
  <c r="U13" i="108"/>
  <c r="U27" i="108" s="1"/>
  <c r="E8" i="113"/>
  <c r="E68" i="113" s="1"/>
  <c r="E41" i="100"/>
  <c r="T50" i="90"/>
  <c r="U50" i="90"/>
  <c r="V7" i="87"/>
  <c r="E29" i="100"/>
  <c r="M47" i="95" s="1"/>
  <c r="T15" i="103"/>
  <c r="C3" i="113"/>
  <c r="M23" i="113"/>
  <c r="U8" i="89"/>
  <c r="L4" i="113" s="1"/>
  <c r="W16" i="104"/>
  <c r="T13" i="106"/>
  <c r="S53" i="100"/>
  <c r="M59" i="113" s="1"/>
  <c r="S37" i="90"/>
  <c r="E43" i="113" s="1"/>
  <c r="S41" i="100"/>
  <c r="E25" i="90"/>
  <c r="E31" i="95" s="1"/>
  <c r="S17" i="95"/>
  <c r="E49" i="90"/>
  <c r="E55" i="95" s="1"/>
  <c r="E23" i="106"/>
  <c r="S29" i="95" s="1"/>
  <c r="S8" i="94"/>
  <c r="N8" i="104"/>
  <c r="T8" i="94"/>
  <c r="S35" i="106"/>
  <c r="E19" i="95"/>
  <c r="U9" i="106"/>
  <c r="U23" i="106" s="1"/>
  <c r="S17" i="113"/>
  <c r="S25" i="90"/>
  <c r="E19" i="113"/>
  <c r="S47" i="106"/>
  <c r="S53" i="113" s="1"/>
  <c r="S49" i="90"/>
  <c r="E55" i="113" s="1"/>
  <c r="E51" i="109"/>
  <c r="X57" i="95" s="1"/>
  <c r="E47" i="106"/>
  <c r="U10" i="108"/>
  <c r="W6" i="95" s="1"/>
  <c r="S15" i="103"/>
  <c r="E22" i="93"/>
  <c r="H28" i="95" s="1"/>
  <c r="T19" i="97" s="1"/>
  <c r="U10" i="103"/>
  <c r="G24" i="103" s="1"/>
  <c r="U36" i="80"/>
  <c r="G36" i="80"/>
  <c r="U9" i="80"/>
  <c r="B5" i="113" s="1"/>
  <c r="U14" i="102"/>
  <c r="V14" i="102" s="1"/>
  <c r="U8" i="106"/>
  <c r="V8" i="106" s="1"/>
  <c r="E54" i="107"/>
  <c r="V60" i="95" s="1"/>
  <c r="S54" i="107"/>
  <c r="V60" i="113" s="1"/>
  <c r="E30" i="107"/>
  <c r="V36" i="95" s="1"/>
  <c r="G30" i="93"/>
  <c r="V16" i="93"/>
  <c r="V24" i="95"/>
  <c r="V24" i="113"/>
  <c r="U16" i="80"/>
  <c r="B12" i="113" s="1"/>
  <c r="E42" i="107"/>
  <c r="V48" i="95" s="1"/>
  <c r="F42" i="93"/>
  <c r="F42" i="96"/>
  <c r="D9" i="95"/>
  <c r="D68" i="95" s="1"/>
  <c r="U39" i="88"/>
  <c r="G27" i="88"/>
  <c r="H12" i="95"/>
  <c r="H71" i="95" s="1"/>
  <c r="T30" i="93"/>
  <c r="U26" i="90"/>
  <c r="U13" i="104"/>
  <c r="U27" i="104" s="1"/>
  <c r="G42" i="93"/>
  <c r="G51" i="88"/>
  <c r="U16" i="107"/>
  <c r="U30" i="107" s="1"/>
  <c r="U8" i="110"/>
  <c r="Y4" i="113" s="1"/>
  <c r="U16" i="89"/>
  <c r="U30" i="89" s="1"/>
  <c r="F30" i="93"/>
  <c r="F54" i="93"/>
  <c r="U51" i="88"/>
  <c r="U38" i="90"/>
  <c r="G50" i="90"/>
  <c r="W11" i="103"/>
  <c r="H12" i="113"/>
  <c r="H72" i="113" s="1"/>
  <c r="T11" i="103"/>
  <c r="U54" i="93"/>
  <c r="N11" i="103"/>
  <c r="S11" i="103"/>
  <c r="G54" i="93"/>
  <c r="S13" i="111"/>
  <c r="T42" i="93"/>
  <c r="T54" i="93"/>
  <c r="U42" i="93"/>
  <c r="U12" i="109"/>
  <c r="U26" i="109" s="1"/>
  <c r="U10" i="90"/>
  <c r="V10" i="90" s="1"/>
  <c r="N12" i="105"/>
  <c r="R8" i="108"/>
  <c r="S22" i="108" s="1"/>
  <c r="N8" i="108"/>
  <c r="T24" i="80"/>
  <c r="B6" i="95"/>
  <c r="N11" i="97" s="1"/>
  <c r="V19" i="95"/>
  <c r="N8" i="101"/>
  <c r="U11" i="108"/>
  <c r="W7" i="113" s="1"/>
  <c r="T48" i="80"/>
  <c r="U48" i="80"/>
  <c r="F48" i="80"/>
  <c r="B6" i="113"/>
  <c r="B66" i="113" s="1"/>
  <c r="R12" i="112"/>
  <c r="S26" i="112" s="1"/>
  <c r="U24" i="80"/>
  <c r="U16" i="90"/>
  <c r="G30" i="90" s="1"/>
  <c r="U13" i="109"/>
  <c r="X9" i="95" s="1"/>
  <c r="T10" i="105"/>
  <c r="U14" i="111"/>
  <c r="U28" i="111" s="1"/>
  <c r="T36" i="80"/>
  <c r="G24" i="80"/>
  <c r="G48" i="80"/>
  <c r="F24" i="80"/>
  <c r="N12" i="112"/>
  <c r="S46" i="93"/>
  <c r="T46" i="93" s="1"/>
  <c r="E46" i="93"/>
  <c r="G46" i="93" s="1"/>
  <c r="E34" i="93"/>
  <c r="H40" i="95" s="1"/>
  <c r="H16" i="95"/>
  <c r="T14" i="97" s="1"/>
  <c r="S34" i="93"/>
  <c r="U34" i="93" s="1"/>
  <c r="H16" i="113"/>
  <c r="E49" i="107"/>
  <c r="V55" i="95" s="1"/>
  <c r="E39" i="104"/>
  <c r="S39" i="109"/>
  <c r="X45" i="113" s="1"/>
  <c r="J12" i="113"/>
  <c r="J72" i="113" s="1"/>
  <c r="G54" i="96"/>
  <c r="N15" i="99"/>
  <c r="U10" i="109"/>
  <c r="U24" i="109" s="1"/>
  <c r="X21" i="113"/>
  <c r="T54" i="96"/>
  <c r="F48" i="104"/>
  <c r="U42" i="96"/>
  <c r="G30" i="96"/>
  <c r="T42" i="96"/>
  <c r="F30" i="96"/>
  <c r="T48" i="104"/>
  <c r="J12" i="95"/>
  <c r="J71" i="95" s="1"/>
  <c r="U54" i="96"/>
  <c r="E39" i="109"/>
  <c r="F54" i="96"/>
  <c r="F24" i="104"/>
  <c r="S51" i="109"/>
  <c r="V16" i="96"/>
  <c r="S15" i="99"/>
  <c r="G42" i="96"/>
  <c r="S51" i="104"/>
  <c r="Q57" i="113" s="1"/>
  <c r="G36" i="104"/>
  <c r="F36" i="104"/>
  <c r="E51" i="104"/>
  <c r="Q57" i="95" s="1"/>
  <c r="E37" i="107"/>
  <c r="S37" i="107"/>
  <c r="V43" i="113" s="1"/>
  <c r="U9" i="96"/>
  <c r="U23" i="96" s="1"/>
  <c r="Q6" i="95"/>
  <c r="S39" i="104"/>
  <c r="V19" i="113"/>
  <c r="V10" i="104"/>
  <c r="E27" i="104"/>
  <c r="Q6" i="113"/>
  <c r="Q21" i="95"/>
  <c r="T12" i="112"/>
  <c r="S49" i="107"/>
  <c r="V55" i="113" s="1"/>
  <c r="U11" i="104"/>
  <c r="U25" i="104" s="1"/>
  <c r="Q21" i="113"/>
  <c r="E25" i="107"/>
  <c r="V31" i="95" s="1"/>
  <c r="G24" i="104"/>
  <c r="U10" i="112"/>
  <c r="AA6" i="113" s="1"/>
  <c r="E16" i="113"/>
  <c r="S12" i="112"/>
  <c r="R10" i="112"/>
  <c r="S24" i="112" s="1"/>
  <c r="U14" i="108"/>
  <c r="U28" i="108" s="1"/>
  <c r="U13" i="96"/>
  <c r="J9" i="95" s="1"/>
  <c r="U11" i="107"/>
  <c r="E46" i="90"/>
  <c r="F46" i="90" s="1"/>
  <c r="E34" i="90"/>
  <c r="E40" i="95" s="1"/>
  <c r="X21" i="95"/>
  <c r="U16" i="108"/>
  <c r="U30" i="108" s="1"/>
  <c r="U14" i="80"/>
  <c r="B10" i="113" s="1"/>
  <c r="U14" i="90"/>
  <c r="V14" i="90" s="1"/>
  <c r="E27" i="109"/>
  <c r="V11" i="107"/>
  <c r="T15" i="104"/>
  <c r="U11" i="90"/>
  <c r="G37" i="90" s="1"/>
  <c r="T12" i="89"/>
  <c r="U12" i="103"/>
  <c r="V12" i="103" s="1"/>
  <c r="U14" i="106"/>
  <c r="U28" i="106" s="1"/>
  <c r="W13" i="89"/>
  <c r="E46" i="96"/>
  <c r="J52" i="95" s="1"/>
  <c r="T13" i="89"/>
  <c r="U15" i="96"/>
  <c r="U29" i="96" s="1"/>
  <c r="R14" i="100"/>
  <c r="S28" i="100" s="1"/>
  <c r="AA4" i="95"/>
  <c r="T13" i="99"/>
  <c r="V9" i="93"/>
  <c r="U22" i="112"/>
  <c r="U11" i="93"/>
  <c r="U25" i="93" s="1"/>
  <c r="U23" i="93"/>
  <c r="N9" i="99"/>
  <c r="V8" i="103"/>
  <c r="U22" i="104"/>
  <c r="S11" i="100"/>
  <c r="S46" i="96"/>
  <c r="T46" i="96" s="1"/>
  <c r="E24" i="102"/>
  <c r="O42" i="95" s="1"/>
  <c r="R16" i="105"/>
  <c r="S30" i="105" s="1"/>
  <c r="T16" i="105"/>
  <c r="J16" i="95"/>
  <c r="V14" i="97" s="1"/>
  <c r="S14" i="101"/>
  <c r="E22" i="96"/>
  <c r="J28" i="95" s="1"/>
  <c r="V19" i="97" s="1"/>
  <c r="S9" i="100"/>
  <c r="E34" i="96"/>
  <c r="J40" i="95" s="1"/>
  <c r="W15" i="104"/>
  <c r="U11" i="88"/>
  <c r="D7" i="113" s="1"/>
  <c r="W12" i="105"/>
  <c r="S34" i="96"/>
  <c r="J40" i="113" s="1"/>
  <c r="U10" i="93"/>
  <c r="U24" i="93" s="1"/>
  <c r="U9" i="107"/>
  <c r="V5" i="113" s="1"/>
  <c r="S16" i="105"/>
  <c r="U16" i="105" s="1"/>
  <c r="J16" i="113"/>
  <c r="U15" i="80"/>
  <c r="B11" i="113" s="1"/>
  <c r="S15" i="101"/>
  <c r="U22" i="107"/>
  <c r="W16" i="99"/>
  <c r="P4" i="95"/>
  <c r="W8" i="109"/>
  <c r="V8" i="109" s="1"/>
  <c r="S15" i="104"/>
  <c r="W8" i="111"/>
  <c r="T9" i="99"/>
  <c r="R12" i="104"/>
  <c r="S26" i="104" s="1"/>
  <c r="T10" i="96"/>
  <c r="U21" i="94"/>
  <c r="E28" i="95"/>
  <c r="Q19" i="97" s="1"/>
  <c r="E35" i="32" s="1"/>
  <c r="G22" i="90"/>
  <c r="F22" i="90"/>
  <c r="O4" i="95"/>
  <c r="O4" i="113"/>
  <c r="B28" i="95"/>
  <c r="N19" i="97" s="1"/>
  <c r="B35" i="32" s="1"/>
  <c r="G22" i="80"/>
  <c r="R57" i="113"/>
  <c r="J47" i="95"/>
  <c r="U8" i="99"/>
  <c r="U4" i="95" s="1"/>
  <c r="T33" i="103"/>
  <c r="U33" i="103"/>
  <c r="T15" i="101"/>
  <c r="B40" i="95"/>
  <c r="G34" i="80"/>
  <c r="S48" i="102"/>
  <c r="T9" i="103"/>
  <c r="T33" i="104"/>
  <c r="U33" i="104"/>
  <c r="Z46" i="113"/>
  <c r="L48" i="95"/>
  <c r="T9" i="100"/>
  <c r="E16" i="95"/>
  <c r="Q14" i="97" s="1"/>
  <c r="E30" i="32" s="1"/>
  <c r="S58" i="95"/>
  <c r="T36" i="104"/>
  <c r="U36" i="104"/>
  <c r="U11" i="112"/>
  <c r="G37" i="112" s="1"/>
  <c r="T33" i="102"/>
  <c r="U33" i="102"/>
  <c r="AA43" i="95"/>
  <c r="T33" i="106"/>
  <c r="U33" i="106"/>
  <c r="B52" i="95"/>
  <c r="G46" i="80"/>
  <c r="E48" i="102"/>
  <c r="S12" i="110"/>
  <c r="T33" i="100"/>
  <c r="U33" i="100"/>
  <c r="S34" i="90"/>
  <c r="S12" i="89"/>
  <c r="U26" i="80"/>
  <c r="F33" i="89"/>
  <c r="G33" i="89"/>
  <c r="Z46" i="95"/>
  <c r="J47" i="113"/>
  <c r="T16" i="99"/>
  <c r="T25" i="80"/>
  <c r="Q55" i="113"/>
  <c r="O18" i="95"/>
  <c r="T45" i="112"/>
  <c r="U45" i="112"/>
  <c r="W12" i="110"/>
  <c r="U9" i="88"/>
  <c r="D5" i="113" s="1"/>
  <c r="Z34" i="95"/>
  <c r="L60" i="113"/>
  <c r="S22" i="90"/>
  <c r="U22" i="90" s="1"/>
  <c r="W12" i="89"/>
  <c r="E60" i="113"/>
  <c r="Q54" i="113"/>
  <c r="U48" i="104"/>
  <c r="U37" i="80"/>
  <c r="U38" i="80"/>
  <c r="G25" i="80"/>
  <c r="E36" i="95"/>
  <c r="J35" i="95"/>
  <c r="E43" i="95"/>
  <c r="B52" i="113"/>
  <c r="U46" i="80"/>
  <c r="E36" i="102"/>
  <c r="T33" i="89"/>
  <c r="U33" i="89"/>
  <c r="F33" i="104"/>
  <c r="G33" i="104"/>
  <c r="Z58" i="95"/>
  <c r="R57" i="95"/>
  <c r="E48" i="113"/>
  <c r="G26" i="80"/>
  <c r="G37" i="80"/>
  <c r="G38" i="80"/>
  <c r="S58" i="113"/>
  <c r="F33" i="105"/>
  <c r="G33" i="105"/>
  <c r="R8" i="99"/>
  <c r="S22" i="99" s="1"/>
  <c r="W8" i="112"/>
  <c r="V8" i="112" s="1"/>
  <c r="R16" i="99"/>
  <c r="S30" i="99" s="1"/>
  <c r="W8" i="102"/>
  <c r="V8" i="102" s="1"/>
  <c r="F33" i="103"/>
  <c r="G33" i="103"/>
  <c r="P54" i="113"/>
  <c r="AA43" i="113"/>
  <c r="B28" i="113"/>
  <c r="N25" i="97" s="1"/>
  <c r="U22" i="80"/>
  <c r="F33" i="99"/>
  <c r="G33" i="99"/>
  <c r="U9" i="109"/>
  <c r="X5" i="113" s="1"/>
  <c r="T13" i="111"/>
  <c r="S9" i="99"/>
  <c r="S36" i="102"/>
  <c r="W8" i="89"/>
  <c r="R12" i="89"/>
  <c r="S26" i="89" s="1"/>
  <c r="F33" i="100"/>
  <c r="G33" i="100"/>
  <c r="W16" i="105"/>
  <c r="S46" i="90"/>
  <c r="U25" i="80"/>
  <c r="J59" i="113"/>
  <c r="T33" i="105"/>
  <c r="U33" i="105"/>
  <c r="F33" i="101"/>
  <c r="G33" i="101"/>
  <c r="U22" i="109"/>
  <c r="T33" i="101"/>
  <c r="U33" i="101"/>
  <c r="S13" i="101"/>
  <c r="S12" i="105"/>
  <c r="T10" i="89"/>
  <c r="U10" i="89" s="1"/>
  <c r="P54" i="95"/>
  <c r="F33" i="102"/>
  <c r="G33" i="102"/>
  <c r="R8" i="102"/>
  <c r="S22" i="102" s="1"/>
  <c r="U22" i="102" s="1"/>
  <c r="R16" i="106"/>
  <c r="S30" i="106" s="1"/>
  <c r="T33" i="99"/>
  <c r="U33" i="99"/>
  <c r="W9" i="99"/>
  <c r="O18" i="113"/>
  <c r="L60" i="95"/>
  <c r="E48" i="95"/>
  <c r="Q54" i="95"/>
  <c r="G48" i="104"/>
  <c r="U10" i="102"/>
  <c r="G50" i="80"/>
  <c r="U50" i="80"/>
  <c r="J59" i="95"/>
  <c r="F33" i="106"/>
  <c r="G33" i="106"/>
  <c r="F45" i="112"/>
  <c r="G45" i="112"/>
  <c r="Z58" i="113"/>
  <c r="E60" i="95"/>
  <c r="G49" i="80"/>
  <c r="N22" i="113"/>
  <c r="N22" i="95"/>
  <c r="E52" i="101"/>
  <c r="E28" i="101"/>
  <c r="S40" i="101"/>
  <c r="E40" i="101"/>
  <c r="S52" i="101"/>
  <c r="N21" i="113"/>
  <c r="E51" i="101"/>
  <c r="E39" i="101"/>
  <c r="S39" i="101"/>
  <c r="E27" i="101"/>
  <c r="N21" i="95"/>
  <c r="S51" i="101"/>
  <c r="D6" i="113"/>
  <c r="D6" i="95"/>
  <c r="D8" i="113"/>
  <c r="D8" i="95"/>
  <c r="Q16" i="95"/>
  <c r="Q16" i="113"/>
  <c r="S34" i="104"/>
  <c r="E22" i="104"/>
  <c r="G22" i="104" s="1"/>
  <c r="E34" i="104"/>
  <c r="E46" i="104"/>
  <c r="S46" i="104"/>
  <c r="W5" i="113"/>
  <c r="V9" i="108"/>
  <c r="W5" i="95"/>
  <c r="Q4" i="113"/>
  <c r="Q4" i="95"/>
  <c r="F12" i="99"/>
  <c r="F13" i="112"/>
  <c r="V31" i="113"/>
  <c r="S9" i="89"/>
  <c r="G15" i="106"/>
  <c r="H15" i="106" s="1"/>
  <c r="I15" i="106" s="1"/>
  <c r="J15" i="106" s="1"/>
  <c r="K15" i="106" s="1"/>
  <c r="L15" i="106" s="1"/>
  <c r="W12" i="88"/>
  <c r="V12" i="88" s="1"/>
  <c r="N12" i="88"/>
  <c r="R12" i="88"/>
  <c r="P51" i="95"/>
  <c r="F45" i="103"/>
  <c r="G15" i="107"/>
  <c r="H15" i="107" s="1"/>
  <c r="I15" i="107" s="1"/>
  <c r="J15" i="107" s="1"/>
  <c r="K15" i="107" s="1"/>
  <c r="L15" i="107" s="1"/>
  <c r="F11" i="89"/>
  <c r="G11" i="89" s="1"/>
  <c r="H11" i="89" s="1"/>
  <c r="S10" i="100"/>
  <c r="H13" i="90"/>
  <c r="I13" i="90" s="1"/>
  <c r="R10" i="88"/>
  <c r="N10" i="88"/>
  <c r="F4" i="92"/>
  <c r="K2" i="92"/>
  <c r="J4" i="92" s="1"/>
  <c r="T45" i="109"/>
  <c r="X51" i="113"/>
  <c r="R8" i="105"/>
  <c r="S22" i="105" s="1"/>
  <c r="U22" i="105" s="1"/>
  <c r="N19" i="113"/>
  <c r="E49" i="101"/>
  <c r="N19" i="95"/>
  <c r="E37" i="101"/>
  <c r="S37" i="101"/>
  <c r="E25" i="101"/>
  <c r="S49" i="101"/>
  <c r="F9" i="102"/>
  <c r="W9" i="102" s="1"/>
  <c r="S9" i="102"/>
  <c r="T9" i="102"/>
  <c r="T12" i="102"/>
  <c r="F33" i="110"/>
  <c r="Y39" i="95"/>
  <c r="D19" i="113"/>
  <c r="S25" i="88"/>
  <c r="S37" i="88"/>
  <c r="E25" i="88"/>
  <c r="E37" i="88"/>
  <c r="D19" i="95"/>
  <c r="E49" i="88"/>
  <c r="S49" i="88"/>
  <c r="R15" i="108"/>
  <c r="S29" i="108" s="1"/>
  <c r="N15" i="108"/>
  <c r="S10" i="110"/>
  <c r="S16" i="106"/>
  <c r="T21" i="99"/>
  <c r="U27" i="113"/>
  <c r="U63" i="113" s="1"/>
  <c r="U39" i="113"/>
  <c r="Q43" i="95"/>
  <c r="Q31" i="95"/>
  <c r="F33" i="112"/>
  <c r="AA39" i="95"/>
  <c r="N14" i="101"/>
  <c r="F21" i="89"/>
  <c r="L39" i="95"/>
  <c r="S15" i="109"/>
  <c r="R9" i="107"/>
  <c r="S23" i="107" s="1"/>
  <c r="N9" i="107"/>
  <c r="M47" i="113"/>
  <c r="M35" i="113"/>
  <c r="X20" i="113"/>
  <c r="S38" i="109"/>
  <c r="X20" i="95"/>
  <c r="E50" i="109"/>
  <c r="E38" i="109"/>
  <c r="E26" i="109"/>
  <c r="S50" i="109"/>
  <c r="F12" i="101"/>
  <c r="G12" i="101" s="1"/>
  <c r="H12" i="101" s="1"/>
  <c r="I12" i="101" s="1"/>
  <c r="N9" i="97"/>
  <c r="B25" i="32" s="1"/>
  <c r="F11" i="102"/>
  <c r="B10" i="91"/>
  <c r="D10" i="91"/>
  <c r="B13" i="91"/>
  <c r="D13" i="91"/>
  <c r="N8" i="94"/>
  <c r="R8" i="94"/>
  <c r="S22" i="94" s="1"/>
  <c r="T45" i="100"/>
  <c r="M51" i="113"/>
  <c r="N13" i="106"/>
  <c r="R13" i="106"/>
  <c r="S27" i="106" s="1"/>
  <c r="L36" i="113"/>
  <c r="L48" i="113"/>
  <c r="F14" i="99"/>
  <c r="W16" i="103"/>
  <c r="S34" i="113"/>
  <c r="S46" i="113"/>
  <c r="T10" i="110"/>
  <c r="F14" i="112"/>
  <c r="G14" i="112" s="1"/>
  <c r="H14" i="112" s="1"/>
  <c r="I14" i="112" s="1"/>
  <c r="J14" i="112" s="1"/>
  <c r="K14" i="112" s="1"/>
  <c r="P23" i="113"/>
  <c r="J21" i="113"/>
  <c r="J21" i="95"/>
  <c r="E27" i="96"/>
  <c r="S39" i="96"/>
  <c r="E39" i="96"/>
  <c r="S51" i="96"/>
  <c r="E51" i="96"/>
  <c r="F21" i="101"/>
  <c r="N39" i="95"/>
  <c r="N27" i="95"/>
  <c r="M16" i="95"/>
  <c r="M16" i="113"/>
  <c r="S34" i="100"/>
  <c r="E46" i="100"/>
  <c r="E34" i="100"/>
  <c r="E22" i="100"/>
  <c r="S46" i="100"/>
  <c r="G10" i="111"/>
  <c r="W10" i="111" s="1"/>
  <c r="T10" i="111"/>
  <c r="T33" i="111"/>
  <c r="Z39" i="113"/>
  <c r="AA16" i="95"/>
  <c r="AA16" i="113"/>
  <c r="S34" i="112"/>
  <c r="U34" i="112" s="1"/>
  <c r="E46" i="112"/>
  <c r="E34" i="112"/>
  <c r="G34" i="112" s="1"/>
  <c r="E22" i="112"/>
  <c r="G22" i="112" s="1"/>
  <c r="S46" i="112"/>
  <c r="X4" i="113"/>
  <c r="X4" i="95"/>
  <c r="T45" i="105"/>
  <c r="R51" i="113"/>
  <c r="N15" i="104"/>
  <c r="R15" i="104"/>
  <c r="S29" i="104" s="1"/>
  <c r="Z16" i="95"/>
  <c r="Z16" i="113"/>
  <c r="S34" i="111"/>
  <c r="E22" i="111"/>
  <c r="E34" i="111"/>
  <c r="E46" i="111"/>
  <c r="S46" i="111"/>
  <c r="H17" i="113"/>
  <c r="S35" i="93"/>
  <c r="U35" i="93" s="1"/>
  <c r="E23" i="93"/>
  <c r="G23" i="93" s="1"/>
  <c r="E35" i="93"/>
  <c r="G35" i="93" s="1"/>
  <c r="E47" i="93"/>
  <c r="G47" i="93" s="1"/>
  <c r="H17" i="95"/>
  <c r="T15" i="97" s="1"/>
  <c r="S47" i="93"/>
  <c r="U47" i="93" s="1"/>
  <c r="U23" i="113"/>
  <c r="E41" i="99"/>
  <c r="U23" i="95"/>
  <c r="E29" i="99"/>
  <c r="E53" i="99"/>
  <c r="S53" i="99"/>
  <c r="S41" i="99"/>
  <c r="W8" i="104"/>
  <c r="V8" i="104" s="1"/>
  <c r="J35" i="113"/>
  <c r="N8" i="107"/>
  <c r="G12" i="111"/>
  <c r="W8" i="99"/>
  <c r="T33" i="107"/>
  <c r="V39" i="113"/>
  <c r="F21" i="103"/>
  <c r="P39" i="95"/>
  <c r="P27" i="95"/>
  <c r="U15" i="105"/>
  <c r="U29" i="105" s="1"/>
  <c r="R23" i="113"/>
  <c r="R23" i="95"/>
  <c r="E29" i="105"/>
  <c r="E53" i="105"/>
  <c r="E41" i="105"/>
  <c r="S41" i="105"/>
  <c r="S53" i="105"/>
  <c r="T10" i="100"/>
  <c r="P42" i="95"/>
  <c r="P30" i="95"/>
  <c r="F10" i="99"/>
  <c r="T10" i="99" s="1"/>
  <c r="F14" i="89"/>
  <c r="T11" i="100"/>
  <c r="T21" i="109"/>
  <c r="X27" i="113"/>
  <c r="X63" i="113" s="1"/>
  <c r="G11" i="109"/>
  <c r="T11" i="109" s="1"/>
  <c r="D17" i="113"/>
  <c r="S35" i="88"/>
  <c r="S23" i="88"/>
  <c r="E47" i="88"/>
  <c r="D17" i="95"/>
  <c r="P15" i="97" s="1"/>
  <c r="D31" i="32" s="1"/>
  <c r="E23" i="88"/>
  <c r="E35" i="88"/>
  <c r="S47" i="88"/>
  <c r="W12" i="102"/>
  <c r="E13" i="94"/>
  <c r="F13" i="94" s="1"/>
  <c r="G13" i="94" s="1"/>
  <c r="H13" i="94" s="1"/>
  <c r="I13" i="94" s="1"/>
  <c r="J13" i="94" s="1"/>
  <c r="N13" i="94" s="1"/>
  <c r="F21" i="110"/>
  <c r="Y27" i="95"/>
  <c r="N13" i="101"/>
  <c r="S10" i="96"/>
  <c r="S12" i="107"/>
  <c r="W10" i="110"/>
  <c r="W16" i="106"/>
  <c r="N9" i="90"/>
  <c r="R9" i="90"/>
  <c r="U8" i="100"/>
  <c r="U22" i="100" s="1"/>
  <c r="T33" i="112"/>
  <c r="AA39" i="113"/>
  <c r="E15" i="87"/>
  <c r="F15" i="87" s="1"/>
  <c r="G15" i="87" s="1"/>
  <c r="H15" i="87" s="1"/>
  <c r="I15" i="87" s="1"/>
  <c r="J15" i="87" s="1"/>
  <c r="K15" i="87" s="1"/>
  <c r="L15" i="87" s="1"/>
  <c r="R15" i="87" s="1"/>
  <c r="T12" i="110"/>
  <c r="Q9" i="97"/>
  <c r="E25" i="32" s="1"/>
  <c r="T15" i="109"/>
  <c r="T45" i="108"/>
  <c r="W51" i="113"/>
  <c r="S9" i="103"/>
  <c r="U9" i="111"/>
  <c r="U23" i="111" s="1"/>
  <c r="F9" i="101"/>
  <c r="T9" i="101"/>
  <c r="U9" i="101" s="1"/>
  <c r="Q51" i="95"/>
  <c r="F45" i="104"/>
  <c r="F34" i="80"/>
  <c r="G14" i="109"/>
  <c r="B8" i="91"/>
  <c r="D8" i="91"/>
  <c r="D14" i="91"/>
  <c r="B14" i="91"/>
  <c r="D16" i="91"/>
  <c r="B16" i="91"/>
  <c r="F15" i="89"/>
  <c r="R8" i="89"/>
  <c r="S22" i="89" s="1"/>
  <c r="N8" i="112"/>
  <c r="T21" i="100"/>
  <c r="M27" i="113"/>
  <c r="M63" i="113" s="1"/>
  <c r="M39" i="113"/>
  <c r="R10" i="105"/>
  <c r="S24" i="105" s="1"/>
  <c r="T15" i="99"/>
  <c r="T16" i="106"/>
  <c r="E36" i="113"/>
  <c r="Q42" i="95"/>
  <c r="Q30" i="95"/>
  <c r="W15" i="90"/>
  <c r="T21" i="101"/>
  <c r="N27" i="113"/>
  <c r="N63" i="113" s="1"/>
  <c r="N39" i="113"/>
  <c r="T9" i="89"/>
  <c r="F9" i="89"/>
  <c r="W9" i="89" s="1"/>
  <c r="F33" i="111"/>
  <c r="Z39" i="95"/>
  <c r="V24" i="97"/>
  <c r="V44" i="97" s="1"/>
  <c r="J63" i="113"/>
  <c r="V34" i="97" s="1"/>
  <c r="U15" i="100"/>
  <c r="U29" i="100" s="1"/>
  <c r="G13" i="100"/>
  <c r="H13" i="100" s="1"/>
  <c r="I13" i="100" s="1"/>
  <c r="J13" i="100" s="1"/>
  <c r="P20" i="113"/>
  <c r="S38" i="103"/>
  <c r="E26" i="103"/>
  <c r="E38" i="103"/>
  <c r="P20" i="95"/>
  <c r="E50" i="103"/>
  <c r="S50" i="103"/>
  <c r="N10" i="100"/>
  <c r="R10" i="100"/>
  <c r="S24" i="100" s="1"/>
  <c r="F21" i="102"/>
  <c r="O39" i="95"/>
  <c r="O27" i="95"/>
  <c r="H14" i="88"/>
  <c r="I14" i="88" s="1"/>
  <c r="J14" i="88" s="1"/>
  <c r="F14" i="105"/>
  <c r="G14" i="105" s="1"/>
  <c r="H14" i="105" s="1"/>
  <c r="I14" i="105" s="1"/>
  <c r="J14" i="105" s="1"/>
  <c r="K14" i="105" s="1"/>
  <c r="AA55" i="113"/>
  <c r="AA31" i="113"/>
  <c r="F14" i="104"/>
  <c r="G14" i="104" s="1"/>
  <c r="H14" i="104" s="1"/>
  <c r="I14" i="104" s="1"/>
  <c r="J14" i="104" s="1"/>
  <c r="K14" i="104" s="1"/>
  <c r="F45" i="106"/>
  <c r="S51" i="95"/>
  <c r="T22" i="96"/>
  <c r="J28" i="113"/>
  <c r="V25" i="97" s="1"/>
  <c r="C15" i="95"/>
  <c r="C15" i="113"/>
  <c r="S21" i="87"/>
  <c r="U21" i="87" s="1"/>
  <c r="S45" i="87"/>
  <c r="U45" i="87" s="1"/>
  <c r="S33" i="87"/>
  <c r="U33" i="87" s="1"/>
  <c r="E33" i="87"/>
  <c r="G33" i="87" s="1"/>
  <c r="E21" i="87"/>
  <c r="G21" i="87" s="1"/>
  <c r="E45" i="87"/>
  <c r="G45" i="87" s="1"/>
  <c r="G15" i="93"/>
  <c r="H15" i="93" s="1"/>
  <c r="I15" i="93" s="1"/>
  <c r="J15" i="93" s="1"/>
  <c r="K15" i="93" s="1"/>
  <c r="L15" i="93" s="1"/>
  <c r="R12" i="102"/>
  <c r="S26" i="102" s="1"/>
  <c r="N12" i="102"/>
  <c r="T33" i="110"/>
  <c r="Y39" i="113"/>
  <c r="N9" i="104"/>
  <c r="R9" i="104"/>
  <c r="S23" i="104" s="1"/>
  <c r="U23" i="104" s="1"/>
  <c r="R12" i="107"/>
  <c r="S26" i="107" s="1"/>
  <c r="N12" i="107"/>
  <c r="Y18" i="113"/>
  <c r="S36" i="110"/>
  <c r="Y18" i="95"/>
  <c r="E36" i="110"/>
  <c r="E24" i="110"/>
  <c r="E48" i="110"/>
  <c r="S48" i="110"/>
  <c r="T45" i="99"/>
  <c r="U51" i="113"/>
  <c r="T45" i="89"/>
  <c r="L51" i="113"/>
  <c r="R15" i="109"/>
  <c r="S29" i="109" s="1"/>
  <c r="N15" i="109"/>
  <c r="W18" i="113"/>
  <c r="S36" i="108"/>
  <c r="E24" i="108"/>
  <c r="E48" i="108"/>
  <c r="E36" i="108"/>
  <c r="W18" i="95"/>
  <c r="S48" i="108"/>
  <c r="T16" i="103"/>
  <c r="T45" i="104"/>
  <c r="Q51" i="113"/>
  <c r="F11" i="110"/>
  <c r="F46" i="80"/>
  <c r="T22" i="93"/>
  <c r="H28" i="113"/>
  <c r="T25" i="97" s="1"/>
  <c r="B11" i="91"/>
  <c r="D11" i="91"/>
  <c r="W13" i="99"/>
  <c r="T16" i="104"/>
  <c r="R10" i="90"/>
  <c r="N10" i="90"/>
  <c r="R8" i="103"/>
  <c r="S22" i="103" s="1"/>
  <c r="U22" i="103" s="1"/>
  <c r="W15" i="99"/>
  <c r="T14" i="100"/>
  <c r="V9" i="97"/>
  <c r="S13" i="99"/>
  <c r="W10" i="96"/>
  <c r="X16" i="95"/>
  <c r="X16" i="113"/>
  <c r="S34" i="109"/>
  <c r="E34" i="109"/>
  <c r="E46" i="109"/>
  <c r="E22" i="109"/>
  <c r="G22" i="109" s="1"/>
  <c r="S46" i="109"/>
  <c r="T21" i="105"/>
  <c r="R27" i="113"/>
  <c r="R63" i="113" s="1"/>
  <c r="R39" i="113"/>
  <c r="W8" i="107"/>
  <c r="V8" i="107" s="1"/>
  <c r="E9" i="87"/>
  <c r="F9" i="87" s="1"/>
  <c r="N9" i="87" s="1"/>
  <c r="B17" i="113"/>
  <c r="S35" i="80"/>
  <c r="S47" i="80"/>
  <c r="S23" i="80"/>
  <c r="E23" i="80"/>
  <c r="B17" i="95"/>
  <c r="N15" i="97" s="1"/>
  <c r="B31" i="32" s="1"/>
  <c r="E35" i="80"/>
  <c r="E47" i="80"/>
  <c r="T15" i="90"/>
  <c r="F45" i="111"/>
  <c r="Z51" i="95"/>
  <c r="G11" i="111"/>
  <c r="H19" i="113"/>
  <c r="S37" i="93"/>
  <c r="H19" i="95"/>
  <c r="E49" i="93"/>
  <c r="E25" i="93"/>
  <c r="E37" i="93"/>
  <c r="S49" i="93"/>
  <c r="F14" i="110"/>
  <c r="F45" i="107"/>
  <c r="V51" i="95"/>
  <c r="G12" i="100"/>
  <c r="T21" i="103"/>
  <c r="P39" i="113"/>
  <c r="P27" i="113"/>
  <c r="P63" i="113" s="1"/>
  <c r="E16" i="94"/>
  <c r="F16" i="94" s="1"/>
  <c r="G16" i="94" s="1"/>
  <c r="H16" i="94" s="1"/>
  <c r="I16" i="94" s="1"/>
  <c r="J16" i="94" s="1"/>
  <c r="K16" i="94" s="1"/>
  <c r="L16" i="94" s="1"/>
  <c r="M16" i="94" s="1"/>
  <c r="N16" i="94" s="1"/>
  <c r="X30" i="113"/>
  <c r="T10" i="106"/>
  <c r="U10" i="106" s="1"/>
  <c r="R11" i="100"/>
  <c r="S25" i="100" s="1"/>
  <c r="N11" i="100"/>
  <c r="T33" i="109"/>
  <c r="X39" i="113"/>
  <c r="F21" i="106"/>
  <c r="S39" i="95"/>
  <c r="S27" i="95"/>
  <c r="W19" i="113"/>
  <c r="S37" i="108"/>
  <c r="E25" i="108"/>
  <c r="W19" i="95"/>
  <c r="E37" i="108"/>
  <c r="E49" i="108"/>
  <c r="S49" i="108"/>
  <c r="T21" i="110"/>
  <c r="Y27" i="113"/>
  <c r="Y63" i="113" s="1"/>
  <c r="U12" i="104"/>
  <c r="E54" i="111"/>
  <c r="Z24" i="113"/>
  <c r="E30" i="111"/>
  <c r="Z24" i="95"/>
  <c r="E42" i="111"/>
  <c r="S54" i="111"/>
  <c r="S42" i="111"/>
  <c r="T34" i="80"/>
  <c r="B40" i="113"/>
  <c r="R10" i="96"/>
  <c r="S24" i="96" s="1"/>
  <c r="N10" i="96"/>
  <c r="Q43" i="113"/>
  <c r="Q31" i="113"/>
  <c r="R9" i="109"/>
  <c r="S23" i="109" s="1"/>
  <c r="N9" i="109"/>
  <c r="R13" i="111"/>
  <c r="S27" i="111" s="1"/>
  <c r="N13" i="111"/>
  <c r="T21" i="112"/>
  <c r="AA51" i="113"/>
  <c r="AA27" i="113"/>
  <c r="AA63" i="113" s="1"/>
  <c r="R12" i="110"/>
  <c r="S26" i="110" s="1"/>
  <c r="N12" i="110"/>
  <c r="S14" i="100"/>
  <c r="T21" i="89"/>
  <c r="L27" i="113"/>
  <c r="L63" i="113" s="1"/>
  <c r="L39" i="113"/>
  <c r="F33" i="108"/>
  <c r="W39" i="95"/>
  <c r="W9" i="103"/>
  <c r="T15" i="108"/>
  <c r="T21" i="104"/>
  <c r="Q27" i="113"/>
  <c r="Q63" i="113" s="1"/>
  <c r="Q39" i="113"/>
  <c r="F16" i="110"/>
  <c r="S10" i="105"/>
  <c r="B9" i="91"/>
  <c r="D9" i="91"/>
  <c r="F15" i="112"/>
  <c r="G13" i="93"/>
  <c r="Z34" i="113"/>
  <c r="J17" i="113"/>
  <c r="S35" i="96"/>
  <c r="E47" i="96"/>
  <c r="J17" i="95"/>
  <c r="V15" i="97" s="1"/>
  <c r="E35" i="96"/>
  <c r="E23" i="96"/>
  <c r="S47" i="96"/>
  <c r="S16" i="104"/>
  <c r="N8" i="109"/>
  <c r="N8" i="103"/>
  <c r="U8" i="101"/>
  <c r="U22" i="101" s="1"/>
  <c r="W13" i="111"/>
  <c r="S16" i="99"/>
  <c r="W12" i="107"/>
  <c r="V36" i="113"/>
  <c r="V16" i="95"/>
  <c r="V16" i="113"/>
  <c r="S34" i="107"/>
  <c r="T34" i="107" s="1"/>
  <c r="E34" i="107"/>
  <c r="F34" i="107" s="1"/>
  <c r="E46" i="107"/>
  <c r="F46" i="107" s="1"/>
  <c r="E22" i="107"/>
  <c r="G22" i="107" s="1"/>
  <c r="S46" i="107"/>
  <c r="T46" i="107" s="1"/>
  <c r="T45" i="101"/>
  <c r="N51" i="113"/>
  <c r="Q5" i="113"/>
  <c r="Q5" i="95"/>
  <c r="S15" i="90"/>
  <c r="F21" i="111"/>
  <c r="Z27" i="95"/>
  <c r="E5" i="113"/>
  <c r="V9" i="90"/>
  <c r="E5" i="95"/>
  <c r="Z17" i="113"/>
  <c r="S35" i="111"/>
  <c r="E47" i="111"/>
  <c r="Z17" i="95"/>
  <c r="E23" i="111"/>
  <c r="E35" i="111"/>
  <c r="S47" i="111"/>
  <c r="O22" i="113"/>
  <c r="S40" i="102"/>
  <c r="O22" i="95"/>
  <c r="E28" i="102"/>
  <c r="E52" i="102"/>
  <c r="E40" i="102"/>
  <c r="S52" i="102"/>
  <c r="G10" i="89"/>
  <c r="W10" i="89" s="1"/>
  <c r="G16" i="102"/>
  <c r="H16" i="102" s="1"/>
  <c r="I16" i="102" s="1"/>
  <c r="J16" i="102" s="1"/>
  <c r="K16" i="102" s="1"/>
  <c r="L16" i="102" s="1"/>
  <c r="M16" i="102" s="1"/>
  <c r="F21" i="107"/>
  <c r="V27" i="95"/>
  <c r="W33" i="113"/>
  <c r="H18" i="113"/>
  <c r="S36" i="93"/>
  <c r="S48" i="93"/>
  <c r="E36" i="93"/>
  <c r="H18" i="95"/>
  <c r="T16" i="97" s="1"/>
  <c r="E24" i="93"/>
  <c r="E48" i="93"/>
  <c r="P30" i="113"/>
  <c r="P42" i="113"/>
  <c r="F45" i="102"/>
  <c r="O51" i="95"/>
  <c r="R4" i="113"/>
  <c r="R4" i="95"/>
  <c r="E16" i="87"/>
  <c r="F16" i="87" s="1"/>
  <c r="G16" i="87" s="1"/>
  <c r="H16" i="87" s="1"/>
  <c r="I16" i="87" s="1"/>
  <c r="J16" i="87" s="1"/>
  <c r="K16" i="87" s="1"/>
  <c r="L16" i="87" s="1"/>
  <c r="M16" i="87" s="1"/>
  <c r="N16" i="87" s="1"/>
  <c r="N12" i="104"/>
  <c r="F9" i="110"/>
  <c r="T9" i="110"/>
  <c r="U16" i="111"/>
  <c r="U30" i="111" s="1"/>
  <c r="D7" i="92"/>
  <c r="C14" i="92"/>
  <c r="T7" i="92"/>
  <c r="C16" i="92"/>
  <c r="C12" i="92"/>
  <c r="C10" i="92"/>
  <c r="C13" i="92"/>
  <c r="C9" i="92"/>
  <c r="C11" i="92"/>
  <c r="C15" i="92"/>
  <c r="C8" i="92"/>
  <c r="G10" i="107"/>
  <c r="G13" i="103"/>
  <c r="H13" i="103" s="1"/>
  <c r="I13" i="103" s="1"/>
  <c r="J13" i="103" s="1"/>
  <c r="U17" i="113"/>
  <c r="S35" i="99"/>
  <c r="E35" i="99"/>
  <c r="E23" i="99"/>
  <c r="U17" i="95"/>
  <c r="E47" i="99"/>
  <c r="S47" i="99"/>
  <c r="E12" i="87"/>
  <c r="F12" i="87" s="1"/>
  <c r="G12" i="87" s="1"/>
  <c r="H12" i="87" s="1"/>
  <c r="I12" i="87" s="1"/>
  <c r="N12" i="87" s="1"/>
  <c r="F45" i="99"/>
  <c r="U51" i="95"/>
  <c r="W14" i="101"/>
  <c r="E15" i="94"/>
  <c r="G12" i="106"/>
  <c r="H12" i="106" s="1"/>
  <c r="I12" i="106" s="1"/>
  <c r="G16" i="100"/>
  <c r="H16" i="100" s="1"/>
  <c r="I16" i="100" s="1"/>
  <c r="J16" i="100" s="1"/>
  <c r="K16" i="100" s="1"/>
  <c r="L16" i="100" s="1"/>
  <c r="M16" i="100" s="1"/>
  <c r="Q24" i="97"/>
  <c r="Q44" i="97" s="1"/>
  <c r="E63" i="113"/>
  <c r="Q34" i="97" s="1"/>
  <c r="W14" i="100"/>
  <c r="F45" i="108"/>
  <c r="W51" i="95"/>
  <c r="E14" i="94"/>
  <c r="N9" i="103"/>
  <c r="R9" i="103"/>
  <c r="S23" i="103" s="1"/>
  <c r="G14" i="107"/>
  <c r="H14" i="107" s="1"/>
  <c r="I14" i="107" s="1"/>
  <c r="J14" i="107" s="1"/>
  <c r="K14" i="107" s="1"/>
  <c r="T12" i="107"/>
  <c r="S16" i="95"/>
  <c r="S16" i="113"/>
  <c r="S34" i="106"/>
  <c r="E46" i="106"/>
  <c r="E34" i="106"/>
  <c r="E22" i="106"/>
  <c r="S46" i="106"/>
  <c r="W10" i="105"/>
  <c r="F9" i="105"/>
  <c r="S9" i="105"/>
  <c r="T9" i="105"/>
  <c r="T22" i="80"/>
  <c r="B22" i="113"/>
  <c r="B22" i="95"/>
  <c r="E52" i="80"/>
  <c r="E28" i="80"/>
  <c r="S40" i="80"/>
  <c r="S52" i="80"/>
  <c r="E40" i="80"/>
  <c r="S28" i="80"/>
  <c r="U7" i="91"/>
  <c r="I15" i="95"/>
  <c r="I15" i="113"/>
  <c r="S33" i="94"/>
  <c r="U33" i="94" s="1"/>
  <c r="S45" i="94"/>
  <c r="U45" i="94" s="1"/>
  <c r="E33" i="94"/>
  <c r="G33" i="94" s="1"/>
  <c r="E45" i="94"/>
  <c r="G45" i="94" s="1"/>
  <c r="E21" i="94"/>
  <c r="G21" i="94" s="1"/>
  <c r="R13" i="99"/>
  <c r="S27" i="99" s="1"/>
  <c r="N16" i="104"/>
  <c r="R16" i="104"/>
  <c r="S30" i="104" s="1"/>
  <c r="W9" i="100"/>
  <c r="S13" i="89"/>
  <c r="W8" i="101"/>
  <c r="E9" i="94"/>
  <c r="T13" i="101"/>
  <c r="T12" i="105"/>
  <c r="T11" i="101"/>
  <c r="T14" i="101"/>
  <c r="F33" i="107"/>
  <c r="V39" i="95"/>
  <c r="T45" i="103"/>
  <c r="P51" i="113"/>
  <c r="P31" i="113"/>
  <c r="P43" i="113"/>
  <c r="F16" i="112"/>
  <c r="G16" i="112" s="1"/>
  <c r="H16" i="112" s="1"/>
  <c r="I16" i="112" s="1"/>
  <c r="J16" i="112" s="1"/>
  <c r="K16" i="112" s="1"/>
  <c r="L16" i="112" s="1"/>
  <c r="M16" i="112" s="1"/>
  <c r="T45" i="102"/>
  <c r="O51" i="113"/>
  <c r="G10" i="106"/>
  <c r="AA31" i="95"/>
  <c r="AA55" i="95"/>
  <c r="X27" i="95"/>
  <c r="F21" i="109"/>
  <c r="S51" i="113"/>
  <c r="T45" i="106"/>
  <c r="B8" i="113"/>
  <c r="B68" i="113" s="1"/>
  <c r="T50" i="80"/>
  <c r="F50" i="80"/>
  <c r="F26" i="80"/>
  <c r="F38" i="80"/>
  <c r="V12" i="80"/>
  <c r="B8" i="95"/>
  <c r="B67" i="95" s="1"/>
  <c r="Q33" i="113"/>
  <c r="Q45" i="113"/>
  <c r="T38" i="80"/>
  <c r="T45" i="110"/>
  <c r="Y51" i="113"/>
  <c r="G14" i="103"/>
  <c r="H14" i="103" s="1"/>
  <c r="I14" i="103" s="1"/>
  <c r="J14" i="103" s="1"/>
  <c r="K14" i="103" s="1"/>
  <c r="F21" i="99"/>
  <c r="U39" i="95"/>
  <c r="U27" i="95"/>
  <c r="N10" i="110"/>
  <c r="F11" i="99"/>
  <c r="G11" i="99" s="1"/>
  <c r="G12" i="93"/>
  <c r="H12" i="93" s="1"/>
  <c r="I12" i="93" s="1"/>
  <c r="F21" i="108"/>
  <c r="W27" i="95"/>
  <c r="E12" i="94"/>
  <c r="F22" i="80"/>
  <c r="D15" i="91"/>
  <c r="B15" i="91"/>
  <c r="G14" i="96"/>
  <c r="E14" i="87"/>
  <c r="N9" i="100"/>
  <c r="R9" i="100"/>
  <c r="S23" i="100" s="1"/>
  <c r="N13" i="89"/>
  <c r="R13" i="89"/>
  <c r="S27" i="89" s="1"/>
  <c r="N16" i="95"/>
  <c r="N16" i="113"/>
  <c r="S34" i="101"/>
  <c r="E46" i="101"/>
  <c r="E34" i="101"/>
  <c r="E22" i="101"/>
  <c r="S46" i="101"/>
  <c r="W9" i="109"/>
  <c r="W10" i="100"/>
  <c r="T9" i="97"/>
  <c r="T24" i="104"/>
  <c r="Q42" i="113"/>
  <c r="Q30" i="113"/>
  <c r="W11" i="100"/>
  <c r="R15" i="90"/>
  <c r="N15" i="90"/>
  <c r="T45" i="111"/>
  <c r="Z51" i="113"/>
  <c r="E10" i="87"/>
  <c r="F10" i="87" s="1"/>
  <c r="G10" i="87" s="1"/>
  <c r="N10" i="87" s="1"/>
  <c r="D16" i="113"/>
  <c r="S34" i="88"/>
  <c r="U34" i="88" s="1"/>
  <c r="S22" i="88"/>
  <c r="U22" i="88" s="1"/>
  <c r="E46" i="88"/>
  <c r="G46" i="88" s="1"/>
  <c r="E34" i="88"/>
  <c r="G34" i="88" s="1"/>
  <c r="D16" i="95"/>
  <c r="E22" i="88"/>
  <c r="G22" i="88" s="1"/>
  <c r="S46" i="88"/>
  <c r="U46" i="88" s="1"/>
  <c r="F45" i="105"/>
  <c r="R51" i="95"/>
  <c r="F45" i="101"/>
  <c r="N51" i="95"/>
  <c r="B24" i="113"/>
  <c r="E30" i="80"/>
  <c r="E54" i="80"/>
  <c r="B24" i="95"/>
  <c r="S42" i="80"/>
  <c r="S54" i="80"/>
  <c r="E42" i="80"/>
  <c r="S30" i="80"/>
  <c r="T37" i="80"/>
  <c r="T49" i="80"/>
  <c r="B7" i="113"/>
  <c r="B67" i="113" s="1"/>
  <c r="V11" i="80"/>
  <c r="B7" i="95"/>
  <c r="B66" i="95" s="1"/>
  <c r="F37" i="80"/>
  <c r="F49" i="80"/>
  <c r="F25" i="80"/>
  <c r="T21" i="111"/>
  <c r="Z27" i="113"/>
  <c r="Z63" i="113" s="1"/>
  <c r="N10" i="112"/>
  <c r="G15" i="111"/>
  <c r="W13" i="101"/>
  <c r="G12" i="96"/>
  <c r="E11" i="87"/>
  <c r="T45" i="107"/>
  <c r="V51" i="113"/>
  <c r="S29" i="113"/>
  <c r="S41" i="113"/>
  <c r="W15" i="101"/>
  <c r="I3" i="95"/>
  <c r="U8" i="97" s="1"/>
  <c r="I3" i="113"/>
  <c r="V7" i="94"/>
  <c r="T21" i="102"/>
  <c r="O39" i="113"/>
  <c r="O27" i="113"/>
  <c r="O63" i="113" s="1"/>
  <c r="W8" i="105"/>
  <c r="V8" i="105" s="1"/>
  <c r="W36" i="113"/>
  <c r="F11" i="105"/>
  <c r="E11" i="94"/>
  <c r="P24" i="97"/>
  <c r="P44" i="97" s="1"/>
  <c r="D63" i="113"/>
  <c r="P34" i="97" s="1"/>
  <c r="F45" i="109"/>
  <c r="X51" i="95"/>
  <c r="T21" i="106"/>
  <c r="S27" i="113"/>
  <c r="S63" i="113" s="1"/>
  <c r="S39" i="113"/>
  <c r="F13" i="102"/>
  <c r="S11" i="101"/>
  <c r="S16" i="103"/>
  <c r="N9" i="108"/>
  <c r="R9" i="108"/>
  <c r="S23" i="108" s="1"/>
  <c r="U23" i="108" s="1"/>
  <c r="E13" i="87"/>
  <c r="F13" i="87" s="1"/>
  <c r="G13" i="87" s="1"/>
  <c r="H13" i="87" s="1"/>
  <c r="I13" i="87" s="1"/>
  <c r="J13" i="87" s="1"/>
  <c r="H15" i="88"/>
  <c r="T33" i="108"/>
  <c r="W39" i="113"/>
  <c r="G14" i="93"/>
  <c r="F10" i="101"/>
  <c r="S10" i="101" s="1"/>
  <c r="F15" i="110"/>
  <c r="W7" i="91"/>
  <c r="R7" i="91"/>
  <c r="N7" i="91"/>
  <c r="R14" i="90"/>
  <c r="N14" i="90"/>
  <c r="N24" i="97"/>
  <c r="N44" i="97" s="1"/>
  <c r="B63" i="113"/>
  <c r="N34" i="97" s="1"/>
  <c r="F21" i="100"/>
  <c r="M39" i="95"/>
  <c r="M27" i="95"/>
  <c r="N8" i="111"/>
  <c r="S15" i="102"/>
  <c r="W15" i="108"/>
  <c r="S46" i="95"/>
  <c r="S34" i="95"/>
  <c r="R33" i="113"/>
  <c r="R45" i="113"/>
  <c r="W15" i="109"/>
  <c r="S9" i="110"/>
  <c r="V4" i="113"/>
  <c r="V4" i="95"/>
  <c r="F21" i="105"/>
  <c r="R39" i="95"/>
  <c r="R27" i="95"/>
  <c r="U8" i="111"/>
  <c r="U22" i="111" s="1"/>
  <c r="S10" i="111"/>
  <c r="R20" i="113"/>
  <c r="E38" i="105"/>
  <c r="S38" i="105"/>
  <c r="R20" i="95"/>
  <c r="E50" i="105"/>
  <c r="E26" i="105"/>
  <c r="S50" i="105"/>
  <c r="F13" i="110"/>
  <c r="T21" i="107"/>
  <c r="V27" i="113"/>
  <c r="V63" i="113" s="1"/>
  <c r="G13" i="107"/>
  <c r="H13" i="107" s="1"/>
  <c r="I13" i="107" s="1"/>
  <c r="J13" i="107" s="1"/>
  <c r="B23" i="113"/>
  <c r="E29" i="80"/>
  <c r="S41" i="80"/>
  <c r="E53" i="80"/>
  <c r="B23" i="95"/>
  <c r="S53" i="80"/>
  <c r="E41" i="80"/>
  <c r="S29" i="80"/>
  <c r="W34" i="113"/>
  <c r="N15" i="101"/>
  <c r="R15" i="101"/>
  <c r="S29" i="101" s="1"/>
  <c r="G11" i="96"/>
  <c r="H11" i="96" s="1"/>
  <c r="W10" i="88"/>
  <c r="V10" i="88" s="1"/>
  <c r="X39" i="95"/>
  <c r="F33" i="109"/>
  <c r="W11" i="101"/>
  <c r="S12" i="102"/>
  <c r="G16" i="101"/>
  <c r="F45" i="110"/>
  <c r="Y51" i="95"/>
  <c r="B21" i="113"/>
  <c r="S51" i="80"/>
  <c r="S39" i="80"/>
  <c r="E27" i="80"/>
  <c r="E51" i="80"/>
  <c r="B21" i="95"/>
  <c r="E39" i="80"/>
  <c r="S27" i="80"/>
  <c r="S15" i="108"/>
  <c r="N16" i="103"/>
  <c r="R16" i="103"/>
  <c r="S30" i="103" s="1"/>
  <c r="F9" i="112"/>
  <c r="S9" i="112"/>
  <c r="U9" i="112" s="1"/>
  <c r="X33" i="113"/>
  <c r="N11" i="101"/>
  <c r="E10" i="94"/>
  <c r="Y16" i="95"/>
  <c r="Y16" i="113"/>
  <c r="S34" i="110"/>
  <c r="E46" i="110"/>
  <c r="E34" i="110"/>
  <c r="E22" i="110"/>
  <c r="S46" i="110"/>
  <c r="O30" i="113"/>
  <c r="O42" i="113"/>
  <c r="F21" i="112"/>
  <c r="AA51" i="95"/>
  <c r="AA27" i="95"/>
  <c r="G16" i="109"/>
  <c r="H16" i="109" s="1"/>
  <c r="I16" i="109" s="1"/>
  <c r="J16" i="109" s="1"/>
  <c r="K16" i="109" s="1"/>
  <c r="L16" i="109" s="1"/>
  <c r="M16" i="109" s="1"/>
  <c r="G12" i="108"/>
  <c r="H12" i="108" s="1"/>
  <c r="I12" i="108" s="1"/>
  <c r="F45" i="89"/>
  <c r="L51" i="95"/>
  <c r="T21" i="108"/>
  <c r="W27" i="113"/>
  <c r="W63" i="113" s="1"/>
  <c r="Q39" i="95"/>
  <c r="Q27" i="95"/>
  <c r="F21" i="104"/>
  <c r="G11" i="106"/>
  <c r="S11" i="106" s="1"/>
  <c r="T46" i="80"/>
  <c r="B12" i="91"/>
  <c r="D12" i="91"/>
  <c r="H16" i="88"/>
  <c r="F45" i="100"/>
  <c r="M51" i="95"/>
  <c r="S13" i="106"/>
  <c r="S8" i="87"/>
  <c r="U8" i="87" s="1"/>
  <c r="E8" i="87"/>
  <c r="R8" i="87" s="1"/>
  <c r="U8" i="108"/>
  <c r="L15" i="102"/>
  <c r="T15" i="102"/>
  <c r="R45" i="95"/>
  <c r="R33" i="95"/>
  <c r="W9" i="107"/>
  <c r="W9" i="104"/>
  <c r="V9" i="104" s="1"/>
  <c r="T10" i="107"/>
  <c r="U10" i="107" s="1"/>
  <c r="S5" i="95" l="1"/>
  <c r="S64" i="95" s="1"/>
  <c r="T23" i="106"/>
  <c r="G36" i="108"/>
  <c r="V7" i="91"/>
  <c r="N41" i="97"/>
  <c r="B27" i="32"/>
  <c r="S41" i="103"/>
  <c r="V13" i="80"/>
  <c r="S53" i="103"/>
  <c r="P59" i="113" s="1"/>
  <c r="G30" i="89"/>
  <c r="E41" i="103"/>
  <c r="P23" i="95"/>
  <c r="E53" i="103"/>
  <c r="P59" i="95" s="1"/>
  <c r="E29" i="103"/>
  <c r="P47" i="95" s="1"/>
  <c r="B9" i="95"/>
  <c r="U27" i="80"/>
  <c r="U22" i="89"/>
  <c r="U51" i="108"/>
  <c r="U9" i="103"/>
  <c r="U23" i="103" s="1"/>
  <c r="E36" i="112"/>
  <c r="G36" i="112" s="1"/>
  <c r="B5" i="95"/>
  <c r="N10" i="97" s="1"/>
  <c r="B26" i="32" s="1"/>
  <c r="T27" i="108"/>
  <c r="G28" i="102"/>
  <c r="V16" i="108"/>
  <c r="F39" i="108"/>
  <c r="P8" i="113"/>
  <c r="G35" i="106"/>
  <c r="T47" i="106"/>
  <c r="S5" i="113"/>
  <c r="S65" i="113" s="1"/>
  <c r="G48" i="108"/>
  <c r="F52" i="111"/>
  <c r="V10" i="108"/>
  <c r="G47" i="106"/>
  <c r="F35" i="106"/>
  <c r="U48" i="108"/>
  <c r="G24" i="108"/>
  <c r="F52" i="108"/>
  <c r="U52" i="108"/>
  <c r="W6" i="113"/>
  <c r="V9" i="106"/>
  <c r="U36" i="108"/>
  <c r="U24" i="108"/>
  <c r="G27" i="108"/>
  <c r="F30" i="89"/>
  <c r="T27" i="105"/>
  <c r="U14" i="101"/>
  <c r="U28" i="101" s="1"/>
  <c r="F48" i="103"/>
  <c r="T39" i="108"/>
  <c r="U39" i="105"/>
  <c r="S53" i="95"/>
  <c r="O10" i="95"/>
  <c r="G54" i="89"/>
  <c r="G51" i="105"/>
  <c r="R9" i="95"/>
  <c r="R68" i="95" s="1"/>
  <c r="U35" i="106"/>
  <c r="W10" i="113"/>
  <c r="W70" i="113" s="1"/>
  <c r="H40" i="113"/>
  <c r="F47" i="80"/>
  <c r="U23" i="80"/>
  <c r="W7" i="95"/>
  <c r="X9" i="113"/>
  <c r="X69" i="113" s="1"/>
  <c r="P43" i="95"/>
  <c r="U46" i="110"/>
  <c r="U34" i="110"/>
  <c r="T28" i="108"/>
  <c r="F34" i="90"/>
  <c r="T35" i="106"/>
  <c r="G22" i="110"/>
  <c r="B65" i="95"/>
  <c r="N31" i="97" s="1"/>
  <c r="B42" i="32" s="1"/>
  <c r="T27" i="109"/>
  <c r="V9" i="80"/>
  <c r="G25" i="108"/>
  <c r="F35" i="80"/>
  <c r="T47" i="80"/>
  <c r="V11" i="108"/>
  <c r="V13" i="104"/>
  <c r="U25" i="108"/>
  <c r="U39" i="104"/>
  <c r="U22" i="110"/>
  <c r="U15" i="103"/>
  <c r="P11" i="95" s="1"/>
  <c r="T27" i="104"/>
  <c r="T36" i="109"/>
  <c r="F53" i="96"/>
  <c r="T35" i="80"/>
  <c r="V13" i="109"/>
  <c r="Q9" i="95"/>
  <c r="G34" i="110"/>
  <c r="T34" i="93"/>
  <c r="G46" i="110"/>
  <c r="R12" i="87"/>
  <c r="S26" i="87" s="1"/>
  <c r="F37" i="108"/>
  <c r="F23" i="80"/>
  <c r="Q9" i="113"/>
  <c r="Q69" i="113" s="1"/>
  <c r="T42" i="108"/>
  <c r="W12" i="113"/>
  <c r="W72" i="113" s="1"/>
  <c r="O10" i="113"/>
  <c r="T52" i="102"/>
  <c r="G49" i="93"/>
  <c r="T30" i="89"/>
  <c r="W9" i="95"/>
  <c r="W68" i="95" s="1"/>
  <c r="F27" i="108"/>
  <c r="U42" i="108"/>
  <c r="G48" i="103"/>
  <c r="G39" i="108"/>
  <c r="G27" i="105"/>
  <c r="U48" i="103"/>
  <c r="G39" i="105"/>
  <c r="T39" i="105"/>
  <c r="U28" i="102"/>
  <c r="U13" i="106"/>
  <c r="S9" i="113" s="1"/>
  <c r="F42" i="108"/>
  <c r="F47" i="106"/>
  <c r="T30" i="108"/>
  <c r="G40" i="102"/>
  <c r="V13" i="108"/>
  <c r="W9" i="113"/>
  <c r="W69" i="113" s="1"/>
  <c r="T42" i="89"/>
  <c r="G51" i="108"/>
  <c r="V16" i="89"/>
  <c r="U49" i="90"/>
  <c r="F54" i="108"/>
  <c r="F52" i="102"/>
  <c r="W12" i="95"/>
  <c r="W71" i="95" s="1"/>
  <c r="T24" i="103"/>
  <c r="F24" i="103"/>
  <c r="T48" i="103"/>
  <c r="T51" i="108"/>
  <c r="F51" i="108"/>
  <c r="T51" i="105"/>
  <c r="F27" i="105"/>
  <c r="U39" i="108"/>
  <c r="F51" i="105"/>
  <c r="G36" i="103"/>
  <c r="U51" i="105"/>
  <c r="T52" i="108"/>
  <c r="V14" i="108"/>
  <c r="V8" i="89"/>
  <c r="U42" i="89"/>
  <c r="U54" i="89"/>
  <c r="W60" i="95"/>
  <c r="G42" i="89"/>
  <c r="L12" i="95"/>
  <c r="L71" i="95" s="1"/>
  <c r="T54" i="108"/>
  <c r="F25" i="112"/>
  <c r="M35" i="95"/>
  <c r="T42" i="107"/>
  <c r="T40" i="108"/>
  <c r="W10" i="95"/>
  <c r="W69" i="95" s="1"/>
  <c r="U54" i="108"/>
  <c r="L4" i="95"/>
  <c r="L63" i="95" s="1"/>
  <c r="F28" i="108"/>
  <c r="F40" i="108"/>
  <c r="F42" i="89"/>
  <c r="U8" i="94"/>
  <c r="U22" i="94" s="1"/>
  <c r="T25" i="90"/>
  <c r="V13" i="105"/>
  <c r="R9" i="113"/>
  <c r="R69" i="113" s="1"/>
  <c r="F39" i="105"/>
  <c r="U47" i="106"/>
  <c r="S41" i="95"/>
  <c r="G23" i="106"/>
  <c r="F42" i="90"/>
  <c r="E31" i="113"/>
  <c r="U25" i="90"/>
  <c r="E6" i="95"/>
  <c r="Q11" i="97" s="1"/>
  <c r="E27" i="32" s="1"/>
  <c r="F23" i="106"/>
  <c r="G42" i="108"/>
  <c r="AA6" i="95"/>
  <c r="F30" i="90"/>
  <c r="E6" i="113"/>
  <c r="F36" i="103"/>
  <c r="V10" i="112"/>
  <c r="F54" i="90"/>
  <c r="G42" i="90"/>
  <c r="F22" i="93"/>
  <c r="V16" i="90"/>
  <c r="Q65" i="95"/>
  <c r="E12" i="95"/>
  <c r="E71" i="95" s="1"/>
  <c r="G22" i="93"/>
  <c r="E12" i="113"/>
  <c r="E72" i="113" s="1"/>
  <c r="G54" i="90"/>
  <c r="U36" i="103"/>
  <c r="T42" i="90"/>
  <c r="T30" i="90"/>
  <c r="G34" i="93"/>
  <c r="T36" i="103"/>
  <c r="G27" i="109"/>
  <c r="F39" i="109"/>
  <c r="V10" i="103"/>
  <c r="T54" i="90"/>
  <c r="T39" i="109"/>
  <c r="F51" i="109"/>
  <c r="U22" i="108"/>
  <c r="U13" i="101"/>
  <c r="U27" i="101" s="1"/>
  <c r="E34" i="108"/>
  <c r="W40" i="95" s="1"/>
  <c r="E22" i="108"/>
  <c r="W28" i="95" s="1"/>
  <c r="F34" i="96"/>
  <c r="S46" i="108"/>
  <c r="U46" i="108" s="1"/>
  <c r="F28" i="111"/>
  <c r="V12" i="95"/>
  <c r="V71" i="95" s="1"/>
  <c r="F30" i="108"/>
  <c r="G34" i="90"/>
  <c r="G34" i="96"/>
  <c r="G27" i="104"/>
  <c r="T30" i="107"/>
  <c r="T54" i="107"/>
  <c r="E46" i="108"/>
  <c r="W52" i="95" s="1"/>
  <c r="Z10" i="95"/>
  <c r="Z69" i="95" s="1"/>
  <c r="V12" i="113"/>
  <c r="V72" i="113" s="1"/>
  <c r="G54" i="107"/>
  <c r="U42" i="107"/>
  <c r="T28" i="111"/>
  <c r="S34" i="108"/>
  <c r="U34" i="108" s="1"/>
  <c r="T52" i="111"/>
  <c r="F42" i="107"/>
  <c r="T51" i="104"/>
  <c r="F49" i="90"/>
  <c r="H52" i="95"/>
  <c r="F46" i="93"/>
  <c r="W16" i="113"/>
  <c r="T40" i="111"/>
  <c r="F54" i="107"/>
  <c r="U51" i="104"/>
  <c r="Z10" i="113"/>
  <c r="Z70" i="113" s="1"/>
  <c r="W16" i="95"/>
  <c r="V14" i="111"/>
  <c r="V16" i="107"/>
  <c r="U9" i="99"/>
  <c r="U23" i="99" s="1"/>
  <c r="U42" i="90"/>
  <c r="G30" i="107"/>
  <c r="U54" i="90"/>
  <c r="U40" i="111"/>
  <c r="V8" i="99"/>
  <c r="F40" i="111"/>
  <c r="F30" i="107"/>
  <c r="E10" i="95"/>
  <c r="U13" i="111"/>
  <c r="U27" i="111" s="1"/>
  <c r="S42" i="105"/>
  <c r="U42" i="105" s="1"/>
  <c r="U29" i="80"/>
  <c r="U30" i="90"/>
  <c r="G48" i="109"/>
  <c r="T39" i="104"/>
  <c r="G28" i="108"/>
  <c r="S4" i="95"/>
  <c r="S54" i="105"/>
  <c r="R60" i="113" s="1"/>
  <c r="G40" i="108"/>
  <c r="V15" i="96"/>
  <c r="S4" i="113"/>
  <c r="B11" i="95"/>
  <c r="U46" i="106"/>
  <c r="T53" i="96"/>
  <c r="D7" i="95"/>
  <c r="U22" i="106"/>
  <c r="G29" i="96"/>
  <c r="E42" i="105"/>
  <c r="G42" i="105" s="1"/>
  <c r="F41" i="96"/>
  <c r="V15" i="80"/>
  <c r="G22" i="106"/>
  <c r="U30" i="105"/>
  <c r="U25" i="88"/>
  <c r="E54" i="105"/>
  <c r="R60" i="95" s="1"/>
  <c r="R24" i="95"/>
  <c r="U40" i="108"/>
  <c r="G52" i="108"/>
  <c r="AA20" i="113"/>
  <c r="E30" i="105"/>
  <c r="G30" i="105" s="1"/>
  <c r="G46" i="106"/>
  <c r="T29" i="96"/>
  <c r="G46" i="90"/>
  <c r="U53" i="96"/>
  <c r="F29" i="96"/>
  <c r="R24" i="113"/>
  <c r="T41" i="96"/>
  <c r="E52" i="95"/>
  <c r="G53" i="96"/>
  <c r="H52" i="113"/>
  <c r="V8" i="110"/>
  <c r="P6" i="113"/>
  <c r="P66" i="113" s="1"/>
  <c r="P6" i="95"/>
  <c r="P65" i="95" s="1"/>
  <c r="U24" i="103"/>
  <c r="U24" i="112"/>
  <c r="U11" i="103"/>
  <c r="T49" i="103" s="1"/>
  <c r="G39" i="104"/>
  <c r="U54" i="107"/>
  <c r="Y4" i="95"/>
  <c r="F30" i="80"/>
  <c r="E38" i="112"/>
  <c r="AA44" i="95" s="1"/>
  <c r="B12" i="95"/>
  <c r="AA20" i="95"/>
  <c r="V16" i="80"/>
  <c r="U30" i="80"/>
  <c r="T37" i="104"/>
  <c r="E26" i="112"/>
  <c r="AA32" i="95" s="1"/>
  <c r="S12" i="101"/>
  <c r="F42" i="80"/>
  <c r="E50" i="112"/>
  <c r="U54" i="80"/>
  <c r="U39" i="109"/>
  <c r="S50" i="112"/>
  <c r="U42" i="80"/>
  <c r="S38" i="112"/>
  <c r="AA44" i="113" s="1"/>
  <c r="F37" i="104"/>
  <c r="G54" i="108"/>
  <c r="F54" i="89"/>
  <c r="T54" i="89"/>
  <c r="P7" i="95"/>
  <c r="P66" i="95" s="1"/>
  <c r="W12" i="101"/>
  <c r="T50" i="109"/>
  <c r="G40" i="111"/>
  <c r="G39" i="109"/>
  <c r="G42" i="107"/>
  <c r="X45" i="95"/>
  <c r="T13" i="103"/>
  <c r="E28" i="113"/>
  <c r="Q25" i="97" s="1"/>
  <c r="Q45" i="97" s="1"/>
  <c r="S42" i="106"/>
  <c r="F38" i="109"/>
  <c r="U52" i="111"/>
  <c r="G52" i="111"/>
  <c r="G28" i="111"/>
  <c r="U15" i="104"/>
  <c r="Q11" i="95" s="1"/>
  <c r="T49" i="107"/>
  <c r="U15" i="99"/>
  <c r="U29" i="99" s="1"/>
  <c r="M22" i="95"/>
  <c r="V12" i="109"/>
  <c r="T22" i="90"/>
  <c r="F50" i="109"/>
  <c r="X8" i="95"/>
  <c r="W14" i="112"/>
  <c r="G51" i="109"/>
  <c r="T51" i="109"/>
  <c r="F26" i="109"/>
  <c r="T38" i="109"/>
  <c r="X8" i="113"/>
  <c r="U27" i="109"/>
  <c r="U41" i="96"/>
  <c r="G41" i="96"/>
  <c r="L12" i="113"/>
  <c r="L72" i="113" s="1"/>
  <c r="G25" i="93"/>
  <c r="F34" i="93"/>
  <c r="U49" i="107"/>
  <c r="F37" i="112"/>
  <c r="O30" i="95"/>
  <c r="F39" i="104"/>
  <c r="G24" i="102"/>
  <c r="U13" i="89"/>
  <c r="U27" i="89" s="1"/>
  <c r="T37" i="107"/>
  <c r="U37" i="93"/>
  <c r="F25" i="107"/>
  <c r="U37" i="107"/>
  <c r="F37" i="107"/>
  <c r="T25" i="112"/>
  <c r="T25" i="107"/>
  <c r="U49" i="93"/>
  <c r="U37" i="112"/>
  <c r="G37" i="93"/>
  <c r="AA18" i="95"/>
  <c r="V10" i="109"/>
  <c r="U46" i="93"/>
  <c r="E48" i="112"/>
  <c r="G48" i="112" s="1"/>
  <c r="Q66" i="113"/>
  <c r="X6" i="113"/>
  <c r="X66" i="113" s="1"/>
  <c r="E10" i="113"/>
  <c r="S36" i="112"/>
  <c r="T36" i="112" s="1"/>
  <c r="T24" i="109"/>
  <c r="F49" i="107"/>
  <c r="AA18" i="113"/>
  <c r="F48" i="109"/>
  <c r="U10" i="105"/>
  <c r="U24" i="105" s="1"/>
  <c r="U11" i="100"/>
  <c r="M7" i="95" s="1"/>
  <c r="U36" i="109"/>
  <c r="U51" i="109"/>
  <c r="G36" i="109"/>
  <c r="V43" i="95"/>
  <c r="T48" i="109"/>
  <c r="U4" i="113"/>
  <c r="U48" i="109"/>
  <c r="X57" i="113"/>
  <c r="U11" i="101"/>
  <c r="U25" i="101" s="1"/>
  <c r="F24" i="109"/>
  <c r="S48" i="112"/>
  <c r="T48" i="112" s="1"/>
  <c r="H63" i="95"/>
  <c r="T29" i="97" s="1"/>
  <c r="F36" i="109"/>
  <c r="G49" i="107"/>
  <c r="G24" i="109"/>
  <c r="B64" i="113"/>
  <c r="N35" i="97" s="1"/>
  <c r="E24" i="112"/>
  <c r="G24" i="112" s="1"/>
  <c r="X6" i="95"/>
  <c r="X65" i="95" s="1"/>
  <c r="U10" i="111"/>
  <c r="V10" i="111" s="1"/>
  <c r="T52" i="106"/>
  <c r="F51" i="104"/>
  <c r="Q33" i="95"/>
  <c r="U12" i="112"/>
  <c r="AA8" i="113" s="1"/>
  <c r="T24" i="102"/>
  <c r="Q45" i="95"/>
  <c r="U28" i="80"/>
  <c r="F27" i="104"/>
  <c r="F22" i="104"/>
  <c r="G51" i="104"/>
  <c r="J11" i="113"/>
  <c r="J71" i="113" s="1"/>
  <c r="E40" i="100"/>
  <c r="Q20" i="113"/>
  <c r="T34" i="96"/>
  <c r="S54" i="106"/>
  <c r="S60" i="113" s="1"/>
  <c r="F25" i="104"/>
  <c r="U12" i="89"/>
  <c r="U26" i="89" s="1"/>
  <c r="M22" i="113"/>
  <c r="E42" i="106"/>
  <c r="Q7" i="95"/>
  <c r="Q66" i="95" s="1"/>
  <c r="E30" i="106"/>
  <c r="S36" i="95" s="1"/>
  <c r="Q7" i="113"/>
  <c r="Q67" i="113" s="1"/>
  <c r="G25" i="104"/>
  <c r="S52" i="100"/>
  <c r="M58" i="113" s="1"/>
  <c r="G23" i="111"/>
  <c r="S24" i="95"/>
  <c r="S40" i="100"/>
  <c r="S24" i="113"/>
  <c r="T49" i="104"/>
  <c r="U37" i="104"/>
  <c r="E52" i="100"/>
  <c r="M58" i="95" s="1"/>
  <c r="T25" i="104"/>
  <c r="E42" i="99"/>
  <c r="V11" i="104"/>
  <c r="E28" i="100"/>
  <c r="M46" i="95" s="1"/>
  <c r="U16" i="99"/>
  <c r="U30" i="99" s="1"/>
  <c r="E54" i="106"/>
  <c r="S60" i="95" s="1"/>
  <c r="F49" i="104"/>
  <c r="G37" i="104"/>
  <c r="G49" i="104"/>
  <c r="U49" i="104"/>
  <c r="S13" i="94"/>
  <c r="U23" i="88"/>
  <c r="G40" i="106"/>
  <c r="G52" i="106"/>
  <c r="G25" i="107"/>
  <c r="F52" i="106"/>
  <c r="U16" i="95"/>
  <c r="V9" i="96"/>
  <c r="F40" i="106"/>
  <c r="D5" i="95"/>
  <c r="P10" i="97" s="1"/>
  <c r="D26" i="32" s="1"/>
  <c r="J5" i="95"/>
  <c r="V10" i="97" s="1"/>
  <c r="F28" i="106"/>
  <c r="S38" i="89"/>
  <c r="T28" i="106"/>
  <c r="V9" i="88"/>
  <c r="J5" i="113"/>
  <c r="G28" i="106"/>
  <c r="U15" i="101"/>
  <c r="N11" i="95" s="1"/>
  <c r="S10" i="95"/>
  <c r="S69" i="95" s="1"/>
  <c r="F22" i="96"/>
  <c r="U15" i="108"/>
  <c r="W11" i="113" s="1"/>
  <c r="T13" i="94"/>
  <c r="V14" i="106"/>
  <c r="U13" i="99"/>
  <c r="V13" i="99" s="1"/>
  <c r="G22" i="96"/>
  <c r="U52" i="106"/>
  <c r="V7" i="113"/>
  <c r="V67" i="113" s="1"/>
  <c r="S10" i="113"/>
  <c r="S70" i="113" s="1"/>
  <c r="T40" i="106"/>
  <c r="U40" i="106"/>
  <c r="U25" i="107"/>
  <c r="F37" i="90"/>
  <c r="G49" i="90"/>
  <c r="T51" i="96"/>
  <c r="V11" i="90"/>
  <c r="F25" i="90"/>
  <c r="G25" i="90"/>
  <c r="B10" i="95"/>
  <c r="T37" i="90"/>
  <c r="X33" i="95"/>
  <c r="X68" i="95" s="1"/>
  <c r="V14" i="80"/>
  <c r="E7" i="95"/>
  <c r="E66" i="95" s="1"/>
  <c r="E7" i="113"/>
  <c r="V7" i="95"/>
  <c r="V66" i="95" s="1"/>
  <c r="T49" i="90"/>
  <c r="U37" i="90"/>
  <c r="F27" i="96"/>
  <c r="G38" i="103"/>
  <c r="E30" i="99"/>
  <c r="F39" i="96"/>
  <c r="G26" i="103"/>
  <c r="T39" i="96"/>
  <c r="V13" i="96"/>
  <c r="F27" i="109"/>
  <c r="U27" i="96"/>
  <c r="J9" i="113"/>
  <c r="T50" i="103"/>
  <c r="S54" i="99"/>
  <c r="U60" i="113" s="1"/>
  <c r="P8" i="95"/>
  <c r="E54" i="99"/>
  <c r="U60" i="95" s="1"/>
  <c r="U12" i="110"/>
  <c r="U26" i="110" s="1"/>
  <c r="F51" i="96"/>
  <c r="B63" i="95"/>
  <c r="N29" i="97" s="1"/>
  <c r="B40" i="32" s="1"/>
  <c r="U26" i="103"/>
  <c r="U24" i="95"/>
  <c r="F46" i="96"/>
  <c r="Q20" i="95"/>
  <c r="E26" i="104"/>
  <c r="G26" i="104" s="1"/>
  <c r="E50" i="104"/>
  <c r="Q56" i="95" s="1"/>
  <c r="S15" i="107"/>
  <c r="S15" i="106"/>
  <c r="E38" i="104"/>
  <c r="G38" i="104" s="1"/>
  <c r="V10" i="93"/>
  <c r="G37" i="107"/>
  <c r="T15" i="106"/>
  <c r="S50" i="104"/>
  <c r="Q56" i="113" s="1"/>
  <c r="U26" i="104"/>
  <c r="H6" i="95"/>
  <c r="T11" i="97" s="1"/>
  <c r="G46" i="96"/>
  <c r="F28" i="102"/>
  <c r="S38" i="104"/>
  <c r="T38" i="104" s="1"/>
  <c r="H6" i="113"/>
  <c r="U49" i="112"/>
  <c r="U34" i="96"/>
  <c r="J11" i="95"/>
  <c r="J70" i="95" s="1"/>
  <c r="G30" i="108"/>
  <c r="Q39" i="97"/>
  <c r="N39" i="97"/>
  <c r="N45" i="97"/>
  <c r="V5" i="95"/>
  <c r="R16" i="94"/>
  <c r="S30" i="94" s="1"/>
  <c r="V39" i="97"/>
  <c r="V45" i="97"/>
  <c r="T39" i="97"/>
  <c r="T45" i="97"/>
  <c r="T13" i="107"/>
  <c r="W10" i="87"/>
  <c r="F38" i="103"/>
  <c r="V11" i="93"/>
  <c r="H7" i="95"/>
  <c r="H7" i="113"/>
  <c r="F40" i="102"/>
  <c r="U23" i="107"/>
  <c r="S46" i="102"/>
  <c r="U46" i="102" s="1"/>
  <c r="W15" i="106"/>
  <c r="U46" i="96"/>
  <c r="T16" i="112"/>
  <c r="U10" i="96"/>
  <c r="U24" i="96" s="1"/>
  <c r="E46" i="102"/>
  <c r="G46" i="102" s="1"/>
  <c r="J52" i="113"/>
  <c r="U15" i="90"/>
  <c r="E11" i="113" s="1"/>
  <c r="O16" i="113"/>
  <c r="V9" i="107"/>
  <c r="R9" i="87"/>
  <c r="E23" i="87" s="1"/>
  <c r="T13" i="87"/>
  <c r="U9" i="100"/>
  <c r="M5" i="113" s="1"/>
  <c r="E63" i="95"/>
  <c r="Q29" i="97" s="1"/>
  <c r="E40" i="32" s="1"/>
  <c r="T14" i="112"/>
  <c r="U16" i="113"/>
  <c r="V11" i="88"/>
  <c r="S46" i="99"/>
  <c r="U46" i="99" s="1"/>
  <c r="E22" i="99"/>
  <c r="G22" i="99" s="1"/>
  <c r="E34" i="99"/>
  <c r="F34" i="99" s="1"/>
  <c r="U12" i="105"/>
  <c r="U26" i="105" s="1"/>
  <c r="F49" i="112"/>
  <c r="E46" i="99"/>
  <c r="G46" i="99" s="1"/>
  <c r="W13" i="107"/>
  <c r="F26" i="103"/>
  <c r="S34" i="99"/>
  <c r="T34" i="99" s="1"/>
  <c r="S12" i="87"/>
  <c r="W12" i="108"/>
  <c r="W12" i="87"/>
  <c r="S14" i="88"/>
  <c r="W13" i="94"/>
  <c r="G34" i="100"/>
  <c r="G41" i="105"/>
  <c r="U34" i="100"/>
  <c r="T16" i="94"/>
  <c r="G29" i="105"/>
  <c r="W16" i="94"/>
  <c r="S15" i="93"/>
  <c r="L6" i="113"/>
  <c r="L6" i="95"/>
  <c r="L65" i="95" s="1"/>
  <c r="U53" i="113"/>
  <c r="J53" i="113"/>
  <c r="U47" i="96"/>
  <c r="Q52" i="113"/>
  <c r="U46" i="104"/>
  <c r="B57" i="95"/>
  <c r="G51" i="80"/>
  <c r="B33" i="95"/>
  <c r="G27" i="80"/>
  <c r="S11" i="89"/>
  <c r="T34" i="101"/>
  <c r="U34" i="101"/>
  <c r="S11" i="99"/>
  <c r="E50" i="89"/>
  <c r="B34" i="95"/>
  <c r="G28" i="80"/>
  <c r="W13" i="103"/>
  <c r="H42" i="113"/>
  <c r="U36" i="93"/>
  <c r="W16" i="102"/>
  <c r="T40" i="102"/>
  <c r="U40" i="102"/>
  <c r="V52" i="95"/>
  <c r="G46" i="107"/>
  <c r="U16" i="104"/>
  <c r="Q12" i="113" s="1"/>
  <c r="B41" i="113"/>
  <c r="U35" i="80"/>
  <c r="Y54" i="113"/>
  <c r="P56" i="113"/>
  <c r="U50" i="103"/>
  <c r="S42" i="99"/>
  <c r="W13" i="100"/>
  <c r="W15" i="87"/>
  <c r="D41" i="113"/>
  <c r="U35" i="88"/>
  <c r="T41" i="105"/>
  <c r="U41" i="105"/>
  <c r="Z52" i="113"/>
  <c r="U46" i="111"/>
  <c r="G22" i="100"/>
  <c r="D43" i="95"/>
  <c r="G37" i="88"/>
  <c r="S34" i="102"/>
  <c r="T11" i="89"/>
  <c r="N58" i="95"/>
  <c r="O54" i="95"/>
  <c r="G48" i="102"/>
  <c r="G25" i="112"/>
  <c r="B45" i="113"/>
  <c r="U39" i="80"/>
  <c r="B57" i="113"/>
  <c r="U51" i="80"/>
  <c r="W11" i="89"/>
  <c r="B47" i="113"/>
  <c r="U41" i="80"/>
  <c r="L20" i="113"/>
  <c r="U53" i="95"/>
  <c r="V10" i="89"/>
  <c r="Z53" i="113"/>
  <c r="U47" i="111"/>
  <c r="V40" i="113"/>
  <c r="U34" i="107"/>
  <c r="J29" i="95"/>
  <c r="V20" i="97" s="1"/>
  <c r="G23" i="96"/>
  <c r="Z60" i="113"/>
  <c r="U54" i="111"/>
  <c r="W55" i="113"/>
  <c r="U49" i="108"/>
  <c r="B53" i="95"/>
  <c r="G47" i="80"/>
  <c r="S9" i="87"/>
  <c r="X52" i="113"/>
  <c r="U46" i="109"/>
  <c r="D53" i="113"/>
  <c r="U47" i="88"/>
  <c r="R59" i="95"/>
  <c r="G53" i="105"/>
  <c r="Z40" i="95"/>
  <c r="G34" i="111"/>
  <c r="M52" i="95"/>
  <c r="G46" i="100"/>
  <c r="J57" i="113"/>
  <c r="U51" i="96"/>
  <c r="X32" i="95"/>
  <c r="G26" i="109"/>
  <c r="D43" i="113"/>
  <c r="U37" i="88"/>
  <c r="N55" i="95"/>
  <c r="O16" i="95"/>
  <c r="T46" i="104"/>
  <c r="Q52" i="95"/>
  <c r="G46" i="104"/>
  <c r="N57" i="113"/>
  <c r="G36" i="102"/>
  <c r="T49" i="112"/>
  <c r="E40" i="113"/>
  <c r="U34" i="90"/>
  <c r="T34" i="90"/>
  <c r="F46" i="112"/>
  <c r="G46" i="112"/>
  <c r="F34" i="106"/>
  <c r="G34" i="106"/>
  <c r="H54" i="95"/>
  <c r="G48" i="93"/>
  <c r="O58" i="113"/>
  <c r="U52" i="102"/>
  <c r="J41" i="95"/>
  <c r="G35" i="96"/>
  <c r="Z48" i="95"/>
  <c r="G42" i="111"/>
  <c r="W55" i="95"/>
  <c r="G49" i="108"/>
  <c r="B41" i="95"/>
  <c r="G35" i="80"/>
  <c r="Y42" i="95"/>
  <c r="D41" i="95"/>
  <c r="G35" i="88"/>
  <c r="U59" i="113"/>
  <c r="G22" i="111"/>
  <c r="J45" i="95"/>
  <c r="G39" i="96"/>
  <c r="X44" i="95"/>
  <c r="G38" i="109"/>
  <c r="F34" i="104"/>
  <c r="G34" i="104"/>
  <c r="G49" i="112"/>
  <c r="Y54" i="95"/>
  <c r="B36" i="95"/>
  <c r="G30" i="80"/>
  <c r="N52" i="113"/>
  <c r="U46" i="101"/>
  <c r="S50" i="89"/>
  <c r="H30" i="95"/>
  <c r="T21" i="97" s="1"/>
  <c r="G24" i="93"/>
  <c r="W43" i="95"/>
  <c r="G37" i="108"/>
  <c r="X52" i="95"/>
  <c r="G46" i="109"/>
  <c r="X5" i="95"/>
  <c r="D29" i="95"/>
  <c r="P20" i="97" s="1"/>
  <c r="D36" i="32" s="1"/>
  <c r="G23" i="88"/>
  <c r="U59" i="95"/>
  <c r="Z40" i="113"/>
  <c r="U34" i="111"/>
  <c r="J45" i="113"/>
  <c r="U39" i="96"/>
  <c r="X56" i="95"/>
  <c r="G50" i="109"/>
  <c r="N58" i="113"/>
  <c r="O6" i="113"/>
  <c r="O66" i="113" s="1"/>
  <c r="F36" i="102"/>
  <c r="V10" i="102"/>
  <c r="F24" i="102"/>
  <c r="O6" i="95"/>
  <c r="F48" i="102"/>
  <c r="T48" i="102"/>
  <c r="U25" i="112"/>
  <c r="AA7" i="95"/>
  <c r="AA66" i="95" s="1"/>
  <c r="V11" i="112"/>
  <c r="T37" i="112"/>
  <c r="AA7" i="113"/>
  <c r="AA67" i="113" s="1"/>
  <c r="G29" i="100"/>
  <c r="B58" i="95"/>
  <c r="G52" i="80"/>
  <c r="Z48" i="113"/>
  <c r="U42" i="111"/>
  <c r="P56" i="95"/>
  <c r="G50" i="103"/>
  <c r="X56" i="113"/>
  <c r="U50" i="109"/>
  <c r="D31" i="95"/>
  <c r="G25" i="88"/>
  <c r="B35" i="95"/>
  <c r="G29" i="80"/>
  <c r="Z41" i="95"/>
  <c r="G35" i="111"/>
  <c r="W8" i="87"/>
  <c r="V8" i="87" s="1"/>
  <c r="R56" i="113"/>
  <c r="T16" i="109"/>
  <c r="B45" i="95"/>
  <c r="G39" i="80"/>
  <c r="G22" i="101"/>
  <c r="F50" i="103"/>
  <c r="E38" i="89"/>
  <c r="B46" i="95"/>
  <c r="G40" i="80"/>
  <c r="T34" i="106"/>
  <c r="U34" i="106"/>
  <c r="T16" i="100"/>
  <c r="O58" i="95"/>
  <c r="G52" i="102"/>
  <c r="J53" i="95"/>
  <c r="G47" i="96"/>
  <c r="G30" i="111"/>
  <c r="B29" i="95"/>
  <c r="N20" i="97" s="1"/>
  <c r="B36" i="32" s="1"/>
  <c r="G23" i="80"/>
  <c r="X40" i="95"/>
  <c r="G34" i="109"/>
  <c r="J63" i="95"/>
  <c r="V29" i="97" s="1"/>
  <c r="Y42" i="113"/>
  <c r="T38" i="103"/>
  <c r="U38" i="103"/>
  <c r="U24" i="113"/>
  <c r="J33" i="95"/>
  <c r="J68" i="95" s="1"/>
  <c r="G27" i="96"/>
  <c r="D55" i="113"/>
  <c r="U49" i="88"/>
  <c r="N55" i="113"/>
  <c r="E22" i="102"/>
  <c r="G22" i="102" s="1"/>
  <c r="S13" i="90"/>
  <c r="T34" i="104"/>
  <c r="U34" i="104"/>
  <c r="G41" i="100"/>
  <c r="G53" i="100"/>
  <c r="E52" i="113"/>
  <c r="U46" i="90"/>
  <c r="T46" i="90"/>
  <c r="U41" i="100"/>
  <c r="U22" i="99"/>
  <c r="B59" i="95"/>
  <c r="G53" i="80"/>
  <c r="V40" i="95"/>
  <c r="G34" i="107"/>
  <c r="B60" i="95"/>
  <c r="G54" i="80"/>
  <c r="S11" i="96"/>
  <c r="B47" i="95"/>
  <c r="G41" i="80"/>
  <c r="R56" i="95"/>
  <c r="G34" i="101"/>
  <c r="E26" i="89"/>
  <c r="B58" i="113"/>
  <c r="U52" i="80"/>
  <c r="H42" i="95"/>
  <c r="G36" i="93"/>
  <c r="Z53" i="95"/>
  <c r="G47" i="111"/>
  <c r="V52" i="113"/>
  <c r="U46" i="107"/>
  <c r="J41" i="113"/>
  <c r="U35" i="96"/>
  <c r="X40" i="113"/>
  <c r="U34" i="109"/>
  <c r="T14" i="105"/>
  <c r="D53" i="95"/>
  <c r="G47" i="88"/>
  <c r="T46" i="112"/>
  <c r="U46" i="112"/>
  <c r="X44" i="113"/>
  <c r="U38" i="109"/>
  <c r="D55" i="95"/>
  <c r="G49" i="88"/>
  <c r="E34" i="102"/>
  <c r="U24" i="102"/>
  <c r="T36" i="102"/>
  <c r="U36" i="102"/>
  <c r="U53" i="100"/>
  <c r="O54" i="113"/>
  <c r="U48" i="102"/>
  <c r="Z52" i="95"/>
  <c r="G46" i="111"/>
  <c r="J57" i="95"/>
  <c r="G51" i="96"/>
  <c r="V9" i="109"/>
  <c r="U12" i="102"/>
  <c r="U26" i="102" s="1"/>
  <c r="B59" i="113"/>
  <c r="U53" i="80"/>
  <c r="B48" i="95"/>
  <c r="G42" i="80"/>
  <c r="N52" i="95"/>
  <c r="G46" i="101"/>
  <c r="L20" i="95"/>
  <c r="B46" i="113"/>
  <c r="U40" i="80"/>
  <c r="H54" i="113"/>
  <c r="U48" i="93"/>
  <c r="Z41" i="113"/>
  <c r="U35" i="111"/>
  <c r="U23" i="109"/>
  <c r="Z60" i="95"/>
  <c r="G54" i="111"/>
  <c r="W43" i="113"/>
  <c r="U37" i="108"/>
  <c r="B53" i="113"/>
  <c r="U47" i="80"/>
  <c r="T13" i="100"/>
  <c r="S15" i="87"/>
  <c r="R59" i="113"/>
  <c r="U53" i="105"/>
  <c r="M52" i="113"/>
  <c r="U46" i="100"/>
  <c r="N57" i="95"/>
  <c r="J64" i="113"/>
  <c r="V35" i="97" s="1"/>
  <c r="V6" i="113"/>
  <c r="V6" i="95"/>
  <c r="C4" i="113"/>
  <c r="C4" i="95"/>
  <c r="S6" i="113"/>
  <c r="S6" i="95"/>
  <c r="C23" i="113"/>
  <c r="E53" i="87"/>
  <c r="C23" i="95"/>
  <c r="E29" i="87"/>
  <c r="E41" i="87"/>
  <c r="S29" i="87"/>
  <c r="S41" i="87"/>
  <c r="S53" i="87"/>
  <c r="R9" i="112"/>
  <c r="S23" i="112" s="1"/>
  <c r="U23" i="112" s="1"/>
  <c r="N9" i="112"/>
  <c r="W9" i="112"/>
  <c r="V9" i="112" s="1"/>
  <c r="R44" i="113"/>
  <c r="R32" i="113"/>
  <c r="E33" i="91"/>
  <c r="G33" i="91" s="1"/>
  <c r="F15" i="95"/>
  <c r="S33" i="91"/>
  <c r="U33" i="91" s="1"/>
  <c r="F15" i="113"/>
  <c r="S21" i="91"/>
  <c r="U21" i="91" s="1"/>
  <c r="S45" i="91"/>
  <c r="U45" i="91" s="1"/>
  <c r="E45" i="91"/>
  <c r="G45" i="91" s="1"/>
  <c r="E21" i="91"/>
  <c r="G21" i="91" s="1"/>
  <c r="N13" i="87"/>
  <c r="R13" i="87"/>
  <c r="T30" i="80"/>
  <c r="B36" i="113"/>
  <c r="B72" i="113" s="1"/>
  <c r="P14" i="97"/>
  <c r="D30" i="32" s="1"/>
  <c r="T24" i="112"/>
  <c r="AA54" i="113"/>
  <c r="AA30" i="113"/>
  <c r="AA66" i="113" s="1"/>
  <c r="F14" i="87"/>
  <c r="G14" i="87" s="1"/>
  <c r="H14" i="87" s="1"/>
  <c r="I14" i="87" s="1"/>
  <c r="J14" i="87" s="1"/>
  <c r="K14" i="87" s="1"/>
  <c r="N10" i="106"/>
  <c r="R10" i="106"/>
  <c r="S24" i="106" s="1"/>
  <c r="U24" i="106" s="1"/>
  <c r="F33" i="94"/>
  <c r="I39" i="95"/>
  <c r="T28" i="80"/>
  <c r="B34" i="113"/>
  <c r="B70" i="113" s="1"/>
  <c r="S52" i="95"/>
  <c r="F46" i="106"/>
  <c r="R14" i="107"/>
  <c r="S28" i="107" s="1"/>
  <c r="N14" i="107"/>
  <c r="F14" i="94"/>
  <c r="G14" i="94" s="1"/>
  <c r="H14" i="94" s="1"/>
  <c r="I14" i="94" s="1"/>
  <c r="J14" i="94" s="1"/>
  <c r="K14" i="94" s="1"/>
  <c r="U29" i="95"/>
  <c r="U41" i="95"/>
  <c r="R10" i="107"/>
  <c r="S24" i="107" s="1"/>
  <c r="U24" i="107" s="1"/>
  <c r="N10" i="107"/>
  <c r="D12" i="92"/>
  <c r="B12" i="92"/>
  <c r="N9" i="110"/>
  <c r="R9" i="110"/>
  <c r="S23" i="110" s="1"/>
  <c r="R10" i="87"/>
  <c r="F23" i="111"/>
  <c r="Z29" i="95"/>
  <c r="T12" i="108"/>
  <c r="T23" i="96"/>
  <c r="J29" i="113"/>
  <c r="V26" i="97" s="1"/>
  <c r="Y20" i="113"/>
  <c r="S38" i="110"/>
  <c r="E38" i="110"/>
  <c r="E50" i="110"/>
  <c r="E26" i="110"/>
  <c r="S50" i="110"/>
  <c r="Y20" i="95"/>
  <c r="J18" i="113"/>
  <c r="S36" i="96"/>
  <c r="E48" i="96"/>
  <c r="J18" i="95"/>
  <c r="V16" i="97" s="1"/>
  <c r="E24" i="96"/>
  <c r="E36" i="96"/>
  <c r="S48" i="96"/>
  <c r="M19" i="113"/>
  <c r="M19" i="95"/>
  <c r="E37" i="100"/>
  <c r="S37" i="100"/>
  <c r="E25" i="100"/>
  <c r="E49" i="100"/>
  <c r="S49" i="100"/>
  <c r="H43" i="95"/>
  <c r="F37" i="93"/>
  <c r="F22" i="109"/>
  <c r="X28" i="95"/>
  <c r="X63" i="95" s="1"/>
  <c r="U14" i="100"/>
  <c r="U28" i="100" s="1"/>
  <c r="W42" i="113"/>
  <c r="T36" i="108"/>
  <c r="T49" i="108"/>
  <c r="C27" i="95"/>
  <c r="F21" i="87"/>
  <c r="P44" i="95"/>
  <c r="P32" i="95"/>
  <c r="M11" i="113"/>
  <c r="M71" i="113" s="1"/>
  <c r="F53" i="100"/>
  <c r="F29" i="100"/>
  <c r="M11" i="95"/>
  <c r="F41" i="100"/>
  <c r="V15" i="100"/>
  <c r="T53" i="100"/>
  <c r="E14" i="91"/>
  <c r="F14" i="91" s="1"/>
  <c r="G14" i="91" s="1"/>
  <c r="H14" i="91" s="1"/>
  <c r="I14" i="91" s="1"/>
  <c r="J14" i="91" s="1"/>
  <c r="N9" i="101"/>
  <c r="R9" i="101"/>
  <c r="S23" i="101" s="1"/>
  <c r="U23" i="101" s="1"/>
  <c r="W9" i="101"/>
  <c r="V9" i="101" s="1"/>
  <c r="U12" i="107"/>
  <c r="U26" i="107" s="1"/>
  <c r="N15" i="87"/>
  <c r="U16" i="106"/>
  <c r="R13" i="94"/>
  <c r="S27" i="94" s="1"/>
  <c r="R16" i="95"/>
  <c r="R16" i="113"/>
  <c r="S34" i="105"/>
  <c r="E34" i="105"/>
  <c r="E22" i="105"/>
  <c r="G22" i="105" s="1"/>
  <c r="E46" i="105"/>
  <c r="G46" i="105" s="1"/>
  <c r="S46" i="105"/>
  <c r="U46" i="105" s="1"/>
  <c r="T15" i="107"/>
  <c r="U9" i="89"/>
  <c r="S12" i="108"/>
  <c r="F37" i="88"/>
  <c r="W9" i="110"/>
  <c r="T12" i="93"/>
  <c r="F23" i="96"/>
  <c r="N46" i="113"/>
  <c r="N34" i="113"/>
  <c r="W4" i="113"/>
  <c r="W4" i="95"/>
  <c r="V8" i="108"/>
  <c r="I16" i="88"/>
  <c r="J16" i="88" s="1"/>
  <c r="K16" i="88" s="1"/>
  <c r="L16" i="88" s="1"/>
  <c r="M16" i="88" s="1"/>
  <c r="F22" i="110"/>
  <c r="Y28" i="95"/>
  <c r="C16" i="113"/>
  <c r="S34" i="87"/>
  <c r="S22" i="87"/>
  <c r="U22" i="87" s="1"/>
  <c r="E34" i="87"/>
  <c r="C16" i="95"/>
  <c r="O14" i="97" s="1"/>
  <c r="C30" i="32" s="1"/>
  <c r="E46" i="87"/>
  <c r="E22" i="87"/>
  <c r="S46" i="87"/>
  <c r="E12" i="91"/>
  <c r="F12" i="91" s="1"/>
  <c r="G12" i="91" s="1"/>
  <c r="H12" i="91" s="1"/>
  <c r="I12" i="91" s="1"/>
  <c r="N12" i="91" s="1"/>
  <c r="N16" i="109"/>
  <c r="R16" i="109"/>
  <c r="S30" i="109" s="1"/>
  <c r="Y40" i="95"/>
  <c r="F34" i="110"/>
  <c r="P24" i="113"/>
  <c r="E30" i="103"/>
  <c r="P24" i="95"/>
  <c r="S42" i="103"/>
  <c r="S54" i="103"/>
  <c r="E54" i="103"/>
  <c r="E42" i="103"/>
  <c r="N11" i="96"/>
  <c r="R11" i="96"/>
  <c r="S25" i="96" s="1"/>
  <c r="T29" i="80"/>
  <c r="B35" i="113"/>
  <c r="B71" i="113" s="1"/>
  <c r="G13" i="110"/>
  <c r="Z4" i="113"/>
  <c r="T34" i="111"/>
  <c r="Z4" i="95"/>
  <c r="F34" i="111"/>
  <c r="F46" i="111"/>
  <c r="T46" i="111"/>
  <c r="G10" i="101"/>
  <c r="W10" i="101" s="1"/>
  <c r="W17" i="113"/>
  <c r="S35" i="108"/>
  <c r="U35" i="108" s="1"/>
  <c r="E47" i="108"/>
  <c r="G47" i="108" s="1"/>
  <c r="E23" i="108"/>
  <c r="G23" i="108" s="1"/>
  <c r="E35" i="108"/>
  <c r="G35" i="108" s="1"/>
  <c r="W17" i="95"/>
  <c r="S47" i="108"/>
  <c r="U47" i="108" s="1"/>
  <c r="D40" i="95"/>
  <c r="F34" i="88"/>
  <c r="F12" i="94"/>
  <c r="W14" i="103"/>
  <c r="F53" i="80"/>
  <c r="T45" i="94"/>
  <c r="I51" i="113"/>
  <c r="U9" i="105"/>
  <c r="T22" i="106"/>
  <c r="S28" i="113"/>
  <c r="S40" i="113"/>
  <c r="T12" i="106"/>
  <c r="D8" i="92"/>
  <c r="S8" i="92" s="1"/>
  <c r="B8" i="92"/>
  <c r="B16" i="92"/>
  <c r="D16" i="92"/>
  <c r="T16" i="102"/>
  <c r="Q10" i="97"/>
  <c r="E26" i="32" s="1"/>
  <c r="T22" i="107"/>
  <c r="V28" i="113"/>
  <c r="V64" i="113" s="1"/>
  <c r="G15" i="112"/>
  <c r="Z21" i="113"/>
  <c r="E27" i="111"/>
  <c r="Z21" i="95"/>
  <c r="E51" i="111"/>
  <c r="S39" i="111"/>
  <c r="E39" i="111"/>
  <c r="S51" i="111"/>
  <c r="T25" i="93"/>
  <c r="H31" i="113"/>
  <c r="H11" i="111"/>
  <c r="S11" i="111"/>
  <c r="T22" i="108"/>
  <c r="W28" i="113"/>
  <c r="T23" i="80"/>
  <c r="B29" i="113"/>
  <c r="N26" i="97" s="1"/>
  <c r="E11" i="91"/>
  <c r="T24" i="108"/>
  <c r="W30" i="113"/>
  <c r="F49" i="108"/>
  <c r="C39" i="95"/>
  <c r="F33" i="87"/>
  <c r="W16" i="109"/>
  <c r="T8" i="91"/>
  <c r="E8" i="91"/>
  <c r="W8" i="91" s="1"/>
  <c r="S8" i="91"/>
  <c r="Z5" i="113"/>
  <c r="T35" i="111"/>
  <c r="Z5" i="95"/>
  <c r="V9" i="111"/>
  <c r="F35" i="111"/>
  <c r="F47" i="111"/>
  <c r="T47" i="111"/>
  <c r="H11" i="109"/>
  <c r="S11" i="109"/>
  <c r="U11" i="109" s="1"/>
  <c r="G14" i="89"/>
  <c r="R11" i="113"/>
  <c r="F53" i="105"/>
  <c r="V15" i="105"/>
  <c r="R11" i="95"/>
  <c r="F29" i="105"/>
  <c r="F41" i="105"/>
  <c r="T53" i="105"/>
  <c r="H53" i="95"/>
  <c r="F47" i="93"/>
  <c r="S14" i="112"/>
  <c r="E13" i="91"/>
  <c r="T12" i="101"/>
  <c r="T35" i="88"/>
  <c r="V17" i="113"/>
  <c r="S35" i="107"/>
  <c r="U35" i="107" s="1"/>
  <c r="E35" i="107"/>
  <c r="G35" i="107" s="1"/>
  <c r="E47" i="107"/>
  <c r="G47" i="107" s="1"/>
  <c r="V17" i="95"/>
  <c r="E23" i="107"/>
  <c r="G23" i="107" s="1"/>
  <c r="S47" i="107"/>
  <c r="U47" i="107" s="1"/>
  <c r="U10" i="110"/>
  <c r="U24" i="110" s="1"/>
  <c r="N43" i="95"/>
  <c r="N31" i="95"/>
  <c r="W15" i="107"/>
  <c r="T15" i="93"/>
  <c r="T37" i="88"/>
  <c r="T39" i="80"/>
  <c r="F48" i="93"/>
  <c r="S16" i="109"/>
  <c r="N45" i="95"/>
  <c r="N33" i="95"/>
  <c r="T35" i="96"/>
  <c r="N46" i="95"/>
  <c r="N34" i="95"/>
  <c r="Y52" i="95"/>
  <c r="F46" i="110"/>
  <c r="H15" i="111"/>
  <c r="I15" i="111" s="1"/>
  <c r="J15" i="111" s="1"/>
  <c r="K15" i="111" s="1"/>
  <c r="L15" i="111" s="1"/>
  <c r="T54" i="80"/>
  <c r="B60" i="113"/>
  <c r="D52" i="95"/>
  <c r="F46" i="88"/>
  <c r="L21" i="113"/>
  <c r="L21" i="95"/>
  <c r="E27" i="89"/>
  <c r="S39" i="89"/>
  <c r="E39" i="89"/>
  <c r="E51" i="89"/>
  <c r="S51" i="89"/>
  <c r="N14" i="103"/>
  <c r="R14" i="103"/>
  <c r="S28" i="103" s="1"/>
  <c r="F29" i="80"/>
  <c r="F9" i="94"/>
  <c r="W9" i="94" s="1"/>
  <c r="S9" i="94"/>
  <c r="T9" i="94"/>
  <c r="T33" i="94"/>
  <c r="I39" i="113"/>
  <c r="W12" i="106"/>
  <c r="O46" i="95"/>
  <c r="O34" i="95"/>
  <c r="W12" i="93"/>
  <c r="E9" i="91"/>
  <c r="S36" i="113"/>
  <c r="S48" i="113"/>
  <c r="R16" i="87"/>
  <c r="H12" i="100"/>
  <c r="I12" i="100" s="1"/>
  <c r="H31" i="95"/>
  <c r="F25" i="93"/>
  <c r="W11" i="96"/>
  <c r="U16" i="103"/>
  <c r="U30" i="103" s="1"/>
  <c r="T33" i="87"/>
  <c r="C39" i="113"/>
  <c r="M18" i="113"/>
  <c r="S36" i="100"/>
  <c r="E24" i="100"/>
  <c r="E36" i="100"/>
  <c r="M18" i="95"/>
  <c r="E48" i="100"/>
  <c r="S48" i="100"/>
  <c r="T26" i="103"/>
  <c r="P32" i="113"/>
  <c r="P44" i="113"/>
  <c r="U36" i="113"/>
  <c r="U48" i="113"/>
  <c r="T52" i="80"/>
  <c r="L16" i="95"/>
  <c r="L16" i="113"/>
  <c r="S34" i="89"/>
  <c r="E34" i="89"/>
  <c r="E46" i="89"/>
  <c r="G46" i="89" s="1"/>
  <c r="E22" i="89"/>
  <c r="G22" i="89" s="1"/>
  <c r="S46" i="89"/>
  <c r="U46" i="89" s="1"/>
  <c r="T41" i="100"/>
  <c r="M4" i="113"/>
  <c r="V8" i="100"/>
  <c r="M4" i="95"/>
  <c r="F34" i="100"/>
  <c r="F22" i="100"/>
  <c r="F46" i="100"/>
  <c r="T46" i="100"/>
  <c r="H12" i="111"/>
  <c r="I12" i="111" s="1"/>
  <c r="U47" i="95"/>
  <c r="U35" i="95"/>
  <c r="H41" i="95"/>
  <c r="F35" i="93"/>
  <c r="F22" i="111"/>
  <c r="Z28" i="95"/>
  <c r="T22" i="100"/>
  <c r="M28" i="113"/>
  <c r="M40" i="113"/>
  <c r="S21" i="113"/>
  <c r="S39" i="106"/>
  <c r="E51" i="106"/>
  <c r="E39" i="106"/>
  <c r="S51" i="106"/>
  <c r="S21" i="95"/>
  <c r="E27" i="106"/>
  <c r="N12" i="101"/>
  <c r="R12" i="101"/>
  <c r="S26" i="101" s="1"/>
  <c r="U15" i="109"/>
  <c r="U29" i="109" s="1"/>
  <c r="R15" i="107"/>
  <c r="S29" i="107" s="1"/>
  <c r="N15" i="107"/>
  <c r="D20" i="113"/>
  <c r="S38" i="88"/>
  <c r="U38" i="88" s="1"/>
  <c r="S26" i="88"/>
  <c r="U26" i="88" s="1"/>
  <c r="E26" i="88"/>
  <c r="G26" i="88" s="1"/>
  <c r="E38" i="88"/>
  <c r="G38" i="88" s="1"/>
  <c r="E50" i="88"/>
  <c r="G50" i="88" s="1"/>
  <c r="D20" i="95"/>
  <c r="S50" i="88"/>
  <c r="U50" i="88" s="1"/>
  <c r="T11" i="96"/>
  <c r="T16" i="87"/>
  <c r="S16" i="94"/>
  <c r="T51" i="80"/>
  <c r="F36" i="93"/>
  <c r="S13" i="103"/>
  <c r="R44" i="95"/>
  <c r="R32" i="95"/>
  <c r="I15" i="88"/>
  <c r="F11" i="94"/>
  <c r="T42" i="80"/>
  <c r="B48" i="113"/>
  <c r="T22" i="88"/>
  <c r="D28" i="113"/>
  <c r="N40" i="95"/>
  <c r="N28" i="95"/>
  <c r="Q24" i="113"/>
  <c r="S54" i="104"/>
  <c r="S42" i="104"/>
  <c r="Q24" i="95"/>
  <c r="E54" i="104"/>
  <c r="E42" i="104"/>
  <c r="E30" i="104"/>
  <c r="L44" i="113"/>
  <c r="L32" i="113"/>
  <c r="T21" i="94"/>
  <c r="I27" i="113"/>
  <c r="U24" i="97" s="1"/>
  <c r="U44" i="97" s="1"/>
  <c r="R9" i="105"/>
  <c r="S23" i="105" s="1"/>
  <c r="N9" i="105"/>
  <c r="R12" i="106"/>
  <c r="S26" i="106" s="1"/>
  <c r="N12" i="106"/>
  <c r="U29" i="113"/>
  <c r="U41" i="113"/>
  <c r="D15" i="92"/>
  <c r="B15" i="92"/>
  <c r="D14" i="92"/>
  <c r="B14" i="92"/>
  <c r="S16" i="87"/>
  <c r="R16" i="102"/>
  <c r="S30" i="102" s="1"/>
  <c r="N16" i="102"/>
  <c r="T23" i="111"/>
  <c r="Z29" i="113"/>
  <c r="X17" i="113"/>
  <c r="S35" i="109"/>
  <c r="U35" i="109" s="1"/>
  <c r="E35" i="109"/>
  <c r="G35" i="109" s="1"/>
  <c r="E23" i="109"/>
  <c r="G23" i="109" s="1"/>
  <c r="X17" i="95"/>
  <c r="E47" i="109"/>
  <c r="G47" i="109" s="1"/>
  <c r="S47" i="109"/>
  <c r="U47" i="109" s="1"/>
  <c r="F30" i="111"/>
  <c r="Z36" i="95"/>
  <c r="H55" i="95"/>
  <c r="F49" i="93"/>
  <c r="T22" i="109"/>
  <c r="X28" i="113"/>
  <c r="X64" i="113" s="1"/>
  <c r="P16" i="95"/>
  <c r="P16" i="113"/>
  <c r="S34" i="103"/>
  <c r="E46" i="103"/>
  <c r="G46" i="103" s="1"/>
  <c r="E34" i="103"/>
  <c r="E22" i="103"/>
  <c r="G22" i="103" s="1"/>
  <c r="S46" i="103"/>
  <c r="U46" i="103" s="1"/>
  <c r="W54" i="113"/>
  <c r="T48" i="108"/>
  <c r="O20" i="113"/>
  <c r="S38" i="102"/>
  <c r="O20" i="95"/>
  <c r="E50" i="102"/>
  <c r="E26" i="102"/>
  <c r="E38" i="102"/>
  <c r="S50" i="102"/>
  <c r="T45" i="87"/>
  <c r="C51" i="113"/>
  <c r="S14" i="104"/>
  <c r="N14" i="105"/>
  <c r="R14" i="105"/>
  <c r="S28" i="105" s="1"/>
  <c r="W16" i="100"/>
  <c r="T40" i="80"/>
  <c r="E17" i="113"/>
  <c r="S23" i="90"/>
  <c r="U23" i="90" s="1"/>
  <c r="S35" i="90"/>
  <c r="U35" i="90" s="1"/>
  <c r="E47" i="90"/>
  <c r="G47" i="90" s="1"/>
  <c r="E23" i="90"/>
  <c r="G23" i="90" s="1"/>
  <c r="E35" i="90"/>
  <c r="G35" i="90" s="1"/>
  <c r="E17" i="95"/>
  <c r="Q15" i="97" s="1"/>
  <c r="E31" i="32" s="1"/>
  <c r="S47" i="90"/>
  <c r="U47" i="90" s="1"/>
  <c r="G10" i="99"/>
  <c r="W10" i="99" s="1"/>
  <c r="S10" i="99"/>
  <c r="U10" i="99" s="1"/>
  <c r="H29" i="95"/>
  <c r="F23" i="93"/>
  <c r="T22" i="111"/>
  <c r="Z28" i="113"/>
  <c r="T46" i="109"/>
  <c r="AA52" i="95"/>
  <c r="AA28" i="95"/>
  <c r="AA63" i="95" s="1"/>
  <c r="F22" i="112"/>
  <c r="T34" i="100"/>
  <c r="N14" i="112"/>
  <c r="R14" i="112"/>
  <c r="S28" i="112" s="1"/>
  <c r="E10" i="91"/>
  <c r="F10" i="91" s="1"/>
  <c r="T47" i="88"/>
  <c r="W23" i="113"/>
  <c r="W23" i="95"/>
  <c r="E29" i="108"/>
  <c r="E41" i="108"/>
  <c r="E53" i="108"/>
  <c r="S41" i="108"/>
  <c r="S53" i="108"/>
  <c r="J13" i="90"/>
  <c r="T13" i="90"/>
  <c r="W16" i="112"/>
  <c r="T49" i="88"/>
  <c r="T48" i="93"/>
  <c r="S14" i="103"/>
  <c r="T47" i="96"/>
  <c r="T22" i="110"/>
  <c r="Y28" i="113"/>
  <c r="Y64" i="113" s="1"/>
  <c r="N23" i="113"/>
  <c r="N23" i="95"/>
  <c r="E53" i="101"/>
  <c r="E29" i="101"/>
  <c r="E41" i="101"/>
  <c r="S41" i="101"/>
  <c r="S53" i="101"/>
  <c r="T30" i="105"/>
  <c r="R36" i="113"/>
  <c r="R48" i="113"/>
  <c r="Y40" i="113"/>
  <c r="T34" i="110"/>
  <c r="T27" i="80"/>
  <c r="B33" i="113"/>
  <c r="B69" i="113" s="1"/>
  <c r="R13" i="107"/>
  <c r="S27" i="107" s="1"/>
  <c r="N13" i="107"/>
  <c r="G15" i="110"/>
  <c r="H14" i="93"/>
  <c r="D40" i="113"/>
  <c r="T34" i="88"/>
  <c r="M17" i="113"/>
  <c r="S35" i="100"/>
  <c r="E35" i="100"/>
  <c r="E23" i="100"/>
  <c r="M17" i="95"/>
  <c r="E47" i="100"/>
  <c r="S47" i="100"/>
  <c r="H14" i="96"/>
  <c r="S12" i="93"/>
  <c r="T26" i="104"/>
  <c r="Q32" i="113"/>
  <c r="Q44" i="113"/>
  <c r="N16" i="112"/>
  <c r="R16" i="112"/>
  <c r="S30" i="112" s="1"/>
  <c r="P17" i="113"/>
  <c r="S35" i="103"/>
  <c r="E23" i="103"/>
  <c r="E47" i="103"/>
  <c r="P17" i="95"/>
  <c r="E35" i="103"/>
  <c r="S47" i="103"/>
  <c r="D11" i="92"/>
  <c r="B11" i="92"/>
  <c r="W7" i="92"/>
  <c r="N7" i="92"/>
  <c r="R7" i="92"/>
  <c r="S21" i="92" s="1"/>
  <c r="W16" i="87"/>
  <c r="S16" i="112"/>
  <c r="W15" i="93"/>
  <c r="T21" i="87"/>
  <c r="C27" i="113"/>
  <c r="T14" i="104"/>
  <c r="R12" i="113"/>
  <c r="V16" i="105"/>
  <c r="R12" i="95"/>
  <c r="G15" i="89"/>
  <c r="T15" i="87"/>
  <c r="T29" i="105"/>
  <c r="R35" i="113"/>
  <c r="R47" i="113"/>
  <c r="T23" i="93"/>
  <c r="H29" i="113"/>
  <c r="F34" i="109"/>
  <c r="AA40" i="95"/>
  <c r="F34" i="112"/>
  <c r="N10" i="111"/>
  <c r="R10" i="111"/>
  <c r="S24" i="111" s="1"/>
  <c r="T27" i="96"/>
  <c r="J33" i="113"/>
  <c r="P35" i="113"/>
  <c r="P47" i="113"/>
  <c r="F23" i="88"/>
  <c r="T26" i="109"/>
  <c r="X32" i="113"/>
  <c r="T25" i="88"/>
  <c r="D31" i="113"/>
  <c r="D67" i="113" s="1"/>
  <c r="S7" i="92"/>
  <c r="U7" i="92" s="1"/>
  <c r="T22" i="102"/>
  <c r="O40" i="113"/>
  <c r="O28" i="113"/>
  <c r="O64" i="113" s="1"/>
  <c r="U10" i="100"/>
  <c r="U24" i="100" s="1"/>
  <c r="S13" i="107"/>
  <c r="F51" i="80"/>
  <c r="P11" i="97"/>
  <c r="D27" i="32" s="1"/>
  <c r="F24" i="93"/>
  <c r="U15" i="102"/>
  <c r="R12" i="93"/>
  <c r="S26" i="93" s="1"/>
  <c r="N12" i="93"/>
  <c r="T53" i="80"/>
  <c r="U21" i="113"/>
  <c r="E27" i="99"/>
  <c r="E39" i="99"/>
  <c r="S39" i="99"/>
  <c r="U21" i="95"/>
  <c r="E51" i="99"/>
  <c r="S51" i="99"/>
  <c r="S52" i="113"/>
  <c r="T46" i="106"/>
  <c r="F15" i="94"/>
  <c r="G15" i="94" s="1"/>
  <c r="H15" i="94" s="1"/>
  <c r="I15" i="94" s="1"/>
  <c r="J15" i="94" s="1"/>
  <c r="K15" i="94" s="1"/>
  <c r="B9" i="92"/>
  <c r="D9" i="92"/>
  <c r="Z12" i="95"/>
  <c r="Z12" i="113"/>
  <c r="V16" i="111"/>
  <c r="F42" i="111"/>
  <c r="F54" i="111"/>
  <c r="T54" i="111"/>
  <c r="T42" i="111"/>
  <c r="N10" i="89"/>
  <c r="R10" i="89"/>
  <c r="S24" i="89" s="1"/>
  <c r="U24" i="89" s="1"/>
  <c r="H43" i="113"/>
  <c r="T37" i="93"/>
  <c r="E18" i="113"/>
  <c r="S36" i="90"/>
  <c r="U36" i="90" s="1"/>
  <c r="S24" i="90"/>
  <c r="U24" i="90" s="1"/>
  <c r="E36" i="90"/>
  <c r="G36" i="90" s="1"/>
  <c r="E18" i="95"/>
  <c r="Q16" i="97" s="1"/>
  <c r="E32" i="32" s="1"/>
  <c r="E48" i="90"/>
  <c r="G48" i="90" s="1"/>
  <c r="E24" i="90"/>
  <c r="G24" i="90" s="1"/>
  <c r="S48" i="90"/>
  <c r="U48" i="90" s="1"/>
  <c r="W42" i="95"/>
  <c r="F36" i="108"/>
  <c r="X23" i="113"/>
  <c r="X23" i="95"/>
  <c r="S41" i="109"/>
  <c r="S53" i="109"/>
  <c r="E41" i="109"/>
  <c r="E53" i="109"/>
  <c r="E29" i="109"/>
  <c r="Y30" i="113"/>
  <c r="V20" i="113"/>
  <c r="E26" i="107"/>
  <c r="V20" i="95"/>
  <c r="S38" i="107"/>
  <c r="E50" i="107"/>
  <c r="E38" i="107"/>
  <c r="S50" i="107"/>
  <c r="T37" i="108"/>
  <c r="N14" i="104"/>
  <c r="R14" i="104"/>
  <c r="S28" i="104" s="1"/>
  <c r="R9" i="89"/>
  <c r="S23" i="89" s="1"/>
  <c r="N9" i="89"/>
  <c r="F40" i="80"/>
  <c r="R18" i="113"/>
  <c r="S36" i="105"/>
  <c r="E24" i="105"/>
  <c r="E36" i="105"/>
  <c r="R18" i="95"/>
  <c r="E48" i="105"/>
  <c r="S48" i="105"/>
  <c r="H14" i="109"/>
  <c r="I14" i="109" s="1"/>
  <c r="J14" i="109" s="1"/>
  <c r="K14" i="109" s="1"/>
  <c r="T23" i="88"/>
  <c r="D29" i="113"/>
  <c r="P26" i="97" s="1"/>
  <c r="U35" i="113"/>
  <c r="U47" i="113"/>
  <c r="H41" i="113"/>
  <c r="T35" i="93"/>
  <c r="F46" i="109"/>
  <c r="F47" i="88"/>
  <c r="G13" i="112"/>
  <c r="S16" i="102"/>
  <c r="F39" i="80"/>
  <c r="S14" i="105"/>
  <c r="F47" i="96"/>
  <c r="T12" i="87"/>
  <c r="E22" i="113"/>
  <c r="S28" i="90"/>
  <c r="U28" i="90" s="1"/>
  <c r="E40" i="90"/>
  <c r="G40" i="90" s="1"/>
  <c r="E52" i="90"/>
  <c r="G52" i="90" s="1"/>
  <c r="E22" i="95"/>
  <c r="E28" i="90"/>
  <c r="G28" i="90" s="1"/>
  <c r="S40" i="90"/>
  <c r="U40" i="90" s="1"/>
  <c r="S52" i="90"/>
  <c r="U52" i="90" s="1"/>
  <c r="S13" i="87"/>
  <c r="G11" i="105"/>
  <c r="F11" i="87"/>
  <c r="H12" i="96"/>
  <c r="S12" i="96" s="1"/>
  <c r="D52" i="113"/>
  <c r="T46" i="88"/>
  <c r="T10" i="87"/>
  <c r="E23" i="113"/>
  <c r="E29" i="90"/>
  <c r="E41" i="90"/>
  <c r="E53" i="90"/>
  <c r="E23" i="95"/>
  <c r="S29" i="90"/>
  <c r="S41" i="90"/>
  <c r="S53" i="90"/>
  <c r="T22" i="101"/>
  <c r="N28" i="113"/>
  <c r="N40" i="113"/>
  <c r="E15" i="91"/>
  <c r="F15" i="91" s="1"/>
  <c r="G15" i="91" s="1"/>
  <c r="H15" i="91" s="1"/>
  <c r="I15" i="91" s="1"/>
  <c r="J15" i="91" s="1"/>
  <c r="K15" i="91" s="1"/>
  <c r="L15" i="91" s="1"/>
  <c r="N15" i="91" s="1"/>
  <c r="T41" i="80"/>
  <c r="T22" i="99"/>
  <c r="U28" i="113"/>
  <c r="U40" i="113"/>
  <c r="F21" i="94"/>
  <c r="I27" i="95"/>
  <c r="S40" i="95"/>
  <c r="S28" i="95"/>
  <c r="F22" i="106"/>
  <c r="W14" i="107"/>
  <c r="N13" i="103"/>
  <c r="R13" i="103"/>
  <c r="S27" i="103" s="1"/>
  <c r="B13" i="92"/>
  <c r="D13" i="92"/>
  <c r="T28" i="102"/>
  <c r="O34" i="113"/>
  <c r="O46" i="113"/>
  <c r="F22" i="107"/>
  <c r="V28" i="95"/>
  <c r="V63" i="95" s="1"/>
  <c r="T30" i="111"/>
  <c r="Z36" i="113"/>
  <c r="Q8" i="113"/>
  <c r="V12" i="104"/>
  <c r="Q8" i="95"/>
  <c r="F25" i="108"/>
  <c r="W31" i="95"/>
  <c r="G14" i="110"/>
  <c r="T9" i="87"/>
  <c r="W54" i="95"/>
  <c r="F48" i="108"/>
  <c r="Q17" i="113"/>
  <c r="S35" i="104"/>
  <c r="Q17" i="95"/>
  <c r="E47" i="104"/>
  <c r="G47" i="104" s="1"/>
  <c r="E35" i="104"/>
  <c r="E23" i="104"/>
  <c r="G23" i="104" s="1"/>
  <c r="S47" i="104"/>
  <c r="U47" i="104" s="1"/>
  <c r="N15" i="93"/>
  <c r="R15" i="93"/>
  <c r="S29" i="93" s="1"/>
  <c r="K14" i="88"/>
  <c r="T14" i="88"/>
  <c r="F52" i="80"/>
  <c r="E16" i="91"/>
  <c r="F16" i="91" s="1"/>
  <c r="G16" i="91" s="1"/>
  <c r="H16" i="91" s="1"/>
  <c r="I16" i="91" s="1"/>
  <c r="J16" i="91" s="1"/>
  <c r="K16" i="91" s="1"/>
  <c r="L16" i="91" s="1"/>
  <c r="M16" i="91" s="1"/>
  <c r="R16" i="91" s="1"/>
  <c r="W14" i="105"/>
  <c r="R47" i="95"/>
  <c r="R35" i="95"/>
  <c r="T22" i="112"/>
  <c r="AA28" i="113"/>
  <c r="AA64" i="113" s="1"/>
  <c r="AA52" i="113"/>
  <c r="H64" i="113"/>
  <c r="T35" i="97" s="1"/>
  <c r="G11" i="102"/>
  <c r="T11" i="102" s="1"/>
  <c r="F35" i="88"/>
  <c r="T29" i="100"/>
  <c r="U9" i="102"/>
  <c r="N31" i="113"/>
  <c r="N43" i="113"/>
  <c r="N11" i="89"/>
  <c r="R11" i="89"/>
  <c r="S25" i="89" s="1"/>
  <c r="N15" i="106"/>
  <c r="R15" i="106"/>
  <c r="S29" i="106" s="1"/>
  <c r="F46" i="104"/>
  <c r="S16" i="100"/>
  <c r="Q28" i="95"/>
  <c r="Q63" i="95" s="1"/>
  <c r="Q40" i="95"/>
  <c r="F49" i="88"/>
  <c r="F27" i="80"/>
  <c r="W9" i="105"/>
  <c r="W14" i="104"/>
  <c r="M46" i="113"/>
  <c r="M34" i="113"/>
  <c r="N15" i="102"/>
  <c r="R15" i="102"/>
  <c r="S29" i="102" s="1"/>
  <c r="W15" i="102"/>
  <c r="H11" i="106"/>
  <c r="T11" i="106"/>
  <c r="U11" i="106" s="1"/>
  <c r="AA56" i="113"/>
  <c r="AA32" i="113"/>
  <c r="R12" i="108"/>
  <c r="S26" i="108" s="1"/>
  <c r="N12" i="108"/>
  <c r="Y52" i="113"/>
  <c r="T46" i="110"/>
  <c r="F10" i="94"/>
  <c r="T10" i="94" s="1"/>
  <c r="AA5" i="113"/>
  <c r="AA5" i="95"/>
  <c r="H16" i="101"/>
  <c r="N8" i="87"/>
  <c r="T10" i="101"/>
  <c r="U10" i="101" s="1"/>
  <c r="W13" i="87"/>
  <c r="G13" i="102"/>
  <c r="F54" i="80"/>
  <c r="D28" i="95"/>
  <c r="F22" i="88"/>
  <c r="S10" i="87"/>
  <c r="H11" i="99"/>
  <c r="T11" i="99"/>
  <c r="F41" i="80"/>
  <c r="W10" i="106"/>
  <c r="V10" i="106" s="1"/>
  <c r="F45" i="94"/>
  <c r="I51" i="95"/>
  <c r="F3" i="95"/>
  <c r="R8" i="97" s="1"/>
  <c r="F24" i="32" s="1"/>
  <c r="F3" i="113"/>
  <c r="S14" i="107"/>
  <c r="R16" i="100"/>
  <c r="S30" i="100" s="1"/>
  <c r="N16" i="100"/>
  <c r="W10" i="107"/>
  <c r="V10" i="107" s="1"/>
  <c r="D10" i="92"/>
  <c r="B10" i="92"/>
  <c r="U9" i="110"/>
  <c r="T24" i="93"/>
  <c r="H30" i="113"/>
  <c r="N4" i="113"/>
  <c r="F34" i="101"/>
  <c r="V8" i="101"/>
  <c r="F46" i="101"/>
  <c r="N4" i="95"/>
  <c r="F22" i="101"/>
  <c r="T46" i="101"/>
  <c r="H13" i="93"/>
  <c r="G16" i="110"/>
  <c r="T14" i="103"/>
  <c r="T25" i="108"/>
  <c r="W31" i="113"/>
  <c r="W67" i="113" s="1"/>
  <c r="H55" i="113"/>
  <c r="T49" i="93"/>
  <c r="T11" i="111"/>
  <c r="W9" i="87"/>
  <c r="G11" i="110"/>
  <c r="S11" i="110" s="1"/>
  <c r="W30" i="95"/>
  <c r="W65" i="95" s="1"/>
  <c r="F24" i="108"/>
  <c r="Y30" i="95"/>
  <c r="C51" i="95"/>
  <c r="F45" i="87"/>
  <c r="R13" i="100"/>
  <c r="S27" i="100" s="1"/>
  <c r="N13" i="100"/>
  <c r="F28" i="80"/>
  <c r="N5" i="113"/>
  <c r="N5" i="95"/>
  <c r="H53" i="113"/>
  <c r="T47" i="93"/>
  <c r="Q23" i="113"/>
  <c r="E29" i="104"/>
  <c r="Q23" i="95"/>
  <c r="S53" i="104"/>
  <c r="E53" i="104"/>
  <c r="S41" i="104"/>
  <c r="E41" i="104"/>
  <c r="T34" i="109"/>
  <c r="AA40" i="113"/>
  <c r="T34" i="112"/>
  <c r="M40" i="95"/>
  <c r="M28" i="95"/>
  <c r="G14" i="99"/>
  <c r="I16" i="113"/>
  <c r="S34" i="94"/>
  <c r="E46" i="94"/>
  <c r="I16" i="95"/>
  <c r="U14" i="97" s="1"/>
  <c r="E22" i="94"/>
  <c r="E34" i="94"/>
  <c r="S46" i="94"/>
  <c r="R9" i="102"/>
  <c r="S23" i="102" s="1"/>
  <c r="N9" i="102"/>
  <c r="D18" i="113"/>
  <c r="S36" i="88"/>
  <c r="U36" i="88" s="1"/>
  <c r="S24" i="88"/>
  <c r="U24" i="88" s="1"/>
  <c r="E48" i="88"/>
  <c r="G48" i="88" s="1"/>
  <c r="D18" i="95"/>
  <c r="P16" i="97" s="1"/>
  <c r="D32" i="32" s="1"/>
  <c r="E24" i="88"/>
  <c r="G24" i="88" s="1"/>
  <c r="E36" i="88"/>
  <c r="G36" i="88" s="1"/>
  <c r="S48" i="88"/>
  <c r="U48" i="88" s="1"/>
  <c r="V8" i="111"/>
  <c r="G12" i="99"/>
  <c r="S12" i="106"/>
  <c r="T22" i="104"/>
  <c r="Q28" i="113"/>
  <c r="Q64" i="113" s="1"/>
  <c r="Q40" i="113"/>
  <c r="F25" i="88"/>
  <c r="T14" i="107"/>
  <c r="T36" i="93"/>
  <c r="N33" i="113"/>
  <c r="N45" i="113"/>
  <c r="F35" i="96"/>
  <c r="S13" i="100"/>
  <c r="U12" i="95" l="1"/>
  <c r="AA42" i="95"/>
  <c r="V10" i="105"/>
  <c r="G29" i="104"/>
  <c r="F40" i="101"/>
  <c r="P68" i="113"/>
  <c r="T37" i="101"/>
  <c r="P5" i="113"/>
  <c r="G23" i="103"/>
  <c r="F36" i="112"/>
  <c r="G35" i="103"/>
  <c r="P5" i="95"/>
  <c r="B68" i="95"/>
  <c r="V9" i="103"/>
  <c r="F47" i="103"/>
  <c r="P35" i="95"/>
  <c r="U15" i="93"/>
  <c r="H11" i="95" s="1"/>
  <c r="W40" i="113"/>
  <c r="U54" i="105"/>
  <c r="F26" i="104"/>
  <c r="O69" i="95"/>
  <c r="W66" i="113"/>
  <c r="G39" i="111"/>
  <c r="G27" i="111"/>
  <c r="F50" i="105"/>
  <c r="U12" i="106"/>
  <c r="U26" i="106" s="1"/>
  <c r="R8" i="113"/>
  <c r="R68" i="113" s="1"/>
  <c r="H66" i="95"/>
  <c r="F48" i="105"/>
  <c r="V16" i="99"/>
  <c r="E38" i="87"/>
  <c r="C44" i="95" s="1"/>
  <c r="N10" i="113"/>
  <c r="N70" i="113" s="1"/>
  <c r="G22" i="94"/>
  <c r="U12" i="113"/>
  <c r="U72" i="113" s="1"/>
  <c r="C20" i="113"/>
  <c r="T30" i="99"/>
  <c r="T54" i="105"/>
  <c r="U13" i="103"/>
  <c r="V13" i="103" s="1"/>
  <c r="U39" i="111"/>
  <c r="U52" i="113"/>
  <c r="V13" i="111"/>
  <c r="Z9" i="95"/>
  <c r="F54" i="105"/>
  <c r="G51" i="111"/>
  <c r="Y63" i="95"/>
  <c r="G54" i="105"/>
  <c r="Z9" i="113"/>
  <c r="U51" i="111"/>
  <c r="T34" i="108"/>
  <c r="G29" i="101"/>
  <c r="I4" i="95"/>
  <c r="U9" i="97" s="1"/>
  <c r="S50" i="87"/>
  <c r="C56" i="113" s="1"/>
  <c r="E50" i="87"/>
  <c r="C56" i="95" s="1"/>
  <c r="F28" i="101"/>
  <c r="S9" i="95"/>
  <c r="G28" i="101"/>
  <c r="G40" i="101"/>
  <c r="U52" i="101"/>
  <c r="U27" i="106"/>
  <c r="S16" i="88"/>
  <c r="G27" i="106"/>
  <c r="E26" i="87"/>
  <c r="S38" i="87"/>
  <c r="C44" i="113" s="1"/>
  <c r="T52" i="101"/>
  <c r="N10" i="95"/>
  <c r="N69" i="95" s="1"/>
  <c r="V13" i="106"/>
  <c r="W52" i="113"/>
  <c r="Q68" i="95"/>
  <c r="T40" i="101"/>
  <c r="T28" i="101"/>
  <c r="M70" i="95"/>
  <c r="C20" i="95"/>
  <c r="F52" i="101"/>
  <c r="V14" i="101"/>
  <c r="U40" i="101"/>
  <c r="U53" i="99"/>
  <c r="G52" i="101"/>
  <c r="T42" i="105"/>
  <c r="U53" i="104"/>
  <c r="U64" i="113"/>
  <c r="Q11" i="113"/>
  <c r="R6" i="95"/>
  <c r="U29" i="104"/>
  <c r="G53" i="104"/>
  <c r="R6" i="113"/>
  <c r="U53" i="101"/>
  <c r="G53" i="101"/>
  <c r="V15" i="104"/>
  <c r="F42" i="105"/>
  <c r="Q32" i="95"/>
  <c r="Q67" i="95" s="1"/>
  <c r="F48" i="112"/>
  <c r="G49" i="101"/>
  <c r="U29" i="103"/>
  <c r="W66" i="95"/>
  <c r="T41" i="103"/>
  <c r="U12" i="101"/>
  <c r="N8" i="113" s="1"/>
  <c r="R48" i="95"/>
  <c r="W16" i="88"/>
  <c r="T46" i="108"/>
  <c r="F41" i="103"/>
  <c r="G29" i="103"/>
  <c r="P11" i="113"/>
  <c r="P71" i="113" s="1"/>
  <c r="F53" i="103"/>
  <c r="T29" i="103"/>
  <c r="U16" i="112"/>
  <c r="AA12" i="113" s="1"/>
  <c r="G53" i="103"/>
  <c r="G41" i="103"/>
  <c r="V15" i="103"/>
  <c r="T27" i="101"/>
  <c r="E64" i="113"/>
  <c r="Q35" i="97" s="1"/>
  <c r="O70" i="113"/>
  <c r="T53" i="103"/>
  <c r="F53" i="99"/>
  <c r="U53" i="103"/>
  <c r="U41" i="103"/>
  <c r="F29" i="103"/>
  <c r="E67" i="113"/>
  <c r="N7" i="95"/>
  <c r="N66" i="95" s="1"/>
  <c r="O52" i="113"/>
  <c r="G34" i="108"/>
  <c r="U36" i="112"/>
  <c r="F34" i="108"/>
  <c r="U37" i="101"/>
  <c r="W14" i="94"/>
  <c r="F24" i="112"/>
  <c r="U46" i="94"/>
  <c r="G46" i="94"/>
  <c r="P70" i="95"/>
  <c r="F26" i="105"/>
  <c r="E42" i="94"/>
  <c r="I48" i="95" s="1"/>
  <c r="F46" i="108"/>
  <c r="G46" i="108"/>
  <c r="V8" i="94"/>
  <c r="G34" i="94"/>
  <c r="U34" i="94"/>
  <c r="T50" i="105"/>
  <c r="V12" i="105"/>
  <c r="T26" i="105"/>
  <c r="I4" i="113"/>
  <c r="U14" i="105"/>
  <c r="U28" i="105" s="1"/>
  <c r="T46" i="99"/>
  <c r="F38" i="105"/>
  <c r="R8" i="95"/>
  <c r="R67" i="95" s="1"/>
  <c r="F37" i="101"/>
  <c r="AA54" i="95"/>
  <c r="F49" i="101"/>
  <c r="AA30" i="95"/>
  <c r="AA65" i="95" s="1"/>
  <c r="V11" i="101"/>
  <c r="N7" i="113"/>
  <c r="N67" i="113" s="1"/>
  <c r="AA42" i="113"/>
  <c r="G37" i="101"/>
  <c r="T25" i="101"/>
  <c r="U49" i="101"/>
  <c r="G25" i="101"/>
  <c r="F23" i="99"/>
  <c r="T49" i="101"/>
  <c r="F25" i="101"/>
  <c r="T28" i="100"/>
  <c r="F51" i="101"/>
  <c r="G51" i="101"/>
  <c r="F37" i="103"/>
  <c r="R36" i="95"/>
  <c r="R71" i="95" s="1"/>
  <c r="F50" i="104"/>
  <c r="T14" i="94"/>
  <c r="U15" i="87"/>
  <c r="F41" i="87" s="1"/>
  <c r="F30" i="105"/>
  <c r="T39" i="101"/>
  <c r="N9" i="113"/>
  <c r="N69" i="113" s="1"/>
  <c r="U39" i="101"/>
  <c r="U51" i="101"/>
  <c r="G49" i="103"/>
  <c r="T51" i="101"/>
  <c r="L8" i="113"/>
  <c r="L68" i="113" s="1"/>
  <c r="F27" i="101"/>
  <c r="G39" i="101"/>
  <c r="F39" i="101"/>
  <c r="V13" i="101"/>
  <c r="G27" i="101"/>
  <c r="U42" i="99"/>
  <c r="V15" i="101"/>
  <c r="N11" i="113"/>
  <c r="G30" i="99"/>
  <c r="N9" i="95"/>
  <c r="N68" i="95" s="1"/>
  <c r="O65" i="95"/>
  <c r="P7" i="113"/>
  <c r="P67" i="113" s="1"/>
  <c r="T42" i="99"/>
  <c r="G47" i="99"/>
  <c r="U29" i="101"/>
  <c r="T37" i="103"/>
  <c r="F22" i="108"/>
  <c r="G35" i="99"/>
  <c r="S63" i="95"/>
  <c r="U47" i="99"/>
  <c r="U5" i="95"/>
  <c r="U64" i="95" s="1"/>
  <c r="U25" i="103"/>
  <c r="G22" i="108"/>
  <c r="T47" i="99"/>
  <c r="U5" i="113"/>
  <c r="U65" i="113" s="1"/>
  <c r="F25" i="103"/>
  <c r="T23" i="99"/>
  <c r="U35" i="99"/>
  <c r="V9" i="99"/>
  <c r="F35" i="99"/>
  <c r="G23" i="99"/>
  <c r="F47" i="99"/>
  <c r="U37" i="103"/>
  <c r="T41" i="108"/>
  <c r="T35" i="99"/>
  <c r="U29" i="102"/>
  <c r="Z6" i="95"/>
  <c r="Z6" i="113"/>
  <c r="S64" i="113"/>
  <c r="U24" i="111"/>
  <c r="U48" i="112"/>
  <c r="V11" i="103"/>
  <c r="G25" i="103"/>
  <c r="U12" i="87"/>
  <c r="F48" i="96"/>
  <c r="Y8" i="113"/>
  <c r="G50" i="104"/>
  <c r="B71" i="95"/>
  <c r="G37" i="103"/>
  <c r="M34" i="95"/>
  <c r="S23" i="87"/>
  <c r="B70" i="95"/>
  <c r="T25" i="103"/>
  <c r="G38" i="110"/>
  <c r="F49" i="103"/>
  <c r="U49" i="103"/>
  <c r="D66" i="95"/>
  <c r="E30" i="94"/>
  <c r="I36" i="95" s="1"/>
  <c r="G30" i="106"/>
  <c r="E54" i="94"/>
  <c r="I60" i="95" s="1"/>
  <c r="U14" i="112"/>
  <c r="AA10" i="95" s="1"/>
  <c r="X68" i="113"/>
  <c r="I24" i="95"/>
  <c r="U36" i="95"/>
  <c r="U71" i="95" s="1"/>
  <c r="I24" i="113"/>
  <c r="F30" i="99"/>
  <c r="U40" i="95"/>
  <c r="U48" i="95"/>
  <c r="S48" i="95"/>
  <c r="S42" i="94"/>
  <c r="I48" i="113" s="1"/>
  <c r="N8" i="91"/>
  <c r="S54" i="94"/>
  <c r="I60" i="113" s="1"/>
  <c r="T46" i="102"/>
  <c r="AA56" i="95"/>
  <c r="V15" i="108"/>
  <c r="U29" i="108"/>
  <c r="X67" i="95"/>
  <c r="W11" i="95"/>
  <c r="F29" i="108"/>
  <c r="U38" i="104"/>
  <c r="G42" i="99"/>
  <c r="T53" i="108"/>
  <c r="F39" i="89"/>
  <c r="J64" i="95"/>
  <c r="V30" i="97" s="1"/>
  <c r="M7" i="113"/>
  <c r="U9" i="113"/>
  <c r="F27" i="89"/>
  <c r="T53" i="99"/>
  <c r="Q44" i="95"/>
  <c r="G29" i="99"/>
  <c r="V13" i="89"/>
  <c r="U47" i="100"/>
  <c r="F41" i="99"/>
  <c r="T49" i="100"/>
  <c r="U41" i="99"/>
  <c r="L9" i="95"/>
  <c r="L68" i="95" s="1"/>
  <c r="G47" i="100"/>
  <c r="F54" i="99"/>
  <c r="U11" i="95"/>
  <c r="U70" i="95" s="1"/>
  <c r="F49" i="100"/>
  <c r="T51" i="89"/>
  <c r="V15" i="99"/>
  <c r="G25" i="100"/>
  <c r="G41" i="99"/>
  <c r="G53" i="99"/>
  <c r="U27" i="99"/>
  <c r="U9" i="87"/>
  <c r="V9" i="87" s="1"/>
  <c r="T50" i="104"/>
  <c r="L9" i="113"/>
  <c r="T29" i="99"/>
  <c r="G23" i="100"/>
  <c r="F51" i="89"/>
  <c r="F29" i="99"/>
  <c r="U25" i="100"/>
  <c r="G54" i="99"/>
  <c r="T41" i="99"/>
  <c r="V11" i="100"/>
  <c r="U9" i="95"/>
  <c r="G39" i="89"/>
  <c r="U11" i="113"/>
  <c r="U71" i="113" s="1"/>
  <c r="G37" i="100"/>
  <c r="G34" i="99"/>
  <c r="U50" i="104"/>
  <c r="Y8" i="95"/>
  <c r="U50" i="105"/>
  <c r="U10" i="87"/>
  <c r="C6" i="113" s="1"/>
  <c r="G50" i="105"/>
  <c r="U38" i="105"/>
  <c r="V12" i="110"/>
  <c r="U14" i="88"/>
  <c r="D10" i="95" s="1"/>
  <c r="G38" i="112"/>
  <c r="U16" i="94"/>
  <c r="U30" i="94" s="1"/>
  <c r="U26" i="112"/>
  <c r="F38" i="112"/>
  <c r="AA68" i="113"/>
  <c r="T38" i="112"/>
  <c r="U38" i="112"/>
  <c r="T26" i="112"/>
  <c r="U29" i="90"/>
  <c r="G26" i="112"/>
  <c r="U50" i="112"/>
  <c r="G50" i="112"/>
  <c r="AA8" i="95"/>
  <c r="AA67" i="95" s="1"/>
  <c r="U14" i="104"/>
  <c r="Q10" i="113" s="1"/>
  <c r="F26" i="112"/>
  <c r="T50" i="112"/>
  <c r="F50" i="112"/>
  <c r="D64" i="95"/>
  <c r="P30" i="97" s="1"/>
  <c r="D41" i="32" s="1"/>
  <c r="P67" i="95"/>
  <c r="B69" i="95"/>
  <c r="H66" i="113"/>
  <c r="U13" i="87"/>
  <c r="C9" i="113" s="1"/>
  <c r="F42" i="99"/>
  <c r="N63" i="95"/>
  <c r="V12" i="112"/>
  <c r="F26" i="89"/>
  <c r="L8" i="95"/>
  <c r="L67" i="95" s="1"/>
  <c r="U15" i="106"/>
  <c r="U29" i="106" s="1"/>
  <c r="T50" i="89"/>
  <c r="S12" i="100"/>
  <c r="J69" i="113"/>
  <c r="H67" i="113"/>
  <c r="F50" i="89"/>
  <c r="T26" i="89"/>
  <c r="U38" i="89"/>
  <c r="U34" i="99"/>
  <c r="T38" i="89"/>
  <c r="V12" i="89"/>
  <c r="F24" i="110"/>
  <c r="U15" i="107"/>
  <c r="V11" i="113" s="1"/>
  <c r="U13" i="94"/>
  <c r="V13" i="94" s="1"/>
  <c r="R12" i="91"/>
  <c r="S26" i="91" s="1"/>
  <c r="S35" i="87"/>
  <c r="C41" i="113" s="1"/>
  <c r="V10" i="96"/>
  <c r="T48" i="96"/>
  <c r="C17" i="113"/>
  <c r="F46" i="99"/>
  <c r="F36" i="96"/>
  <c r="F24" i="96"/>
  <c r="S47" i="87"/>
  <c r="C53" i="113" s="1"/>
  <c r="J65" i="113"/>
  <c r="V36" i="97" s="1"/>
  <c r="T36" i="96"/>
  <c r="C17" i="95"/>
  <c r="J6" i="113"/>
  <c r="E47" i="87"/>
  <c r="C53" i="95" s="1"/>
  <c r="E35" i="87"/>
  <c r="T40" i="100"/>
  <c r="J6" i="95"/>
  <c r="V11" i="97" s="1"/>
  <c r="Z71" i="95"/>
  <c r="O8" i="95"/>
  <c r="U23" i="100"/>
  <c r="F38" i="104"/>
  <c r="U28" i="112"/>
  <c r="U52" i="95"/>
  <c r="T54" i="99"/>
  <c r="V12" i="102"/>
  <c r="U13" i="90"/>
  <c r="E9" i="113" s="1"/>
  <c r="O8" i="113"/>
  <c r="U30" i="104"/>
  <c r="I63" i="113"/>
  <c r="U34" i="97" s="1"/>
  <c r="U54" i="99"/>
  <c r="U13" i="107"/>
  <c r="U27" i="107" s="1"/>
  <c r="F46" i="102"/>
  <c r="U23" i="89"/>
  <c r="O52" i="95"/>
  <c r="U16" i="87"/>
  <c r="C12" i="113" s="1"/>
  <c r="V9" i="100"/>
  <c r="T41" i="97"/>
  <c r="G26" i="107"/>
  <c r="U28" i="95"/>
  <c r="U63" i="95" s="1"/>
  <c r="F22" i="99"/>
  <c r="F23" i="103"/>
  <c r="P40" i="97"/>
  <c r="P46" i="97"/>
  <c r="T24" i="110"/>
  <c r="N40" i="97"/>
  <c r="N46" i="97"/>
  <c r="V15" i="90"/>
  <c r="S15" i="94"/>
  <c r="E11" i="95"/>
  <c r="V10" i="110"/>
  <c r="V40" i="97"/>
  <c r="V46" i="97"/>
  <c r="U9" i="94"/>
  <c r="I5" i="113" s="1"/>
  <c r="T12" i="96"/>
  <c r="U12" i="96" s="1"/>
  <c r="J8" i="113" s="1"/>
  <c r="F35" i="103"/>
  <c r="V16" i="104"/>
  <c r="Q12" i="95"/>
  <c r="M5" i="95"/>
  <c r="W14" i="87"/>
  <c r="G52" i="100"/>
  <c r="G38" i="105"/>
  <c r="H65" i="95"/>
  <c r="T31" i="97" s="1"/>
  <c r="G42" i="103"/>
  <c r="U11" i="89"/>
  <c r="V11" i="89" s="1"/>
  <c r="N64" i="113"/>
  <c r="G26" i="105"/>
  <c r="U11" i="99"/>
  <c r="U7" i="95" s="1"/>
  <c r="T38" i="105"/>
  <c r="U13" i="100"/>
  <c r="U27" i="100" s="1"/>
  <c r="Q68" i="113"/>
  <c r="S14" i="87"/>
  <c r="G30" i="103"/>
  <c r="U16" i="100"/>
  <c r="U30" i="100" s="1"/>
  <c r="R8" i="91"/>
  <c r="S22" i="91" s="1"/>
  <c r="U42" i="103"/>
  <c r="S12" i="91"/>
  <c r="T15" i="111"/>
  <c r="Z64" i="95"/>
  <c r="W12" i="91"/>
  <c r="B64" i="95"/>
  <c r="N30" i="97" s="1"/>
  <c r="B41" i="32" s="1"/>
  <c r="G36" i="100"/>
  <c r="O40" i="95"/>
  <c r="G40" i="100"/>
  <c r="R72" i="113"/>
  <c r="U23" i="102"/>
  <c r="F25" i="100"/>
  <c r="U52" i="100"/>
  <c r="V44" i="113"/>
  <c r="U38" i="107"/>
  <c r="E47" i="113"/>
  <c r="U41" i="90"/>
  <c r="V44" i="95"/>
  <c r="G38" i="107"/>
  <c r="T35" i="103"/>
  <c r="U35" i="103"/>
  <c r="F35" i="104"/>
  <c r="G35" i="104"/>
  <c r="R54" i="113"/>
  <c r="U48" i="105"/>
  <c r="V56" i="95"/>
  <c r="G50" i="107"/>
  <c r="X59" i="95"/>
  <c r="G53" i="109"/>
  <c r="T35" i="100"/>
  <c r="U35" i="100"/>
  <c r="T38" i="102"/>
  <c r="U38" i="102"/>
  <c r="T34" i="103"/>
  <c r="U34" i="103"/>
  <c r="T42" i="104"/>
  <c r="U42" i="104"/>
  <c r="T12" i="91"/>
  <c r="T37" i="100"/>
  <c r="U37" i="100"/>
  <c r="J54" i="95"/>
  <c r="G48" i="96"/>
  <c r="Y44" i="113"/>
  <c r="U38" i="110"/>
  <c r="U23" i="110"/>
  <c r="C59" i="113"/>
  <c r="U42" i="106"/>
  <c r="S57" i="113"/>
  <c r="U51" i="106"/>
  <c r="E59" i="95"/>
  <c r="G53" i="90"/>
  <c r="X59" i="113"/>
  <c r="U53" i="109"/>
  <c r="T42" i="106"/>
  <c r="F39" i="99"/>
  <c r="G39" i="99"/>
  <c r="P53" i="113"/>
  <c r="U47" i="103"/>
  <c r="F39" i="106"/>
  <c r="G39" i="106"/>
  <c r="M54" i="95"/>
  <c r="G48" i="100"/>
  <c r="T30" i="106"/>
  <c r="L57" i="113"/>
  <c r="U51" i="89"/>
  <c r="U8" i="91"/>
  <c r="U12" i="108"/>
  <c r="U26" i="108" s="1"/>
  <c r="F34" i="102"/>
  <c r="G34" i="102"/>
  <c r="G42" i="106"/>
  <c r="U40" i="100"/>
  <c r="U48" i="110"/>
  <c r="L56" i="95"/>
  <c r="G50" i="89"/>
  <c r="T39" i="99"/>
  <c r="U39" i="99"/>
  <c r="T35" i="104"/>
  <c r="U35" i="104"/>
  <c r="E47" i="95"/>
  <c r="G41" i="90"/>
  <c r="F36" i="105"/>
  <c r="G36" i="105"/>
  <c r="X47" i="113"/>
  <c r="U41" i="109"/>
  <c r="F27" i="99"/>
  <c r="G27" i="99"/>
  <c r="T41" i="101"/>
  <c r="U41" i="101"/>
  <c r="W59" i="113"/>
  <c r="U53" i="108"/>
  <c r="S10" i="91"/>
  <c r="O56" i="113"/>
  <c r="U50" i="102"/>
  <c r="C29" i="95"/>
  <c r="O20" i="97" s="1"/>
  <c r="C36" i="32" s="1"/>
  <c r="S57" i="95"/>
  <c r="G51" i="106"/>
  <c r="L57" i="95"/>
  <c r="G51" i="89"/>
  <c r="C52" i="113"/>
  <c r="U46" i="87"/>
  <c r="C47" i="95"/>
  <c r="F38" i="89"/>
  <c r="G38" i="89"/>
  <c r="L56" i="113"/>
  <c r="U50" i="89"/>
  <c r="M54" i="113"/>
  <c r="U48" i="100"/>
  <c r="C40" i="113"/>
  <c r="U34" i="87"/>
  <c r="C47" i="113"/>
  <c r="E35" i="95"/>
  <c r="G29" i="90"/>
  <c r="F24" i="105"/>
  <c r="G24" i="105"/>
  <c r="F41" i="101"/>
  <c r="G41" i="101"/>
  <c r="W47" i="113"/>
  <c r="U41" i="108"/>
  <c r="F38" i="102"/>
  <c r="G38" i="102"/>
  <c r="F30" i="104"/>
  <c r="G30" i="104"/>
  <c r="T39" i="106"/>
  <c r="U39" i="106"/>
  <c r="C28" i="95"/>
  <c r="O19" i="97" s="1"/>
  <c r="C35" i="32" s="1"/>
  <c r="G22" i="87"/>
  <c r="F34" i="105"/>
  <c r="G34" i="105"/>
  <c r="J54" i="113"/>
  <c r="U48" i="96"/>
  <c r="Y56" i="113"/>
  <c r="U50" i="110"/>
  <c r="C35" i="95"/>
  <c r="G24" i="110"/>
  <c r="X47" i="95"/>
  <c r="G41" i="109"/>
  <c r="S16" i="91"/>
  <c r="T36" i="105"/>
  <c r="U36" i="105"/>
  <c r="U21" i="92"/>
  <c r="P53" i="95"/>
  <c r="G47" i="103"/>
  <c r="W59" i="95"/>
  <c r="G53" i="108"/>
  <c r="F26" i="102"/>
  <c r="G26" i="102"/>
  <c r="F42" i="104"/>
  <c r="G42" i="104"/>
  <c r="G24" i="100"/>
  <c r="T39" i="89"/>
  <c r="U39" i="89"/>
  <c r="U16" i="109"/>
  <c r="U30" i="109" s="1"/>
  <c r="F22" i="102"/>
  <c r="P60" i="95"/>
  <c r="G54" i="103"/>
  <c r="C52" i="95"/>
  <c r="G46" i="87"/>
  <c r="W63" i="95"/>
  <c r="T34" i="105"/>
  <c r="U34" i="105"/>
  <c r="M55" i="113"/>
  <c r="U49" i="100"/>
  <c r="J42" i="95"/>
  <c r="G36" i="96"/>
  <c r="Y32" i="95"/>
  <c r="G26" i="110"/>
  <c r="U30" i="106"/>
  <c r="G36" i="110"/>
  <c r="G54" i="106"/>
  <c r="R54" i="95"/>
  <c r="G48" i="105"/>
  <c r="F41" i="104"/>
  <c r="G41" i="104"/>
  <c r="W16" i="91"/>
  <c r="E59" i="113"/>
  <c r="U53" i="90"/>
  <c r="V56" i="113"/>
  <c r="U50" i="107"/>
  <c r="U57" i="113"/>
  <c r="U51" i="99"/>
  <c r="F37" i="100"/>
  <c r="W47" i="95"/>
  <c r="G41" i="108"/>
  <c r="O56" i="95"/>
  <c r="G50" i="102"/>
  <c r="F34" i="103"/>
  <c r="G34" i="103"/>
  <c r="U23" i="105"/>
  <c r="Q60" i="95"/>
  <c r="G54" i="104"/>
  <c r="F34" i="89"/>
  <c r="G34" i="89"/>
  <c r="U36" i="100"/>
  <c r="L45" i="95"/>
  <c r="G27" i="89"/>
  <c r="O28" i="95"/>
  <c r="O63" i="95" s="1"/>
  <c r="P60" i="113"/>
  <c r="U54" i="103"/>
  <c r="M55" i="95"/>
  <c r="G49" i="100"/>
  <c r="J30" i="95"/>
  <c r="V21" i="97" s="1"/>
  <c r="G24" i="96"/>
  <c r="Y56" i="95"/>
  <c r="G50" i="110"/>
  <c r="C59" i="95"/>
  <c r="U54" i="106"/>
  <c r="T34" i="102"/>
  <c r="U34" i="102"/>
  <c r="Q60" i="113"/>
  <c r="U54" i="104"/>
  <c r="J42" i="113"/>
  <c r="U36" i="96"/>
  <c r="T41" i="104"/>
  <c r="U41" i="104"/>
  <c r="X35" i="95"/>
  <c r="G29" i="109"/>
  <c r="U57" i="95"/>
  <c r="G51" i="99"/>
  <c r="F35" i="100"/>
  <c r="G35" i="100"/>
  <c r="W35" i="95"/>
  <c r="G29" i="108"/>
  <c r="U11" i="96"/>
  <c r="U25" i="96" s="1"/>
  <c r="T34" i="89"/>
  <c r="U34" i="89"/>
  <c r="C40" i="95"/>
  <c r="G34" i="87"/>
  <c r="C32" i="95"/>
  <c r="L44" i="95"/>
  <c r="G26" i="89"/>
  <c r="U36" i="110"/>
  <c r="G48" i="110"/>
  <c r="G28" i="100"/>
  <c r="S7" i="113"/>
  <c r="S7" i="95"/>
  <c r="N6" i="113"/>
  <c r="V10" i="101"/>
  <c r="N6" i="95"/>
  <c r="T24" i="88"/>
  <c r="D30" i="113"/>
  <c r="D66" i="113" s="1"/>
  <c r="H14" i="99"/>
  <c r="I14" i="99" s="1"/>
  <c r="J14" i="99" s="1"/>
  <c r="K14" i="99" s="1"/>
  <c r="D42" i="113"/>
  <c r="T36" i="88"/>
  <c r="I28" i="95"/>
  <c r="F22" i="94"/>
  <c r="T29" i="104"/>
  <c r="Q35" i="113"/>
  <c r="Q47" i="113"/>
  <c r="M21" i="113"/>
  <c r="S39" i="100"/>
  <c r="E39" i="100"/>
  <c r="E51" i="100"/>
  <c r="E27" i="100"/>
  <c r="M21" i="95"/>
  <c r="S51" i="100"/>
  <c r="H11" i="110"/>
  <c r="T11" i="110"/>
  <c r="U11" i="110" s="1"/>
  <c r="Y5" i="113"/>
  <c r="Y5" i="95"/>
  <c r="V9" i="110"/>
  <c r="U14" i="107"/>
  <c r="U28" i="107" s="1"/>
  <c r="R11" i="99"/>
  <c r="S25" i="99" s="1"/>
  <c r="N11" i="99"/>
  <c r="L19" i="113"/>
  <c r="S37" i="89"/>
  <c r="E49" i="89"/>
  <c r="E37" i="89"/>
  <c r="E25" i="89"/>
  <c r="L19" i="95"/>
  <c r="S49" i="89"/>
  <c r="F24" i="113"/>
  <c r="F24" i="95"/>
  <c r="E30" i="91"/>
  <c r="E54" i="91"/>
  <c r="E42" i="91"/>
  <c r="S54" i="91"/>
  <c r="S42" i="91"/>
  <c r="S30" i="91"/>
  <c r="Q53" i="113"/>
  <c r="T47" i="104"/>
  <c r="S15" i="91"/>
  <c r="E58" i="95"/>
  <c r="F52" i="90"/>
  <c r="T14" i="109"/>
  <c r="T24" i="105"/>
  <c r="R42" i="113"/>
  <c r="R30" i="113"/>
  <c r="Q22" i="113"/>
  <c r="S40" i="104"/>
  <c r="E28" i="104"/>
  <c r="Q22" i="95"/>
  <c r="E52" i="104"/>
  <c r="S52" i="104"/>
  <c r="E40" i="104"/>
  <c r="E30" i="95"/>
  <c r="F24" i="90"/>
  <c r="Z18" i="113"/>
  <c r="S36" i="111"/>
  <c r="U36" i="111" s="1"/>
  <c r="Z18" i="95"/>
  <c r="E24" i="111"/>
  <c r="G24" i="111" s="1"/>
  <c r="E36" i="111"/>
  <c r="G36" i="111" s="1"/>
  <c r="E48" i="111"/>
  <c r="G48" i="111" s="1"/>
  <c r="S48" i="111"/>
  <c r="U48" i="111" s="1"/>
  <c r="I36" i="113"/>
  <c r="M53" i="113"/>
  <c r="T47" i="100"/>
  <c r="T51" i="99"/>
  <c r="I14" i="93"/>
  <c r="N59" i="113"/>
  <c r="T53" i="101"/>
  <c r="T29" i="108"/>
  <c r="W35" i="113"/>
  <c r="W71" i="113" s="1"/>
  <c r="T10" i="91"/>
  <c r="G10" i="91"/>
  <c r="T22" i="103"/>
  <c r="P40" i="113"/>
  <c r="P28" i="113"/>
  <c r="P64" i="113" s="1"/>
  <c r="T23" i="109"/>
  <c r="X29" i="113"/>
  <c r="X65" i="113" s="1"/>
  <c r="D56" i="95"/>
  <c r="F50" i="88"/>
  <c r="V23" i="113"/>
  <c r="E29" i="107"/>
  <c r="V23" i="95"/>
  <c r="E53" i="107"/>
  <c r="S53" i="107"/>
  <c r="S41" i="107"/>
  <c r="E41" i="107"/>
  <c r="R15" i="111"/>
  <c r="S29" i="111" s="1"/>
  <c r="N15" i="111"/>
  <c r="Y6" i="113"/>
  <c r="Y66" i="113" s="1"/>
  <c r="T36" i="110"/>
  <c r="Y6" i="95"/>
  <c r="Y65" i="95" s="1"/>
  <c r="F48" i="110"/>
  <c r="F36" i="110"/>
  <c r="T48" i="110"/>
  <c r="Z45" i="113"/>
  <c r="T39" i="111"/>
  <c r="T53" i="90"/>
  <c r="W41" i="95"/>
  <c r="F35" i="108"/>
  <c r="H13" i="110"/>
  <c r="T30" i="103"/>
  <c r="P48" i="113"/>
  <c r="P36" i="113"/>
  <c r="X24" i="113"/>
  <c r="X24" i="95"/>
  <c r="E54" i="109"/>
  <c r="E30" i="109"/>
  <c r="S42" i="109"/>
  <c r="S54" i="109"/>
  <c r="E42" i="109"/>
  <c r="R52" i="113"/>
  <c r="T46" i="105"/>
  <c r="I21" i="113"/>
  <c r="S39" i="94"/>
  <c r="E27" i="94"/>
  <c r="I21" i="95"/>
  <c r="E51" i="94"/>
  <c r="E39" i="94"/>
  <c r="S51" i="94"/>
  <c r="C18" i="113"/>
  <c r="S24" i="87"/>
  <c r="S36" i="87"/>
  <c r="E48" i="87"/>
  <c r="E36" i="87"/>
  <c r="E24" i="87"/>
  <c r="C18" i="95"/>
  <c r="O16" i="97" s="1"/>
  <c r="C32" i="32" s="1"/>
  <c r="S48" i="87"/>
  <c r="T14" i="87"/>
  <c r="T21" i="91"/>
  <c r="F27" i="113"/>
  <c r="R24" i="97" s="1"/>
  <c r="R44" i="97" s="1"/>
  <c r="AA17" i="113"/>
  <c r="S35" i="112"/>
  <c r="U35" i="112" s="1"/>
  <c r="AA17" i="95"/>
  <c r="E23" i="112"/>
  <c r="G23" i="112" s="1"/>
  <c r="E47" i="112"/>
  <c r="E35" i="112"/>
  <c r="G35" i="112" s="1"/>
  <c r="S47" i="112"/>
  <c r="O9" i="97"/>
  <c r="C25" i="32" s="1"/>
  <c r="S14" i="109"/>
  <c r="H13" i="102"/>
  <c r="I16" i="101"/>
  <c r="J16" i="101" s="1"/>
  <c r="K16" i="101" s="1"/>
  <c r="L16" i="101" s="1"/>
  <c r="W20" i="113"/>
  <c r="E26" i="108"/>
  <c r="W20" i="95"/>
  <c r="S38" i="108"/>
  <c r="E38" i="108"/>
  <c r="E50" i="108"/>
  <c r="S50" i="108"/>
  <c r="Q41" i="95"/>
  <c r="Q29" i="95"/>
  <c r="Q64" i="95" s="1"/>
  <c r="F23" i="104"/>
  <c r="P21" i="113"/>
  <c r="S39" i="103"/>
  <c r="P21" i="95"/>
  <c r="E27" i="103"/>
  <c r="E39" i="103"/>
  <c r="E51" i="103"/>
  <c r="S51" i="103"/>
  <c r="T51" i="103" s="1"/>
  <c r="W15" i="91"/>
  <c r="T29" i="90"/>
  <c r="E35" i="113"/>
  <c r="E71" i="113" s="1"/>
  <c r="H11" i="105"/>
  <c r="T11" i="105"/>
  <c r="E46" i="95"/>
  <c r="F40" i="90"/>
  <c r="H13" i="112"/>
  <c r="I13" i="112" s="1"/>
  <c r="R14" i="109"/>
  <c r="S28" i="109" s="1"/>
  <c r="N14" i="109"/>
  <c r="F26" i="107"/>
  <c r="V32" i="95"/>
  <c r="E54" i="95"/>
  <c r="F48" i="90"/>
  <c r="Z72" i="113"/>
  <c r="P29" i="95"/>
  <c r="P41" i="95"/>
  <c r="M53" i="95"/>
  <c r="F47" i="100"/>
  <c r="AA22" i="113"/>
  <c r="AA22" i="95"/>
  <c r="S40" i="112"/>
  <c r="E40" i="112"/>
  <c r="E28" i="112"/>
  <c r="G28" i="112" s="1"/>
  <c r="S52" i="112"/>
  <c r="E52" i="112"/>
  <c r="E41" i="95"/>
  <c r="F35" i="90"/>
  <c r="W14" i="109"/>
  <c r="E14" i="92"/>
  <c r="S20" i="113"/>
  <c r="E38" i="106"/>
  <c r="G38" i="106" s="1"/>
  <c r="E26" i="106"/>
  <c r="S38" i="106"/>
  <c r="S20" i="95"/>
  <c r="E50" i="106"/>
  <c r="F50" i="106" s="1"/>
  <c r="S50" i="106"/>
  <c r="T30" i="104"/>
  <c r="Q36" i="113"/>
  <c r="Q72" i="113" s="1"/>
  <c r="Q48" i="113"/>
  <c r="D44" i="95"/>
  <c r="F38" i="88"/>
  <c r="L52" i="113"/>
  <c r="T46" i="89"/>
  <c r="T12" i="100"/>
  <c r="S9" i="91"/>
  <c r="F9" i="91"/>
  <c r="P22" i="113"/>
  <c r="P22" i="95"/>
  <c r="E28" i="103"/>
  <c r="S40" i="103"/>
  <c r="S52" i="103"/>
  <c r="E40" i="103"/>
  <c r="E52" i="103"/>
  <c r="V53" i="113"/>
  <c r="T47" i="107"/>
  <c r="R71" i="113"/>
  <c r="U11" i="111"/>
  <c r="Z57" i="95"/>
  <c r="F51" i="111"/>
  <c r="T41" i="90"/>
  <c r="W29" i="95"/>
  <c r="W64" i="95" s="1"/>
  <c r="F23" i="108"/>
  <c r="F50" i="102"/>
  <c r="T16" i="88"/>
  <c r="L5" i="113"/>
  <c r="L5" i="95"/>
  <c r="L64" i="95" s="1"/>
  <c r="R52" i="95"/>
  <c r="F46" i="105"/>
  <c r="S12" i="113"/>
  <c r="S72" i="113" s="1"/>
  <c r="S12" i="95"/>
  <c r="S71" i="95" s="1"/>
  <c r="V16" i="106"/>
  <c r="F42" i="106"/>
  <c r="F30" i="106"/>
  <c r="T54" i="106"/>
  <c r="F54" i="106"/>
  <c r="N17" i="113"/>
  <c r="S35" i="101"/>
  <c r="E23" i="101"/>
  <c r="G23" i="101" s="1"/>
  <c r="E35" i="101"/>
  <c r="E47" i="101"/>
  <c r="G47" i="101" s="1"/>
  <c r="N17" i="95"/>
  <c r="S47" i="101"/>
  <c r="U47" i="101" s="1"/>
  <c r="E35" i="110"/>
  <c r="Y17" i="113"/>
  <c r="S35" i="110"/>
  <c r="E47" i="110"/>
  <c r="Y17" i="95"/>
  <c r="E23" i="110"/>
  <c r="G23" i="110" s="1"/>
  <c r="S47" i="110"/>
  <c r="S14" i="94"/>
  <c r="R14" i="87"/>
  <c r="N14" i="87"/>
  <c r="B65" i="113"/>
  <c r="N36" i="97" s="1"/>
  <c r="F46" i="87"/>
  <c r="F50" i="110"/>
  <c r="W12" i="100"/>
  <c r="F51" i="106"/>
  <c r="E10" i="92"/>
  <c r="F10" i="92" s="1"/>
  <c r="G10" i="92" s="1"/>
  <c r="R10" i="92" s="1"/>
  <c r="S24" i="92" s="1"/>
  <c r="H11" i="102"/>
  <c r="S11" i="102"/>
  <c r="U11" i="102" s="1"/>
  <c r="T28" i="90"/>
  <c r="E34" i="113"/>
  <c r="E70" i="113" s="1"/>
  <c r="N16" i="91"/>
  <c r="L18" i="113"/>
  <c r="S36" i="89"/>
  <c r="L18" i="95"/>
  <c r="E48" i="89"/>
  <c r="G48" i="89" s="1"/>
  <c r="E24" i="89"/>
  <c r="G24" i="89" s="1"/>
  <c r="E36" i="89"/>
  <c r="S48" i="89"/>
  <c r="U48" i="89" s="1"/>
  <c r="H20" i="113"/>
  <c r="S38" i="93"/>
  <c r="S50" i="93"/>
  <c r="H20" i="95"/>
  <c r="E26" i="93"/>
  <c r="E38" i="93"/>
  <c r="E50" i="93"/>
  <c r="G3" i="95"/>
  <c r="S8" i="97" s="1"/>
  <c r="G24" i="32" s="1"/>
  <c r="G3" i="113"/>
  <c r="V7" i="92"/>
  <c r="T23" i="103"/>
  <c r="P41" i="113"/>
  <c r="P29" i="113"/>
  <c r="F51" i="99"/>
  <c r="E29" i="95"/>
  <c r="F23" i="90"/>
  <c r="X53" i="113"/>
  <c r="T47" i="109"/>
  <c r="Q36" i="95"/>
  <c r="Q48" i="95"/>
  <c r="G11" i="94"/>
  <c r="H11" i="94" s="1"/>
  <c r="D32" i="95"/>
  <c r="D67" i="95" s="1"/>
  <c r="F26" i="88"/>
  <c r="T27" i="106"/>
  <c r="S45" i="113"/>
  <c r="S33" i="113"/>
  <c r="S69" i="113" s="1"/>
  <c r="M63" i="95"/>
  <c r="L40" i="95"/>
  <c r="F22" i="89"/>
  <c r="R12" i="100"/>
  <c r="S26" i="100" s="1"/>
  <c r="N12" i="100"/>
  <c r="F23" i="107"/>
  <c r="V29" i="95"/>
  <c r="V64" i="95" s="1"/>
  <c r="R11" i="111"/>
  <c r="S25" i="111" s="1"/>
  <c r="N11" i="111"/>
  <c r="W11" i="111"/>
  <c r="F54" i="104"/>
  <c r="F41" i="90"/>
  <c r="U16" i="102"/>
  <c r="U30" i="102" s="1"/>
  <c r="W53" i="95"/>
  <c r="F47" i="108"/>
  <c r="T42" i="103"/>
  <c r="N16" i="88"/>
  <c r="R16" i="88"/>
  <c r="W64" i="113"/>
  <c r="R40" i="95"/>
  <c r="R28" i="95"/>
  <c r="R63" i="95" s="1"/>
  <c r="F22" i="105"/>
  <c r="T26" i="110"/>
  <c r="Y32" i="113"/>
  <c r="N14" i="94"/>
  <c r="R14" i="94"/>
  <c r="S28" i="94" s="1"/>
  <c r="E27" i="87"/>
  <c r="C21" i="113"/>
  <c r="C21" i="95"/>
  <c r="E51" i="87"/>
  <c r="S27" i="87"/>
  <c r="E39" i="87"/>
  <c r="S39" i="87"/>
  <c r="S51" i="87"/>
  <c r="T33" i="91"/>
  <c r="F39" i="113"/>
  <c r="W15" i="111"/>
  <c r="T50" i="110"/>
  <c r="D54" i="113"/>
  <c r="T48" i="88"/>
  <c r="D42" i="95"/>
  <c r="F36" i="88"/>
  <c r="O17" i="113"/>
  <c r="S35" i="102"/>
  <c r="E23" i="102"/>
  <c r="G23" i="102" s="1"/>
  <c r="E47" i="102"/>
  <c r="F47" i="102" s="1"/>
  <c r="O17" i="95"/>
  <c r="E35" i="102"/>
  <c r="S47" i="102"/>
  <c r="T22" i="94"/>
  <c r="I28" i="113"/>
  <c r="Q59" i="95"/>
  <c r="F53" i="104"/>
  <c r="H16" i="110"/>
  <c r="S10" i="94"/>
  <c r="U10" i="94" s="1"/>
  <c r="O23" i="113"/>
  <c r="O23" i="95"/>
  <c r="E29" i="102"/>
  <c r="G29" i="102" s="1"/>
  <c r="S41" i="102"/>
  <c r="S53" i="102"/>
  <c r="T53" i="102" s="1"/>
  <c r="E53" i="102"/>
  <c r="F53" i="102" s="1"/>
  <c r="E41" i="102"/>
  <c r="G41" i="102" s="1"/>
  <c r="Q53" i="95"/>
  <c r="F47" i="104"/>
  <c r="E42" i="95"/>
  <c r="F36" i="90"/>
  <c r="T48" i="105"/>
  <c r="E9" i="92"/>
  <c r="F9" i="92" s="1"/>
  <c r="R9" i="92" s="1"/>
  <c r="S23" i="92" s="1"/>
  <c r="R15" i="91"/>
  <c r="E11" i="92"/>
  <c r="F11" i="92" s="1"/>
  <c r="G11" i="92" s="1"/>
  <c r="M41" i="95"/>
  <c r="M29" i="95"/>
  <c r="F23" i="100"/>
  <c r="H15" i="110"/>
  <c r="T29" i="101"/>
  <c r="N47" i="113"/>
  <c r="N35" i="113"/>
  <c r="F41" i="108"/>
  <c r="R13" i="90"/>
  <c r="N13" i="90"/>
  <c r="W13" i="90"/>
  <c r="T20" i="97"/>
  <c r="T40" i="97" s="1"/>
  <c r="H64" i="95"/>
  <c r="T30" i="97" s="1"/>
  <c r="E53" i="95"/>
  <c r="F47" i="90"/>
  <c r="O44" i="95"/>
  <c r="O32" i="95"/>
  <c r="X53" i="95"/>
  <c r="F47" i="109"/>
  <c r="E15" i="92"/>
  <c r="F15" i="92" s="1"/>
  <c r="G15" i="92" s="1"/>
  <c r="H15" i="92" s="1"/>
  <c r="I15" i="92" s="1"/>
  <c r="J15" i="92" s="1"/>
  <c r="K15" i="92" s="1"/>
  <c r="R17" i="113"/>
  <c r="S35" i="105"/>
  <c r="R17" i="95"/>
  <c r="E23" i="105"/>
  <c r="G23" i="105" s="1"/>
  <c r="E47" i="105"/>
  <c r="F47" i="105" s="1"/>
  <c r="E35" i="105"/>
  <c r="S47" i="105"/>
  <c r="T26" i="88"/>
  <c r="D32" i="113"/>
  <c r="D68" i="113" s="1"/>
  <c r="S33" i="95"/>
  <c r="S45" i="95"/>
  <c r="L52" i="95"/>
  <c r="F46" i="89"/>
  <c r="P12" i="113"/>
  <c r="F54" i="103"/>
  <c r="V16" i="103"/>
  <c r="P12" i="95"/>
  <c r="F30" i="103"/>
  <c r="T54" i="103"/>
  <c r="F42" i="103"/>
  <c r="E30" i="87"/>
  <c r="C24" i="113"/>
  <c r="C24" i="95"/>
  <c r="E54" i="87"/>
  <c r="E42" i="87"/>
  <c r="S30" i="87"/>
  <c r="S54" i="87"/>
  <c r="S42" i="87"/>
  <c r="F11" i="91"/>
  <c r="Z33" i="95"/>
  <c r="Z68" i="95" s="1"/>
  <c r="F27" i="111"/>
  <c r="E16" i="92"/>
  <c r="R5" i="113"/>
  <c r="V9" i="105"/>
  <c r="R5" i="95"/>
  <c r="G12" i="94"/>
  <c r="T23" i="108"/>
  <c r="W29" i="113"/>
  <c r="W65" i="113" s="1"/>
  <c r="S14" i="91"/>
  <c r="S18" i="113"/>
  <c r="S36" i="106"/>
  <c r="S18" i="95"/>
  <c r="E36" i="106"/>
  <c r="E24" i="106"/>
  <c r="G24" i="106" s="1"/>
  <c r="E48" i="106"/>
  <c r="G48" i="106" s="1"/>
  <c r="S48" i="106"/>
  <c r="U48" i="106" s="1"/>
  <c r="T34" i="87"/>
  <c r="F26" i="110"/>
  <c r="F27" i="106"/>
  <c r="S8" i="113"/>
  <c r="D30" i="95"/>
  <c r="F24" i="88"/>
  <c r="I40" i="113"/>
  <c r="T34" i="94"/>
  <c r="Q59" i="113"/>
  <c r="T53" i="104"/>
  <c r="P19" i="97"/>
  <c r="D63" i="95"/>
  <c r="P29" i="97" s="1"/>
  <c r="D40" i="32" s="1"/>
  <c r="R14" i="88"/>
  <c r="N14" i="88"/>
  <c r="H14" i="110"/>
  <c r="I14" i="110" s="1"/>
  <c r="J14" i="110" s="1"/>
  <c r="I12" i="96"/>
  <c r="W12" i="96" s="1"/>
  <c r="E58" i="113"/>
  <c r="T52" i="90"/>
  <c r="T24" i="90"/>
  <c r="E30" i="113"/>
  <c r="E66" i="113" s="1"/>
  <c r="O11" i="113"/>
  <c r="V15" i="102"/>
  <c r="O11" i="95"/>
  <c r="T47" i="103"/>
  <c r="N47" i="95"/>
  <c r="N35" i="95"/>
  <c r="N70" i="95" s="1"/>
  <c r="F29" i="101"/>
  <c r="F53" i="108"/>
  <c r="U14" i="103"/>
  <c r="U28" i="103" s="1"/>
  <c r="E41" i="113"/>
  <c r="T35" i="90"/>
  <c r="R22" i="113"/>
  <c r="R22" i="95"/>
  <c r="E28" i="105"/>
  <c r="E52" i="105"/>
  <c r="E40" i="105"/>
  <c r="S40" i="105"/>
  <c r="S52" i="105"/>
  <c r="T26" i="102"/>
  <c r="O32" i="113"/>
  <c r="O44" i="113"/>
  <c r="P52" i="113"/>
  <c r="T46" i="103"/>
  <c r="J15" i="88"/>
  <c r="K15" i="88" s="1"/>
  <c r="D44" i="113"/>
  <c r="T38" i="88"/>
  <c r="X11" i="113"/>
  <c r="V15" i="109"/>
  <c r="F29" i="109"/>
  <c r="X11" i="95"/>
  <c r="F53" i="109"/>
  <c r="F41" i="109"/>
  <c r="T41" i="109"/>
  <c r="T53" i="109"/>
  <c r="S12" i="111"/>
  <c r="M64" i="113"/>
  <c r="M42" i="95"/>
  <c r="M30" i="95"/>
  <c r="V53" i="95"/>
  <c r="F47" i="107"/>
  <c r="H14" i="89"/>
  <c r="T54" i="104"/>
  <c r="W41" i="113"/>
  <c r="T35" i="108"/>
  <c r="Z63" i="95"/>
  <c r="J19" i="113"/>
  <c r="S37" i="96"/>
  <c r="S49" i="96"/>
  <c r="E25" i="96"/>
  <c r="E37" i="96"/>
  <c r="J19" i="95"/>
  <c r="E49" i="96"/>
  <c r="P48" i="95"/>
  <c r="P36" i="95"/>
  <c r="T22" i="87"/>
  <c r="C28" i="113"/>
  <c r="O25" i="97" s="1"/>
  <c r="T22" i="105"/>
  <c r="R28" i="113"/>
  <c r="R64" i="113" s="1"/>
  <c r="R40" i="113"/>
  <c r="M43" i="95"/>
  <c r="M31" i="95"/>
  <c r="M66" i="95" s="1"/>
  <c r="E12" i="92"/>
  <c r="V22" i="113"/>
  <c r="V22" i="95"/>
  <c r="E28" i="107"/>
  <c r="S40" i="107"/>
  <c r="E52" i="107"/>
  <c r="E40" i="107"/>
  <c r="S52" i="107"/>
  <c r="F33" i="91"/>
  <c r="F39" i="95"/>
  <c r="C35" i="113"/>
  <c r="T15" i="91"/>
  <c r="T51" i="106"/>
  <c r="G10" i="94"/>
  <c r="W10" i="94" s="1"/>
  <c r="O5" i="113"/>
  <c r="V9" i="102"/>
  <c r="O5" i="95"/>
  <c r="H23" i="113"/>
  <c r="E29" i="93"/>
  <c r="E53" i="93"/>
  <c r="H23" i="95"/>
  <c r="S41" i="93"/>
  <c r="S53" i="93"/>
  <c r="E41" i="93"/>
  <c r="T23" i="104"/>
  <c r="Q41" i="113"/>
  <c r="Q29" i="113"/>
  <c r="Q65" i="113" s="1"/>
  <c r="E46" i="113"/>
  <c r="T40" i="90"/>
  <c r="L17" i="113"/>
  <c r="S35" i="89"/>
  <c r="E23" i="89"/>
  <c r="L17" i="95"/>
  <c r="E47" i="89"/>
  <c r="E35" i="89"/>
  <c r="S47" i="89"/>
  <c r="T29" i="109"/>
  <c r="X35" i="113"/>
  <c r="E42" i="113"/>
  <c r="T36" i="90"/>
  <c r="N59" i="95"/>
  <c r="F53" i="101"/>
  <c r="U6" i="113"/>
  <c r="V10" i="99"/>
  <c r="U6" i="95"/>
  <c r="T23" i="90"/>
  <c r="E29" i="113"/>
  <c r="P40" i="95"/>
  <c r="P28" i="95"/>
  <c r="P63" i="95" s="1"/>
  <c r="F22" i="103"/>
  <c r="X29" i="95"/>
  <c r="X64" i="95" s="1"/>
  <c r="F23" i="109"/>
  <c r="P25" i="97"/>
  <c r="P45" i="97" s="1"/>
  <c r="D64" i="113"/>
  <c r="P35" i="97" s="1"/>
  <c r="W11" i="99"/>
  <c r="D65" i="113"/>
  <c r="P36" i="97" s="1"/>
  <c r="R12" i="111"/>
  <c r="S26" i="111" s="1"/>
  <c r="N12" i="111"/>
  <c r="T22" i="89"/>
  <c r="L28" i="113"/>
  <c r="L64" i="113" s="1"/>
  <c r="L40" i="113"/>
  <c r="T24" i="100"/>
  <c r="M30" i="113"/>
  <c r="M42" i="113"/>
  <c r="W14" i="88"/>
  <c r="V41" i="95"/>
  <c r="F35" i="107"/>
  <c r="F13" i="91"/>
  <c r="G13" i="91" s="1"/>
  <c r="H13" i="91" s="1"/>
  <c r="I13" i="91" s="1"/>
  <c r="J13" i="91" s="1"/>
  <c r="X7" i="113"/>
  <c r="X7" i="95"/>
  <c r="Z65" i="113"/>
  <c r="Z57" i="113"/>
  <c r="T51" i="111"/>
  <c r="F29" i="90"/>
  <c r="T14" i="91"/>
  <c r="K14" i="91"/>
  <c r="W14" i="91" s="1"/>
  <c r="M10" i="113"/>
  <c r="M70" i="113" s="1"/>
  <c r="F52" i="100"/>
  <c r="V14" i="100"/>
  <c r="M10" i="95"/>
  <c r="F40" i="100"/>
  <c r="F28" i="100"/>
  <c r="T52" i="100"/>
  <c r="T25" i="100"/>
  <c r="M31" i="113"/>
  <c r="M43" i="113"/>
  <c r="F21" i="91"/>
  <c r="F27" i="95"/>
  <c r="T46" i="87"/>
  <c r="W12" i="111"/>
  <c r="I13" i="93"/>
  <c r="J13" i="93" s="1"/>
  <c r="D54" i="95"/>
  <c r="F48" i="88"/>
  <c r="I52" i="113"/>
  <c r="T46" i="94"/>
  <c r="Q35" i="95"/>
  <c r="Q70" i="95" s="1"/>
  <c r="Q47" i="95"/>
  <c r="F29" i="104"/>
  <c r="M24" i="113"/>
  <c r="M24" i="95"/>
  <c r="E42" i="100"/>
  <c r="E30" i="100"/>
  <c r="E54" i="100"/>
  <c r="S54" i="100"/>
  <c r="S42" i="100"/>
  <c r="N11" i="106"/>
  <c r="R11" i="106"/>
  <c r="S25" i="106" s="1"/>
  <c r="U25" i="106" s="1"/>
  <c r="W11" i="106"/>
  <c r="V11" i="106" s="1"/>
  <c r="S23" i="113"/>
  <c r="E29" i="106"/>
  <c r="S23" i="95"/>
  <c r="S41" i="106"/>
  <c r="E41" i="106"/>
  <c r="S53" i="106"/>
  <c r="E53" i="106"/>
  <c r="T16" i="91"/>
  <c r="U16" i="91" s="1"/>
  <c r="G11" i="87"/>
  <c r="E34" i="95"/>
  <c r="E69" i="95" s="1"/>
  <c r="F28" i="90"/>
  <c r="L15" i="94"/>
  <c r="T15" i="94"/>
  <c r="U45" i="95"/>
  <c r="U33" i="95"/>
  <c r="T26" i="97"/>
  <c r="T46" i="97" s="1"/>
  <c r="H65" i="113"/>
  <c r="T36" i="97" s="1"/>
  <c r="H15" i="89"/>
  <c r="AA24" i="113"/>
  <c r="E30" i="112"/>
  <c r="S42" i="112"/>
  <c r="S54" i="112"/>
  <c r="E42" i="112"/>
  <c r="AA24" i="95"/>
  <c r="E54" i="112"/>
  <c r="T23" i="100"/>
  <c r="M29" i="113"/>
  <c r="M65" i="113" s="1"/>
  <c r="M41" i="113"/>
  <c r="V21" i="113"/>
  <c r="E27" i="107"/>
  <c r="E51" i="107"/>
  <c r="S39" i="107"/>
  <c r="V21" i="95"/>
  <c r="E39" i="107"/>
  <c r="S51" i="107"/>
  <c r="R10" i="99"/>
  <c r="S24" i="99" s="1"/>
  <c r="U24" i="99" s="1"/>
  <c r="N10" i="99"/>
  <c r="X41" i="95"/>
  <c r="F35" i="109"/>
  <c r="O24" i="113"/>
  <c r="S42" i="102"/>
  <c r="S54" i="102"/>
  <c r="E42" i="102"/>
  <c r="E54" i="102"/>
  <c r="E30" i="102"/>
  <c r="O24" i="95"/>
  <c r="D56" i="113"/>
  <c r="T50" i="88"/>
  <c r="N20" i="113"/>
  <c r="N20" i="95"/>
  <c r="E50" i="101"/>
  <c r="E38" i="101"/>
  <c r="E26" i="101"/>
  <c r="S38" i="101"/>
  <c r="S50" i="101"/>
  <c r="T36" i="100"/>
  <c r="R9" i="94"/>
  <c r="S23" i="94" s="1"/>
  <c r="N9" i="94"/>
  <c r="S15" i="111"/>
  <c r="V41" i="113"/>
  <c r="T35" i="107"/>
  <c r="R70" i="95"/>
  <c r="R11" i="109"/>
  <c r="S25" i="109" s="1"/>
  <c r="U25" i="109" s="1"/>
  <c r="N11" i="109"/>
  <c r="W11" i="109"/>
  <c r="V11" i="109" s="1"/>
  <c r="T27" i="111"/>
  <c r="Z33" i="113"/>
  <c r="F53" i="90"/>
  <c r="E8" i="92"/>
  <c r="W8" i="92" s="1"/>
  <c r="T8" i="92"/>
  <c r="U8" i="92" s="1"/>
  <c r="W53" i="113"/>
  <c r="T47" i="108"/>
  <c r="Z64" i="113"/>
  <c r="T12" i="111"/>
  <c r="V18" i="113"/>
  <c r="S36" i="107"/>
  <c r="U36" i="107" s="1"/>
  <c r="E48" i="107"/>
  <c r="G48" i="107" s="1"/>
  <c r="V18" i="95"/>
  <c r="E24" i="107"/>
  <c r="G24" i="107" s="1"/>
  <c r="E36" i="107"/>
  <c r="G36" i="107" s="1"/>
  <c r="S48" i="107"/>
  <c r="U48" i="107" s="1"/>
  <c r="C32" i="113"/>
  <c r="F45" i="91"/>
  <c r="F51" i="95"/>
  <c r="F22" i="87"/>
  <c r="V9" i="89"/>
  <c r="T38" i="110"/>
  <c r="S11" i="105"/>
  <c r="I52" i="95"/>
  <c r="F46" i="94"/>
  <c r="H12" i="99"/>
  <c r="I12" i="99" s="1"/>
  <c r="I40" i="95"/>
  <c r="F34" i="94"/>
  <c r="E13" i="92"/>
  <c r="F13" i="92" s="1"/>
  <c r="G13" i="92" s="1"/>
  <c r="H13" i="92" s="1"/>
  <c r="I13" i="92" s="1"/>
  <c r="J13" i="92" s="1"/>
  <c r="R13" i="92" s="1"/>
  <c r="S27" i="92" s="1"/>
  <c r="R42" i="95"/>
  <c r="R30" i="95"/>
  <c r="T26" i="107"/>
  <c r="V32" i="113"/>
  <c r="E54" i="113"/>
  <c r="T48" i="90"/>
  <c r="T27" i="99"/>
  <c r="U45" i="113"/>
  <c r="U33" i="113"/>
  <c r="M6" i="113"/>
  <c r="M6" i="95"/>
  <c r="V10" i="100"/>
  <c r="F24" i="100"/>
  <c r="F36" i="100"/>
  <c r="F48" i="100"/>
  <c r="T48" i="100"/>
  <c r="O24" i="97"/>
  <c r="O44" i="97" s="1"/>
  <c r="C63" i="113"/>
  <c r="O34" i="97" s="1"/>
  <c r="G15" i="95"/>
  <c r="G15" i="113"/>
  <c r="S45" i="92"/>
  <c r="U45" i="92" s="1"/>
  <c r="S33" i="92"/>
  <c r="U33" i="92" s="1"/>
  <c r="E33" i="92"/>
  <c r="G33" i="92" s="1"/>
  <c r="E45" i="92"/>
  <c r="G45" i="92" s="1"/>
  <c r="E21" i="92"/>
  <c r="G21" i="92" s="1"/>
  <c r="I14" i="96"/>
  <c r="J14" i="96" s="1"/>
  <c r="K14" i="96" s="1"/>
  <c r="E53" i="113"/>
  <c r="T47" i="90"/>
  <c r="P52" i="95"/>
  <c r="F46" i="103"/>
  <c r="X41" i="113"/>
  <c r="T35" i="109"/>
  <c r="T9" i="91"/>
  <c r="T27" i="89"/>
  <c r="L45" i="113"/>
  <c r="L33" i="113"/>
  <c r="T23" i="107"/>
  <c r="V29" i="113"/>
  <c r="V65" i="113" s="1"/>
  <c r="Z45" i="95"/>
  <c r="F39" i="111"/>
  <c r="H15" i="112"/>
  <c r="N10" i="101"/>
  <c r="R10" i="101"/>
  <c r="S24" i="101" s="1"/>
  <c r="U24" i="101" s="1"/>
  <c r="T50" i="102"/>
  <c r="U12" i="93"/>
  <c r="U26" i="93" s="1"/>
  <c r="V8" i="113"/>
  <c r="V12" i="107"/>
  <c r="V8" i="95"/>
  <c r="F50" i="107"/>
  <c r="T38" i="107"/>
  <c r="F38" i="107"/>
  <c r="T50" i="107"/>
  <c r="T24" i="96"/>
  <c r="J30" i="113"/>
  <c r="F38" i="110"/>
  <c r="Y44" i="95"/>
  <c r="T45" i="91"/>
  <c r="F51" i="113"/>
  <c r="F34" i="87"/>
  <c r="I9" i="113" l="1"/>
  <c r="H11" i="113"/>
  <c r="T53" i="93"/>
  <c r="F29" i="93"/>
  <c r="F42" i="94"/>
  <c r="U29" i="93"/>
  <c r="V15" i="93"/>
  <c r="F53" i="93"/>
  <c r="P65" i="113"/>
  <c r="P64" i="95"/>
  <c r="F39" i="94"/>
  <c r="V14" i="112"/>
  <c r="P9" i="95"/>
  <c r="U27" i="103"/>
  <c r="AA10" i="113"/>
  <c r="R65" i="95"/>
  <c r="T40" i="112"/>
  <c r="G39" i="103"/>
  <c r="V12" i="106"/>
  <c r="S8" i="95"/>
  <c r="P9" i="113"/>
  <c r="F40" i="112"/>
  <c r="F51" i="103"/>
  <c r="T50" i="106"/>
  <c r="G26" i="106"/>
  <c r="G27" i="103"/>
  <c r="P39" i="97"/>
  <c r="D35" i="32"/>
  <c r="Z69" i="113"/>
  <c r="S68" i="95"/>
  <c r="E34" i="91"/>
  <c r="F34" i="91" s="1"/>
  <c r="U69" i="113"/>
  <c r="U68" i="95"/>
  <c r="V12" i="101"/>
  <c r="W70" i="95"/>
  <c r="U16" i="88"/>
  <c r="V16" i="88" s="1"/>
  <c r="R10" i="95"/>
  <c r="T50" i="87"/>
  <c r="R66" i="113"/>
  <c r="Q71" i="113"/>
  <c r="AA12" i="95"/>
  <c r="O67" i="95"/>
  <c r="M67" i="113"/>
  <c r="N8" i="95"/>
  <c r="U25" i="99"/>
  <c r="U7" i="113"/>
  <c r="U26" i="101"/>
  <c r="U14" i="94"/>
  <c r="U28" i="94" s="1"/>
  <c r="V14" i="105"/>
  <c r="V11" i="99"/>
  <c r="R10" i="113"/>
  <c r="G30" i="112"/>
  <c r="V16" i="112"/>
  <c r="U30" i="112"/>
  <c r="Y67" i="95"/>
  <c r="L69" i="113"/>
  <c r="M69" i="95"/>
  <c r="I12" i="95"/>
  <c r="I71" i="95" s="1"/>
  <c r="Y68" i="113"/>
  <c r="F51" i="94"/>
  <c r="G42" i="94"/>
  <c r="T42" i="94"/>
  <c r="V16" i="94"/>
  <c r="T30" i="94"/>
  <c r="I9" i="95"/>
  <c r="F30" i="94"/>
  <c r="I12" i="113"/>
  <c r="I72" i="113" s="1"/>
  <c r="T51" i="94"/>
  <c r="S34" i="91"/>
  <c r="T34" i="91" s="1"/>
  <c r="V14" i="88"/>
  <c r="M64" i="95"/>
  <c r="E22" i="91"/>
  <c r="F28" i="95" s="1"/>
  <c r="R19" i="97" s="1"/>
  <c r="F35" i="32" s="1"/>
  <c r="F16" i="113"/>
  <c r="F26" i="87"/>
  <c r="D10" i="113"/>
  <c r="F29" i="87"/>
  <c r="S46" i="91"/>
  <c r="T46" i="91" s="1"/>
  <c r="F16" i="95"/>
  <c r="R14" i="97" s="1"/>
  <c r="F30" i="32" s="1"/>
  <c r="G35" i="87"/>
  <c r="T26" i="87"/>
  <c r="E46" i="91"/>
  <c r="F52" i="95" s="1"/>
  <c r="G30" i="94"/>
  <c r="X12" i="95"/>
  <c r="F42" i="109"/>
  <c r="G53" i="87"/>
  <c r="C41" i="95"/>
  <c r="F53" i="87"/>
  <c r="G29" i="87"/>
  <c r="U29" i="87"/>
  <c r="C11" i="95"/>
  <c r="U53" i="87"/>
  <c r="N71" i="113"/>
  <c r="V15" i="87"/>
  <c r="U41" i="87"/>
  <c r="C11" i="113"/>
  <c r="C71" i="113" s="1"/>
  <c r="G47" i="87"/>
  <c r="T53" i="87"/>
  <c r="G41" i="87"/>
  <c r="T29" i="87"/>
  <c r="T41" i="87"/>
  <c r="G50" i="87"/>
  <c r="F38" i="87"/>
  <c r="F23" i="87"/>
  <c r="U23" i="87"/>
  <c r="F50" i="87"/>
  <c r="C5" i="113"/>
  <c r="U50" i="87"/>
  <c r="F54" i="94"/>
  <c r="C8" i="95"/>
  <c r="U38" i="87"/>
  <c r="G23" i="87"/>
  <c r="U27" i="94"/>
  <c r="T38" i="87"/>
  <c r="C8" i="113"/>
  <c r="C68" i="113" s="1"/>
  <c r="F47" i="87"/>
  <c r="G38" i="87"/>
  <c r="G54" i="94"/>
  <c r="F27" i="94"/>
  <c r="V12" i="87"/>
  <c r="C5" i="95"/>
  <c r="C64" i="95" s="1"/>
  <c r="O30" i="97" s="1"/>
  <c r="C41" i="32" s="1"/>
  <c r="G26" i="87"/>
  <c r="U26" i="87"/>
  <c r="F35" i="87"/>
  <c r="U27" i="87"/>
  <c r="U12" i="100"/>
  <c r="V12" i="100" s="1"/>
  <c r="C29" i="113"/>
  <c r="O26" i="97" s="1"/>
  <c r="T23" i="87"/>
  <c r="G40" i="104"/>
  <c r="V13" i="87"/>
  <c r="T52" i="104"/>
  <c r="V14" i="104"/>
  <c r="C9" i="95"/>
  <c r="F52" i="104"/>
  <c r="U28" i="104"/>
  <c r="Q10" i="95"/>
  <c r="G28" i="104"/>
  <c r="F24" i="87"/>
  <c r="F40" i="104"/>
  <c r="V16" i="109"/>
  <c r="F27" i="107"/>
  <c r="V15" i="106"/>
  <c r="F48" i="87"/>
  <c r="S11" i="95"/>
  <c r="T54" i="94"/>
  <c r="T36" i="87"/>
  <c r="S11" i="113"/>
  <c r="U24" i="87"/>
  <c r="T47" i="87"/>
  <c r="V13" i="107"/>
  <c r="I5" i="95"/>
  <c r="U10" i="97" s="1"/>
  <c r="V10" i="87"/>
  <c r="S50" i="91"/>
  <c r="F56" i="113" s="1"/>
  <c r="G39" i="107"/>
  <c r="V9" i="95"/>
  <c r="V9" i="94"/>
  <c r="C6" i="95"/>
  <c r="O11" i="97" s="1"/>
  <c r="C27" i="32" s="1"/>
  <c r="T48" i="87"/>
  <c r="E38" i="91"/>
  <c r="F44" i="95" s="1"/>
  <c r="U47" i="87"/>
  <c r="U23" i="94"/>
  <c r="V9" i="113"/>
  <c r="S38" i="91"/>
  <c r="F44" i="113" s="1"/>
  <c r="F28" i="112"/>
  <c r="U15" i="111"/>
  <c r="Z11" i="113" s="1"/>
  <c r="C67" i="95"/>
  <c r="F20" i="95"/>
  <c r="U54" i="94"/>
  <c r="O15" i="97"/>
  <c r="C31" i="32" s="1"/>
  <c r="E50" i="91"/>
  <c r="F56" i="95" s="1"/>
  <c r="E9" i="95"/>
  <c r="X70" i="95"/>
  <c r="V13" i="90"/>
  <c r="U14" i="87"/>
  <c r="C10" i="95" s="1"/>
  <c r="E26" i="91"/>
  <c r="F32" i="95" s="1"/>
  <c r="F26" i="108"/>
  <c r="U15" i="94"/>
  <c r="I11" i="95" s="1"/>
  <c r="V12" i="108"/>
  <c r="F20" i="113"/>
  <c r="W8" i="95"/>
  <c r="F36" i="87"/>
  <c r="W8" i="113"/>
  <c r="U10" i="91"/>
  <c r="F6" i="113" s="1"/>
  <c r="U42" i="94"/>
  <c r="M9" i="95"/>
  <c r="T35" i="87"/>
  <c r="F51" i="100"/>
  <c r="U35" i="87"/>
  <c r="X12" i="113"/>
  <c r="G29" i="107"/>
  <c r="T41" i="107"/>
  <c r="U29" i="107"/>
  <c r="V11" i="95"/>
  <c r="V15" i="107"/>
  <c r="F41" i="107"/>
  <c r="T53" i="107"/>
  <c r="F4" i="95"/>
  <c r="R9" i="97" s="1"/>
  <c r="F25" i="32" s="1"/>
  <c r="F4" i="113"/>
  <c r="U30" i="87"/>
  <c r="U22" i="91"/>
  <c r="F49" i="89"/>
  <c r="J66" i="113"/>
  <c r="F39" i="103"/>
  <c r="L7" i="113"/>
  <c r="V8" i="91"/>
  <c r="U9" i="91"/>
  <c r="F5" i="113" s="1"/>
  <c r="M12" i="95"/>
  <c r="L7" i="95"/>
  <c r="L66" i="95" s="1"/>
  <c r="T42" i="87"/>
  <c r="C63" i="95"/>
  <c r="O29" i="97" s="1"/>
  <c r="C40" i="32" s="1"/>
  <c r="E70" i="95"/>
  <c r="V16" i="87"/>
  <c r="F54" i="87"/>
  <c r="Q71" i="95"/>
  <c r="U25" i="89"/>
  <c r="C12" i="95"/>
  <c r="F30" i="87"/>
  <c r="V11" i="96"/>
  <c r="T49" i="89"/>
  <c r="O68" i="113"/>
  <c r="F25" i="89"/>
  <c r="U12" i="91"/>
  <c r="T26" i="91" s="1"/>
  <c r="F27" i="100"/>
  <c r="G27" i="100"/>
  <c r="M9" i="113"/>
  <c r="O39" i="97"/>
  <c r="O45" i="97"/>
  <c r="V41" i="97"/>
  <c r="G39" i="100"/>
  <c r="J65" i="95"/>
  <c r="V31" i="97" s="1"/>
  <c r="F39" i="100"/>
  <c r="V13" i="100"/>
  <c r="J7" i="113"/>
  <c r="N9" i="92"/>
  <c r="S9" i="92"/>
  <c r="V16" i="100"/>
  <c r="W14" i="96"/>
  <c r="M65" i="95"/>
  <c r="M12" i="113"/>
  <c r="F29" i="102"/>
  <c r="J8" i="95"/>
  <c r="V12" i="96"/>
  <c r="F27" i="103"/>
  <c r="G30" i="100"/>
  <c r="J7" i="95"/>
  <c r="W12" i="99"/>
  <c r="S12" i="99"/>
  <c r="T13" i="91"/>
  <c r="F26" i="106"/>
  <c r="G40" i="103"/>
  <c r="T15" i="92"/>
  <c r="G42" i="102"/>
  <c r="F23" i="102"/>
  <c r="F63" i="113"/>
  <c r="R34" i="97" s="1"/>
  <c r="U25" i="111"/>
  <c r="G28" i="103"/>
  <c r="F28" i="104"/>
  <c r="G30" i="102"/>
  <c r="C64" i="113"/>
  <c r="O35" i="97" s="1"/>
  <c r="F23" i="105"/>
  <c r="H47" i="113"/>
  <c r="U41" i="93"/>
  <c r="F35" i="101"/>
  <c r="G35" i="101"/>
  <c r="F52" i="112"/>
  <c r="G52" i="112"/>
  <c r="AA48" i="113"/>
  <c r="U42" i="112"/>
  <c r="H47" i="95"/>
  <c r="G41" i="93"/>
  <c r="V46" i="113"/>
  <c r="U40" i="107"/>
  <c r="U11" i="105"/>
  <c r="R7" i="95" s="1"/>
  <c r="N56" i="95"/>
  <c r="G50" i="101"/>
  <c r="F42" i="100"/>
  <c r="G42" i="100"/>
  <c r="T35" i="89"/>
  <c r="U35" i="89"/>
  <c r="H59" i="113"/>
  <c r="U53" i="93"/>
  <c r="V34" i="95"/>
  <c r="G28" i="107"/>
  <c r="J43" i="95"/>
  <c r="G37" i="96"/>
  <c r="F28" i="105"/>
  <c r="G28" i="105"/>
  <c r="T14" i="110"/>
  <c r="T36" i="106"/>
  <c r="U36" i="106"/>
  <c r="C48" i="113"/>
  <c r="U42" i="87"/>
  <c r="C57" i="113"/>
  <c r="U51" i="87"/>
  <c r="W56" i="113"/>
  <c r="U50" i="108"/>
  <c r="I45" i="95"/>
  <c r="G39" i="94"/>
  <c r="X36" i="95"/>
  <c r="G30" i="109"/>
  <c r="V47" i="113"/>
  <c r="U41" i="107"/>
  <c r="W14" i="99"/>
  <c r="T36" i="89"/>
  <c r="U36" i="89"/>
  <c r="M57" i="113"/>
  <c r="U51" i="100"/>
  <c r="W13" i="93"/>
  <c r="J55" i="113"/>
  <c r="U49" i="96"/>
  <c r="F41" i="102"/>
  <c r="F35" i="102"/>
  <c r="G35" i="102"/>
  <c r="C45" i="95"/>
  <c r="G39" i="87"/>
  <c r="H44" i="113"/>
  <c r="U38" i="93"/>
  <c r="Y53" i="95"/>
  <c r="G47" i="110"/>
  <c r="T52" i="112"/>
  <c r="U52" i="112"/>
  <c r="W44" i="95"/>
  <c r="G38" i="108"/>
  <c r="U14" i="109"/>
  <c r="U28" i="109" s="1"/>
  <c r="C42" i="95"/>
  <c r="G36" i="87"/>
  <c r="F38" i="108"/>
  <c r="V59" i="95"/>
  <c r="G53" i="107"/>
  <c r="U30" i="91"/>
  <c r="L55" i="113"/>
  <c r="U49" i="89"/>
  <c r="V57" i="113"/>
  <c r="U51" i="107"/>
  <c r="H56" i="113"/>
  <c r="U50" i="93"/>
  <c r="C30" i="95"/>
  <c r="O21" i="97" s="1"/>
  <c r="C37" i="32" s="1"/>
  <c r="G24" i="87"/>
  <c r="T42" i="102"/>
  <c r="U42" i="102"/>
  <c r="S59" i="95"/>
  <c r="G53" i="106"/>
  <c r="F54" i="112"/>
  <c r="G54" i="112"/>
  <c r="S59" i="113"/>
  <c r="U53" i="106"/>
  <c r="T51" i="100"/>
  <c r="S13" i="93"/>
  <c r="L53" i="113"/>
  <c r="U47" i="89"/>
  <c r="H59" i="95"/>
  <c r="G53" i="93"/>
  <c r="J43" i="113"/>
  <c r="U37" i="96"/>
  <c r="S15" i="88"/>
  <c r="C48" i="95"/>
  <c r="G42" i="87"/>
  <c r="P71" i="95"/>
  <c r="Y41" i="113"/>
  <c r="U35" i="110"/>
  <c r="T35" i="101"/>
  <c r="U35" i="101"/>
  <c r="P58" i="95"/>
  <c r="G52" i="103"/>
  <c r="T39" i="103"/>
  <c r="U39" i="103"/>
  <c r="W44" i="113"/>
  <c r="U38" i="108"/>
  <c r="C54" i="95"/>
  <c r="G48" i="87"/>
  <c r="I33" i="95"/>
  <c r="G27" i="94"/>
  <c r="Q58" i="113"/>
  <c r="U52" i="104"/>
  <c r="F48" i="113"/>
  <c r="U42" i="91"/>
  <c r="C70" i="95"/>
  <c r="O60" i="113"/>
  <c r="U54" i="102"/>
  <c r="J31" i="95"/>
  <c r="G25" i="96"/>
  <c r="X60" i="95"/>
  <c r="G54" i="109"/>
  <c r="N56" i="113"/>
  <c r="U50" i="101"/>
  <c r="F41" i="106"/>
  <c r="G41" i="106"/>
  <c r="V58" i="113"/>
  <c r="U52" i="107"/>
  <c r="R58" i="113"/>
  <c r="U52" i="105"/>
  <c r="F30" i="100"/>
  <c r="C60" i="95"/>
  <c r="G54" i="87"/>
  <c r="R53" i="113"/>
  <c r="U47" i="105"/>
  <c r="O53" i="95"/>
  <c r="G47" i="102"/>
  <c r="C57" i="95"/>
  <c r="G51" i="87"/>
  <c r="S56" i="113"/>
  <c r="U50" i="106"/>
  <c r="AA46" i="95"/>
  <c r="G40" i="112"/>
  <c r="C42" i="113"/>
  <c r="U36" i="87"/>
  <c r="I45" i="113"/>
  <c r="U39" i="94"/>
  <c r="Q58" i="95"/>
  <c r="G52" i="104"/>
  <c r="F60" i="113"/>
  <c r="U54" i="91"/>
  <c r="L43" i="95"/>
  <c r="G25" i="89"/>
  <c r="M57" i="95"/>
  <c r="G51" i="100"/>
  <c r="C60" i="113"/>
  <c r="U54" i="87"/>
  <c r="T35" i="105"/>
  <c r="U35" i="105"/>
  <c r="O53" i="113"/>
  <c r="U47" i="102"/>
  <c r="T41" i="93"/>
  <c r="V45" i="113"/>
  <c r="U39" i="107"/>
  <c r="F35" i="89"/>
  <c r="G35" i="89"/>
  <c r="F41" i="93"/>
  <c r="T38" i="101"/>
  <c r="U38" i="101"/>
  <c r="V57" i="95"/>
  <c r="G51" i="107"/>
  <c r="AA48" i="95"/>
  <c r="G42" i="112"/>
  <c r="T41" i="106"/>
  <c r="U41" i="106"/>
  <c r="M60" i="113"/>
  <c r="U54" i="100"/>
  <c r="L53" i="95"/>
  <c r="G47" i="89"/>
  <c r="V46" i="95"/>
  <c r="G40" i="107"/>
  <c r="T40" i="105"/>
  <c r="U40" i="105"/>
  <c r="F38" i="106"/>
  <c r="T39" i="94"/>
  <c r="F35" i="105"/>
  <c r="G35" i="105"/>
  <c r="O59" i="95"/>
  <c r="G53" i="102"/>
  <c r="H56" i="95"/>
  <c r="G50" i="93"/>
  <c r="F36" i="89"/>
  <c r="G36" i="89"/>
  <c r="Y41" i="95"/>
  <c r="G35" i="110"/>
  <c r="F53" i="107"/>
  <c r="P58" i="113"/>
  <c r="U52" i="103"/>
  <c r="S56" i="95"/>
  <c r="G50" i="106"/>
  <c r="AA46" i="113"/>
  <c r="U40" i="112"/>
  <c r="S13" i="112"/>
  <c r="W32" i="95"/>
  <c r="G26" i="108"/>
  <c r="T47" i="112"/>
  <c r="U47" i="112"/>
  <c r="X48" i="95"/>
  <c r="G42" i="109"/>
  <c r="F48" i="95"/>
  <c r="G42" i="91"/>
  <c r="F37" i="89"/>
  <c r="G37" i="89"/>
  <c r="C45" i="113"/>
  <c r="U39" i="87"/>
  <c r="I57" i="95"/>
  <c r="G51" i="94"/>
  <c r="T39" i="107"/>
  <c r="T42" i="100"/>
  <c r="U42" i="100"/>
  <c r="H35" i="95"/>
  <c r="H70" i="95" s="1"/>
  <c r="G29" i="93"/>
  <c r="T54" i="87"/>
  <c r="F26" i="101"/>
  <c r="G26" i="101"/>
  <c r="V33" i="95"/>
  <c r="G27" i="107"/>
  <c r="T54" i="112"/>
  <c r="U54" i="112"/>
  <c r="M60" i="95"/>
  <c r="G54" i="100"/>
  <c r="T14" i="99"/>
  <c r="T47" i="102"/>
  <c r="V58" i="95"/>
  <c r="G52" i="107"/>
  <c r="J55" i="95"/>
  <c r="G49" i="96"/>
  <c r="F40" i="105"/>
  <c r="G40" i="105"/>
  <c r="F36" i="106"/>
  <c r="G36" i="106"/>
  <c r="P72" i="113"/>
  <c r="R53" i="95"/>
  <c r="G47" i="105"/>
  <c r="O59" i="113"/>
  <c r="U53" i="102"/>
  <c r="T35" i="102"/>
  <c r="U35" i="102"/>
  <c r="H44" i="95"/>
  <c r="G38" i="93"/>
  <c r="F51" i="87"/>
  <c r="U40" i="103"/>
  <c r="P57" i="113"/>
  <c r="U51" i="103"/>
  <c r="X60" i="113"/>
  <c r="U54" i="109"/>
  <c r="F60" i="95"/>
  <c r="G54" i="91"/>
  <c r="L55" i="95"/>
  <c r="G49" i="89"/>
  <c r="T39" i="100"/>
  <c r="U39" i="100"/>
  <c r="T52" i="105"/>
  <c r="W56" i="95"/>
  <c r="G50" i="108"/>
  <c r="V59" i="113"/>
  <c r="U53" i="107"/>
  <c r="V67" i="95"/>
  <c r="F38" i="101"/>
  <c r="G38" i="101"/>
  <c r="O60" i="95"/>
  <c r="G54" i="102"/>
  <c r="F29" i="106"/>
  <c r="G29" i="106"/>
  <c r="N8" i="92"/>
  <c r="L41" i="95"/>
  <c r="G23" i="89"/>
  <c r="R58" i="95"/>
  <c r="G52" i="105"/>
  <c r="C36" i="95"/>
  <c r="G30" i="87"/>
  <c r="T41" i="102"/>
  <c r="U41" i="102"/>
  <c r="C33" i="95"/>
  <c r="G27" i="87"/>
  <c r="H32" i="95"/>
  <c r="G26" i="93"/>
  <c r="Y53" i="113"/>
  <c r="U47" i="110"/>
  <c r="T38" i="106"/>
  <c r="U38" i="106"/>
  <c r="P57" i="95"/>
  <c r="G51" i="103"/>
  <c r="F47" i="112"/>
  <c r="G47" i="112"/>
  <c r="C54" i="113"/>
  <c r="U48" i="87"/>
  <c r="I57" i="113"/>
  <c r="U51" i="94"/>
  <c r="X48" i="113"/>
  <c r="U42" i="109"/>
  <c r="V47" i="95"/>
  <c r="G41" i="107"/>
  <c r="T40" i="104"/>
  <c r="U40" i="104"/>
  <c r="U15" i="91"/>
  <c r="F11" i="113" s="1"/>
  <c r="F36" i="95"/>
  <c r="G30" i="91"/>
  <c r="T37" i="89"/>
  <c r="U37" i="89"/>
  <c r="S14" i="99"/>
  <c r="V68" i="113"/>
  <c r="M66" i="113"/>
  <c r="F12" i="113"/>
  <c r="F42" i="91"/>
  <c r="F30" i="91"/>
  <c r="F54" i="91"/>
  <c r="F12" i="95"/>
  <c r="V16" i="91"/>
  <c r="T42" i="91"/>
  <c r="T54" i="91"/>
  <c r="Y7" i="113"/>
  <c r="Y7" i="95"/>
  <c r="F39" i="107"/>
  <c r="V45" i="95"/>
  <c r="N15" i="94"/>
  <c r="R15" i="94"/>
  <c r="S29" i="94" s="1"/>
  <c r="I6" i="113"/>
  <c r="V10" i="94"/>
  <c r="I6" i="95"/>
  <c r="I13" i="102"/>
  <c r="J13" i="102" s="1"/>
  <c r="V10" i="113"/>
  <c r="V10" i="95"/>
  <c r="F28" i="107"/>
  <c r="V14" i="107"/>
  <c r="F52" i="107"/>
  <c r="T40" i="107"/>
  <c r="F40" i="107"/>
  <c r="T52" i="107"/>
  <c r="F49" i="96"/>
  <c r="S14" i="96"/>
  <c r="AA36" i="95"/>
  <c r="AA60" i="95"/>
  <c r="Z20" i="113"/>
  <c r="E26" i="111"/>
  <c r="E38" i="111"/>
  <c r="E50" i="111"/>
  <c r="Z20" i="95"/>
  <c r="S38" i="111"/>
  <c r="S50" i="111"/>
  <c r="T23" i="89"/>
  <c r="L29" i="113"/>
  <c r="L65" i="113" s="1"/>
  <c r="L41" i="113"/>
  <c r="T29" i="93"/>
  <c r="H35" i="113"/>
  <c r="H71" i="113" s="1"/>
  <c r="L15" i="88"/>
  <c r="T15" i="88"/>
  <c r="F53" i="106"/>
  <c r="R12" i="96"/>
  <c r="S26" i="96" s="1"/>
  <c r="U26" i="96" s="1"/>
  <c r="N12" i="96"/>
  <c r="F54" i="100"/>
  <c r="S54" i="95"/>
  <c r="F48" i="106"/>
  <c r="U14" i="91"/>
  <c r="V14" i="91" s="1"/>
  <c r="S11" i="92"/>
  <c r="H11" i="92"/>
  <c r="T10" i="92"/>
  <c r="N53" i="113"/>
  <c r="T47" i="101"/>
  <c r="T26" i="108"/>
  <c r="W32" i="113"/>
  <c r="I13" i="110"/>
  <c r="W10" i="91"/>
  <c r="N10" i="91"/>
  <c r="R10" i="91"/>
  <c r="J14" i="93"/>
  <c r="T14" i="93" s="1"/>
  <c r="Z54" i="95"/>
  <c r="F48" i="111"/>
  <c r="Q21" i="97"/>
  <c r="E65" i="95"/>
  <c r="Q31" i="97" s="1"/>
  <c r="E42" i="32" s="1"/>
  <c r="T47" i="110"/>
  <c r="R11" i="110"/>
  <c r="S25" i="110" s="1"/>
  <c r="U25" i="110" s="1"/>
  <c r="N11" i="110"/>
  <c r="W11" i="110"/>
  <c r="V11" i="110" s="1"/>
  <c r="F37" i="96"/>
  <c r="S13" i="92"/>
  <c r="T42" i="109"/>
  <c r="F52" i="105"/>
  <c r="T45" i="92"/>
  <c r="G51" i="113"/>
  <c r="T24" i="107"/>
  <c r="V30" i="113"/>
  <c r="V66" i="113" s="1"/>
  <c r="T50" i="101"/>
  <c r="T24" i="89"/>
  <c r="L30" i="113"/>
  <c r="L66" i="113" s="1"/>
  <c r="L42" i="113"/>
  <c r="X22" i="113"/>
  <c r="X22" i="95"/>
  <c r="S40" i="109"/>
  <c r="E40" i="109"/>
  <c r="E28" i="109"/>
  <c r="E52" i="109"/>
  <c r="S52" i="109"/>
  <c r="I15" i="112"/>
  <c r="N14" i="96"/>
  <c r="R14" i="96"/>
  <c r="S28" i="96" s="1"/>
  <c r="V54" i="113"/>
  <c r="T48" i="107"/>
  <c r="N32" i="95"/>
  <c r="N44" i="95"/>
  <c r="T30" i="102"/>
  <c r="O48" i="113"/>
  <c r="O36" i="113"/>
  <c r="R10" i="94"/>
  <c r="S24" i="94" s="1"/>
  <c r="U24" i="94" s="1"/>
  <c r="N10" i="94"/>
  <c r="T53" i="106"/>
  <c r="S42" i="95"/>
  <c r="S30" i="95"/>
  <c r="S65" i="95" s="1"/>
  <c r="F24" i="106"/>
  <c r="S15" i="92"/>
  <c r="L15" i="92"/>
  <c r="W15" i="92" s="1"/>
  <c r="T42" i="112"/>
  <c r="F23" i="113"/>
  <c r="S41" i="91"/>
  <c r="S53" i="91"/>
  <c r="E41" i="91"/>
  <c r="E53" i="91"/>
  <c r="E29" i="91"/>
  <c r="F23" i="95"/>
  <c r="S29" i="91"/>
  <c r="I16" i="110"/>
  <c r="J16" i="110" s="1"/>
  <c r="K16" i="110" s="1"/>
  <c r="L16" i="110" s="1"/>
  <c r="Z19" i="113"/>
  <c r="E49" i="111"/>
  <c r="F49" i="111" s="1"/>
  <c r="E25" i="111"/>
  <c r="F25" i="111" s="1"/>
  <c r="E37" i="111"/>
  <c r="F37" i="111" s="1"/>
  <c r="Z19" i="95"/>
  <c r="S37" i="111"/>
  <c r="T37" i="111" s="1"/>
  <c r="S49" i="111"/>
  <c r="G18" i="113"/>
  <c r="S36" i="92"/>
  <c r="E48" i="92"/>
  <c r="G18" i="95"/>
  <c r="S16" i="97" s="1"/>
  <c r="G32" i="32" s="1"/>
  <c r="E24" i="92"/>
  <c r="E36" i="92"/>
  <c r="S48" i="92"/>
  <c r="W15" i="94"/>
  <c r="F23" i="110"/>
  <c r="Y29" i="95"/>
  <c r="Y64" i="95" s="1"/>
  <c r="T47" i="89"/>
  <c r="S44" i="95"/>
  <c r="S32" i="95"/>
  <c r="J13" i="112"/>
  <c r="W13" i="112" s="1"/>
  <c r="T13" i="112"/>
  <c r="N10" i="92"/>
  <c r="AA53" i="95"/>
  <c r="AA29" i="95"/>
  <c r="AA64" i="95" s="1"/>
  <c r="F23" i="112"/>
  <c r="F36" i="111"/>
  <c r="Z42" i="95"/>
  <c r="N13" i="92"/>
  <c r="T49" i="96"/>
  <c r="T54" i="109"/>
  <c r="Q20" i="97"/>
  <c r="E64" i="95"/>
  <c r="Q30" i="97" s="1"/>
  <c r="E41" i="32" s="1"/>
  <c r="R11" i="102"/>
  <c r="S25" i="102" s="1"/>
  <c r="U25" i="102" s="1"/>
  <c r="N11" i="102"/>
  <c r="Z54" i="113"/>
  <c r="T48" i="111"/>
  <c r="H8" i="113"/>
  <c r="T38" i="93"/>
  <c r="V12" i="93"/>
  <c r="F38" i="93"/>
  <c r="T50" i="93"/>
  <c r="H8" i="95"/>
  <c r="F50" i="93"/>
  <c r="F26" i="93"/>
  <c r="F42" i="87"/>
  <c r="F21" i="92"/>
  <c r="G27" i="95"/>
  <c r="V42" i="95"/>
  <c r="F36" i="107"/>
  <c r="T30" i="112"/>
  <c r="AA36" i="113"/>
  <c r="AA72" i="113" s="1"/>
  <c r="AA60" i="113"/>
  <c r="I15" i="89"/>
  <c r="R13" i="93"/>
  <c r="S27" i="93" s="1"/>
  <c r="N13" i="93"/>
  <c r="Q26" i="97"/>
  <c r="Q46" i="97" s="1"/>
  <c r="E65" i="113"/>
  <c r="Q36" i="97" s="1"/>
  <c r="P10" i="113"/>
  <c r="V14" i="103"/>
  <c r="F28" i="103"/>
  <c r="F52" i="103"/>
  <c r="P10" i="95"/>
  <c r="F40" i="103"/>
  <c r="T52" i="103"/>
  <c r="K14" i="110"/>
  <c r="W14" i="110" s="1"/>
  <c r="S14" i="110"/>
  <c r="G11" i="91"/>
  <c r="S11" i="91" s="1"/>
  <c r="I15" i="110"/>
  <c r="F30" i="112"/>
  <c r="T9" i="92"/>
  <c r="F50" i="101"/>
  <c r="O41" i="95"/>
  <c r="O29" i="95"/>
  <c r="O64" i="95" s="1"/>
  <c r="T27" i="87"/>
  <c r="C33" i="113"/>
  <c r="C69" i="113" s="1"/>
  <c r="L54" i="113"/>
  <c r="T48" i="89"/>
  <c r="F39" i="87"/>
  <c r="W10" i="92"/>
  <c r="N53" i="95"/>
  <c r="F47" i="101"/>
  <c r="F23" i="89"/>
  <c r="N9" i="91"/>
  <c r="R9" i="91"/>
  <c r="T24" i="111"/>
  <c r="Z30" i="113"/>
  <c r="Z66" i="113" s="1"/>
  <c r="T28" i="104"/>
  <c r="Q34" i="113"/>
  <c r="Q70" i="113" s="1"/>
  <c r="Q46" i="113"/>
  <c r="T25" i="89"/>
  <c r="L31" i="113"/>
  <c r="L43" i="113"/>
  <c r="F47" i="110"/>
  <c r="S11" i="94"/>
  <c r="S19" i="113"/>
  <c r="S37" i="106"/>
  <c r="S19" i="95"/>
  <c r="E49" i="106"/>
  <c r="G49" i="106" s="1"/>
  <c r="E37" i="106"/>
  <c r="E25" i="106"/>
  <c r="G25" i="106" s="1"/>
  <c r="S49" i="106"/>
  <c r="U49" i="106" s="1"/>
  <c r="N11" i="94"/>
  <c r="R11" i="94"/>
  <c r="S25" i="94" s="1"/>
  <c r="T24" i="87"/>
  <c r="C30" i="113"/>
  <c r="C66" i="113" s="1"/>
  <c r="Z23" i="113"/>
  <c r="Z23" i="95"/>
  <c r="E29" i="111"/>
  <c r="E53" i="111"/>
  <c r="E41" i="111"/>
  <c r="S41" i="111"/>
  <c r="S53" i="111"/>
  <c r="T27" i="100"/>
  <c r="M45" i="113"/>
  <c r="M33" i="113"/>
  <c r="F45" i="92"/>
  <c r="G51" i="95"/>
  <c r="V30" i="95"/>
  <c r="V65" i="95" s="1"/>
  <c r="F24" i="107"/>
  <c r="T26" i="101"/>
  <c r="N32" i="113"/>
  <c r="N68" i="113" s="1"/>
  <c r="N44" i="113"/>
  <c r="O48" i="95"/>
  <c r="O36" i="95"/>
  <c r="T30" i="100"/>
  <c r="M36" i="113"/>
  <c r="M48" i="113"/>
  <c r="N14" i="91"/>
  <c r="R14" i="91"/>
  <c r="P21" i="97"/>
  <c r="D65" i="95"/>
  <c r="P31" i="97" s="1"/>
  <c r="D42" i="32" s="1"/>
  <c r="R41" i="95"/>
  <c r="R29" i="95"/>
  <c r="R64" i="95" s="1"/>
  <c r="F42" i="112"/>
  <c r="W9" i="92"/>
  <c r="F27" i="87"/>
  <c r="F47" i="89"/>
  <c r="T28" i="112"/>
  <c r="AA58" i="113"/>
  <c r="AA34" i="113"/>
  <c r="T23" i="112"/>
  <c r="AA29" i="113"/>
  <c r="AA65" i="113" s="1"/>
  <c r="AA53" i="113"/>
  <c r="T50" i="108"/>
  <c r="F24" i="111"/>
  <c r="Z30" i="95"/>
  <c r="Z65" i="95" s="1"/>
  <c r="F35" i="110"/>
  <c r="M45" i="95"/>
  <c r="M33" i="95"/>
  <c r="N14" i="99"/>
  <c r="R14" i="99"/>
  <c r="S28" i="99" s="1"/>
  <c r="T37" i="96"/>
  <c r="T14" i="96"/>
  <c r="F30" i="109"/>
  <c r="G21" i="113"/>
  <c r="E51" i="92"/>
  <c r="G21" i="95"/>
  <c r="S39" i="92"/>
  <c r="E39" i="92"/>
  <c r="E27" i="92"/>
  <c r="S51" i="92"/>
  <c r="D24" i="113"/>
  <c r="E30" i="88"/>
  <c r="D24" i="95"/>
  <c r="E54" i="88"/>
  <c r="S54" i="88"/>
  <c r="S42" i="88"/>
  <c r="E42" i="88"/>
  <c r="S30" i="88"/>
  <c r="T27" i="107"/>
  <c r="V33" i="113"/>
  <c r="S47" i="95"/>
  <c r="S35" i="95"/>
  <c r="F12" i="92"/>
  <c r="G12" i="92" s="1"/>
  <c r="H12" i="92" s="1"/>
  <c r="I12" i="92" s="1"/>
  <c r="T25" i="96"/>
  <c r="J31" i="113"/>
  <c r="U12" i="111"/>
  <c r="U26" i="111" s="1"/>
  <c r="X71" i="113"/>
  <c r="T28" i="105"/>
  <c r="R34" i="113"/>
  <c r="R46" i="113"/>
  <c r="D22" i="113"/>
  <c r="E28" i="88"/>
  <c r="G28" i="88" s="1"/>
  <c r="D22" i="95"/>
  <c r="S40" i="88"/>
  <c r="U40" i="88" s="1"/>
  <c r="E52" i="88"/>
  <c r="G52" i="88" s="1"/>
  <c r="E40" i="88"/>
  <c r="G40" i="88" s="1"/>
  <c r="S52" i="88"/>
  <c r="U52" i="88" s="1"/>
  <c r="S28" i="88"/>
  <c r="U28" i="88" s="1"/>
  <c r="T24" i="106"/>
  <c r="S30" i="113"/>
  <c r="S66" i="113" s="1"/>
  <c r="S42" i="113"/>
  <c r="H12" i="94"/>
  <c r="I12" i="94" s="1"/>
  <c r="S13" i="91"/>
  <c r="E21" i="113"/>
  <c r="E21" i="95"/>
  <c r="E51" i="90"/>
  <c r="G51" i="90" s="1"/>
  <c r="E27" i="90"/>
  <c r="G27" i="90" s="1"/>
  <c r="S27" i="90"/>
  <c r="U27" i="90" s="1"/>
  <c r="E39" i="90"/>
  <c r="G39" i="90" s="1"/>
  <c r="S39" i="90"/>
  <c r="U39" i="90" s="1"/>
  <c r="S51" i="90"/>
  <c r="U51" i="90" s="1"/>
  <c r="G17" i="113"/>
  <c r="S35" i="92"/>
  <c r="E47" i="92"/>
  <c r="E23" i="92"/>
  <c r="E35" i="92"/>
  <c r="G17" i="95"/>
  <c r="S15" i="97" s="1"/>
  <c r="G31" i="32" s="1"/>
  <c r="S47" i="92"/>
  <c r="O47" i="95"/>
  <c r="O35" i="95"/>
  <c r="O70" i="95" s="1"/>
  <c r="U25" i="97"/>
  <c r="U45" i="97" s="1"/>
  <c r="I64" i="113"/>
  <c r="U35" i="97" s="1"/>
  <c r="T23" i="102"/>
  <c r="O29" i="113"/>
  <c r="O65" i="113" s="1"/>
  <c r="O41" i="113"/>
  <c r="O12" i="113"/>
  <c r="T54" i="102"/>
  <c r="O12" i="95"/>
  <c r="V16" i="102"/>
  <c r="F42" i="102"/>
  <c r="F54" i="102"/>
  <c r="F30" i="102"/>
  <c r="L42" i="95"/>
  <c r="F24" i="89"/>
  <c r="T23" i="110"/>
  <c r="Y29" i="113"/>
  <c r="Y65" i="113" s="1"/>
  <c r="N29" i="95"/>
  <c r="N64" i="95" s="1"/>
  <c r="N41" i="95"/>
  <c r="F23" i="101"/>
  <c r="T27" i="103"/>
  <c r="P33" i="113"/>
  <c r="P45" i="113"/>
  <c r="AA41" i="113"/>
  <c r="T35" i="112"/>
  <c r="T38" i="108"/>
  <c r="T30" i="109"/>
  <c r="X36" i="113"/>
  <c r="T29" i="107"/>
  <c r="V35" i="113"/>
  <c r="V71" i="113" s="1"/>
  <c r="T30" i="91"/>
  <c r="F36" i="113"/>
  <c r="F54" i="109"/>
  <c r="S54" i="113"/>
  <c r="T48" i="106"/>
  <c r="P46" i="95"/>
  <c r="P34" i="95"/>
  <c r="F33" i="92"/>
  <c r="G39" i="95"/>
  <c r="I17" i="113"/>
  <c r="S35" i="94"/>
  <c r="U35" i="94" s="1"/>
  <c r="I17" i="95"/>
  <c r="U15" i="97" s="1"/>
  <c r="E47" i="94"/>
  <c r="G47" i="94" s="1"/>
  <c r="E35" i="94"/>
  <c r="G35" i="94" s="1"/>
  <c r="E23" i="94"/>
  <c r="G23" i="94" s="1"/>
  <c r="S47" i="94"/>
  <c r="U47" i="94" s="1"/>
  <c r="U18" i="113"/>
  <c r="S36" i="99"/>
  <c r="U18" i="95"/>
  <c r="E48" i="99"/>
  <c r="G48" i="99" s="1"/>
  <c r="E36" i="99"/>
  <c r="E24" i="99"/>
  <c r="G24" i="99" s="1"/>
  <c r="S48" i="99"/>
  <c r="U48" i="99" s="1"/>
  <c r="N18" i="113"/>
  <c r="S36" i="101"/>
  <c r="E24" i="101"/>
  <c r="G24" i="101" s="1"/>
  <c r="E36" i="101"/>
  <c r="E48" i="101"/>
  <c r="G48" i="101" s="1"/>
  <c r="N18" i="95"/>
  <c r="S48" i="101"/>
  <c r="U48" i="101" s="1"/>
  <c r="T33" i="92"/>
  <c r="G39" i="113"/>
  <c r="T13" i="92"/>
  <c r="V54" i="95"/>
  <c r="F48" i="107"/>
  <c r="T51" i="107"/>
  <c r="M48" i="95"/>
  <c r="M36" i="95"/>
  <c r="N13" i="91"/>
  <c r="R13" i="91"/>
  <c r="R46" i="95"/>
  <c r="R34" i="95"/>
  <c r="T54" i="100"/>
  <c r="T47" i="105"/>
  <c r="F16" i="92"/>
  <c r="M20" i="113"/>
  <c r="E26" i="100"/>
  <c r="E38" i="100"/>
  <c r="M20" i="95"/>
  <c r="S38" i="100"/>
  <c r="E50" i="100"/>
  <c r="S50" i="100"/>
  <c r="L54" i="95"/>
  <c r="F48" i="89"/>
  <c r="T51" i="87"/>
  <c r="W11" i="102"/>
  <c r="V11" i="102" s="1"/>
  <c r="C22" i="113"/>
  <c r="E52" i="87"/>
  <c r="E28" i="87"/>
  <c r="C22" i="95"/>
  <c r="E40" i="87"/>
  <c r="S28" i="87"/>
  <c r="S40" i="87"/>
  <c r="S52" i="87"/>
  <c r="Z7" i="113"/>
  <c r="Z7" i="95"/>
  <c r="V11" i="111"/>
  <c r="T28" i="103"/>
  <c r="P34" i="113"/>
  <c r="P46" i="113"/>
  <c r="T26" i="106"/>
  <c r="S44" i="113"/>
  <c r="S32" i="113"/>
  <c r="S68" i="113" s="1"/>
  <c r="F14" i="92"/>
  <c r="R11" i="105"/>
  <c r="S25" i="105" s="1"/>
  <c r="N11" i="105"/>
  <c r="P45" i="95"/>
  <c r="P33" i="95"/>
  <c r="M16" i="101"/>
  <c r="T16" i="101"/>
  <c r="T22" i="91"/>
  <c r="F28" i="113"/>
  <c r="R25" i="97" s="1"/>
  <c r="Z42" i="113"/>
  <c r="T36" i="111"/>
  <c r="T35" i="110"/>
  <c r="T12" i="99"/>
  <c r="W9" i="91"/>
  <c r="S16" i="101"/>
  <c r="T28" i="107"/>
  <c r="V34" i="113"/>
  <c r="T29" i="102"/>
  <c r="O47" i="113"/>
  <c r="O35" i="113"/>
  <c r="O71" i="113" s="1"/>
  <c r="I22" i="113"/>
  <c r="E52" i="94"/>
  <c r="E28" i="94"/>
  <c r="I22" i="95"/>
  <c r="E40" i="94"/>
  <c r="S40" i="94"/>
  <c r="S52" i="94"/>
  <c r="T26" i="93"/>
  <c r="H32" i="113"/>
  <c r="G4" i="113"/>
  <c r="V8" i="92"/>
  <c r="G4" i="95"/>
  <c r="AA41" i="95"/>
  <c r="F35" i="112"/>
  <c r="T27" i="94"/>
  <c r="I33" i="113"/>
  <c r="I69" i="113" s="1"/>
  <c r="H11" i="87"/>
  <c r="T11" i="87"/>
  <c r="S11" i="87"/>
  <c r="T11" i="94"/>
  <c r="T21" i="92"/>
  <c r="G27" i="113"/>
  <c r="S24" i="97" s="1"/>
  <c r="S44" i="97" s="1"/>
  <c r="W13" i="92"/>
  <c r="N12" i="99"/>
  <c r="R12" i="99"/>
  <c r="S26" i="99" s="1"/>
  <c r="V42" i="113"/>
  <c r="T36" i="107"/>
  <c r="X19" i="113"/>
  <c r="S37" i="109"/>
  <c r="U37" i="109" s="1"/>
  <c r="S49" i="109"/>
  <c r="U49" i="109" s="1"/>
  <c r="E49" i="109"/>
  <c r="G49" i="109" s="1"/>
  <c r="E25" i="109"/>
  <c r="G25" i="109" s="1"/>
  <c r="E37" i="109"/>
  <c r="G37" i="109" s="1"/>
  <c r="X19" i="95"/>
  <c r="F51" i="107"/>
  <c r="T29" i="106"/>
  <c r="S35" i="113"/>
  <c r="S47" i="113"/>
  <c r="R8" i="92"/>
  <c r="S22" i="92" s="1"/>
  <c r="U22" i="92" s="1"/>
  <c r="I14" i="89"/>
  <c r="T30" i="87"/>
  <c r="C36" i="113"/>
  <c r="C72" i="113" s="1"/>
  <c r="T23" i="105"/>
  <c r="R29" i="113"/>
  <c r="R65" i="113" s="1"/>
  <c r="R41" i="113"/>
  <c r="T11" i="92"/>
  <c r="W11" i="94"/>
  <c r="T39" i="87"/>
  <c r="O7" i="113"/>
  <c r="O7" i="95"/>
  <c r="T23" i="101"/>
  <c r="N29" i="113"/>
  <c r="N65" i="113" s="1"/>
  <c r="N41" i="113"/>
  <c r="T40" i="103"/>
  <c r="AA34" i="95"/>
  <c r="AA69" i="95" s="1"/>
  <c r="AA58" i="95"/>
  <c r="F50" i="108"/>
  <c r="F29" i="107"/>
  <c r="V35" i="95"/>
  <c r="Q46" i="95"/>
  <c r="Q34" i="95"/>
  <c r="F32" i="113"/>
  <c r="U19" i="113"/>
  <c r="E49" i="99"/>
  <c r="G49" i="99" s="1"/>
  <c r="E37" i="99"/>
  <c r="E25" i="99"/>
  <c r="G25" i="99" s="1"/>
  <c r="U19" i="95"/>
  <c r="S37" i="99"/>
  <c r="S49" i="99"/>
  <c r="U49" i="99" s="1"/>
  <c r="U19" i="97"/>
  <c r="U39" i="97" s="1"/>
  <c r="I63" i="95"/>
  <c r="U29" i="97" s="1"/>
  <c r="F25" i="96"/>
  <c r="T13" i="93"/>
  <c r="W13" i="91"/>
  <c r="W11" i="105"/>
  <c r="S10" i="92"/>
  <c r="P69" i="113" l="1"/>
  <c r="P68" i="95"/>
  <c r="R69" i="95"/>
  <c r="AA70" i="113"/>
  <c r="S67" i="95"/>
  <c r="P41" i="97"/>
  <c r="D37" i="32"/>
  <c r="Q40" i="97"/>
  <c r="E36" i="32"/>
  <c r="Q41" i="97"/>
  <c r="E37" i="32"/>
  <c r="V14" i="94"/>
  <c r="I10" i="113"/>
  <c r="I10" i="95"/>
  <c r="D12" i="95"/>
  <c r="U30" i="88"/>
  <c r="N67" i="95"/>
  <c r="G34" i="91"/>
  <c r="F40" i="95"/>
  <c r="D12" i="113"/>
  <c r="I11" i="113"/>
  <c r="AA71" i="95"/>
  <c r="R70" i="113"/>
  <c r="M8" i="113"/>
  <c r="X71" i="95"/>
  <c r="Q69" i="95"/>
  <c r="S70" i="95"/>
  <c r="X72" i="113"/>
  <c r="V14" i="87"/>
  <c r="U26" i="100"/>
  <c r="F40" i="113"/>
  <c r="I68" i="95"/>
  <c r="U34" i="91"/>
  <c r="F46" i="91"/>
  <c r="M68" i="95"/>
  <c r="F22" i="91"/>
  <c r="O10" i="97"/>
  <c r="V15" i="111"/>
  <c r="V15" i="94"/>
  <c r="U29" i="94"/>
  <c r="G22" i="91"/>
  <c r="G26" i="100"/>
  <c r="C10" i="113"/>
  <c r="U46" i="91"/>
  <c r="G46" i="91"/>
  <c r="M8" i="95"/>
  <c r="W68" i="113"/>
  <c r="F52" i="113"/>
  <c r="U28" i="87"/>
  <c r="V69" i="113"/>
  <c r="U29" i="111"/>
  <c r="Z11" i="95"/>
  <c r="C68" i="95"/>
  <c r="C65" i="113"/>
  <c r="O36" i="97" s="1"/>
  <c r="S71" i="113"/>
  <c r="V68" i="95"/>
  <c r="F6" i="95"/>
  <c r="R11" i="97" s="1"/>
  <c r="F27" i="32" s="1"/>
  <c r="V10" i="91"/>
  <c r="M69" i="113"/>
  <c r="J67" i="113"/>
  <c r="O72" i="113"/>
  <c r="V70" i="95"/>
  <c r="J66" i="95"/>
  <c r="F5" i="95"/>
  <c r="R10" i="97" s="1"/>
  <c r="F26" i="32" s="1"/>
  <c r="U50" i="91"/>
  <c r="V9" i="91"/>
  <c r="W67" i="95"/>
  <c r="L67" i="113"/>
  <c r="W13" i="102"/>
  <c r="C71" i="95"/>
  <c r="V14" i="109"/>
  <c r="T13" i="102"/>
  <c r="C65" i="95"/>
  <c r="O31" i="97" s="1"/>
  <c r="C42" i="32" s="1"/>
  <c r="X10" i="95"/>
  <c r="O41" i="97"/>
  <c r="X10" i="113"/>
  <c r="F28" i="109"/>
  <c r="M72" i="113"/>
  <c r="U12" i="99"/>
  <c r="V12" i="99" s="1"/>
  <c r="M71" i="95"/>
  <c r="T50" i="91"/>
  <c r="F38" i="91"/>
  <c r="G38" i="91"/>
  <c r="V12" i="91"/>
  <c r="G26" i="91"/>
  <c r="U26" i="91"/>
  <c r="F50" i="91"/>
  <c r="T38" i="91"/>
  <c r="G50" i="91"/>
  <c r="U38" i="91"/>
  <c r="F26" i="91"/>
  <c r="F8" i="113"/>
  <c r="F68" i="113" s="1"/>
  <c r="F8" i="95"/>
  <c r="F67" i="95" s="1"/>
  <c r="U9" i="92"/>
  <c r="U23" i="92" s="1"/>
  <c r="U13" i="93"/>
  <c r="H9" i="113" s="1"/>
  <c r="T40" i="109"/>
  <c r="U14" i="99"/>
  <c r="U28" i="99" s="1"/>
  <c r="T52" i="109"/>
  <c r="H67" i="95"/>
  <c r="F52" i="109"/>
  <c r="U14" i="110"/>
  <c r="Y10" i="95" s="1"/>
  <c r="U13" i="91"/>
  <c r="F9" i="113" s="1"/>
  <c r="R39" i="97"/>
  <c r="R45" i="97"/>
  <c r="V69" i="95"/>
  <c r="F41" i="91"/>
  <c r="F53" i="91"/>
  <c r="U29" i="91"/>
  <c r="T41" i="91"/>
  <c r="U11" i="92"/>
  <c r="G7" i="113" s="1"/>
  <c r="U15" i="88"/>
  <c r="D11" i="113" s="1"/>
  <c r="U15" i="92"/>
  <c r="G11" i="95" s="1"/>
  <c r="U11" i="87"/>
  <c r="C7" i="113" s="1"/>
  <c r="F63" i="95"/>
  <c r="R29" i="97" s="1"/>
  <c r="F40" i="32" s="1"/>
  <c r="F29" i="91"/>
  <c r="U13" i="112"/>
  <c r="AA9" i="113" s="1"/>
  <c r="G54" i="95"/>
  <c r="T36" i="99"/>
  <c r="U36" i="99"/>
  <c r="D36" i="95"/>
  <c r="G30" i="88"/>
  <c r="Z47" i="113"/>
  <c r="U41" i="111"/>
  <c r="G30" i="95"/>
  <c r="S21" i="97" s="1"/>
  <c r="G37" i="32" s="1"/>
  <c r="F37" i="99"/>
  <c r="G37" i="99"/>
  <c r="I46" i="95"/>
  <c r="G40" i="94"/>
  <c r="C46" i="95"/>
  <c r="G40" i="87"/>
  <c r="T36" i="101"/>
  <c r="U36" i="101"/>
  <c r="F11" i="95"/>
  <c r="G41" i="95"/>
  <c r="Z47" i="95"/>
  <c r="G41" i="111"/>
  <c r="Z31" i="95"/>
  <c r="Z66" i="95" s="1"/>
  <c r="G25" i="111"/>
  <c r="F47" i="95"/>
  <c r="G41" i="91"/>
  <c r="Z32" i="95"/>
  <c r="G26" i="111"/>
  <c r="F71" i="95"/>
  <c r="G57" i="113"/>
  <c r="G53" i="95"/>
  <c r="T12" i="92"/>
  <c r="D48" i="95"/>
  <c r="G42" i="88"/>
  <c r="G33" i="95"/>
  <c r="Z35" i="95"/>
  <c r="G29" i="111"/>
  <c r="G42" i="113"/>
  <c r="F47" i="113"/>
  <c r="U41" i="91"/>
  <c r="X58" i="95"/>
  <c r="G52" i="109"/>
  <c r="G29" i="95"/>
  <c r="S20" i="97" s="1"/>
  <c r="G36" i="32" s="1"/>
  <c r="U10" i="92"/>
  <c r="U24" i="92" s="1"/>
  <c r="I34" i="95"/>
  <c r="I69" i="95" s="1"/>
  <c r="G28" i="94"/>
  <c r="C34" i="95"/>
  <c r="C69" i="95" s="1"/>
  <c r="G28" i="87"/>
  <c r="M56" i="95"/>
  <c r="G50" i="100"/>
  <c r="V11" i="105"/>
  <c r="I58" i="95"/>
  <c r="G52" i="94"/>
  <c r="C58" i="95"/>
  <c r="G52" i="87"/>
  <c r="T38" i="100"/>
  <c r="U38" i="100"/>
  <c r="T53" i="91"/>
  <c r="O71" i="95"/>
  <c r="G41" i="113"/>
  <c r="S12" i="92"/>
  <c r="D48" i="113"/>
  <c r="U42" i="88"/>
  <c r="G45" i="95"/>
  <c r="F37" i="106"/>
  <c r="G37" i="106"/>
  <c r="X34" i="95"/>
  <c r="G28" i="109"/>
  <c r="Z56" i="113"/>
  <c r="U50" i="111"/>
  <c r="F36" i="99"/>
  <c r="G36" i="99"/>
  <c r="D60" i="113"/>
  <c r="U54" i="88"/>
  <c r="Z55" i="113"/>
  <c r="U49" i="111"/>
  <c r="X46" i="95"/>
  <c r="G40" i="109"/>
  <c r="Z44" i="113"/>
  <c r="U38" i="111"/>
  <c r="F59" i="113"/>
  <c r="U53" i="91"/>
  <c r="G45" i="113"/>
  <c r="T37" i="99"/>
  <c r="U37" i="99"/>
  <c r="U25" i="105"/>
  <c r="T49" i="111"/>
  <c r="C58" i="113"/>
  <c r="U52" i="87"/>
  <c r="F38" i="100"/>
  <c r="G38" i="100"/>
  <c r="V15" i="91"/>
  <c r="D60" i="95"/>
  <c r="G54" i="88"/>
  <c r="F40" i="109"/>
  <c r="G54" i="113"/>
  <c r="Z43" i="113"/>
  <c r="U37" i="111"/>
  <c r="R7" i="113"/>
  <c r="X46" i="113"/>
  <c r="U40" i="109"/>
  <c r="Z59" i="95"/>
  <c r="G53" i="111"/>
  <c r="Z55" i="95"/>
  <c r="G49" i="111"/>
  <c r="I58" i="113"/>
  <c r="U52" i="94"/>
  <c r="C46" i="113"/>
  <c r="U40" i="87"/>
  <c r="F36" i="101"/>
  <c r="G36" i="101"/>
  <c r="G53" i="113"/>
  <c r="G57" i="95"/>
  <c r="Z59" i="113"/>
  <c r="U53" i="111"/>
  <c r="T37" i="106"/>
  <c r="U37" i="106"/>
  <c r="G42" i="95"/>
  <c r="F35" i="95"/>
  <c r="G29" i="91"/>
  <c r="Z56" i="95"/>
  <c r="G50" i="111"/>
  <c r="M56" i="113"/>
  <c r="U50" i="100"/>
  <c r="X58" i="113"/>
  <c r="U52" i="109"/>
  <c r="I46" i="113"/>
  <c r="U40" i="94"/>
  <c r="Z43" i="95"/>
  <c r="G37" i="111"/>
  <c r="F59" i="95"/>
  <c r="G53" i="91"/>
  <c r="Z44" i="95"/>
  <c r="G38" i="111"/>
  <c r="I41" i="113"/>
  <c r="T35" i="94"/>
  <c r="G33" i="113"/>
  <c r="F22" i="113"/>
  <c r="S40" i="91"/>
  <c r="T40" i="91" s="1"/>
  <c r="S52" i="91"/>
  <c r="T52" i="91" s="1"/>
  <c r="F22" i="95"/>
  <c r="E40" i="91"/>
  <c r="F40" i="91" s="1"/>
  <c r="E52" i="91"/>
  <c r="F52" i="91" s="1"/>
  <c r="E28" i="91"/>
  <c r="F28" i="91" s="1"/>
  <c r="S28" i="91"/>
  <c r="U28" i="91" s="1"/>
  <c r="S55" i="113"/>
  <c r="T49" i="106"/>
  <c r="U11" i="94"/>
  <c r="U25" i="94" s="1"/>
  <c r="J15" i="110"/>
  <c r="K15" i="110" s="1"/>
  <c r="F50" i="100"/>
  <c r="P69" i="95"/>
  <c r="T53" i="111"/>
  <c r="F64" i="113"/>
  <c r="R35" i="97" s="1"/>
  <c r="I23" i="113"/>
  <c r="I23" i="95"/>
  <c r="E53" i="94"/>
  <c r="G53" i="94" s="1"/>
  <c r="E29" i="94"/>
  <c r="G29" i="94" s="1"/>
  <c r="E41" i="94"/>
  <c r="G41" i="94" s="1"/>
  <c r="S41" i="94"/>
  <c r="U41" i="94" s="1"/>
  <c r="S53" i="94"/>
  <c r="U53" i="94" s="1"/>
  <c r="F30" i="88"/>
  <c r="U55" i="95"/>
  <c r="F49" i="99"/>
  <c r="R16" i="101"/>
  <c r="S30" i="101" s="1"/>
  <c r="N16" i="101"/>
  <c r="W16" i="101"/>
  <c r="T28" i="87"/>
  <c r="C34" i="113"/>
  <c r="M44" i="95"/>
  <c r="M32" i="95"/>
  <c r="T24" i="101"/>
  <c r="N30" i="113"/>
  <c r="N66" i="113" s="1"/>
  <c r="N42" i="113"/>
  <c r="T24" i="99"/>
  <c r="U42" i="113"/>
  <c r="U30" i="113"/>
  <c r="U66" i="113" s="1"/>
  <c r="T23" i="94"/>
  <c r="I29" i="113"/>
  <c r="E57" i="113"/>
  <c r="T51" i="90"/>
  <c r="T28" i="88"/>
  <c r="D34" i="113"/>
  <c r="D70" i="113" s="1"/>
  <c r="S43" i="95"/>
  <c r="S31" i="95"/>
  <c r="S66" i="95" s="1"/>
  <c r="F25" i="106"/>
  <c r="H21" i="113"/>
  <c r="H21" i="95"/>
  <c r="E27" i="93"/>
  <c r="E51" i="93"/>
  <c r="S39" i="93"/>
  <c r="S51" i="93"/>
  <c r="E39" i="93"/>
  <c r="T41" i="111"/>
  <c r="O19" i="113"/>
  <c r="S37" i="102"/>
  <c r="O19" i="95"/>
  <c r="E37" i="102"/>
  <c r="E49" i="102"/>
  <c r="G49" i="102" s="1"/>
  <c r="E25" i="102"/>
  <c r="G25" i="102" s="1"/>
  <c r="S49" i="102"/>
  <c r="U49" i="102" s="1"/>
  <c r="G30" i="113"/>
  <c r="G63" i="113"/>
  <c r="S34" i="97" s="1"/>
  <c r="U14" i="96"/>
  <c r="U28" i="96" s="1"/>
  <c r="U11" i="97"/>
  <c r="X43" i="95"/>
  <c r="F37" i="109"/>
  <c r="T52" i="94"/>
  <c r="E45" i="113"/>
  <c r="T39" i="90"/>
  <c r="S12" i="94"/>
  <c r="D58" i="113"/>
  <c r="T52" i="88"/>
  <c r="N12" i="92"/>
  <c r="R12" i="92"/>
  <c r="S26" i="92" s="1"/>
  <c r="U22" i="113"/>
  <c r="E28" i="99"/>
  <c r="U22" i="95"/>
  <c r="E40" i="99"/>
  <c r="E52" i="99"/>
  <c r="S40" i="99"/>
  <c r="S52" i="99"/>
  <c r="F29" i="111"/>
  <c r="I18" i="113"/>
  <c r="S36" i="94"/>
  <c r="U36" i="94" s="1"/>
  <c r="E48" i="94"/>
  <c r="G48" i="94" s="1"/>
  <c r="I18" i="95"/>
  <c r="U16" i="97" s="1"/>
  <c r="E36" i="94"/>
  <c r="G36" i="94" s="1"/>
  <c r="E24" i="94"/>
  <c r="G24" i="94" s="1"/>
  <c r="S48" i="94"/>
  <c r="U48" i="94" s="1"/>
  <c r="J22" i="113"/>
  <c r="S40" i="96"/>
  <c r="S52" i="96"/>
  <c r="J22" i="95"/>
  <c r="E52" i="96"/>
  <c r="E28" i="96"/>
  <c r="E40" i="96"/>
  <c r="U13" i="92"/>
  <c r="G39" i="92" s="1"/>
  <c r="J13" i="110"/>
  <c r="S13" i="110"/>
  <c r="T13" i="110"/>
  <c r="R11" i="92"/>
  <c r="S25" i="92" s="1"/>
  <c r="N11" i="92"/>
  <c r="W11" i="92"/>
  <c r="V70" i="113"/>
  <c r="T25" i="99"/>
  <c r="U43" i="113"/>
  <c r="U31" i="113"/>
  <c r="U67" i="113" s="1"/>
  <c r="J14" i="89"/>
  <c r="T14" i="89" s="1"/>
  <c r="G16" i="113"/>
  <c r="S34" i="92"/>
  <c r="U34" i="92" s="1"/>
  <c r="E22" i="92"/>
  <c r="G22" i="92" s="1"/>
  <c r="E46" i="92"/>
  <c r="G46" i="92" s="1"/>
  <c r="G16" i="95"/>
  <c r="S14" i="97" s="1"/>
  <c r="G30" i="32" s="1"/>
  <c r="E34" i="92"/>
  <c r="G34" i="92" s="1"/>
  <c r="S46" i="92"/>
  <c r="U46" i="92" s="1"/>
  <c r="F25" i="109"/>
  <c r="X31" i="95"/>
  <c r="X66" i="95" s="1"/>
  <c r="U20" i="113"/>
  <c r="E38" i="99"/>
  <c r="E26" i="99"/>
  <c r="U20" i="95"/>
  <c r="E50" i="99"/>
  <c r="S38" i="99"/>
  <c r="S50" i="99"/>
  <c r="N54" i="113"/>
  <c r="T48" i="101"/>
  <c r="U54" i="113"/>
  <c r="T48" i="99"/>
  <c r="I53" i="113"/>
  <c r="T47" i="94"/>
  <c r="T40" i="94"/>
  <c r="E45" i="95"/>
  <c r="F39" i="90"/>
  <c r="T12" i="94"/>
  <c r="D46" i="95"/>
  <c r="F40" i="88"/>
  <c r="S55" i="95"/>
  <c r="F49" i="106"/>
  <c r="H11" i="91"/>
  <c r="T11" i="91"/>
  <c r="U11" i="91" s="1"/>
  <c r="F26" i="100"/>
  <c r="F41" i="111"/>
  <c r="T52" i="87"/>
  <c r="J20" i="113"/>
  <c r="S38" i="96"/>
  <c r="U38" i="96" s="1"/>
  <c r="J20" i="95"/>
  <c r="E26" i="96"/>
  <c r="G26" i="96" s="1"/>
  <c r="E38" i="96"/>
  <c r="G38" i="96" s="1"/>
  <c r="E50" i="96"/>
  <c r="G50" i="96" s="1"/>
  <c r="S50" i="96"/>
  <c r="U50" i="96" s="1"/>
  <c r="S13" i="102"/>
  <c r="U55" i="113"/>
  <c r="T49" i="99"/>
  <c r="N11" i="87"/>
  <c r="R11" i="87"/>
  <c r="U42" i="95"/>
  <c r="U30" i="95"/>
  <c r="U65" i="95" s="1"/>
  <c r="F24" i="99"/>
  <c r="I29" i="95"/>
  <c r="F23" i="94"/>
  <c r="F28" i="94"/>
  <c r="T27" i="90"/>
  <c r="E33" i="113"/>
  <c r="E69" i="113" s="1"/>
  <c r="N12" i="94"/>
  <c r="R12" i="94"/>
  <c r="S26" i="94" s="1"/>
  <c r="D58" i="95"/>
  <c r="F52" i="88"/>
  <c r="T29" i="111"/>
  <c r="Z35" i="113"/>
  <c r="Z71" i="113" s="1"/>
  <c r="P70" i="113"/>
  <c r="J15" i="89"/>
  <c r="K15" i="89" s="1"/>
  <c r="L15" i="89" s="1"/>
  <c r="T40" i="87"/>
  <c r="N13" i="102"/>
  <c r="R13" i="102"/>
  <c r="S27" i="102" s="1"/>
  <c r="T54" i="88"/>
  <c r="W11" i="87"/>
  <c r="X55" i="95"/>
  <c r="F49" i="109"/>
  <c r="X55" i="113"/>
  <c r="T49" i="109"/>
  <c r="S9" i="97"/>
  <c r="G25" i="32" s="1"/>
  <c r="R19" i="113"/>
  <c r="R19" i="95"/>
  <c r="E49" i="105"/>
  <c r="G49" i="105" s="1"/>
  <c r="E37" i="105"/>
  <c r="E25" i="105"/>
  <c r="G25" i="105" s="1"/>
  <c r="S37" i="105"/>
  <c r="S49" i="105"/>
  <c r="U49" i="105" s="1"/>
  <c r="T26" i="100"/>
  <c r="M32" i="113"/>
  <c r="M44" i="113"/>
  <c r="N54" i="95"/>
  <c r="F48" i="101"/>
  <c r="I41" i="95"/>
  <c r="F35" i="94"/>
  <c r="F52" i="94"/>
  <c r="E33" i="95"/>
  <c r="E68" i="95" s="1"/>
  <c r="F27" i="90"/>
  <c r="D46" i="113"/>
  <c r="T40" i="88"/>
  <c r="Z8" i="113"/>
  <c r="F26" i="111"/>
  <c r="Z8" i="95"/>
  <c r="F38" i="111"/>
  <c r="V12" i="111"/>
  <c r="F50" i="111"/>
  <c r="T38" i="111"/>
  <c r="T50" i="111"/>
  <c r="T25" i="106"/>
  <c r="S43" i="113"/>
  <c r="S31" i="113"/>
  <c r="S67" i="113" s="1"/>
  <c r="F53" i="111"/>
  <c r="H68" i="113"/>
  <c r="R13" i="112"/>
  <c r="S27" i="112" s="1"/>
  <c r="N13" i="112"/>
  <c r="T25" i="111"/>
  <c r="Z31" i="113"/>
  <c r="Z67" i="113" s="1"/>
  <c r="M16" i="110"/>
  <c r="S16" i="110"/>
  <c r="J15" i="112"/>
  <c r="K14" i="93"/>
  <c r="S14" i="93"/>
  <c r="U14" i="93" s="1"/>
  <c r="F28" i="87"/>
  <c r="T42" i="88"/>
  <c r="T16" i="110"/>
  <c r="U16" i="101"/>
  <c r="G16" i="92"/>
  <c r="F21" i="113"/>
  <c r="S39" i="91"/>
  <c r="E39" i="91"/>
  <c r="F21" i="95"/>
  <c r="E27" i="91"/>
  <c r="E51" i="91"/>
  <c r="S51" i="91"/>
  <c r="S27" i="91"/>
  <c r="U54" i="95"/>
  <c r="F48" i="99"/>
  <c r="I53" i="95"/>
  <c r="F47" i="94"/>
  <c r="F40" i="94"/>
  <c r="E57" i="95"/>
  <c r="F51" i="90"/>
  <c r="I19" i="113"/>
  <c r="E37" i="94"/>
  <c r="E25" i="94"/>
  <c r="S37" i="94"/>
  <c r="E49" i="94"/>
  <c r="I19" i="95"/>
  <c r="S49" i="94"/>
  <c r="F17" i="113"/>
  <c r="S35" i="91"/>
  <c r="U35" i="91" s="1"/>
  <c r="S23" i="91"/>
  <c r="U23" i="91" s="1"/>
  <c r="E35" i="91"/>
  <c r="G35" i="91" s="1"/>
  <c r="E23" i="91"/>
  <c r="G23" i="91" s="1"/>
  <c r="E47" i="91"/>
  <c r="G47" i="91" s="1"/>
  <c r="F17" i="95"/>
  <c r="R15" i="97" s="1"/>
  <c r="F31" i="32" s="1"/>
  <c r="S47" i="91"/>
  <c r="U47" i="91" s="1"/>
  <c r="R14" i="110"/>
  <c r="S28" i="110" s="1"/>
  <c r="N14" i="110"/>
  <c r="T29" i="91"/>
  <c r="F35" i="113"/>
  <c r="F71" i="113" s="1"/>
  <c r="T28" i="109"/>
  <c r="X34" i="113"/>
  <c r="Y19" i="113"/>
  <c r="S37" i="110"/>
  <c r="U37" i="110" s="1"/>
  <c r="Y19" i="95"/>
  <c r="E25" i="110"/>
  <c r="G25" i="110" s="1"/>
  <c r="E37" i="110"/>
  <c r="G37" i="110" s="1"/>
  <c r="E49" i="110"/>
  <c r="G49" i="110" s="1"/>
  <c r="S49" i="110"/>
  <c r="U49" i="110" s="1"/>
  <c r="F18" i="113"/>
  <c r="S36" i="91"/>
  <c r="U36" i="91" s="1"/>
  <c r="S24" i="91"/>
  <c r="U24" i="91" s="1"/>
  <c r="E24" i="91"/>
  <c r="G24" i="91" s="1"/>
  <c r="E36" i="91"/>
  <c r="G36" i="91" s="1"/>
  <c r="F18" i="95"/>
  <c r="R16" i="97" s="1"/>
  <c r="F32" i="32" s="1"/>
  <c r="E48" i="91"/>
  <c r="G48" i="91" s="1"/>
  <c r="S48" i="91"/>
  <c r="U48" i="91" s="1"/>
  <c r="F40" i="87"/>
  <c r="F10" i="113"/>
  <c r="F10" i="95"/>
  <c r="N15" i="88"/>
  <c r="R15" i="88"/>
  <c r="W15" i="88"/>
  <c r="T26" i="111"/>
  <c r="Z32" i="113"/>
  <c r="F54" i="88"/>
  <c r="W12" i="94"/>
  <c r="T25" i="109"/>
  <c r="X31" i="113"/>
  <c r="X67" i="113" s="1"/>
  <c r="U43" i="95"/>
  <c r="U31" i="95"/>
  <c r="U66" i="95" s="1"/>
  <c r="F25" i="99"/>
  <c r="X43" i="113"/>
  <c r="T37" i="109"/>
  <c r="T28" i="94"/>
  <c r="I34" i="113"/>
  <c r="I70" i="113" s="1"/>
  <c r="G14" i="92"/>
  <c r="N42" i="95"/>
  <c r="N30" i="95"/>
  <c r="N65" i="95" s="1"/>
  <c r="F24" i="101"/>
  <c r="G29" i="113"/>
  <c r="S26" i="97" s="1"/>
  <c r="D34" i="95"/>
  <c r="D69" i="95" s="1"/>
  <c r="F28" i="88"/>
  <c r="T30" i="88"/>
  <c r="D36" i="113"/>
  <c r="T50" i="100"/>
  <c r="N15" i="92"/>
  <c r="R15" i="92"/>
  <c r="S29" i="92" s="1"/>
  <c r="F52" i="87"/>
  <c r="F42" i="88"/>
  <c r="W12" i="92"/>
  <c r="F72" i="113"/>
  <c r="O40" i="97" l="1"/>
  <c r="C26" i="32"/>
  <c r="D71" i="95"/>
  <c r="D72" i="113"/>
  <c r="G7" i="95"/>
  <c r="M67" i="95"/>
  <c r="T52" i="99"/>
  <c r="M68" i="113"/>
  <c r="C70" i="113"/>
  <c r="Z70" i="95"/>
  <c r="X70" i="113"/>
  <c r="U10" i="95"/>
  <c r="O46" i="97"/>
  <c r="U28" i="110"/>
  <c r="U10" i="113"/>
  <c r="F52" i="99"/>
  <c r="F23" i="92"/>
  <c r="U8" i="95"/>
  <c r="G26" i="99"/>
  <c r="U13" i="102"/>
  <c r="V13" i="102" s="1"/>
  <c r="V13" i="91"/>
  <c r="U27" i="112"/>
  <c r="U25" i="92"/>
  <c r="F47" i="92"/>
  <c r="V9" i="92"/>
  <c r="U27" i="91"/>
  <c r="V13" i="112"/>
  <c r="T35" i="92"/>
  <c r="G5" i="113"/>
  <c r="G65" i="113" s="1"/>
  <c r="S36" i="97" s="1"/>
  <c r="T23" i="92"/>
  <c r="V11" i="92"/>
  <c r="F9" i="95"/>
  <c r="AA9" i="95"/>
  <c r="G5" i="95"/>
  <c r="G64" i="95" s="1"/>
  <c r="S30" i="97" s="1"/>
  <c r="G41" i="32" s="1"/>
  <c r="U47" i="92"/>
  <c r="Z67" i="95"/>
  <c r="D11" i="95"/>
  <c r="U8" i="113"/>
  <c r="V14" i="110"/>
  <c r="V15" i="88"/>
  <c r="V14" i="99"/>
  <c r="G23" i="92"/>
  <c r="T48" i="92"/>
  <c r="X69" i="95"/>
  <c r="U26" i="99"/>
  <c r="Y10" i="113"/>
  <c r="G28" i="99"/>
  <c r="V11" i="87"/>
  <c r="G40" i="99"/>
  <c r="T24" i="92"/>
  <c r="F24" i="92"/>
  <c r="G6" i="95"/>
  <c r="S11" i="97" s="1"/>
  <c r="V10" i="92"/>
  <c r="G36" i="92"/>
  <c r="F48" i="92"/>
  <c r="F36" i="92"/>
  <c r="G6" i="113"/>
  <c r="G66" i="113" s="1"/>
  <c r="U27" i="93"/>
  <c r="G11" i="113"/>
  <c r="G47" i="92"/>
  <c r="V13" i="93"/>
  <c r="H9" i="95"/>
  <c r="V15" i="92"/>
  <c r="T47" i="92"/>
  <c r="U48" i="92"/>
  <c r="U35" i="92"/>
  <c r="F35" i="92"/>
  <c r="G35" i="92"/>
  <c r="C7" i="95"/>
  <c r="U29" i="92"/>
  <c r="U12" i="92"/>
  <c r="U26" i="92" s="1"/>
  <c r="T36" i="92"/>
  <c r="U36" i="92"/>
  <c r="U30" i="101"/>
  <c r="S15" i="110"/>
  <c r="T38" i="99"/>
  <c r="U38" i="99"/>
  <c r="I31" i="95"/>
  <c r="G25" i="94"/>
  <c r="F45" i="113"/>
  <c r="U39" i="91"/>
  <c r="I43" i="95"/>
  <c r="G37" i="94"/>
  <c r="F37" i="105"/>
  <c r="G37" i="105"/>
  <c r="U56" i="113"/>
  <c r="U50" i="99"/>
  <c r="J46" i="95"/>
  <c r="G40" i="96"/>
  <c r="F58" i="95"/>
  <c r="G52" i="91"/>
  <c r="U39" i="92"/>
  <c r="F57" i="113"/>
  <c r="U51" i="91"/>
  <c r="U56" i="95"/>
  <c r="G50" i="99"/>
  <c r="J58" i="95"/>
  <c r="G52" i="96"/>
  <c r="T40" i="99"/>
  <c r="U40" i="99"/>
  <c r="H57" i="113"/>
  <c r="U51" i="93"/>
  <c r="J34" i="95"/>
  <c r="G28" i="96"/>
  <c r="I55" i="113"/>
  <c r="U49" i="94"/>
  <c r="F57" i="95"/>
  <c r="G51" i="91"/>
  <c r="F40" i="99"/>
  <c r="U58" i="95"/>
  <c r="G52" i="99"/>
  <c r="H45" i="113"/>
  <c r="U39" i="93"/>
  <c r="F58" i="113"/>
  <c r="U52" i="91"/>
  <c r="U58" i="113"/>
  <c r="U52" i="99"/>
  <c r="F37" i="102"/>
  <c r="G37" i="102"/>
  <c r="H57" i="95"/>
  <c r="G51" i="93"/>
  <c r="F46" i="113"/>
  <c r="U40" i="91"/>
  <c r="F70" i="95"/>
  <c r="H45" i="95"/>
  <c r="G39" i="93"/>
  <c r="J58" i="113"/>
  <c r="U52" i="96"/>
  <c r="I55" i="95"/>
  <c r="G49" i="94"/>
  <c r="F38" i="99"/>
  <c r="G38" i="99"/>
  <c r="J46" i="113"/>
  <c r="U40" i="96"/>
  <c r="H33" i="95"/>
  <c r="G27" i="93"/>
  <c r="F46" i="95"/>
  <c r="G40" i="91"/>
  <c r="F33" i="95"/>
  <c r="G27" i="91"/>
  <c r="I43" i="113"/>
  <c r="U37" i="94"/>
  <c r="F45" i="95"/>
  <c r="G39" i="91"/>
  <c r="T37" i="105"/>
  <c r="U37" i="105"/>
  <c r="T15" i="89"/>
  <c r="T37" i="102"/>
  <c r="U37" i="102"/>
  <c r="G24" i="92"/>
  <c r="G48" i="92"/>
  <c r="T27" i="92"/>
  <c r="U27" i="92"/>
  <c r="F34" i="95"/>
  <c r="F69" i="95" s="1"/>
  <c r="G28" i="91"/>
  <c r="G51" i="92"/>
  <c r="G27" i="92"/>
  <c r="U51" i="92"/>
  <c r="F7" i="113"/>
  <c r="F7" i="95"/>
  <c r="Y55" i="95"/>
  <c r="F49" i="110"/>
  <c r="F29" i="95"/>
  <c r="F23" i="91"/>
  <c r="U16" i="110"/>
  <c r="R43" i="95"/>
  <c r="R31" i="95"/>
  <c r="R66" i="95" s="1"/>
  <c r="F25" i="105"/>
  <c r="O21" i="113"/>
  <c r="S39" i="102"/>
  <c r="E27" i="102"/>
  <c r="O21" i="95"/>
  <c r="E51" i="102"/>
  <c r="E39" i="102"/>
  <c r="S51" i="102"/>
  <c r="U20" i="97"/>
  <c r="U40" i="97" s="1"/>
  <c r="I64" i="95"/>
  <c r="U30" i="97" s="1"/>
  <c r="J44" i="113"/>
  <c r="T38" i="96"/>
  <c r="G40" i="95"/>
  <c r="F34" i="92"/>
  <c r="T28" i="96"/>
  <c r="J34" i="113"/>
  <c r="I30" i="95"/>
  <c r="F24" i="94"/>
  <c r="U46" i="95"/>
  <c r="U34" i="95"/>
  <c r="T25" i="102"/>
  <c r="O31" i="113"/>
  <c r="O67" i="113" s="1"/>
  <c r="O43" i="113"/>
  <c r="F39" i="91"/>
  <c r="N24" i="113"/>
  <c r="E30" i="101"/>
  <c r="G30" i="101" s="1"/>
  <c r="N24" i="95"/>
  <c r="E54" i="101"/>
  <c r="F54" i="101" s="1"/>
  <c r="E42" i="101"/>
  <c r="G42" i="101" s="1"/>
  <c r="S54" i="101"/>
  <c r="T54" i="101" s="1"/>
  <c r="S42" i="101"/>
  <c r="T29" i="94"/>
  <c r="I35" i="113"/>
  <c r="I71" i="113" s="1"/>
  <c r="T28" i="91"/>
  <c r="F34" i="113"/>
  <c r="F70" i="113" s="1"/>
  <c r="F50" i="99"/>
  <c r="F27" i="93"/>
  <c r="F42" i="95"/>
  <c r="F36" i="91"/>
  <c r="Y43" i="95"/>
  <c r="F37" i="110"/>
  <c r="F41" i="95"/>
  <c r="F35" i="91"/>
  <c r="R16" i="110"/>
  <c r="S30" i="110" s="1"/>
  <c r="N16" i="110"/>
  <c r="W16" i="110"/>
  <c r="U44" i="95"/>
  <c r="U32" i="95"/>
  <c r="K14" i="89"/>
  <c r="S14" i="89"/>
  <c r="U14" i="89" s="1"/>
  <c r="G19" i="113"/>
  <c r="S37" i="92"/>
  <c r="U37" i="92" s="1"/>
  <c r="G19" i="95"/>
  <c r="E37" i="92"/>
  <c r="G37" i="92" s="1"/>
  <c r="E25" i="92"/>
  <c r="G25" i="92" s="1"/>
  <c r="E49" i="92"/>
  <c r="G49" i="92" s="1"/>
  <c r="S49" i="92"/>
  <c r="U49" i="92" s="1"/>
  <c r="I42" i="95"/>
  <c r="F36" i="94"/>
  <c r="W15" i="89"/>
  <c r="T28" i="99"/>
  <c r="U34" i="113"/>
  <c r="U46" i="113"/>
  <c r="O43" i="95"/>
  <c r="O31" i="95"/>
  <c r="O66" i="95" s="1"/>
  <c r="F25" i="102"/>
  <c r="T27" i="93"/>
  <c r="H33" i="113"/>
  <c r="H69" i="113" s="1"/>
  <c r="I35" i="95"/>
  <c r="I70" i="95" s="1"/>
  <c r="F29" i="94"/>
  <c r="F39" i="93"/>
  <c r="F30" i="95"/>
  <c r="F24" i="91"/>
  <c r="Y31" i="95"/>
  <c r="Y66" i="95" s="1"/>
  <c r="F25" i="110"/>
  <c r="T23" i="91"/>
  <c r="F29" i="113"/>
  <c r="R55" i="95"/>
  <c r="F49" i="105"/>
  <c r="I20" i="113"/>
  <c r="I20" i="95"/>
  <c r="E26" i="94"/>
  <c r="E38" i="94"/>
  <c r="E50" i="94"/>
  <c r="S38" i="94"/>
  <c r="S50" i="94"/>
  <c r="J56" i="113"/>
  <c r="T50" i="96"/>
  <c r="G52" i="95"/>
  <c r="F46" i="92"/>
  <c r="J10" i="95"/>
  <c r="J10" i="113"/>
  <c r="T40" i="96"/>
  <c r="V14" i="96"/>
  <c r="T52" i="96"/>
  <c r="F40" i="96"/>
  <c r="F52" i="96"/>
  <c r="F28" i="96"/>
  <c r="O55" i="95"/>
  <c r="F49" i="102"/>
  <c r="F51" i="91"/>
  <c r="U26" i="97"/>
  <c r="U46" i="97" s="1"/>
  <c r="I65" i="113"/>
  <c r="U36" i="97" s="1"/>
  <c r="I59" i="95"/>
  <c r="F53" i="94"/>
  <c r="F51" i="93"/>
  <c r="G23" i="113"/>
  <c r="S41" i="92"/>
  <c r="U41" i="92" s="1"/>
  <c r="S53" i="92"/>
  <c r="U53" i="92" s="1"/>
  <c r="E41" i="92"/>
  <c r="G41" i="92" s="1"/>
  <c r="E29" i="92"/>
  <c r="G29" i="92" s="1"/>
  <c r="G23" i="95"/>
  <c r="E53" i="92"/>
  <c r="G53" i="92" s="1"/>
  <c r="T24" i="91"/>
  <c r="F30" i="113"/>
  <c r="F66" i="113" s="1"/>
  <c r="F41" i="113"/>
  <c r="T35" i="91"/>
  <c r="T25" i="94"/>
  <c r="I31" i="113"/>
  <c r="T26" i="96"/>
  <c r="J32" i="113"/>
  <c r="J68" i="113" s="1"/>
  <c r="T26" i="99"/>
  <c r="U44" i="113"/>
  <c r="U32" i="113"/>
  <c r="G28" i="95"/>
  <c r="F22" i="92"/>
  <c r="I54" i="95"/>
  <c r="F48" i="94"/>
  <c r="G20" i="113"/>
  <c r="S38" i="92"/>
  <c r="G20" i="95"/>
  <c r="E50" i="92"/>
  <c r="E26" i="92"/>
  <c r="E38" i="92"/>
  <c r="S50" i="92"/>
  <c r="F27" i="91"/>
  <c r="T39" i="93"/>
  <c r="H14" i="92"/>
  <c r="D23" i="113"/>
  <c r="D23" i="95"/>
  <c r="E29" i="88"/>
  <c r="G29" i="88" s="1"/>
  <c r="S41" i="88"/>
  <c r="U41" i="88" s="1"/>
  <c r="S53" i="88"/>
  <c r="U53" i="88" s="1"/>
  <c r="E53" i="88"/>
  <c r="G53" i="88" s="1"/>
  <c r="E41" i="88"/>
  <c r="G41" i="88" s="1"/>
  <c r="S29" i="88"/>
  <c r="U29" i="88" s="1"/>
  <c r="F42" i="113"/>
  <c r="T36" i="91"/>
  <c r="Y43" i="113"/>
  <c r="T37" i="110"/>
  <c r="Y22" i="113"/>
  <c r="S52" i="110"/>
  <c r="U52" i="110" s="1"/>
  <c r="S40" i="110"/>
  <c r="U40" i="110" s="1"/>
  <c r="E40" i="110"/>
  <c r="G40" i="110" s="1"/>
  <c r="Y22" i="95"/>
  <c r="E52" i="110"/>
  <c r="G52" i="110" s="1"/>
  <c r="E28" i="110"/>
  <c r="G28" i="110" s="1"/>
  <c r="T27" i="91"/>
  <c r="F33" i="113"/>
  <c r="F69" i="113" s="1"/>
  <c r="H10" i="113"/>
  <c r="H10" i="95"/>
  <c r="Z68" i="113"/>
  <c r="T25" i="105"/>
  <c r="R43" i="113"/>
  <c r="R31" i="113"/>
  <c r="R67" i="113" s="1"/>
  <c r="N15" i="89"/>
  <c r="R15" i="89"/>
  <c r="S29" i="89" s="1"/>
  <c r="C19" i="113"/>
  <c r="E25" i="87"/>
  <c r="G25" i="87" s="1"/>
  <c r="E49" i="87"/>
  <c r="G49" i="87" s="1"/>
  <c r="C19" i="95"/>
  <c r="S37" i="87"/>
  <c r="U37" i="87" s="1"/>
  <c r="S25" i="87"/>
  <c r="U25" i="87" s="1"/>
  <c r="E37" i="87"/>
  <c r="G37" i="87" s="1"/>
  <c r="S49" i="87"/>
  <c r="U49" i="87" s="1"/>
  <c r="J56" i="95"/>
  <c r="F50" i="96"/>
  <c r="T22" i="92"/>
  <c r="G28" i="113"/>
  <c r="U13" i="110"/>
  <c r="I42" i="113"/>
  <c r="T36" i="94"/>
  <c r="L15" i="110"/>
  <c r="T15" i="110"/>
  <c r="T50" i="99"/>
  <c r="H16" i="92"/>
  <c r="I16" i="92" s="1"/>
  <c r="J16" i="92" s="1"/>
  <c r="K16" i="92" s="1"/>
  <c r="L16" i="92" s="1"/>
  <c r="M16" i="92" s="1"/>
  <c r="R14" i="93"/>
  <c r="S28" i="93" s="1"/>
  <c r="U28" i="93" s="1"/>
  <c r="N14" i="93"/>
  <c r="W14" i="93"/>
  <c r="V14" i="93" s="1"/>
  <c r="J44" i="95"/>
  <c r="F38" i="96"/>
  <c r="G40" i="113"/>
  <c r="T34" i="92"/>
  <c r="N13" i="110"/>
  <c r="R13" i="110"/>
  <c r="S27" i="110" s="1"/>
  <c r="W13" i="110"/>
  <c r="T24" i="94"/>
  <c r="I30" i="113"/>
  <c r="I66" i="113" s="1"/>
  <c r="T39" i="91"/>
  <c r="I59" i="113"/>
  <c r="T53" i="94"/>
  <c r="I7" i="113"/>
  <c r="T37" i="94"/>
  <c r="V11" i="94"/>
  <c r="F49" i="94"/>
  <c r="F25" i="94"/>
  <c r="F37" i="94"/>
  <c r="I7" i="95"/>
  <c r="T49" i="94"/>
  <c r="S15" i="89"/>
  <c r="F26" i="99"/>
  <c r="F53" i="113"/>
  <c r="T47" i="91"/>
  <c r="AA21" i="113"/>
  <c r="S39" i="112"/>
  <c r="U39" i="112" s="1"/>
  <c r="E39" i="112"/>
  <c r="G39" i="112" s="1"/>
  <c r="AA21" i="95"/>
  <c r="E27" i="112"/>
  <c r="G27" i="112" s="1"/>
  <c r="E51" i="112"/>
  <c r="S51" i="112"/>
  <c r="F54" i="113"/>
  <c r="T48" i="91"/>
  <c r="Y55" i="113"/>
  <c r="T49" i="110"/>
  <c r="N12" i="113"/>
  <c r="N12" i="95"/>
  <c r="V16" i="101"/>
  <c r="R55" i="113"/>
  <c r="T49" i="105"/>
  <c r="F28" i="99"/>
  <c r="J32" i="95"/>
  <c r="J67" i="95" s="1"/>
  <c r="F26" i="96"/>
  <c r="N11" i="91"/>
  <c r="R11" i="91"/>
  <c r="W11" i="91"/>
  <c r="V11" i="91" s="1"/>
  <c r="G9" i="113"/>
  <c r="G69" i="113" s="1"/>
  <c r="F27" i="92"/>
  <c r="F51" i="92"/>
  <c r="G9" i="95"/>
  <c r="G68" i="95" s="1"/>
  <c r="V13" i="92"/>
  <c r="F39" i="92"/>
  <c r="T39" i="92"/>
  <c r="T51" i="92"/>
  <c r="I47" i="113"/>
  <c r="T41" i="94"/>
  <c r="F54" i="95"/>
  <c r="F48" i="91"/>
  <c r="T25" i="110"/>
  <c r="Y31" i="113"/>
  <c r="Y67" i="113" s="1"/>
  <c r="F53" i="95"/>
  <c r="F47" i="91"/>
  <c r="K15" i="112"/>
  <c r="G52" i="113"/>
  <c r="T46" i="92"/>
  <c r="I54" i="113"/>
  <c r="T48" i="94"/>
  <c r="U12" i="94"/>
  <c r="U26" i="94" s="1"/>
  <c r="O55" i="113"/>
  <c r="T49" i="102"/>
  <c r="T51" i="91"/>
  <c r="I47" i="95"/>
  <c r="F41" i="94"/>
  <c r="T51" i="93"/>
  <c r="S41" i="97" l="1"/>
  <c r="G27" i="32"/>
  <c r="U68" i="113"/>
  <c r="U67" i="95"/>
  <c r="G65" i="95"/>
  <c r="S31" i="97" s="1"/>
  <c r="G42" i="32" s="1"/>
  <c r="O9" i="95"/>
  <c r="U69" i="95"/>
  <c r="G27" i="102"/>
  <c r="F26" i="92"/>
  <c r="O9" i="113"/>
  <c r="U27" i="102"/>
  <c r="F51" i="102"/>
  <c r="U70" i="113"/>
  <c r="F68" i="95"/>
  <c r="F30" i="101"/>
  <c r="I67" i="113"/>
  <c r="S10" i="97"/>
  <c r="U15" i="110"/>
  <c r="Y11" i="95" s="1"/>
  <c r="H68" i="95"/>
  <c r="T38" i="92"/>
  <c r="G8" i="95"/>
  <c r="T50" i="92"/>
  <c r="F38" i="92"/>
  <c r="F50" i="92"/>
  <c r="V12" i="92"/>
  <c r="G8" i="113"/>
  <c r="I66" i="95"/>
  <c r="J69" i="95"/>
  <c r="U15" i="89"/>
  <c r="L11" i="113" s="1"/>
  <c r="F42" i="101"/>
  <c r="F27" i="102"/>
  <c r="F51" i="112"/>
  <c r="G51" i="112"/>
  <c r="I44" i="95"/>
  <c r="G38" i="94"/>
  <c r="U27" i="110"/>
  <c r="U29" i="89"/>
  <c r="G44" i="113"/>
  <c r="U38" i="92"/>
  <c r="I32" i="95"/>
  <c r="G26" i="94"/>
  <c r="T16" i="92"/>
  <c r="O57" i="113"/>
  <c r="U51" i="102"/>
  <c r="S16" i="92"/>
  <c r="G56" i="113"/>
  <c r="U50" i="92"/>
  <c r="T42" i="101"/>
  <c r="U42" i="101"/>
  <c r="F39" i="102"/>
  <c r="G39" i="102"/>
  <c r="G44" i="95"/>
  <c r="G38" i="92"/>
  <c r="N60" i="113"/>
  <c r="U54" i="101"/>
  <c r="O57" i="95"/>
  <c r="G51" i="102"/>
  <c r="G32" i="95"/>
  <c r="G26" i="92"/>
  <c r="I44" i="113"/>
  <c r="U38" i="94"/>
  <c r="I56" i="113"/>
  <c r="U50" i="94"/>
  <c r="T51" i="112"/>
  <c r="U51" i="112"/>
  <c r="G56" i="95"/>
  <c r="G50" i="92"/>
  <c r="J70" i="113"/>
  <c r="I56" i="95"/>
  <c r="G50" i="94"/>
  <c r="U30" i="110"/>
  <c r="N60" i="95"/>
  <c r="G54" i="101"/>
  <c r="T39" i="102"/>
  <c r="U39" i="102"/>
  <c r="F19" i="113"/>
  <c r="S37" i="91"/>
  <c r="U37" i="91" s="1"/>
  <c r="F19" i="95"/>
  <c r="E49" i="91"/>
  <c r="G49" i="91" s="1"/>
  <c r="E25" i="91"/>
  <c r="G25" i="91" s="1"/>
  <c r="E37" i="91"/>
  <c r="G37" i="91" s="1"/>
  <c r="S25" i="91"/>
  <c r="U25" i="91" s="1"/>
  <c r="S49" i="91"/>
  <c r="U49" i="91" s="1"/>
  <c r="AA45" i="113"/>
  <c r="T39" i="112"/>
  <c r="H22" i="113"/>
  <c r="E28" i="93"/>
  <c r="G28" i="93" s="1"/>
  <c r="H22" i="95"/>
  <c r="S40" i="93"/>
  <c r="U40" i="93" s="1"/>
  <c r="E52" i="93"/>
  <c r="G52" i="93" s="1"/>
  <c r="S52" i="93"/>
  <c r="U52" i="93" s="1"/>
  <c r="E40" i="93"/>
  <c r="G40" i="93" s="1"/>
  <c r="C55" i="113"/>
  <c r="T49" i="87"/>
  <c r="L23" i="113"/>
  <c r="E29" i="89"/>
  <c r="L23" i="95"/>
  <c r="S41" i="89"/>
  <c r="E53" i="89"/>
  <c r="E41" i="89"/>
  <c r="S53" i="89"/>
  <c r="T28" i="110"/>
  <c r="Y34" i="113"/>
  <c r="Y70" i="113" s="1"/>
  <c r="D59" i="113"/>
  <c r="T53" i="88"/>
  <c r="S19" i="97"/>
  <c r="G63" i="95"/>
  <c r="S29" i="97" s="1"/>
  <c r="G40" i="32" s="1"/>
  <c r="T29" i="92"/>
  <c r="G35" i="113"/>
  <c r="G71" i="113" s="1"/>
  <c r="G43" i="113"/>
  <c r="T37" i="92"/>
  <c r="L15" i="112"/>
  <c r="S15" i="112"/>
  <c r="T15" i="112"/>
  <c r="C43" i="95"/>
  <c r="F37" i="87"/>
  <c r="F28" i="110"/>
  <c r="Y34" i="95"/>
  <c r="Y69" i="95" s="1"/>
  <c r="D47" i="113"/>
  <c r="T41" i="88"/>
  <c r="G59" i="113"/>
  <c r="T53" i="92"/>
  <c r="R21" i="97"/>
  <c r="F65" i="95"/>
  <c r="R31" i="97" s="1"/>
  <c r="F42" i="32" s="1"/>
  <c r="I8" i="113"/>
  <c r="V12" i="94"/>
  <c r="I8" i="95"/>
  <c r="F26" i="94"/>
  <c r="F50" i="94"/>
  <c r="F38" i="94"/>
  <c r="T38" i="94"/>
  <c r="T50" i="94"/>
  <c r="T27" i="112"/>
  <c r="AA33" i="113"/>
  <c r="AA69" i="113" s="1"/>
  <c r="AA57" i="113"/>
  <c r="Y9" i="113"/>
  <c r="Y9" i="95"/>
  <c r="V13" i="110"/>
  <c r="T25" i="87"/>
  <c r="C31" i="113"/>
  <c r="C67" i="113" s="1"/>
  <c r="Y58" i="95"/>
  <c r="F52" i="110"/>
  <c r="D35" i="95"/>
  <c r="D70" i="95" s="1"/>
  <c r="F29" i="88"/>
  <c r="G47" i="113"/>
  <c r="T41" i="92"/>
  <c r="G55" i="113"/>
  <c r="T49" i="92"/>
  <c r="L10" i="113"/>
  <c r="L10" i="95"/>
  <c r="L69" i="95" s="1"/>
  <c r="T30" i="101"/>
  <c r="N48" i="113"/>
  <c r="N36" i="113"/>
  <c r="N72" i="113" s="1"/>
  <c r="Y12" i="113"/>
  <c r="V16" i="110"/>
  <c r="Y12" i="95"/>
  <c r="R16" i="92"/>
  <c r="S30" i="92" s="1"/>
  <c r="N16" i="92"/>
  <c r="C43" i="113"/>
  <c r="T37" i="87"/>
  <c r="G55" i="95"/>
  <c r="F49" i="92"/>
  <c r="N14" i="89"/>
  <c r="R14" i="89"/>
  <c r="S28" i="89" s="1"/>
  <c r="U28" i="89" s="1"/>
  <c r="W14" i="89"/>
  <c r="V14" i="89" s="1"/>
  <c r="S25" i="97"/>
  <c r="S45" i="97" s="1"/>
  <c r="G64" i="113"/>
  <c r="S35" i="97" s="1"/>
  <c r="Y46" i="95"/>
  <c r="F40" i="110"/>
  <c r="G59" i="95"/>
  <c r="F53" i="92"/>
  <c r="R26" i="97"/>
  <c r="R46" i="97" s="1"/>
  <c r="F65" i="113"/>
  <c r="R36" i="97" s="1"/>
  <c r="G31" i="95"/>
  <c r="G66" i="95" s="1"/>
  <c r="F25" i="92"/>
  <c r="O45" i="95"/>
  <c r="O33" i="95"/>
  <c r="R20" i="97"/>
  <c r="F64" i="95"/>
  <c r="R30" i="97" s="1"/>
  <c r="F41" i="32" s="1"/>
  <c r="C55" i="95"/>
  <c r="F49" i="87"/>
  <c r="Y46" i="113"/>
  <c r="T40" i="110"/>
  <c r="T29" i="88"/>
  <c r="D35" i="113"/>
  <c r="D71" i="113" s="1"/>
  <c r="G43" i="95"/>
  <c r="F37" i="92"/>
  <c r="N36" i="95"/>
  <c r="N71" i="95" s="1"/>
  <c r="N48" i="95"/>
  <c r="Y21" i="113"/>
  <c r="Y21" i="95"/>
  <c r="E27" i="110"/>
  <c r="S39" i="110"/>
  <c r="E39" i="110"/>
  <c r="S51" i="110"/>
  <c r="E51" i="110"/>
  <c r="C31" i="95"/>
  <c r="C66" i="95" s="1"/>
  <c r="F25" i="87"/>
  <c r="Y58" i="113"/>
  <c r="T52" i="110"/>
  <c r="D47" i="95"/>
  <c r="F41" i="88"/>
  <c r="I14" i="92"/>
  <c r="G35" i="95"/>
  <c r="G70" i="95" s="1"/>
  <c r="F29" i="92"/>
  <c r="T51" i="102"/>
  <c r="U21" i="97"/>
  <c r="U41" i="97" s="1"/>
  <c r="I65" i="95"/>
  <c r="U31" i="97" s="1"/>
  <c r="AA57" i="95"/>
  <c r="AA33" i="95"/>
  <c r="AA68" i="95" s="1"/>
  <c r="F27" i="112"/>
  <c r="F39" i="112"/>
  <c r="AA45" i="95"/>
  <c r="R15" i="110"/>
  <c r="S29" i="110" s="1"/>
  <c r="N15" i="110"/>
  <c r="W15" i="110"/>
  <c r="D59" i="95"/>
  <c r="F53" i="88"/>
  <c r="T26" i="92"/>
  <c r="G32" i="113"/>
  <c r="G47" i="95"/>
  <c r="F41" i="92"/>
  <c r="T26" i="94"/>
  <c r="I32" i="113"/>
  <c r="T25" i="92"/>
  <c r="G31" i="113"/>
  <c r="G67" i="113" s="1"/>
  <c r="Y24" i="113"/>
  <c r="E30" i="110"/>
  <c r="Y24" i="95"/>
  <c r="S54" i="110"/>
  <c r="E42" i="110"/>
  <c r="E54" i="110"/>
  <c r="S42" i="110"/>
  <c r="T27" i="102"/>
  <c r="O33" i="113"/>
  <c r="O45" i="113"/>
  <c r="W16" i="92"/>
  <c r="R41" i="97" l="1"/>
  <c r="F37" i="32"/>
  <c r="R40" i="97"/>
  <c r="F36" i="32"/>
  <c r="S39" i="97"/>
  <c r="G35" i="32"/>
  <c r="S40" i="97"/>
  <c r="G26" i="32"/>
  <c r="O68" i="95"/>
  <c r="G68" i="113"/>
  <c r="V15" i="110"/>
  <c r="O69" i="113"/>
  <c r="Y11" i="113"/>
  <c r="U29" i="110"/>
  <c r="F53" i="89"/>
  <c r="L11" i="95"/>
  <c r="L70" i="95" s="1"/>
  <c r="S46" i="97"/>
  <c r="G67" i="95"/>
  <c r="F29" i="89"/>
  <c r="V15" i="89"/>
  <c r="T53" i="89"/>
  <c r="G41" i="89"/>
  <c r="U16" i="92"/>
  <c r="V16" i="92" s="1"/>
  <c r="I67" i="95"/>
  <c r="Y48" i="113"/>
  <c r="U42" i="110"/>
  <c r="Y45" i="113"/>
  <c r="U39" i="110"/>
  <c r="T42" i="110"/>
  <c r="Y60" i="95"/>
  <c r="G54" i="110"/>
  <c r="Y33" i="95"/>
  <c r="Y68" i="95" s="1"/>
  <c r="G27" i="110"/>
  <c r="L59" i="113"/>
  <c r="U53" i="89"/>
  <c r="L59" i="95"/>
  <c r="G53" i="89"/>
  <c r="Y48" i="95"/>
  <c r="G42" i="110"/>
  <c r="Y60" i="113"/>
  <c r="U54" i="110"/>
  <c r="T41" i="89"/>
  <c r="U41" i="89"/>
  <c r="Y36" i="95"/>
  <c r="Y71" i="95" s="1"/>
  <c r="G30" i="110"/>
  <c r="Y57" i="113"/>
  <c r="U51" i="110"/>
  <c r="L47" i="95"/>
  <c r="G29" i="89"/>
  <c r="Y57" i="95"/>
  <c r="G51" i="110"/>
  <c r="F41" i="89"/>
  <c r="Y45" i="95"/>
  <c r="G39" i="110"/>
  <c r="U30" i="92"/>
  <c r="H46" i="95"/>
  <c r="F40" i="93"/>
  <c r="T51" i="110"/>
  <c r="U15" i="112"/>
  <c r="T29" i="89"/>
  <c r="L35" i="113"/>
  <c r="L71" i="113" s="1"/>
  <c r="L47" i="113"/>
  <c r="H58" i="113"/>
  <c r="T52" i="93"/>
  <c r="F55" i="113"/>
  <c r="T49" i="91"/>
  <c r="F30" i="110"/>
  <c r="N15" i="112"/>
  <c r="R15" i="112"/>
  <c r="S29" i="112" s="1"/>
  <c r="W15" i="112"/>
  <c r="H58" i="95"/>
  <c r="F52" i="93"/>
  <c r="T25" i="91"/>
  <c r="F31" i="113"/>
  <c r="F67" i="113" s="1"/>
  <c r="Y23" i="113"/>
  <c r="S53" i="110"/>
  <c r="U53" i="110" s="1"/>
  <c r="S41" i="110"/>
  <c r="U41" i="110" s="1"/>
  <c r="E29" i="110"/>
  <c r="G29" i="110" s="1"/>
  <c r="E41" i="110"/>
  <c r="G41" i="110" s="1"/>
  <c r="Y23" i="95"/>
  <c r="E53" i="110"/>
  <c r="G53" i="110" s="1"/>
  <c r="L22" i="113"/>
  <c r="E52" i="89"/>
  <c r="G52" i="89" s="1"/>
  <c r="E40" i="89"/>
  <c r="S40" i="89"/>
  <c r="E28" i="89"/>
  <c r="G28" i="89" s="1"/>
  <c r="L22" i="95"/>
  <c r="S52" i="89"/>
  <c r="U52" i="89" s="1"/>
  <c r="T39" i="110"/>
  <c r="I68" i="113"/>
  <c r="H46" i="113"/>
  <c r="T40" i="93"/>
  <c r="F43" i="95"/>
  <c r="F37" i="91"/>
  <c r="G24" i="113"/>
  <c r="G24" i="95"/>
  <c r="E54" i="92"/>
  <c r="E42" i="92"/>
  <c r="S42" i="92"/>
  <c r="E30" i="92"/>
  <c r="S54" i="92"/>
  <c r="F31" i="95"/>
  <c r="F66" i="95" s="1"/>
  <c r="F25" i="91"/>
  <c r="T27" i="110"/>
  <c r="Y33" i="113"/>
  <c r="Y69" i="113" s="1"/>
  <c r="F54" i="110"/>
  <c r="F27" i="110"/>
  <c r="H34" i="95"/>
  <c r="H69" i="95" s="1"/>
  <c r="F28" i="93"/>
  <c r="F55" i="95"/>
  <c r="F49" i="91"/>
  <c r="T30" i="110"/>
  <c r="Y36" i="113"/>
  <c r="Y72" i="113" s="1"/>
  <c r="J14" i="92"/>
  <c r="S14" i="92" s="1"/>
  <c r="T54" i="110"/>
  <c r="F51" i="110"/>
  <c r="F42" i="110"/>
  <c r="F39" i="110"/>
  <c r="G12" i="113"/>
  <c r="T28" i="93"/>
  <c r="H34" i="113"/>
  <c r="H70" i="113" s="1"/>
  <c r="F43" i="113"/>
  <c r="T37" i="91"/>
  <c r="G12" i="95" l="1"/>
  <c r="F42" i="92"/>
  <c r="F30" i="92"/>
  <c r="T42" i="92"/>
  <c r="U29" i="112"/>
  <c r="F40" i="89"/>
  <c r="G40" i="89"/>
  <c r="G60" i="113"/>
  <c r="U54" i="92"/>
  <c r="G48" i="113"/>
  <c r="U42" i="92"/>
  <c r="G48" i="95"/>
  <c r="G42" i="92"/>
  <c r="T40" i="89"/>
  <c r="U40" i="89"/>
  <c r="G36" i="95"/>
  <c r="G30" i="92"/>
  <c r="G60" i="95"/>
  <c r="G54" i="92"/>
  <c r="AA11" i="113"/>
  <c r="V15" i="112"/>
  <c r="AA11" i="95"/>
  <c r="Y59" i="113"/>
  <c r="T53" i="110"/>
  <c r="T29" i="110"/>
  <c r="Y35" i="113"/>
  <c r="Y71" i="113" s="1"/>
  <c r="L58" i="95"/>
  <c r="F52" i="89"/>
  <c r="L58" i="113"/>
  <c r="T52" i="89"/>
  <c r="F54" i="92"/>
  <c r="L46" i="95"/>
  <c r="F28" i="89"/>
  <c r="Y59" i="95"/>
  <c r="F53" i="110"/>
  <c r="Y47" i="95"/>
  <c r="F41" i="110"/>
  <c r="F29" i="110"/>
  <c r="Y35" i="95"/>
  <c r="Y70" i="95" s="1"/>
  <c r="T30" i="92"/>
  <c r="G36" i="113"/>
  <c r="G72" i="113" s="1"/>
  <c r="K14" i="92"/>
  <c r="W14" i="92" s="1"/>
  <c r="T14" i="92"/>
  <c r="U14" i="92" s="1"/>
  <c r="T28" i="89"/>
  <c r="L34" i="113"/>
  <c r="L70" i="113" s="1"/>
  <c r="L46" i="113"/>
  <c r="T54" i="92"/>
  <c r="Y47" i="113"/>
  <c r="T41" i="110"/>
  <c r="AA23" i="113"/>
  <c r="S41" i="112"/>
  <c r="AA23" i="95"/>
  <c r="E29" i="112"/>
  <c r="E41" i="112"/>
  <c r="G41" i="112" s="1"/>
  <c r="S53" i="112"/>
  <c r="E53" i="112"/>
  <c r="G71" i="95" l="1"/>
  <c r="F53" i="112"/>
  <c r="G53" i="112"/>
  <c r="T53" i="112"/>
  <c r="U53" i="112"/>
  <c r="F29" i="112"/>
  <c r="G29" i="112"/>
  <c r="AA47" i="113"/>
  <c r="U41" i="112"/>
  <c r="F41" i="112"/>
  <c r="AA47" i="95"/>
  <c r="G10" i="113"/>
  <c r="G10" i="95"/>
  <c r="V14" i="92"/>
  <c r="T41" i="112"/>
  <c r="T29" i="112"/>
  <c r="AA59" i="113"/>
  <c r="AA35" i="113"/>
  <c r="AA71" i="113" s="1"/>
  <c r="AA59" i="95"/>
  <c r="AA35" i="95"/>
  <c r="AA70" i="95" s="1"/>
  <c r="R14" i="92"/>
  <c r="S28" i="92" s="1"/>
  <c r="U28" i="92" s="1"/>
  <c r="N14" i="92"/>
  <c r="G22" i="113" l="1"/>
  <c r="E52" i="92"/>
  <c r="G52" i="92" s="1"/>
  <c r="G22" i="95"/>
  <c r="S40" i="92"/>
  <c r="U40" i="92" s="1"/>
  <c r="E28" i="92"/>
  <c r="G28" i="92" s="1"/>
  <c r="E40" i="92"/>
  <c r="G40" i="92" s="1"/>
  <c r="S52" i="92"/>
  <c r="U52" i="92" s="1"/>
  <c r="T28" i="92" l="1"/>
  <c r="G34" i="113"/>
  <c r="G70" i="113" s="1"/>
  <c r="G46" i="113"/>
  <c r="T40" i="92"/>
  <c r="G58" i="95"/>
  <c r="F52" i="92"/>
  <c r="G58" i="113"/>
  <c r="T52" i="92"/>
  <c r="G34" i="95"/>
  <c r="G69" i="95" s="1"/>
  <c r="F28" i="92"/>
  <c r="G46" i="95"/>
  <c r="F40" i="9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B189A29-4DFE-FF4E-BE3E-6F013F4C54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241BA8C8-FF7B-C043-8052-26B17EF7B9A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5EFD612-9308-6C42-BBFB-ABA33D835C9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C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79BF717B-E1AF-A343-96BF-8A69854B475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C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FB20B53A-4997-BA41-AC5D-0EE0C49C421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C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DC9B727-CE48-F548-9DF9-0819056C6DD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D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5CF2DE0-2FCA-BB4B-BA5E-D2C560BEA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D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C461C24-A53E-FB4A-8337-B6B7CF2B44A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D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F87FAD97-E137-064E-925C-0312ABBCF9A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E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EBAD577-18C7-174F-86AB-CFB261E3F44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E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2112A0D-8D1D-5D49-BA5A-FDBE521F3C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E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DC37270-90BD-E944-86DF-30AD16E055C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F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0E007665-E6C1-2540-AE3D-2E84FE44FF7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F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1DDAAFC-4FF5-6640-9920-5E7D731FFC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F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D4DF8EE-0DDA-9B4B-BA98-7A93D85273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0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CCC3AA9-9C92-F243-A0D6-13F666C8406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0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8B1EE2C-F95D-0B44-B7E4-E77F012D2C7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0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096658F-AACC-FC47-9B9D-74C593D609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1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4895BF9-17C5-1449-8330-6938BCFCF2A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1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C76D4158-F228-5040-BB26-D41A76CC2CC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1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FBCF3-6924-D242-9F01-37FD2762FEE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2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2E7EA68-9177-4A4E-A52A-A5B2EAEA4A4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2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166985F-B041-FB4B-8F29-5601CE09E92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2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B950640-FFAE-CA4F-8D7E-5A3CCD1B816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3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F86EC41-0595-F34A-8522-D7A2A384159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3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12D0693C-8D4B-7C4B-BD1D-52DA4849F70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3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42590A03-F6EA-F041-AD3A-56F04CE58D2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2A47523F-04EF-C045-8204-4D92FEB03B3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C511A53-101A-8A4E-9774-95F67EABB0C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88AF220B-91A2-6E47-ACCC-0DC1A777B1C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DB6AE9E-5E5F-4441-B844-FF76E27F0BD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48D7066-76B6-134A-A158-2FE45BD8AFC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37C04581-69F6-7940-BBF5-336E81B24D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4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BA6FB122-3B23-D44E-BFE2-9A106F6795F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4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B95D2F81-6D59-B041-ADF7-616B7B2C53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4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07D30CF-1F08-1A47-B03A-B6774F13E6D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AB4D3F0-5B04-ED4B-9D86-D8995B5A8EF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7026922E-0240-F843-B2B4-A3C980BCA6A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7CB06203-47E5-BC49-ACEC-4A071E48950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A4A38EB5-BD7C-6B4F-94B5-59E1193C911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859E91B-7882-8C43-8C8D-0A47178E9FD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7FA4759-DF9D-CA47-8277-6A6C003734B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D341340-7313-7B4B-BF44-D18B61151F2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50983ECA-EA86-3143-A1AB-13D278CAA864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B6DD1F0-5637-244B-9228-0A6B6BEE849C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E091A266-F183-994E-9054-1A4CE424774A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4104990-159A-8E47-9074-856F7800328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5532BFAE-860A-2542-9F13-F97D0679BEF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2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17B981A6-B94E-D944-BC43-C8E40E893C2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2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0B6C172C-C356-FD4D-9332-D1F21BDB8586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2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86C3F89-963C-3845-9871-B5D75E9831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5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D321FB45-5678-0C4D-87F8-672F26E2ED4E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5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E4C80AC-98A5-FE4E-95FC-AE339959820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5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6ED877AC-A84B-E940-9741-7E938E6F014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6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5F958A8-EDBD-EA48-A2FA-66FA2950E24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6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F435D68-38C7-6E4F-92EA-16138A274C7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6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C6728CB-71ED-9B4E-8804-DC5325AF859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7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FF2021CD-6151-E742-A378-0EE0C8C6854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7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865B3B8F-86D0-CC4F-BB1C-A3421F582592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7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C1CBA484-C1E5-F24F-B193-467777278D9D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8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317BB6DD-2B38-984F-9CEB-55A61721E0F9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8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9DBEBA59-DF81-084B-9843-586F605C2FD7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8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EE2AF040-94A3-F24D-8820-1EAE0E036C65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9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5E4B44BA-B5D8-8B42-B7A7-5AC81691B9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9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335B999D-97A0-2149-AFAC-63CCEFAD7F8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9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B7093DF1-D9D4-284C-AC9A-A67986EC22B3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C549C061-3F5E-5C45-8A4A-11DB65B10D9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A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E97A7EBB-431C-7F47-96FC-9C18D2D8B5A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A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D8EEF419-EC2B-7B41-9EAF-A630FE09273F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宗保 罗</author>
  </authors>
  <commentList>
    <comment ref="E20" authorId="0" shapeId="0" xr:uid="{00000000-0006-0000-1B00-000001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20" authorId="0" shapeId="0" xr:uid="{402B71CC-B4F9-9143-A287-A78B6A1E1341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32" authorId="0" shapeId="0" xr:uid="{00000000-0006-0000-1B00-000002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32" authorId="0" shapeId="0" xr:uid="{A359F7A1-841D-0F4E-B756-225DDD78DE6B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E44" authorId="0" shapeId="0" xr:uid="{00000000-0006-0000-1B00-000003000000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  <comment ref="S44" authorId="0" shapeId="0" xr:uid="{94529879-36D7-304A-91B7-C694B17512E8}">
      <text>
        <r>
          <rPr>
            <b/>
            <sz val="10"/>
            <color rgb="FF000000"/>
            <rFont val="Tahoma"/>
            <family val="2"/>
          </rPr>
          <t>宗保</t>
        </r>
        <r>
          <rPr>
            <b/>
            <sz val="10"/>
            <color rgb="FF000000"/>
            <rFont val="Tahoma"/>
            <family val="2"/>
          </rPr>
          <t xml:space="preserve"> </t>
        </r>
        <r>
          <rPr>
            <b/>
            <sz val="10"/>
            <color rgb="FF000000"/>
            <rFont val="Tahoma"/>
            <family val="2"/>
          </rPr>
          <t>罗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Bet your Edge</t>
        </r>
      </text>
    </comment>
  </commentList>
</comments>
</file>

<file path=xl/sharedStrings.xml><?xml version="1.0" encoding="utf-8"?>
<sst xmlns="http://schemas.openxmlformats.org/spreadsheetml/2006/main" count="2328" uniqueCount="208">
  <si>
    <t>Bust</t>
  </si>
  <si>
    <t>Ace</t>
  </si>
  <si>
    <t>Total</t>
  </si>
  <si>
    <t>OutCome</t>
  </si>
  <si>
    <t>Soft</t>
  </si>
  <si>
    <t>Start Card</t>
  </si>
  <si>
    <t>Stand</t>
  </si>
  <si>
    <t>Outcome</t>
  </si>
  <si>
    <t>Prob</t>
  </si>
  <si>
    <t>Hard</t>
  </si>
  <si>
    <t>Pair</t>
  </si>
  <si>
    <t>Dealer BJ</t>
  </si>
  <si>
    <t>Cards 2</t>
  </si>
  <si>
    <t>Cards1</t>
  </si>
  <si>
    <t>Probability</t>
  </si>
  <si>
    <t>%</t>
  </si>
  <si>
    <t>Hard Value EV</t>
  </si>
  <si>
    <t>Soft Value EV</t>
  </si>
  <si>
    <t>Pair Value EV</t>
  </si>
  <si>
    <t>Total EV</t>
  </si>
  <si>
    <t>5-8</t>
  </si>
  <si>
    <t>17-21</t>
  </si>
  <si>
    <t>A</t>
  </si>
  <si>
    <t>My Basic Strategy</t>
  </si>
  <si>
    <t>H = Hit</t>
  </si>
  <si>
    <t>D = Double</t>
  </si>
  <si>
    <t>S = Stand</t>
  </si>
  <si>
    <t>P = Split</t>
  </si>
  <si>
    <t>R = Surrender</t>
  </si>
  <si>
    <t>Dealer BlakJack EV</t>
  </si>
  <si>
    <t>Blackjack</t>
  </si>
  <si>
    <t>Dealer Blackjack</t>
  </si>
  <si>
    <t>Player Not Blackjack</t>
  </si>
  <si>
    <t>Value</t>
  </si>
  <si>
    <t>Total Win Prob</t>
  </si>
  <si>
    <t>Total Lost Prob</t>
  </si>
  <si>
    <t>Simplified</t>
  </si>
  <si>
    <t>Percentage</t>
  </si>
  <si>
    <t>Count</t>
  </si>
  <si>
    <t>Different</t>
  </si>
  <si>
    <t>Summary</t>
  </si>
  <si>
    <t>Win Prob</t>
  </si>
  <si>
    <t>Lose Prob</t>
  </si>
  <si>
    <t>Lose %</t>
  </si>
  <si>
    <t>Win %</t>
  </si>
  <si>
    <t>Differ</t>
  </si>
  <si>
    <t>Total ER</t>
  </si>
  <si>
    <t>Return</t>
  </si>
  <si>
    <t>EV</t>
  </si>
  <si>
    <t>Edge</t>
  </si>
  <si>
    <t>Rules</t>
  </si>
  <si>
    <t>Hit</t>
  </si>
  <si>
    <t>Options</t>
  </si>
  <si>
    <t>Rules!$B$4*</t>
  </si>
  <si>
    <t>Double</t>
  </si>
  <si>
    <t>9,10,11</t>
  </si>
  <si>
    <t>Yes</t>
  </si>
  <si>
    <t>No</t>
  </si>
  <si>
    <t>Surrender Ace</t>
  </si>
  <si>
    <t>Min :2</t>
  </si>
  <si>
    <t>Surrend Allow</t>
  </si>
  <si>
    <t>Pay 3 to 2</t>
  </si>
  <si>
    <t>Pay 6 to 5</t>
  </si>
  <si>
    <t>On Blackjack</t>
  </si>
  <si>
    <t>European</t>
  </si>
  <si>
    <t>American</t>
  </si>
  <si>
    <t>American Rule</t>
  </si>
  <si>
    <t>European Rule</t>
  </si>
  <si>
    <t>Expected Value</t>
  </si>
  <si>
    <t>Possitive</t>
  </si>
  <si>
    <t>Negatives</t>
  </si>
  <si>
    <t>Split up to</t>
  </si>
  <si>
    <t>Hands</t>
  </si>
  <si>
    <t>Double After Split</t>
  </si>
  <si>
    <t>Any 2 Cards</t>
  </si>
  <si>
    <t>SPLIT TO 5 HANDS</t>
  </si>
  <si>
    <t>SPLIT TO 4 HANDS</t>
  </si>
  <si>
    <t>SPLIT TO 3 HANDS</t>
  </si>
  <si>
    <t>SPLIT TO 2 HANDS</t>
  </si>
  <si>
    <t>Hit After Split Ace</t>
  </si>
  <si>
    <t>Max :5</t>
  </si>
  <si>
    <t>Max :100</t>
  </si>
  <si>
    <t>Min :0</t>
  </si>
  <si>
    <t>Pay Instantly</t>
  </si>
  <si>
    <t>Normal</t>
  </si>
  <si>
    <t>Pay Even Money</t>
  </si>
  <si>
    <t>Split Ace to</t>
  </si>
  <si>
    <t>On Player 21</t>
  </si>
  <si>
    <t>On Dealer 22</t>
  </si>
  <si>
    <t>Busted</t>
  </si>
  <si>
    <t>Pushes</t>
  </si>
  <si>
    <t>Total Point</t>
  </si>
  <si>
    <t>Soft Point</t>
  </si>
  <si>
    <t>3RD Total</t>
  </si>
  <si>
    <t>4RD Total</t>
  </si>
  <si>
    <t>Check Sum</t>
  </si>
  <si>
    <t>Soft Value</t>
  </si>
  <si>
    <t>Softvalue</t>
  </si>
  <si>
    <t>Total Stop</t>
  </si>
  <si>
    <t>Hard Total</t>
  </si>
  <si>
    <t>Soft Total</t>
  </si>
  <si>
    <t>3Card Stop</t>
  </si>
  <si>
    <t>4Card Stop</t>
  </si>
  <si>
    <t>5RD Total</t>
  </si>
  <si>
    <t>2 Card</t>
  </si>
  <si>
    <t>3 Card</t>
  </si>
  <si>
    <t>4 Card</t>
  </si>
  <si>
    <t>5 Card</t>
  </si>
  <si>
    <t>ฺBust</t>
  </si>
  <si>
    <t>Stop</t>
  </si>
  <si>
    <t>Success</t>
  </si>
  <si>
    <t>2Card Stop</t>
  </si>
  <si>
    <t>5 Cards</t>
  </si>
  <si>
    <t>Three 7 Cards</t>
  </si>
  <si>
    <t>Pay Double</t>
  </si>
  <si>
    <t>Three 7 Cards EV</t>
  </si>
  <si>
    <t>2 Cards</t>
  </si>
  <si>
    <t>3 Cards</t>
  </si>
  <si>
    <t>7 Cards</t>
  </si>
  <si>
    <t>Cards</t>
  </si>
  <si>
    <t>Blackjack Rules Expected Value</t>
  </si>
  <si>
    <t>Dealer on Soft 17</t>
  </si>
  <si>
    <t>No of 10 in Deck</t>
  </si>
  <si>
    <t>Wining</t>
  </si>
  <si>
    <t>Losing</t>
  </si>
  <si>
    <t>Win:</t>
  </si>
  <si>
    <t>Lose:</t>
  </si>
  <si>
    <t>EV:</t>
  </si>
  <si>
    <t>Strategy 1</t>
  </si>
  <si>
    <t>Strategy 2</t>
  </si>
  <si>
    <t>ER</t>
  </si>
  <si>
    <t>Blackjack Final EV</t>
  </si>
  <si>
    <t>Blackjack Hand Probabilities</t>
  </si>
  <si>
    <t>Blackjack Hand Expected Return</t>
  </si>
  <si>
    <t>Level</t>
  </si>
  <si>
    <t>Check</t>
  </si>
  <si>
    <t>EL</t>
  </si>
  <si>
    <t>Total Requirement</t>
  </si>
  <si>
    <t>Level Requirement</t>
  </si>
  <si>
    <t>Level Bet</t>
  </si>
  <si>
    <t>Strategy 3</t>
  </si>
  <si>
    <t>1x2</t>
  </si>
  <si>
    <t>1x3</t>
  </si>
  <si>
    <t>1x4</t>
  </si>
  <si>
    <t>1x5</t>
  </si>
  <si>
    <t>1x6</t>
  </si>
  <si>
    <t>1x7</t>
  </si>
  <si>
    <t>1x8</t>
  </si>
  <si>
    <t>1x9</t>
  </si>
  <si>
    <t>1x10</t>
  </si>
  <si>
    <t>BYE</t>
  </si>
  <si>
    <t>ROI/BYE</t>
  </si>
  <si>
    <t>Expected Return on Each Situations</t>
  </si>
  <si>
    <t>Bet Your Edge Bankroll</t>
  </si>
  <si>
    <t>Bet Your Edge +1 Bankroll</t>
  </si>
  <si>
    <t>Risk</t>
  </si>
  <si>
    <t>Bet Your Edge x2 Bankroll</t>
  </si>
  <si>
    <t>Bet Your Edge ROI</t>
  </si>
  <si>
    <t>2x3</t>
  </si>
  <si>
    <t>2x4</t>
  </si>
  <si>
    <t>2x5</t>
  </si>
  <si>
    <t>2x6</t>
  </si>
  <si>
    <t>2x7</t>
  </si>
  <si>
    <t>2x8</t>
  </si>
  <si>
    <t>2x9</t>
  </si>
  <si>
    <t>2x10</t>
  </si>
  <si>
    <t>Bet Your Edge + 1 Bankroll</t>
  </si>
  <si>
    <t>Bet Your Edge x 2 Bankroll</t>
  </si>
  <si>
    <t>Bet your Edge Bankroll</t>
  </si>
  <si>
    <t>3x4</t>
  </si>
  <si>
    <t>3x5</t>
  </si>
  <si>
    <t>3x6</t>
  </si>
  <si>
    <t>3x7</t>
  </si>
  <si>
    <t>3x8</t>
  </si>
  <si>
    <t>3x9</t>
  </si>
  <si>
    <t>3x10</t>
  </si>
  <si>
    <t>Bet your Edge ROI</t>
  </si>
  <si>
    <t>Lose</t>
  </si>
  <si>
    <t>Strategy Evs</t>
  </si>
  <si>
    <t>Strategy Edges</t>
  </si>
  <si>
    <t>Rsik</t>
  </si>
  <si>
    <t>Method 2</t>
  </si>
  <si>
    <t>Total EL</t>
  </si>
  <si>
    <t>Average</t>
  </si>
  <si>
    <t>Sum</t>
  </si>
  <si>
    <t>Method 1 (Wrong)</t>
  </si>
  <si>
    <t>Each Lose</t>
  </si>
  <si>
    <t>Suggested</t>
  </si>
  <si>
    <t>Soft 17</t>
  </si>
  <si>
    <t>Surrender Allow</t>
  </si>
  <si>
    <t>Split Up to</t>
  </si>
  <si>
    <t>Strategy #1</t>
  </si>
  <si>
    <t>Strategy #2</t>
  </si>
  <si>
    <t>Strategy #1 Bet your Edge Bankroll</t>
  </si>
  <si>
    <t>Strategy #2 Bet your Edge Bankroll</t>
  </si>
  <si>
    <t>Strategy #1 Bet Your Edge ROI</t>
  </si>
  <si>
    <t>Strategy #2 Bet Your Edge ROI</t>
  </si>
  <si>
    <t>Strategy #1 Return</t>
  </si>
  <si>
    <t>Strategy #2 Return</t>
  </si>
  <si>
    <t>General Win</t>
  </si>
  <si>
    <t>General Lose</t>
  </si>
  <si>
    <t>General EV</t>
  </si>
  <si>
    <t>General Expected Return</t>
  </si>
  <si>
    <t>#1,#2 1x6x2</t>
  </si>
  <si>
    <t>Casino Name</t>
  </si>
  <si>
    <t>Version Date</t>
  </si>
  <si>
    <t>20191025</t>
  </si>
  <si>
    <t>EVO - INFINIT 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</si>
</sst>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%"/>
    <numFmt numFmtId="165" formatCode="0.0000%"/>
    <numFmt numFmtId="167" formatCode="0.000"/>
    <numFmt numFmtId="168" formatCode="_(* #,##0.0000_);_(* \(#,##0.0000\);_(* &quot;-&quot;??_);_(@_)"/>
  </numFmts>
  <fonts count="2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7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</borders>
  <cellStyleXfs count="28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370">
    <xf numFmtId="0" fontId="0" fillId="0" borderId="0" xfId="0"/>
    <xf numFmtId="0" fontId="0" fillId="0" borderId="1" xfId="0" applyBorder="1"/>
    <xf numFmtId="0" fontId="0" fillId="0" borderId="3" xfId="0" applyBorder="1"/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10" fillId="3" borderId="5" xfId="0" applyFont="1" applyFill="1" applyBorder="1" applyAlignment="1">
      <alignment horizontal="center"/>
    </xf>
    <xf numFmtId="164" fontId="8" fillId="3" borderId="3" xfId="1" applyNumberFormat="1" applyFont="1" applyFill="1" applyBorder="1"/>
    <xf numFmtId="164" fontId="8" fillId="3" borderId="1" xfId="1" applyNumberFormat="1" applyFont="1" applyFill="1" applyBorder="1"/>
    <xf numFmtId="164" fontId="8" fillId="3" borderId="16" xfId="1" applyNumberFormat="1" applyFont="1" applyFill="1" applyBorder="1"/>
    <xf numFmtId="0" fontId="10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164" fontId="8" fillId="2" borderId="9" xfId="1" applyNumberFormat="1" applyFont="1" applyFill="1" applyBorder="1"/>
    <xf numFmtId="164" fontId="8" fillId="2" borderId="15" xfId="1" applyNumberFormat="1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4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11" fillId="4" borderId="1" xfId="18" applyFont="1" applyFill="1" applyBorder="1" applyAlignment="1">
      <alignment horizontal="center" vertical="center"/>
    </xf>
    <xf numFmtId="0" fontId="4" fillId="0" borderId="0" xfId="18"/>
    <xf numFmtId="0" fontId="4" fillId="0" borderId="1" xfId="18" applyBorder="1" applyAlignment="1">
      <alignment horizontal="center" vertical="center"/>
    </xf>
    <xf numFmtId="0" fontId="13" fillId="4" borderId="1" xfId="18" applyFont="1" applyFill="1" applyBorder="1" applyAlignment="1">
      <alignment horizontal="center" vertical="center"/>
    </xf>
    <xf numFmtId="0" fontId="4" fillId="0" borderId="0" xfId="18" applyAlignment="1">
      <alignment horizontal="center" vertical="center"/>
    </xf>
    <xf numFmtId="0" fontId="11" fillId="4" borderId="24" xfId="18" applyFont="1" applyFill="1" applyBorder="1"/>
    <xf numFmtId="0" fontId="11" fillId="4" borderId="25" xfId="18" applyFont="1" applyFill="1" applyBorder="1"/>
    <xf numFmtId="0" fontId="4" fillId="0" borderId="9" xfId="18" applyBorder="1"/>
    <xf numFmtId="0" fontId="12" fillId="0" borderId="0" xfId="18" applyFont="1"/>
    <xf numFmtId="165" fontId="0" fillId="0" borderId="0" xfId="19" applyNumberFormat="1" applyFont="1"/>
    <xf numFmtId="0" fontId="11" fillId="4" borderId="26" xfId="18" applyFont="1" applyFill="1" applyBorder="1" applyAlignment="1">
      <alignment horizontal="center" vertical="center"/>
    </xf>
    <xf numFmtId="0" fontId="11" fillId="4" borderId="27" xfId="18" applyFont="1" applyFill="1" applyBorder="1" applyAlignment="1">
      <alignment horizontal="center" vertical="center"/>
    </xf>
    <xf numFmtId="0" fontId="11" fillId="4" borderId="28" xfId="18" applyFont="1" applyFill="1" applyBorder="1" applyAlignment="1">
      <alignment horizontal="center" vertical="center"/>
    </xf>
    <xf numFmtId="0" fontId="11" fillId="4" borderId="19" xfId="18" applyFont="1" applyFill="1" applyBorder="1" applyAlignment="1">
      <alignment horizontal="center" vertical="center"/>
    </xf>
    <xf numFmtId="0" fontId="4" fillId="0" borderId="14" xfId="18" applyBorder="1" applyAlignment="1">
      <alignment horizontal="center" vertical="center"/>
    </xf>
    <xf numFmtId="0" fontId="13" fillId="4" borderId="14" xfId="18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3" xfId="18" applyFont="1" applyBorder="1"/>
    <xf numFmtId="0" fontId="15" fillId="7" borderId="17" xfId="18" applyFont="1" applyFill="1" applyBorder="1"/>
    <xf numFmtId="0" fontId="9" fillId="0" borderId="1" xfId="0" applyFont="1" applyBorder="1"/>
    <xf numFmtId="164" fontId="8" fillId="2" borderId="1" xfId="1" applyNumberFormat="1" applyFont="1" applyFill="1" applyBorder="1"/>
    <xf numFmtId="0" fontId="0" fillId="0" borderId="26" xfId="0" applyBorder="1" applyAlignment="1">
      <alignment horizontal="center"/>
    </xf>
    <xf numFmtId="164" fontId="8" fillId="2" borderId="27" xfId="1" applyNumberFormat="1" applyFont="1" applyFill="1" applyBorder="1"/>
    <xf numFmtId="164" fontId="8" fillId="3" borderId="27" xfId="1" applyNumberFormat="1" applyFont="1" applyFill="1" applyBorder="1"/>
    <xf numFmtId="0" fontId="0" fillId="0" borderId="28" xfId="0" applyBorder="1"/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0" fillId="3" borderId="27" xfId="1" applyNumberFormat="1" applyFont="1" applyFill="1" applyBorder="1" applyAlignment="1">
      <alignment horizontal="center"/>
    </xf>
    <xf numFmtId="164" fontId="10" fillId="2" borderId="27" xfId="1" applyNumberFormat="1" applyFont="1" applyFill="1" applyBorder="1" applyAlignment="1">
      <alignment horizontal="center"/>
    </xf>
    <xf numFmtId="164" fontId="8" fillId="2" borderId="16" xfId="1" applyNumberFormat="1" applyFont="1" applyFill="1" applyBorder="1"/>
    <xf numFmtId="164" fontId="8" fillId="3" borderId="5" xfId="1" applyNumberFormat="1" applyFont="1" applyFill="1" applyBorder="1"/>
    <xf numFmtId="10" fontId="0" fillId="0" borderId="0" xfId="0" applyNumberFormat="1"/>
    <xf numFmtId="0" fontId="11" fillId="4" borderId="35" xfId="18" applyFont="1" applyFill="1" applyBorder="1" applyAlignment="1">
      <alignment horizontal="center" vertical="center"/>
    </xf>
    <xf numFmtId="0" fontId="4" fillId="0" borderId="22" xfId="18" applyBorder="1" applyAlignment="1">
      <alignment horizontal="center" vertical="center"/>
    </xf>
    <xf numFmtId="0" fontId="4" fillId="0" borderId="5" xfId="18" applyBorder="1" applyAlignment="1">
      <alignment horizontal="center" vertical="center"/>
    </xf>
    <xf numFmtId="0" fontId="4" fillId="0" borderId="6" xfId="18" applyBorder="1" applyAlignment="1">
      <alignment horizontal="center" vertical="center"/>
    </xf>
    <xf numFmtId="0" fontId="4" fillId="0" borderId="28" xfId="18" applyBorder="1"/>
    <xf numFmtId="0" fontId="4" fillId="0" borderId="23" xfId="18" applyBorder="1"/>
    <xf numFmtId="0" fontId="4" fillId="0" borderId="1" xfId="18" applyBorder="1"/>
    <xf numFmtId="0" fontId="11" fillId="4" borderId="47" xfId="18" applyFont="1" applyFill="1" applyBorder="1" applyAlignment="1">
      <alignment horizontal="center" vertical="center"/>
    </xf>
    <xf numFmtId="10" fontId="4" fillId="0" borderId="48" xfId="1" applyNumberFormat="1" applyFont="1" applyBorder="1" applyAlignment="1">
      <alignment horizontal="center" vertical="center"/>
    </xf>
    <xf numFmtId="10" fontId="4" fillId="0" borderId="0" xfId="18" applyNumberFormat="1"/>
    <xf numFmtId="0" fontId="4" fillId="0" borderId="34" xfId="18" applyBorder="1"/>
    <xf numFmtId="0" fontId="11" fillId="4" borderId="49" xfId="18" applyFont="1" applyFill="1" applyBorder="1" applyAlignment="1">
      <alignment horizontal="center" vertical="center"/>
    </xf>
    <xf numFmtId="0" fontId="11" fillId="4" borderId="22" xfId="18" applyFont="1" applyFill="1" applyBorder="1" applyAlignment="1">
      <alignment horizontal="center" vertical="center"/>
    </xf>
    <xf numFmtId="0" fontId="13" fillId="4" borderId="22" xfId="18" applyFont="1" applyFill="1" applyBorder="1" applyAlignment="1">
      <alignment horizontal="center" vertical="center"/>
    </xf>
    <xf numFmtId="0" fontId="13" fillId="4" borderId="23" xfId="18" applyFont="1" applyFill="1" applyBorder="1" applyAlignment="1">
      <alignment horizontal="center" vertical="center"/>
    </xf>
    <xf numFmtId="0" fontId="4" fillId="0" borderId="26" xfId="18" applyBorder="1" applyAlignment="1">
      <alignment horizontal="center" vertical="center"/>
    </xf>
    <xf numFmtId="0" fontId="4" fillId="0" borderId="27" xfId="18" applyBorder="1" applyAlignment="1">
      <alignment horizontal="center" vertical="center"/>
    </xf>
    <xf numFmtId="0" fontId="4" fillId="0" borderId="28" xfId="18" applyBorder="1" applyAlignment="1">
      <alignment horizontal="center" vertical="center"/>
    </xf>
    <xf numFmtId="10" fontId="4" fillId="0" borderId="29" xfId="1" applyNumberFormat="1" applyFont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10" fontId="4" fillId="0" borderId="17" xfId="1" applyNumberFormat="1" applyFont="1" applyBorder="1" applyAlignment="1">
      <alignment horizontal="center" vertical="center"/>
    </xf>
    <xf numFmtId="0" fontId="11" fillId="4" borderId="33" xfId="18" applyFont="1" applyFill="1" applyBorder="1" applyAlignment="1">
      <alignment horizontal="center" vertical="center"/>
    </xf>
    <xf numFmtId="10" fontId="4" fillId="0" borderId="47" xfId="1" applyNumberFormat="1" applyFont="1" applyBorder="1" applyAlignment="1">
      <alignment horizontal="center" vertical="center"/>
    </xf>
    <xf numFmtId="10" fontId="4" fillId="0" borderId="50" xfId="1" applyNumberFormat="1" applyFont="1" applyBorder="1" applyAlignment="1">
      <alignment horizontal="center" vertical="center"/>
    </xf>
    <xf numFmtId="0" fontId="4" fillId="0" borderId="4" xfId="18" applyBorder="1" applyAlignment="1">
      <alignment horizontal="center" vertical="center"/>
    </xf>
    <xf numFmtId="10" fontId="15" fillId="7" borderId="2" xfId="1" applyNumberFormat="1" applyFont="1" applyFill="1" applyBorder="1"/>
    <xf numFmtId="0" fontId="0" fillId="0" borderId="19" xfId="0" applyBorder="1"/>
    <xf numFmtId="0" fontId="0" fillId="0" borderId="29" xfId="0" applyBorder="1"/>
    <xf numFmtId="0" fontId="0" fillId="0" borderId="32" xfId="0" applyBorder="1"/>
    <xf numFmtId="0" fontId="0" fillId="0" borderId="10" xfId="0" applyBorder="1"/>
    <xf numFmtId="0" fontId="0" fillId="0" borderId="11" xfId="0" applyBorder="1"/>
    <xf numFmtId="0" fontId="0" fillId="0" borderId="25" xfId="0" applyBorder="1"/>
    <xf numFmtId="0" fontId="0" fillId="0" borderId="30" xfId="0" applyBorder="1"/>
    <xf numFmtId="0" fontId="0" fillId="0" borderId="53" xfId="0" applyBorder="1"/>
    <xf numFmtId="0" fontId="0" fillId="0" borderId="51" xfId="0" applyBorder="1"/>
    <xf numFmtId="0" fontId="0" fillId="0" borderId="50" xfId="0" applyBorder="1"/>
    <xf numFmtId="0" fontId="0" fillId="0" borderId="36" xfId="0" applyBorder="1"/>
    <xf numFmtId="0" fontId="0" fillId="0" borderId="2" xfId="0" applyBorder="1"/>
    <xf numFmtId="0" fontId="0" fillId="0" borderId="40" xfId="0" applyBorder="1"/>
    <xf numFmtId="0" fontId="0" fillId="0" borderId="49" xfId="0" applyBorder="1"/>
    <xf numFmtId="0" fontId="0" fillId="0" borderId="42" xfId="0" applyBorder="1"/>
    <xf numFmtId="0" fontId="0" fillId="0" borderId="44" xfId="0" applyBorder="1"/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11" fillId="4" borderId="26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0" fillId="0" borderId="37" xfId="0" applyBorder="1"/>
    <xf numFmtId="0" fontId="12" fillId="0" borderId="28" xfId="18" applyFont="1" applyBorder="1"/>
    <xf numFmtId="0" fontId="12" fillId="0" borderId="17" xfId="18" applyFont="1" applyBorder="1"/>
    <xf numFmtId="0" fontId="0" fillId="0" borderId="38" xfId="0" applyBorder="1"/>
    <xf numFmtId="0" fontId="0" fillId="0" borderId="39" xfId="0" applyBorder="1"/>
    <xf numFmtId="0" fontId="0" fillId="0" borderId="47" xfId="0" applyBorder="1"/>
    <xf numFmtId="0" fontId="0" fillId="0" borderId="48" xfId="0" applyBorder="1"/>
    <xf numFmtId="0" fontId="0" fillId="0" borderId="60" xfId="0" applyBorder="1"/>
    <xf numFmtId="0" fontId="0" fillId="8" borderId="1" xfId="0" applyFill="1" applyBorder="1"/>
    <xf numFmtId="0" fontId="0" fillId="8" borderId="26" xfId="0" applyFill="1" applyBorder="1"/>
    <xf numFmtId="16" fontId="0" fillId="8" borderId="27" xfId="0" applyNumberFormat="1" applyFill="1" applyBorder="1"/>
    <xf numFmtId="0" fontId="0" fillId="8" borderId="28" xfId="0" applyFill="1" applyBorder="1"/>
    <xf numFmtId="0" fontId="0" fillId="8" borderId="19" xfId="0" applyFill="1" applyBorder="1"/>
    <xf numFmtId="0" fontId="0" fillId="8" borderId="14" xfId="0" applyFill="1" applyBorder="1"/>
    <xf numFmtId="0" fontId="0" fillId="0" borderId="58" xfId="0" applyBorder="1"/>
    <xf numFmtId="0" fontId="0" fillId="8" borderId="35" xfId="0" applyFill="1" applyBorder="1"/>
    <xf numFmtId="0" fontId="0" fillId="8" borderId="22" xfId="0" applyFill="1" applyBorder="1"/>
    <xf numFmtId="0" fontId="0" fillId="8" borderId="23" xfId="0" applyFill="1" applyBorder="1"/>
    <xf numFmtId="0" fontId="0" fillId="7" borderId="10" xfId="0" applyFill="1" applyBorder="1" applyAlignment="1" applyProtection="1">
      <alignment horizontal="left"/>
      <protection locked="0"/>
    </xf>
    <xf numFmtId="0" fontId="0" fillId="7" borderId="21" xfId="0" applyFill="1" applyBorder="1" applyAlignment="1" applyProtection="1">
      <alignment horizontal="left"/>
      <protection locked="0"/>
    </xf>
    <xf numFmtId="0" fontId="0" fillId="7" borderId="55" xfId="0" applyFill="1" applyBorder="1" applyAlignment="1" applyProtection="1">
      <alignment horizontal="left"/>
      <protection locked="0"/>
    </xf>
    <xf numFmtId="0" fontId="0" fillId="7" borderId="32" xfId="0" applyFill="1" applyBorder="1" applyAlignment="1" applyProtection="1">
      <alignment horizontal="left"/>
      <protection locked="0"/>
    </xf>
    <xf numFmtId="0" fontId="0" fillId="7" borderId="11" xfId="0" applyFill="1" applyBorder="1" applyAlignment="1" applyProtection="1">
      <alignment horizontal="left"/>
      <protection locked="0"/>
    </xf>
    <xf numFmtId="10" fontId="4" fillId="0" borderId="0" xfId="1" applyNumberFormat="1" applyFont="1"/>
    <xf numFmtId="0" fontId="0" fillId="8" borderId="27" xfId="0" applyFill="1" applyBorder="1"/>
    <xf numFmtId="0" fontId="9" fillId="0" borderId="56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0" fillId="0" borderId="63" xfId="0" applyBorder="1"/>
    <xf numFmtId="0" fontId="0" fillId="0" borderId="9" xfId="0" applyBorder="1"/>
    <xf numFmtId="0" fontId="0" fillId="0" borderId="12" xfId="0" applyBorder="1"/>
    <xf numFmtId="0" fontId="0" fillId="0" borderId="57" xfId="0" applyBorder="1"/>
    <xf numFmtId="0" fontId="11" fillId="4" borderId="59" xfId="18" applyFont="1" applyFill="1" applyBorder="1" applyAlignment="1">
      <alignment horizontal="left" vertical="center"/>
    </xf>
    <xf numFmtId="0" fontId="11" fillId="4" borderId="61" xfId="18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64" xfId="0" applyBorder="1"/>
    <xf numFmtId="0" fontId="0" fillId="0" borderId="65" xfId="0" applyBorder="1"/>
    <xf numFmtId="0" fontId="0" fillId="0" borderId="15" xfId="0" applyBorder="1"/>
    <xf numFmtId="0" fontId="0" fillId="0" borderId="55" xfId="0" applyBorder="1"/>
    <xf numFmtId="0" fontId="0" fillId="7" borderId="0" xfId="0" applyFill="1" applyAlignment="1" applyProtection="1">
      <alignment horizontal="left"/>
      <protection locked="0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11" fillId="4" borderId="30" xfId="18" applyFont="1" applyFill="1" applyBorder="1" applyAlignment="1">
      <alignment horizontal="left" vertical="center"/>
    </xf>
    <xf numFmtId="0" fontId="11" fillId="4" borderId="9" xfId="18" applyFont="1" applyFill="1" applyBorder="1" applyAlignment="1">
      <alignment horizontal="left" vertical="center"/>
    </xf>
    <xf numFmtId="0" fontId="12" fillId="0" borderId="14" xfId="18" applyFont="1" applyBorder="1"/>
    <xf numFmtId="0" fontId="4" fillId="0" borderId="23" xfId="18" applyBorder="1" applyAlignment="1">
      <alignment horizontal="center" vertical="center"/>
    </xf>
    <xf numFmtId="0" fontId="11" fillId="4" borderId="4" xfId="18" applyFont="1" applyFill="1" applyBorder="1" applyAlignment="1">
      <alignment horizontal="center" vertical="center"/>
    </xf>
    <xf numFmtId="0" fontId="11" fillId="4" borderId="3" xfId="18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7" borderId="0" xfId="0" applyFill="1"/>
    <xf numFmtId="0" fontId="0" fillId="0" borderId="54" xfId="0" applyBorder="1"/>
    <xf numFmtId="0" fontId="0" fillId="0" borderId="52" xfId="0" applyBorder="1"/>
    <xf numFmtId="0" fontId="0" fillId="0" borderId="67" xfId="0" applyBorder="1"/>
    <xf numFmtId="0" fontId="0" fillId="0" borderId="68" xfId="0" applyBorder="1"/>
    <xf numFmtId="0" fontId="10" fillId="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7" borderId="0" xfId="0" applyFill="1" applyProtection="1">
      <protection locked="0"/>
    </xf>
    <xf numFmtId="0" fontId="10" fillId="5" borderId="22" xfId="0" applyFont="1" applyFill="1" applyBorder="1" applyAlignment="1">
      <alignment horizontal="center"/>
    </xf>
    <xf numFmtId="10" fontId="9" fillId="0" borderId="2" xfId="1" applyNumberFormat="1" applyFont="1" applyBorder="1" applyAlignment="1">
      <alignment horizontal="center"/>
    </xf>
    <xf numFmtId="0" fontId="10" fillId="5" borderId="24" xfId="0" applyFont="1" applyFill="1" applyBorder="1" applyAlignment="1">
      <alignment horizontal="center"/>
    </xf>
    <xf numFmtId="167" fontId="0" fillId="0" borderId="1" xfId="0" applyNumberFormat="1" applyBorder="1"/>
    <xf numFmtId="168" fontId="0" fillId="0" borderId="0" xfId="20" applyNumberFormat="1" applyFont="1"/>
    <xf numFmtId="168" fontId="0" fillId="0" borderId="54" xfId="20" applyNumberFormat="1" applyFont="1" applyBorder="1" applyAlignment="1">
      <alignment horizontal="center"/>
    </xf>
    <xf numFmtId="168" fontId="0" fillId="0" borderId="31" xfId="20" applyNumberFormat="1" applyFont="1" applyBorder="1"/>
    <xf numFmtId="168" fontId="0" fillId="0" borderId="24" xfId="20" applyNumberFormat="1" applyFont="1" applyBorder="1"/>
    <xf numFmtId="168" fontId="0" fillId="0" borderId="40" xfId="20" applyNumberFormat="1" applyFont="1" applyBorder="1" applyAlignment="1">
      <alignment horizontal="center"/>
    </xf>
    <xf numFmtId="168" fontId="0" fillId="0" borderId="38" xfId="20" applyNumberFormat="1" applyFont="1" applyBorder="1" applyAlignment="1">
      <alignment horizontal="center"/>
    </xf>
    <xf numFmtId="168" fontId="0" fillId="0" borderId="26" xfId="20" applyNumberFormat="1" applyFont="1" applyBorder="1"/>
    <xf numFmtId="168" fontId="0" fillId="0" borderId="19" xfId="20" applyNumberFormat="1" applyFont="1" applyBorder="1"/>
    <xf numFmtId="168" fontId="0" fillId="0" borderId="29" xfId="20" applyNumberFormat="1" applyFont="1" applyBorder="1"/>
    <xf numFmtId="168" fontId="0" fillId="0" borderId="51" xfId="20" applyNumberFormat="1" applyFont="1" applyBorder="1"/>
    <xf numFmtId="168" fontId="0" fillId="0" borderId="30" xfId="20" applyNumberFormat="1" applyFont="1" applyBorder="1"/>
    <xf numFmtId="168" fontId="0" fillId="0" borderId="53" xfId="20" applyNumberFormat="1" applyFont="1" applyBorder="1"/>
    <xf numFmtId="43" fontId="0" fillId="0" borderId="28" xfId="0" applyNumberFormat="1" applyBorder="1"/>
    <xf numFmtId="43" fontId="0" fillId="0" borderId="14" xfId="0" applyNumberFormat="1" applyBorder="1"/>
    <xf numFmtId="0" fontId="1" fillId="0" borderId="0" xfId="18" applyFont="1"/>
    <xf numFmtId="0" fontId="4" fillId="0" borderId="19" xfId="18" applyBorder="1"/>
    <xf numFmtId="0" fontId="4" fillId="0" borderId="29" xfId="18" applyBorder="1"/>
    <xf numFmtId="0" fontId="4" fillId="0" borderId="16" xfId="18" applyBorder="1"/>
    <xf numFmtId="0" fontId="4" fillId="0" borderId="3" xfId="18" applyBorder="1"/>
    <xf numFmtId="0" fontId="4" fillId="0" borderId="13" xfId="18" applyBorder="1"/>
    <xf numFmtId="0" fontId="4" fillId="0" borderId="20" xfId="18" applyBorder="1"/>
    <xf numFmtId="0" fontId="1" fillId="0" borderId="5" xfId="18" applyFont="1" applyBorder="1"/>
    <xf numFmtId="0" fontId="4" fillId="0" borderId="46" xfId="18" applyBorder="1"/>
    <xf numFmtId="0" fontId="4" fillId="0" borderId="69" xfId="18" applyBorder="1"/>
    <xf numFmtId="0" fontId="4" fillId="0" borderId="24" xfId="18" applyBorder="1"/>
    <xf numFmtId="0" fontId="4" fillId="0" borderId="66" xfId="18" applyBorder="1"/>
    <xf numFmtId="0" fontId="4" fillId="0" borderId="11" xfId="18" applyBorder="1"/>
    <xf numFmtId="0" fontId="4" fillId="0" borderId="32" xfId="18" applyBorder="1"/>
    <xf numFmtId="0" fontId="1" fillId="0" borderId="11" xfId="18" applyFont="1" applyBorder="1"/>
    <xf numFmtId="0" fontId="4" fillId="0" borderId="21" xfId="18" applyBorder="1"/>
    <xf numFmtId="0" fontId="4" fillId="0" borderId="10" xfId="18" applyBorder="1"/>
    <xf numFmtId="0" fontId="1" fillId="0" borderId="2" xfId="18" applyFont="1" applyBorder="1"/>
    <xf numFmtId="0" fontId="4" fillId="0" borderId="27" xfId="18" applyBorder="1"/>
    <xf numFmtId="0" fontId="4" fillId="0" borderId="17" xfId="18" applyBorder="1"/>
    <xf numFmtId="0" fontId="1" fillId="0" borderId="6" xfId="18" applyFont="1" applyBorder="1"/>
    <xf numFmtId="0" fontId="4" fillId="0" borderId="7" xfId="18" applyBorder="1"/>
    <xf numFmtId="0" fontId="4" fillId="0" borderId="8" xfId="18" applyBorder="1"/>
    <xf numFmtId="0" fontId="4" fillId="0" borderId="15" xfId="18" applyBorder="1"/>
    <xf numFmtId="0" fontId="4" fillId="0" borderId="2" xfId="18" applyBorder="1"/>
    <xf numFmtId="0" fontId="4" fillId="0" borderId="12" xfId="18" applyBorder="1"/>
    <xf numFmtId="0" fontId="4" fillId="0" borderId="61" xfId="18" applyBorder="1"/>
    <xf numFmtId="0" fontId="4" fillId="0" borderId="22" xfId="18" applyBorder="1"/>
    <xf numFmtId="0" fontId="4" fillId="0" borderId="65" xfId="18" applyBorder="1"/>
    <xf numFmtId="0" fontId="4" fillId="0" borderId="70" xfId="18" applyBorder="1"/>
    <xf numFmtId="10" fontId="4" fillId="0" borderId="34" xfId="1" applyNumberFormat="1" applyFont="1" applyBorder="1"/>
    <xf numFmtId="0" fontId="1" fillId="0" borderId="21" xfId="18" applyFont="1" applyBorder="1"/>
    <xf numFmtId="0" fontId="1" fillId="0" borderId="10" xfId="18" applyFont="1" applyBorder="1"/>
    <xf numFmtId="0" fontId="1" fillId="0" borderId="7" xfId="18" applyFont="1" applyBorder="1"/>
    <xf numFmtId="0" fontId="1" fillId="0" borderId="46" xfId="18" applyFont="1" applyBorder="1"/>
    <xf numFmtId="0" fontId="4" fillId="0" borderId="41" xfId="18" applyBorder="1"/>
    <xf numFmtId="0" fontId="15" fillId="0" borderId="38" xfId="18" applyFont="1" applyBorder="1"/>
    <xf numFmtId="0" fontId="15" fillId="0" borderId="39" xfId="18" applyFont="1" applyBorder="1"/>
    <xf numFmtId="0" fontId="15" fillId="0" borderId="40" xfId="18" applyFont="1" applyBorder="1"/>
    <xf numFmtId="0" fontId="21" fillId="0" borderId="26" xfId="18" applyFont="1" applyBorder="1"/>
    <xf numFmtId="10" fontId="21" fillId="0" borderId="27" xfId="1" applyNumberFormat="1" applyFont="1" applyBorder="1"/>
    <xf numFmtId="2" fontId="21" fillId="0" borderId="27" xfId="18" applyNumberFormat="1" applyFont="1" applyBorder="1"/>
    <xf numFmtId="0" fontId="21" fillId="0" borderId="28" xfId="18" applyFont="1" applyBorder="1"/>
    <xf numFmtId="0" fontId="21" fillId="0" borderId="35" xfId="18" applyFont="1" applyBorder="1"/>
    <xf numFmtId="10" fontId="21" fillId="0" borderId="22" xfId="1" applyNumberFormat="1" applyFont="1" applyBorder="1"/>
    <xf numFmtId="2" fontId="21" fillId="0" borderId="22" xfId="18" applyNumberFormat="1" applyFont="1" applyBorder="1"/>
    <xf numFmtId="0" fontId="21" fillId="0" borderId="23" xfId="18" applyFont="1" applyBorder="1"/>
    <xf numFmtId="0" fontId="21" fillId="0" borderId="4" xfId="18" applyFont="1" applyBorder="1"/>
    <xf numFmtId="10" fontId="21" fillId="0" borderId="5" xfId="1" applyNumberFormat="1" applyFont="1" applyBorder="1"/>
    <xf numFmtId="2" fontId="21" fillId="0" borderId="5" xfId="18" applyNumberFormat="1" applyFont="1" applyBorder="1"/>
    <xf numFmtId="0" fontId="21" fillId="0" borderId="6" xfId="18" applyFont="1" applyBorder="1"/>
    <xf numFmtId="0" fontId="21" fillId="0" borderId="42" xfId="18" applyFont="1" applyBorder="1"/>
    <xf numFmtId="10" fontId="21" fillId="0" borderId="44" xfId="1" applyNumberFormat="1" applyFont="1" applyBorder="1"/>
    <xf numFmtId="0" fontId="21" fillId="0" borderId="44" xfId="18" applyFont="1" applyBorder="1"/>
    <xf numFmtId="0" fontId="21" fillId="0" borderId="45" xfId="18" applyFont="1" applyBorder="1"/>
    <xf numFmtId="0" fontId="17" fillId="0" borderId="0" xfId="0" applyFont="1" applyAlignment="1">
      <alignment horizontal="center"/>
    </xf>
    <xf numFmtId="0" fontId="17" fillId="0" borderId="58" xfId="0" applyFont="1" applyBorder="1" applyAlignment="1" applyProtection="1">
      <alignment horizontal="center"/>
      <protection locked="0"/>
    </xf>
    <xf numFmtId="0" fontId="10" fillId="5" borderId="24" xfId="0" applyFont="1" applyFill="1" applyBorder="1"/>
    <xf numFmtId="0" fontId="10" fillId="5" borderId="25" xfId="0" applyFont="1" applyFill="1" applyBorder="1"/>
    <xf numFmtId="0" fontId="10" fillId="5" borderId="9" xfId="0" applyFont="1" applyFill="1" applyBorder="1"/>
    <xf numFmtId="0" fontId="17" fillId="0" borderId="72" xfId="0" applyFont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0" fontId="0" fillId="0" borderId="46" xfId="0" applyBorder="1"/>
    <xf numFmtId="0" fontId="0" fillId="0" borderId="69" xfId="0" applyBorder="1"/>
    <xf numFmtId="0" fontId="0" fillId="0" borderId="24" xfId="0" applyBorder="1"/>
    <xf numFmtId="0" fontId="0" fillId="0" borderId="31" xfId="0" applyBorder="1"/>
    <xf numFmtId="0" fontId="0" fillId="0" borderId="66" xfId="0" applyBorder="1"/>
    <xf numFmtId="168" fontId="0" fillId="0" borderId="32" xfId="20" applyNumberFormat="1" applyFont="1" applyBorder="1"/>
    <xf numFmtId="168" fontId="0" fillId="0" borderId="11" xfId="20" applyNumberFormat="1" applyFont="1" applyBorder="1"/>
    <xf numFmtId="168" fontId="0" fillId="0" borderId="12" xfId="20" applyNumberFormat="1" applyFont="1" applyBorder="1"/>
    <xf numFmtId="168" fontId="0" fillId="0" borderId="55" xfId="20" applyNumberFormat="1" applyFont="1" applyBorder="1" applyAlignment="1">
      <alignment horizontal="center"/>
    </xf>
    <xf numFmtId="0" fontId="12" fillId="9" borderId="23" xfId="18" applyFont="1" applyFill="1" applyBorder="1"/>
    <xf numFmtId="10" fontId="12" fillId="9" borderId="6" xfId="1" applyNumberFormat="1" applyFont="1" applyFill="1" applyBorder="1"/>
    <xf numFmtId="0" fontId="12" fillId="9" borderId="22" xfId="18" applyFont="1" applyFill="1" applyBorder="1"/>
    <xf numFmtId="10" fontId="12" fillId="9" borderId="5" xfId="1" applyNumberFormat="1" applyFont="1" applyFill="1" applyBorder="1"/>
    <xf numFmtId="0" fontId="12" fillId="10" borderId="5" xfId="18" applyFont="1" applyFill="1" applyBorder="1"/>
    <xf numFmtId="0" fontId="12" fillId="10" borderId="0" xfId="18" applyFont="1" applyFill="1" applyBorder="1"/>
    <xf numFmtId="0" fontId="12" fillId="10" borderId="3" xfId="18" applyFont="1" applyFill="1" applyBorder="1"/>
    <xf numFmtId="0" fontId="1" fillId="0" borderId="73" xfId="18" applyFont="1" applyBorder="1"/>
    <xf numFmtId="0" fontId="12" fillId="10" borderId="4" xfId="18" applyFont="1" applyFill="1" applyBorder="1"/>
    <xf numFmtId="0" fontId="4" fillId="0" borderId="5" xfId="18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8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32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0" fillId="0" borderId="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4" xfId="0" applyBorder="1"/>
    <xf numFmtId="0" fontId="0" fillId="0" borderId="55" xfId="0" applyFill="1" applyBorder="1" applyAlignment="1">
      <alignment horizontal="center"/>
    </xf>
    <xf numFmtId="0" fontId="0" fillId="0" borderId="2" xfId="0" applyNumberFormat="1" applyFill="1" applyBorder="1"/>
    <xf numFmtId="0" fontId="11" fillId="4" borderId="8" xfId="18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/>
    </xf>
    <xf numFmtId="0" fontId="10" fillId="5" borderId="48" xfId="0" applyFont="1" applyFill="1" applyBorder="1" applyAlignment="1">
      <alignment horizontal="center"/>
    </xf>
    <xf numFmtId="49" fontId="0" fillId="7" borderId="1" xfId="0" applyNumberFormat="1" applyFill="1" applyBorder="1" applyAlignment="1" applyProtection="1">
      <alignment horizontal="left"/>
      <protection locked="0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18" xfId="0" applyFont="1" applyFill="1" applyBorder="1" applyAlignment="1" applyProtection="1">
      <alignment horizontal="center"/>
      <protection locked="0"/>
    </xf>
    <xf numFmtId="0" fontId="18" fillId="7" borderId="34" xfId="0" applyFont="1" applyFill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9" fontId="9" fillId="0" borderId="33" xfId="1" applyFont="1" applyBorder="1" applyAlignment="1">
      <alignment horizontal="center"/>
    </xf>
    <xf numFmtId="9" fontId="9" fillId="0" borderId="18" xfId="1" applyFont="1" applyBorder="1" applyAlignment="1">
      <alignment horizontal="center"/>
    </xf>
    <xf numFmtId="0" fontId="17" fillId="5" borderId="54" xfId="0" applyFont="1" applyFill="1" applyBorder="1" applyAlignment="1">
      <alignment horizontal="center"/>
    </xf>
    <xf numFmtId="0" fontId="17" fillId="5" borderId="37" xfId="0" applyFont="1" applyFill="1" applyBorder="1" applyAlignment="1">
      <alignment horizontal="center"/>
    </xf>
    <xf numFmtId="49" fontId="0" fillId="7" borderId="24" xfId="0" applyNumberFormat="1" applyFill="1" applyBorder="1" applyAlignment="1" applyProtection="1">
      <alignment horizontal="center"/>
      <protection locked="0"/>
    </xf>
    <xf numFmtId="49" fontId="0" fillId="7" borderId="25" xfId="0" applyNumberFormat="1" applyFill="1" applyBorder="1" applyAlignment="1" applyProtection="1">
      <alignment horizontal="center"/>
      <protection locked="0"/>
    </xf>
    <xf numFmtId="49" fontId="0" fillId="7" borderId="9" xfId="0" applyNumberFormat="1" applyFill="1" applyBorder="1" applyAlignment="1" applyProtection="1">
      <alignment horizontal="center"/>
      <protection locked="0"/>
    </xf>
    <xf numFmtId="0" fontId="0" fillId="0" borderId="57" xfId="0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8" fillId="0" borderId="33" xfId="18" applyFont="1" applyBorder="1" applyAlignment="1">
      <alignment horizontal="center"/>
    </xf>
    <xf numFmtId="0" fontId="18" fillId="0" borderId="18" xfId="18" applyFont="1" applyBorder="1" applyAlignment="1">
      <alignment horizontal="center"/>
    </xf>
    <xf numFmtId="0" fontId="18" fillId="0" borderId="34" xfId="18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33" xfId="18" applyFont="1" applyBorder="1" applyAlignment="1">
      <alignment horizontal="center"/>
    </xf>
    <xf numFmtId="0" fontId="14" fillId="0" borderId="18" xfId="18" applyFont="1" applyBorder="1" applyAlignment="1">
      <alignment horizontal="center"/>
    </xf>
    <xf numFmtId="0" fontId="14" fillId="0" borderId="34" xfId="18" applyFont="1" applyBorder="1" applyAlignment="1">
      <alignment horizontal="center"/>
    </xf>
    <xf numFmtId="0" fontId="11" fillId="4" borderId="24" xfId="18" applyFont="1" applyFill="1" applyBorder="1" applyAlignment="1">
      <alignment horizontal="left" vertical="center"/>
    </xf>
    <xf numFmtId="0" fontId="11" fillId="4" borderId="25" xfId="18" applyFont="1" applyFill="1" applyBorder="1" applyAlignment="1">
      <alignment horizontal="left" vertical="center"/>
    </xf>
    <xf numFmtId="0" fontId="12" fillId="0" borderId="32" xfId="18" applyFont="1" applyBorder="1" applyAlignment="1">
      <alignment horizontal="center" vertical="center"/>
    </xf>
    <xf numFmtId="0" fontId="12" fillId="0" borderId="11" xfId="18" applyFont="1" applyBorder="1" applyAlignment="1">
      <alignment horizontal="center" vertical="center"/>
    </xf>
    <xf numFmtId="0" fontId="12" fillId="0" borderId="12" xfId="18" applyFont="1" applyBorder="1" applyAlignment="1">
      <alignment horizontal="center" vertical="center"/>
    </xf>
    <xf numFmtId="0" fontId="11" fillId="4" borderId="26" xfId="18" applyFont="1" applyFill="1" applyBorder="1" applyAlignment="1">
      <alignment horizontal="left" vertical="center"/>
    </xf>
    <xf numFmtId="0" fontId="11" fillId="4" borderId="27" xfId="18" applyFont="1" applyFill="1" applyBorder="1" applyAlignment="1">
      <alignment horizontal="left" vertical="center"/>
    </xf>
    <xf numFmtId="0" fontId="11" fillId="4" borderId="19" xfId="18" applyFont="1" applyFill="1" applyBorder="1" applyAlignment="1">
      <alignment horizontal="left" vertical="center"/>
    </xf>
    <xf numFmtId="0" fontId="11" fillId="4" borderId="1" xfId="18" applyFont="1" applyFill="1" applyBorder="1" applyAlignment="1">
      <alignment horizontal="left" vertical="center"/>
    </xf>
    <xf numFmtId="0" fontId="11" fillId="4" borderId="29" xfId="18" applyFont="1" applyFill="1" applyBorder="1" applyAlignment="1">
      <alignment horizontal="left" vertical="center"/>
    </xf>
    <xf numFmtId="0" fontId="11" fillId="4" borderId="16" xfId="18" applyFont="1" applyFill="1" applyBorder="1" applyAlignment="1">
      <alignment horizontal="left" vertical="center"/>
    </xf>
    <xf numFmtId="0" fontId="21" fillId="0" borderId="4" xfId="18" applyFont="1" applyBorder="1" applyAlignment="1">
      <alignment horizontal="center"/>
    </xf>
    <xf numFmtId="0" fontId="21" fillId="0" borderId="46" xfId="18" applyFont="1" applyBorder="1" applyAlignment="1">
      <alignment horizontal="center"/>
    </xf>
    <xf numFmtId="0" fontId="21" fillId="0" borderId="42" xfId="18" applyFont="1" applyBorder="1" applyAlignment="1">
      <alignment horizontal="center"/>
    </xf>
    <xf numFmtId="0" fontId="21" fillId="0" borderId="43" xfId="18" applyFont="1" applyBorder="1" applyAlignment="1">
      <alignment horizontal="center"/>
    </xf>
    <xf numFmtId="0" fontId="21" fillId="0" borderId="33" xfId="18" applyFont="1" applyBorder="1" applyAlignment="1">
      <alignment horizontal="center"/>
    </xf>
    <xf numFmtId="0" fontId="21" fillId="0" borderId="18" xfId="18" applyFont="1" applyBorder="1" applyAlignment="1">
      <alignment horizontal="center"/>
    </xf>
    <xf numFmtId="0" fontId="21" fillId="0" borderId="34" xfId="18" applyFont="1" applyBorder="1" applyAlignment="1">
      <alignment horizontal="center"/>
    </xf>
    <xf numFmtId="0" fontId="12" fillId="10" borderId="36" xfId="18" applyFont="1" applyFill="1" applyBorder="1" applyAlignment="1">
      <alignment horizontal="center"/>
    </xf>
    <xf numFmtId="0" fontId="12" fillId="10" borderId="37" xfId="18" applyFont="1" applyFill="1" applyBorder="1" applyAlignment="1">
      <alignment horizontal="center"/>
    </xf>
    <xf numFmtId="0" fontId="12" fillId="10" borderId="71" xfId="18" applyFont="1" applyFill="1" applyBorder="1" applyAlignment="1">
      <alignment horizontal="center"/>
    </xf>
    <xf numFmtId="0" fontId="21" fillId="0" borderId="36" xfId="18" applyFont="1" applyBorder="1" applyAlignment="1">
      <alignment horizontal="center"/>
    </xf>
    <xf numFmtId="0" fontId="21" fillId="0" borderId="37" xfId="18" applyFont="1" applyBorder="1" applyAlignment="1">
      <alignment horizontal="center"/>
    </xf>
    <xf numFmtId="0" fontId="21" fillId="0" borderId="26" xfId="18" applyFont="1" applyBorder="1" applyAlignment="1">
      <alignment horizontal="left"/>
    </xf>
    <xf numFmtId="0" fontId="21" fillId="0" borderId="31" xfId="18" applyFont="1" applyBorder="1" applyAlignment="1">
      <alignment horizontal="left"/>
    </xf>
    <xf numFmtId="0" fontId="21" fillId="0" borderId="35" xfId="18" applyFont="1" applyBorder="1" applyAlignment="1">
      <alignment horizontal="left"/>
    </xf>
    <xf numFmtId="0" fontId="21" fillId="0" borderId="41" xfId="18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17" fillId="5" borderId="72" xfId="0" applyNumberFormat="1" applyFont="1" applyFill="1" applyBorder="1" applyAlignment="1">
      <alignment horizontal="center"/>
    </xf>
    <xf numFmtId="0" fontId="22" fillId="2" borderId="24" xfId="0" applyFont="1" applyFill="1" applyBorder="1" applyAlignment="1" applyProtection="1">
      <alignment horizontal="center"/>
      <protection locked="0"/>
    </xf>
    <xf numFmtId="0" fontId="22" fillId="2" borderId="9" xfId="0" applyFont="1" applyFill="1" applyBorder="1" applyAlignment="1" applyProtection="1">
      <alignment horizontal="center"/>
      <protection locked="0"/>
    </xf>
    <xf numFmtId="0" fontId="10" fillId="5" borderId="24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22" fillId="2" borderId="1" xfId="0" applyFont="1" applyFill="1" applyBorder="1" applyAlignment="1" applyProtection="1">
      <alignment horizontal="center"/>
      <protection locked="0"/>
    </xf>
    <xf numFmtId="0" fontId="23" fillId="2" borderId="1" xfId="0" applyFont="1" applyFill="1" applyBorder="1" applyAlignment="1" applyProtection="1">
      <alignment horizontal="center"/>
      <protection locked="0"/>
    </xf>
    <xf numFmtId="10" fontId="22" fillId="2" borderId="1" xfId="1" applyNumberFormat="1" applyFont="1" applyFill="1" applyBorder="1" applyAlignment="1" applyProtection="1">
      <alignment horizontal="center"/>
      <protection locked="0"/>
    </xf>
    <xf numFmtId="0" fontId="10" fillId="5" borderId="0" xfId="0" applyFont="1" applyFill="1" applyAlignment="1">
      <alignment horizontal="center"/>
    </xf>
    <xf numFmtId="10" fontId="23" fillId="2" borderId="1" xfId="1" applyNumberFormat="1" applyFont="1" applyFill="1" applyBorder="1" applyAlignment="1" applyProtection="1">
      <alignment horizontal="center"/>
      <protection locked="0"/>
    </xf>
    <xf numFmtId="0" fontId="10" fillId="5" borderId="69" xfId="0" applyFont="1" applyFill="1" applyBorder="1" applyAlignment="1">
      <alignment horizontal="center"/>
    </xf>
    <xf numFmtId="0" fontId="10" fillId="5" borderId="72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</cellXfs>
  <cellStyles count="28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2" builtinId="9" hidden="1"/>
    <cellStyle name="Followed Hyperlink" xfId="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21" builtinId="8" hidden="1"/>
    <cellStyle name="Hyperlink" xfId="23" builtinId="8" hidden="1"/>
    <cellStyle name="Normal" xfId="0" builtinId="0"/>
    <cellStyle name="Normal 2" xfId="18" xr:uid="{00000000-0005-0000-0000-000016000000}"/>
    <cellStyle name="Normal 2 2" xfId="26" xr:uid="{0E70685A-EF51-412E-B335-C96BFAAE989E}"/>
    <cellStyle name="Percent" xfId="1" builtinId="5"/>
    <cellStyle name="Percent 2" xfId="19" xr:uid="{00000000-0005-0000-0000-000018000000}"/>
    <cellStyle name="Percent 2 2" xfId="27" xr:uid="{3BA3BC36-525B-4F60-BA24-633D986E099F}"/>
    <cellStyle name="Percent 3" xfId="25" xr:uid="{7B833B04-084D-4732-A84D-CE437AB9CCEC}"/>
  </cellStyles>
  <dxfs count="872"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Analysis!$R$7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Analysis!$R$8:$R$17</c:f>
              <c:numCache>
                <c:formatCode>_(* #,##0.0000_);_(* \(#,##0.0000\);_(* "-"??_);_(@_)</c:formatCode>
                <c:ptCount val="10"/>
                <c:pt idx="0">
                  <c:v>-0.25118328882412494</c:v>
                </c:pt>
                <c:pt idx="1">
                  <c:v>-2.2143042634933663E-2</c:v>
                </c:pt>
                <c:pt idx="2">
                  <c:v>7.878387096772288E-2</c:v>
                </c:pt>
                <c:pt idx="3">
                  <c:v>0.13018546295569094</c:v>
                </c:pt>
                <c:pt idx="4">
                  <c:v>0.15829348705297913</c:v>
                </c:pt>
                <c:pt idx="5">
                  <c:v>0.17426330022435627</c:v>
                </c:pt>
                <c:pt idx="6">
                  <c:v>0.18353440795504922</c:v>
                </c:pt>
                <c:pt idx="7">
                  <c:v>0.18898412543089271</c:v>
                </c:pt>
                <c:pt idx="8">
                  <c:v>0.19221104843136466</c:v>
                </c:pt>
                <c:pt idx="9">
                  <c:v>0.19413006530614013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6-754B-84BC-7D0C1DEB8F92}"/>
            </c:ext>
          </c:extLst>
        </c:ser>
        <c:ser>
          <c:idx val="1"/>
          <c:order val="1"/>
          <c:tx>
            <c:strRef>
              <c:f>Analysis!$S$7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Analysis!$S$8:$S$17</c:f>
              <c:numCache>
                <c:formatCode>General</c:formatCode>
                <c:ptCount val="10"/>
                <c:pt idx="0">
                  <c:v>0.61868927802092222</c:v>
                </c:pt>
                <c:pt idx="1">
                  <c:v>1.3133601966368826</c:v>
                </c:pt>
                <c:pt idx="2">
                  <c:v>2.0749939534728918</c:v>
                </c:pt>
                <c:pt idx="3">
                  <c:v>2.8929991530129207</c:v>
                </c:pt>
                <c:pt idx="4">
                  <c:v>3.7565202318927233</c:v>
                </c:pt>
                <c:pt idx="5">
                  <c:v>4.6554501162151647</c:v>
                </c:pt>
                <c:pt idx="6">
                  <c:v>5.5810430671027076</c:v>
                </c:pt>
                <c:pt idx="7">
                  <c:v>6.5261564421981575</c:v>
                </c:pt>
                <c:pt idx="8">
                  <c:v>7.4852214372108365</c:v>
                </c:pt>
                <c:pt idx="9">
                  <c:v>8.4540564634287865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6-754B-84BC-7D0C1DEB8F92}"/>
            </c:ext>
          </c:extLst>
        </c:ser>
        <c:ser>
          <c:idx val="2"/>
          <c:order val="2"/>
          <c:tx>
            <c:strRef>
              <c:f>Analysis!$T$7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Analysis!$T$8:$T$17</c:f>
              <c:numCache>
                <c:formatCode>General</c:formatCode>
                <c:ptCount val="10"/>
                <c:pt idx="0">
                  <c:v>-0.6255916444120625</c:v>
                </c:pt>
                <c:pt idx="1">
                  <c:v>-1.3280126136138279</c:v>
                </c:pt>
                <c:pt idx="2">
                  <c:v>-2.09814348755256</c:v>
                </c:pt>
                <c:pt idx="3">
                  <c:v>-2.9252747085021471</c:v>
                </c:pt>
                <c:pt idx="4">
                  <c:v>-3.7984296037169725</c:v>
                </c:pt>
                <c:pt idx="5">
                  <c:v>-4.7073883403922236</c:v>
                </c:pt>
                <c:pt idx="6">
                  <c:v>-5.6433076083876363</c:v>
                </c:pt>
                <c:pt idx="7">
                  <c:v>-6.5989650789245706</c:v>
                </c:pt>
                <c:pt idx="8">
                  <c:v>-7.5687298197121731</c:v>
                </c:pt>
                <c:pt idx="9">
                  <c:v>-8.5483735904180165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6-754B-84BC-7D0C1DEB8F92}"/>
            </c:ext>
          </c:extLst>
        </c:ser>
        <c:ser>
          <c:idx val="3"/>
          <c:order val="3"/>
          <c:tx>
            <c:strRef>
              <c:f>Analysis!$U$7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Analysis!$U$8:$U$17</c:f>
              <c:numCache>
                <c:formatCode>_(* #,##0.0000_);_(* \(#,##0.0000\);_(* "-"??_);_(@_)</c:formatCode>
                <c:ptCount val="10"/>
                <c:pt idx="0">
                  <c:v>-6.9023663911402799E-3</c:v>
                </c:pt>
                <c:pt idx="1">
                  <c:v>-1.4652416976945304E-2</c:v>
                </c:pt>
                <c:pt idx="2">
                  <c:v>-2.3149534079668133E-2</c:v>
                </c:pt>
                <c:pt idx="3">
                  <c:v>-3.2275555489226448E-2</c:v>
                </c:pt>
                <c:pt idx="4">
                  <c:v>-4.1909371824249142E-2</c:v>
                </c:pt>
                <c:pt idx="5">
                  <c:v>-5.1938224177058956E-2</c:v>
                </c:pt>
                <c:pt idx="6">
                  <c:v>-6.2264541284928754E-2</c:v>
                </c:pt>
                <c:pt idx="7">
                  <c:v>-7.2808636726413134E-2</c:v>
                </c:pt>
                <c:pt idx="8">
                  <c:v>-8.350838250133652E-2</c:v>
                </c:pt>
                <c:pt idx="9">
                  <c:v>-9.4317126989230005E-2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F-FC44-ACD8-F3249BA2F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63424"/>
        <c:axId val="-1985960080"/>
      </c:lineChart>
      <c:catAx>
        <c:axId val="-198596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0080"/>
        <c:crosses val="autoZero"/>
        <c:auto val="1"/>
        <c:lblAlgn val="ctr"/>
        <c:lblOffset val="100"/>
        <c:noMultiLvlLbl val="0"/>
      </c:catAx>
      <c:valAx>
        <c:axId val="-19859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'1x8'!$E$20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'1x8'!$E$21:$E$30</c:f>
              <c:numCache>
                <c:formatCode>General</c:formatCode>
                <c:ptCount val="10"/>
                <c:pt idx="0">
                  <c:v>42.331597861776075</c:v>
                </c:pt>
                <c:pt idx="1">
                  <c:v>127.0600790155766</c:v>
                </c:pt>
                <c:pt idx="2">
                  <c:v>786.5574697188822</c:v>
                </c:pt>
                <c:pt idx="3">
                  <c:v>5581.2411220273252</c:v>
                </c:pt>
                <c:pt idx="4">
                  <c:v>41813.09377937996</c:v>
                </c:pt>
                <c:pt idx="5">
                  <c:v>321713.24675988109</c:v>
                </c:pt>
                <c:pt idx="6">
                  <c:v>2511856.272303558</c:v>
                </c:pt>
                <c:pt idx="7">
                  <c:v>19782842.437345088</c:v>
                </c:pt>
                <c:pt idx="8">
                  <c:v>156646176.90993437</c:v>
                </c:pt>
                <c:pt idx="9">
                  <c:v>1244647956.6432714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141840"/>
        <c:axId val="-1936138816"/>
      </c:lineChart>
      <c:catAx>
        <c:axId val="-19361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38816"/>
        <c:crosses val="autoZero"/>
        <c:auto val="1"/>
        <c:lblAlgn val="ctr"/>
        <c:lblOffset val="100"/>
        <c:noMultiLvlLbl val="0"/>
      </c:catAx>
      <c:valAx>
        <c:axId val="-193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1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'1x9'!$E$20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'1x9'!$E$21:$E$30</c:f>
              <c:numCache>
                <c:formatCode>General</c:formatCode>
                <c:ptCount val="10"/>
                <c:pt idx="0">
                  <c:v>46.823531079243601</c:v>
                </c:pt>
                <c:pt idx="1">
                  <c:v>157.81811815888599</c:v>
                </c:pt>
                <c:pt idx="2">
                  <c:v>1098.0914074461527</c:v>
                </c:pt>
                <c:pt idx="3">
                  <c:v>8770.6321628464557</c:v>
                </c:pt>
                <c:pt idx="4">
                  <c:v>73970.572837175612</c:v>
                </c:pt>
                <c:pt idx="5">
                  <c:v>640647.95567755355</c:v>
                </c:pt>
                <c:pt idx="6">
                  <c:v>5629915.3108487558</c:v>
                </c:pt>
                <c:pt idx="7">
                  <c:v>49901318.832643844</c:v>
                </c:pt>
                <c:pt idx="8">
                  <c:v>444657754.50992978</c:v>
                </c:pt>
                <c:pt idx="9">
                  <c:v>3975645489.3590569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25917904"/>
        <c:axId val="-1925931872"/>
      </c:lineChart>
      <c:catAx>
        <c:axId val="-192591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31872"/>
        <c:crosses val="autoZero"/>
        <c:auto val="1"/>
        <c:lblAlgn val="ctr"/>
        <c:lblOffset val="100"/>
        <c:noMultiLvlLbl val="0"/>
      </c:catAx>
      <c:valAx>
        <c:axId val="-19259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591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'1x10'!$E$20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'1x10'!$E$21:$E$30</c:f>
              <c:numCache>
                <c:formatCode>General</c:formatCode>
                <c:ptCount val="10"/>
                <c:pt idx="0">
                  <c:v>51.511856158035869</c:v>
                </c:pt>
                <c:pt idx="1">
                  <c:v>192.16644919694235</c:v>
                </c:pt>
                <c:pt idx="2">
                  <c:v>1484.3006520345455</c:v>
                </c:pt>
                <c:pt idx="3">
                  <c:v>13176.560083374954</c:v>
                </c:pt>
                <c:pt idx="4">
                  <c:v>123527.27565077659</c:v>
                </c:pt>
                <c:pt idx="5">
                  <c:v>1189132.6013684438</c:v>
                </c:pt>
                <c:pt idx="6">
                  <c:v>11614244.539917899</c:v>
                </c:pt>
                <c:pt idx="7">
                  <c:v>114407656.28924657</c:v>
                </c:pt>
                <c:pt idx="8">
                  <c:v>1132929267.9472141</c:v>
                </c:pt>
                <c:pt idx="9">
                  <c:v>11256461925.879995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214848"/>
        <c:axId val="1993849392"/>
      </c:lineChart>
      <c:catAx>
        <c:axId val="-19322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9392"/>
        <c:crosses val="autoZero"/>
        <c:auto val="1"/>
        <c:lblAlgn val="ctr"/>
        <c:lblOffset val="100"/>
        <c:noMultiLvlLbl val="0"/>
      </c:catAx>
      <c:valAx>
        <c:axId val="19938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21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'2x3'!$U$6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'2x3'!$U$7:$U$16</c:f>
              <c:numCache>
                <c:formatCode>_(* #,##0.0000_);_(* \(#,##0.0000\);_(* "-"??_);_(@_)</c:formatCode>
                <c:ptCount val="10"/>
                <c:pt idx="0">
                  <c:v>-1.4474305507005927</c:v>
                </c:pt>
                <c:pt idx="1">
                  <c:v>-3.1134035093547561</c:v>
                </c:pt>
                <c:pt idx="2">
                  <c:v>-4.9401155866323627</c:v>
                </c:pt>
                <c:pt idx="3">
                  <c:v>-6.8740443762436767</c:v>
                </c:pt>
                <c:pt idx="4">
                  <c:v>-8.8740260796014141</c:v>
                </c:pt>
                <c:pt idx="5">
                  <c:v>-10.912236147314848</c:v>
                </c:pt>
                <c:pt idx="6">
                  <c:v>-12.971530626456257</c:v>
                </c:pt>
                <c:pt idx="7">
                  <c:v>-15.042033247727803</c:v>
                </c:pt>
                <c:pt idx="8">
                  <c:v>-17.118327941492474</c:v>
                </c:pt>
                <c:pt idx="9">
                  <c:v>-19.197551072449556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2000"/>
        <c:axId val="-2106348976"/>
      </c:lineChart>
      <c:catAx>
        <c:axId val="-21063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48976"/>
        <c:crosses val="autoZero"/>
        <c:auto val="1"/>
        <c:lblAlgn val="ctr"/>
        <c:lblOffset val="100"/>
        <c:noMultiLvlLbl val="0"/>
      </c:catAx>
      <c:valAx>
        <c:axId val="-21063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3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'2x4'!$U$7:$U$16</c:f>
              <c:numCache>
                <c:formatCode>_(* #,##0.0000_);_(* \(#,##0.0000\);_(* "-"??_);_(@_)</c:formatCode>
                <c:ptCount val="10"/>
                <c:pt idx="0">
                  <c:v>-1.7703803444732258</c:v>
                </c:pt>
                <c:pt idx="1">
                  <c:v>-3.7974252164182709</c:v>
                </c:pt>
                <c:pt idx="2">
                  <c:v>-6.0264051649858628</c:v>
                </c:pt>
                <c:pt idx="3">
                  <c:v>-8.4020435046438173</c:v>
                </c:pt>
                <c:pt idx="4">
                  <c:v>-10.87722213074912</c:v>
                </c:pt>
                <c:pt idx="5">
                  <c:v>-13.416310477330654</c:v>
                </c:pt>
                <c:pt idx="6">
                  <c:v>-15.994641400831252</c:v>
                </c:pt>
                <c:pt idx="7">
                  <c:v>-18.596230206378387</c:v>
                </c:pt>
                <c:pt idx="8">
                  <c:v>-21.211222849111962</c:v>
                </c:pt>
                <c:pt idx="9">
                  <c:v>-23.833770952365317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360432"/>
        <c:axId val="-1933357408"/>
      </c:lineChart>
      <c:catAx>
        <c:axId val="-19333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57408"/>
        <c:crosses val="autoZero"/>
        <c:auto val="1"/>
        <c:lblAlgn val="ctr"/>
        <c:lblOffset val="100"/>
        <c:noMultiLvlLbl val="0"/>
      </c:catAx>
      <c:valAx>
        <c:axId val="-19333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3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'2x5'!$U$7:$U$16</c:f>
              <c:numCache>
                <c:formatCode>_(* #,##0.0000_);_(* \(#,##0.0000\);_(* "-"??_);_(@_)</c:formatCode>
                <c:ptCount val="10"/>
                <c:pt idx="0">
                  <c:v>-2.1119205886918473</c:v>
                </c:pt>
                <c:pt idx="1">
                  <c:v>-4.5200678495363604</c:v>
                </c:pt>
                <c:pt idx="2">
                  <c:v>-7.1694319094583596</c:v>
                </c:pt>
                <c:pt idx="3">
                  <c:v>-10.001890741850213</c:v>
                </c:pt>
                <c:pt idx="4">
                  <c:v>-12.965137450482544</c:v>
                </c:pt>
                <c:pt idx="5">
                  <c:v>-16.017161598372979</c:v>
                </c:pt>
                <c:pt idx="6">
                  <c:v>-19.126970553549878</c:v>
                </c:pt>
                <c:pt idx="7">
                  <c:v>-22.273132257368772</c:v>
                </c:pt>
                <c:pt idx="8">
                  <c:v>-25.441544653997578</c:v>
                </c:pt>
                <c:pt idx="9">
                  <c:v>-28.623278645483005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83616"/>
        <c:axId val="-1933280592"/>
      </c:lineChart>
      <c:catAx>
        <c:axId val="-193328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0592"/>
        <c:crosses val="autoZero"/>
        <c:auto val="1"/>
        <c:lblAlgn val="ctr"/>
        <c:lblOffset val="100"/>
        <c:noMultiLvlLbl val="0"/>
      </c:catAx>
      <c:valAx>
        <c:axId val="-193328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8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'2x6'!$U$7:$U$16</c:f>
              <c:numCache>
                <c:formatCode>_(* #,##0.0000_);_(* \(#,##0.0000\);_(* "-"??_);_(@_)</c:formatCode>
                <c:ptCount val="10"/>
                <c:pt idx="0">
                  <c:v>-2.477955225292038</c:v>
                </c:pt>
                <c:pt idx="1">
                  <c:v>-5.295616074916639</c:v>
                </c:pt>
                <c:pt idx="2">
                  <c:v>-8.3951213366081419</c:v>
                </c:pt>
                <c:pt idx="3">
                  <c:v>-11.713805237271673</c:v>
                </c:pt>
                <c:pt idx="4">
                  <c:v>-15.193550110967742</c:v>
                </c:pt>
                <c:pt idx="5">
                  <c:v>-18.786077885288872</c:v>
                </c:pt>
                <c:pt idx="6">
                  <c:v>-22.454469499753376</c:v>
                </c:pt>
                <c:pt idx="7">
                  <c:v>-26.172231794272889</c:v>
                </c:pt>
                <c:pt idx="8">
                  <c:v>-29.921268785011939</c:v>
                </c:pt>
                <c:pt idx="9">
                  <c:v>-33.689687497594214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206736"/>
        <c:axId val="-1933203712"/>
      </c:lineChart>
      <c:catAx>
        <c:axId val="-193320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3712"/>
        <c:crosses val="autoZero"/>
        <c:auto val="1"/>
        <c:lblAlgn val="ctr"/>
        <c:lblOffset val="100"/>
        <c:noMultiLvlLbl val="0"/>
      </c:catAx>
      <c:valAx>
        <c:axId val="-19332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2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'2x7'!$U$7:$U$16</c:f>
              <c:numCache>
                <c:formatCode>_(* #,##0.0000_);_(* \(#,##0.0000\);_(* "-"??_);_(@_)</c:formatCode>
                <c:ptCount val="10"/>
                <c:pt idx="0">
                  <c:v>-2.8671785612277465</c:v>
                </c:pt>
                <c:pt idx="1">
                  <c:v>-6.1216422055492457</c:v>
                </c:pt>
                <c:pt idx="2">
                  <c:v>-9.7008388053015988</c:v>
                </c:pt>
                <c:pt idx="3">
                  <c:v>-13.536063991719244</c:v>
                </c:pt>
                <c:pt idx="4">
                  <c:v>-17.562496362364559</c:v>
                </c:pt>
                <c:pt idx="5">
                  <c:v>-21.725236080426242</c:v>
                </c:pt>
                <c:pt idx="6">
                  <c:v>-25.981420033179297</c:v>
                </c:pt>
                <c:pt idx="7">
                  <c:v>-30.299621250548874</c:v>
                </c:pt>
                <c:pt idx="8">
                  <c:v>-34.657900884312454</c:v>
                </c:pt>
                <c:pt idx="9">
                  <c:v>-39.041522709403196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130400"/>
        <c:axId val="-1933127376"/>
      </c:lineChart>
      <c:catAx>
        <c:axId val="-19331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27376"/>
        <c:crosses val="autoZero"/>
        <c:auto val="1"/>
        <c:lblAlgn val="ctr"/>
        <c:lblOffset val="100"/>
        <c:noMultiLvlLbl val="0"/>
      </c:catAx>
      <c:valAx>
        <c:axId val="-1933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13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'2x8'!$U$7:$U$16</c:f>
              <c:numCache>
                <c:formatCode>_(* #,##0.0000_);_(* \(#,##0.0000\);_(* "-"??_);_(@_)</c:formatCode>
                <c:ptCount val="10"/>
                <c:pt idx="0">
                  <c:v>-3.275726559586865</c:v>
                </c:pt>
                <c:pt idx="1">
                  <c:v>-6.9898403780172789</c:v>
                </c:pt>
                <c:pt idx="2">
                  <c:v>-11.073787586258788</c:v>
                </c:pt>
                <c:pt idx="3">
                  <c:v>-15.451656207842596</c:v>
                </c:pt>
                <c:pt idx="4">
                  <c:v>-20.051105792002545</c:v>
                </c:pt>
                <c:pt idx="5">
                  <c:v>-24.810171800345511</c:v>
                </c:pt>
                <c:pt idx="6">
                  <c:v>-29.679883754875007</c:v>
                </c:pt>
                <c:pt idx="7">
                  <c:v>-34.623880448957593</c:v>
                </c:pt>
                <c:pt idx="8">
                  <c:v>-39.616450597511097</c:v>
                </c:pt>
                <c:pt idx="9">
                  <c:v>-44.640100486439891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3053296"/>
        <c:axId val="-1933050272"/>
      </c:lineChart>
      <c:catAx>
        <c:axId val="-19330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0272"/>
        <c:crosses val="autoZero"/>
        <c:auto val="1"/>
        <c:lblAlgn val="ctr"/>
        <c:lblOffset val="100"/>
        <c:noMultiLvlLbl val="0"/>
      </c:catAx>
      <c:valAx>
        <c:axId val="-19330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305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'2x9'!$U$7:$U$16</c:f>
              <c:numCache>
                <c:formatCode>_(* #,##0.0000_);_(* \(#,##0.0000\);_(* "-"??_);_(@_)</c:formatCode>
                <c:ptCount val="10"/>
                <c:pt idx="0">
                  <c:v>-3.6992817778532388</c:v>
                </c:pt>
                <c:pt idx="1">
                  <c:v>-7.8908241196955728</c:v>
                </c:pt>
                <c:pt idx="2">
                  <c:v>-12.499137938419628</c:v>
                </c:pt>
                <c:pt idx="3">
                  <c:v>-17.440231097791287</c:v>
                </c:pt>
                <c:pt idx="4">
                  <c:v>-22.63359157685279</c:v>
                </c:pt>
                <c:pt idx="5">
                  <c:v>-28.009794231901346</c:v>
                </c:pt>
                <c:pt idx="6">
                  <c:v>-33.513577139626022</c:v>
                </c:pt>
                <c:pt idx="7">
                  <c:v>-39.103599754348778</c:v>
                </c:pt>
                <c:pt idx="8">
                  <c:v>-44.750406611801658</c:v>
                </c:pt>
                <c:pt idx="9">
                  <c:v>-50.43380292790323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976928"/>
        <c:axId val="-1932973904"/>
      </c:lineChart>
      <c:catAx>
        <c:axId val="-19329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3904"/>
        <c:crosses val="autoZero"/>
        <c:auto val="1"/>
        <c:lblAlgn val="ctr"/>
        <c:lblOffset val="100"/>
        <c:noMultiLvlLbl val="0"/>
      </c:catAx>
      <c:valAx>
        <c:axId val="-19329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9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-0.63388218459272161</c:v>
                </c:pt>
                <c:pt idx="1">
                  <c:v>-0.47255184314049714</c:v>
                </c:pt>
                <c:pt idx="2">
                  <c:v>-0.39038707568060604</c:v>
                </c:pt>
                <c:pt idx="3">
                  <c:v>-0.34545676954823368</c:v>
                </c:pt>
                <c:pt idx="4">
                  <c:v>-0.3199292336323955</c:v>
                </c:pt>
                <c:pt idx="5">
                  <c:v>-0.30510949009281235</c:v>
                </c:pt>
                <c:pt idx="6">
                  <c:v>-0.29639818852009853</c:v>
                </c:pt>
                <c:pt idx="7">
                  <c:v>-0.29123999462589323</c:v>
                </c:pt>
                <c:pt idx="8">
                  <c:v>-0.28817247143897662</c:v>
                </c:pt>
                <c:pt idx="9">
                  <c:v>-0.2863435609340157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1.1104223095383876</c:v>
                </c:pt>
                <c:pt idx="1">
                  <c:v>2.3278838335838383</c:v>
                </c:pt>
                <c:pt idx="2">
                  <c:v>3.6354543659697041</c:v>
                </c:pt>
                <c:pt idx="3">
                  <c:v>5.0157814317049709</c:v>
                </c:pt>
                <c:pt idx="4">
                  <c:v>6.452709006348754</c:v>
                </c:pt>
                <c:pt idx="5">
                  <c:v>7.93225714155031</c:v>
                </c:pt>
                <c:pt idx="6">
                  <c:v>9.443008417622222</c:v>
                </c:pt>
                <c:pt idx="7">
                  <c:v>10.976061174287505</c:v>
                </c:pt>
                <c:pt idx="8">
                  <c:v>12.524731197092033</c:v>
                </c:pt>
                <c:pt idx="9">
                  <c:v>14.084150560039753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-1.122810663275255</c:v>
                </c:pt>
                <c:pt idx="1">
                  <c:v>-2.3538547170405653</c:v>
                </c:pt>
                <c:pt idx="2">
                  <c:v>-3.6760130743935231</c:v>
                </c:pt>
                <c:pt idx="3">
                  <c:v>-5.0717396685928824</c:v>
                </c:pt>
                <c:pt idx="4">
                  <c:v>-6.5246982315696957</c:v>
                </c:pt>
                <c:pt idx="5">
                  <c:v>-8.0207528485954676</c:v>
                </c:pt>
                <c:pt idx="6">
                  <c:v>-9.548358722288155</c:v>
                </c:pt>
                <c:pt idx="7">
                  <c:v>-11.09851488158117</c:v>
                </c:pt>
                <c:pt idx="8">
                  <c:v>-12.664462540019802</c:v>
                </c:pt>
                <c:pt idx="9">
                  <c:v>-14.24127946291059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-1.2388353736867419E-2</c:v>
                </c:pt>
                <c:pt idx="1">
                  <c:v>-2.5970883456726934E-2</c:v>
                </c:pt>
                <c:pt idx="2">
                  <c:v>-4.0558708423819034E-2</c:v>
                </c:pt>
                <c:pt idx="3">
                  <c:v>-5.5958236887911461E-2</c:v>
                </c:pt>
                <c:pt idx="4">
                  <c:v>-7.1989225220941755E-2</c:v>
                </c:pt>
                <c:pt idx="5">
                  <c:v>-8.8495707045157523E-2</c:v>
                </c:pt>
                <c:pt idx="6">
                  <c:v>-0.10535030466593298</c:v>
                </c:pt>
                <c:pt idx="7">
                  <c:v>-0.12245370729366556</c:v>
                </c:pt>
                <c:pt idx="8">
                  <c:v>-0.13973134292776912</c:v>
                </c:pt>
                <c:pt idx="9">
                  <c:v>-0.15712890287083781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900160"/>
        <c:axId val="-1985896816"/>
      </c:lineChart>
      <c:catAx>
        <c:axId val="-19859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96816"/>
        <c:crosses val="autoZero"/>
        <c:auto val="1"/>
        <c:lblAlgn val="ctr"/>
        <c:lblOffset val="100"/>
        <c:noMultiLvlLbl val="0"/>
      </c:catAx>
      <c:valAx>
        <c:axId val="-19858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9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'2x10'!$U$6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'2x10'!$U$7:$U$16</c:f>
              <c:numCache>
                <c:formatCode>_(* #,##0.0000_);_(* \(#,##0.0000\);_(* "-"??_);_(@_)</c:formatCode>
                <c:ptCount val="10"/>
                <c:pt idx="0">
                  <c:v>-4.1339667003148586</c:v>
                </c:pt>
                <c:pt idx="1">
                  <c:v>-8.8161371269386244</c:v>
                </c:pt>
                <c:pt idx="2">
                  <c:v>-13.963426300313518</c:v>
                </c:pt>
                <c:pt idx="3">
                  <c:v>-19.483128766169759</c:v>
                </c:pt>
                <c:pt idx="4">
                  <c:v>-25.286070474483708</c:v>
                </c:pt>
                <c:pt idx="5">
                  <c:v>-31.295052567092426</c:v>
                </c:pt>
                <c:pt idx="6">
                  <c:v>-37.448362767508385</c:v>
                </c:pt>
                <c:pt idx="7">
                  <c:v>-43.699629532045449</c:v>
                </c:pt>
                <c:pt idx="8">
                  <c:v>-50.015662857109497</c:v>
                </c:pt>
                <c:pt idx="9">
                  <c:v>-56.373603875917738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9504"/>
        <c:axId val="-1935929568"/>
      </c:lineChart>
      <c:catAx>
        <c:axId val="-19853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29568"/>
        <c:crosses val="autoZero"/>
        <c:auto val="1"/>
        <c:lblAlgn val="ctr"/>
        <c:lblOffset val="100"/>
        <c:noMultiLvlLbl val="0"/>
      </c:catAx>
      <c:valAx>
        <c:axId val="-19359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'3x4'!$U$6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'3x4'!$U$7:$U$16</c:f>
              <c:numCache>
                <c:formatCode>_(* #,##0.0000_);_(* \(#,##0.0000\);_(* "-"??_);_(@_)</c:formatCode>
                <c:ptCount val="10"/>
                <c:pt idx="0">
                  <c:v>-6.1021836161551244</c:v>
                </c:pt>
                <c:pt idx="1">
                  <c:v>-13.058956183478275</c:v>
                </c:pt>
                <c:pt idx="2">
                  <c:v>-20.400498291527544</c:v>
                </c:pt>
                <c:pt idx="3">
                  <c:v>-27.885877486246695</c:v>
                </c:pt>
                <c:pt idx="4">
                  <c:v>-35.418934360790089</c:v>
                </c:pt>
                <c:pt idx="5">
                  <c:v>-42.966627294804731</c:v>
                </c:pt>
                <c:pt idx="6">
                  <c:v>-50.518592806483888</c:v>
                </c:pt>
                <c:pt idx="7">
                  <c:v>-58.071763338222105</c:v>
                </c:pt>
                <c:pt idx="8">
                  <c:v>-65.625265427397082</c:v>
                </c:pt>
                <c:pt idx="9">
                  <c:v>-73.178857070394187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6-E343-B621-93D8E870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556384"/>
        <c:axId val="-1985155968"/>
      </c:lineChart>
      <c:catAx>
        <c:axId val="-19855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55968"/>
        <c:crosses val="autoZero"/>
        <c:auto val="1"/>
        <c:lblAlgn val="ctr"/>
        <c:lblOffset val="100"/>
        <c:noMultiLvlLbl val="0"/>
      </c:catAx>
      <c:valAx>
        <c:axId val="-19851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55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'3x5'!$U$6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'3x5'!$U$7:$U$16</c:f>
              <c:numCache>
                <c:formatCode>_(* #,##0.0000_);_(* \(#,##0.0000\);_(* "-"??_);_(@_)</c:formatCode>
                <c:ptCount val="10"/>
                <c:pt idx="0">
                  <c:v>-7.7614352204102213</c:v>
                </c:pt>
                <c:pt idx="1">
                  <c:v>-16.63484558230294</c:v>
                </c:pt>
                <c:pt idx="2">
                  <c:v>-26.035064544383069</c:v>
                </c:pt>
                <c:pt idx="3">
                  <c:v>-35.643881618707617</c:v>
                </c:pt>
                <c:pt idx="4">
                  <c:v>-45.326081370790092</c:v>
                </c:pt>
                <c:pt idx="5">
                  <c:v>-55.032191162003478</c:v>
                </c:pt>
                <c:pt idx="6">
                  <c:v>-64.745706360091191</c:v>
                </c:pt>
                <c:pt idx="7">
                  <c:v>-74.461436565085847</c:v>
                </c:pt>
                <c:pt idx="8">
                  <c:v>-84.177812901789494</c:v>
                </c:pt>
                <c:pt idx="9">
                  <c:v>-93.894374219340364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8B2-A1FA-8D12D664B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479808"/>
        <c:axId val="-1985476784"/>
      </c:lineChart>
      <c:catAx>
        <c:axId val="-19854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6784"/>
        <c:crosses val="autoZero"/>
        <c:auto val="1"/>
        <c:lblAlgn val="ctr"/>
        <c:lblOffset val="100"/>
        <c:noMultiLvlLbl val="0"/>
      </c:catAx>
      <c:valAx>
        <c:axId val="-1985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4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'3x6'!$U$6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'3x6'!$U$7:$U$16</c:f>
              <c:numCache>
                <c:formatCode>_(* #,##0.0000_);_(* \(#,##0.0000\);_(* "-"??_);_(@_)</c:formatCode>
                <c:ptCount val="10"/>
                <c:pt idx="0">
                  <c:v>-9.4581902106823801</c:v>
                </c:pt>
                <c:pt idx="1">
                  <c:v>-20.28769035997891</c:v>
                </c:pt>
                <c:pt idx="2">
                  <c:v>-31.785847172018542</c:v>
                </c:pt>
                <c:pt idx="3">
                  <c:v>-43.557584999750247</c:v>
                </c:pt>
                <c:pt idx="4">
                  <c:v>-55.428896084614117</c:v>
                </c:pt>
                <c:pt idx="5">
                  <c:v>-67.333777430247579</c:v>
                </c:pt>
                <c:pt idx="6">
                  <c:v>-79.249414909093986</c:v>
                </c:pt>
                <c:pt idx="7">
                  <c:v>-91.168379823931701</c:v>
                </c:pt>
                <c:pt idx="8">
                  <c:v>-103.08834842585178</c:v>
                </c:pt>
                <c:pt idx="9">
                  <c:v>-115.00861411541864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5-4536-BE92-0DAB3951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6075952"/>
        <c:axId val="-1936072928"/>
      </c:lineChart>
      <c:catAx>
        <c:axId val="-193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2928"/>
        <c:crosses val="autoZero"/>
        <c:auto val="1"/>
        <c:lblAlgn val="ctr"/>
        <c:lblOffset val="100"/>
        <c:noMultiLvlLbl val="0"/>
      </c:catAx>
      <c:valAx>
        <c:axId val="-19360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'3x7'!$U$6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'3x7'!$U$7:$U$16</c:f>
              <c:numCache>
                <c:formatCode>_(* #,##0.0000_);_(* \(#,##0.0000\);_(* "-"??_);_(@_)</c:formatCode>
                <c:ptCount val="10"/>
                <c:pt idx="0">
                  <c:v>-11.182856269138819</c:v>
                </c:pt>
                <c:pt idx="1">
                  <c:v>-23.997744377551811</c:v>
                </c:pt>
                <c:pt idx="2">
                  <c:v>-37.621803163182669</c:v>
                </c:pt>
                <c:pt idx="3">
                  <c:v>-51.583298058430415</c:v>
                </c:pt>
                <c:pt idx="4">
                  <c:v>-65.670066220843637</c:v>
                </c:pt>
                <c:pt idx="5">
                  <c:v>-79.799918957408778</c:v>
                </c:pt>
                <c:pt idx="6">
                  <c:v>-93.943852387501721</c:v>
                </c:pt>
                <c:pt idx="7">
                  <c:v>-108.09222820611819</c:v>
                </c:pt>
                <c:pt idx="8">
                  <c:v>-122.24197047325232</c:v>
                </c:pt>
                <c:pt idx="9">
                  <c:v>-136.39212515110145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F91-A004-6AB09417E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5999136"/>
        <c:axId val="-1935996112"/>
      </c:lineChart>
      <c:catAx>
        <c:axId val="-19359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6112"/>
        <c:crosses val="autoZero"/>
        <c:auto val="1"/>
        <c:lblAlgn val="ctr"/>
        <c:lblOffset val="100"/>
        <c:noMultiLvlLbl val="0"/>
      </c:catAx>
      <c:valAx>
        <c:axId val="-19359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59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'3x8'!$U$6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'3x8'!$U$7:$U$16</c:f>
              <c:numCache>
                <c:formatCode>_(* #,##0.0000_);_(* \(#,##0.0000\);_(* "-"??_);_(@_)</c:formatCode>
                <c:ptCount val="10"/>
                <c:pt idx="0">
                  <c:v>-12.927648144868424</c:v>
                </c:pt>
                <c:pt idx="1">
                  <c:v>-27.749009425951872</c:v>
                </c:pt>
                <c:pt idx="2">
                  <c:v>-43.518521446736891</c:v>
                </c:pt>
                <c:pt idx="3">
                  <c:v>-59.687879603616615</c:v>
                </c:pt>
                <c:pt idx="4">
                  <c:v>-76.007424936251326</c:v>
                </c:pt>
                <c:pt idx="5">
                  <c:v>-92.379233687189881</c:v>
                </c:pt>
                <c:pt idx="6">
                  <c:v>-108.76832360573653</c:v>
                </c:pt>
                <c:pt idx="7">
                  <c:v>-125.16292924302699</c:v>
                </c:pt>
                <c:pt idx="8">
                  <c:v>-141.5592511476377</c:v>
                </c:pt>
                <c:pt idx="9">
                  <c:v>-157.95609702045761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F-4969-9C31-BD0E9832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388176"/>
        <c:axId val="-1985314560"/>
      </c:lineChart>
      <c:catAx>
        <c:axId val="-19853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14560"/>
        <c:crosses val="autoZero"/>
        <c:auto val="1"/>
        <c:lblAlgn val="ctr"/>
        <c:lblOffset val="100"/>
        <c:noMultiLvlLbl val="0"/>
      </c:catAx>
      <c:valAx>
        <c:axId val="-1985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'3x9'!$U$6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'3x9'!$U$7:$U$16</c:f>
              <c:numCache>
                <c:formatCode>_(* #,##0.0000_);_(* \(#,##0.0000\);_(* "-"??_);_(@_)</c:formatCode>
                <c:ptCount val="10"/>
                <c:pt idx="0">
                  <c:v>-14.686602330844327</c:v>
                </c:pt>
                <c:pt idx="1">
                  <c:v>-31.529234172703294</c:v>
                </c:pt>
                <c:pt idx="2">
                  <c:v>-49.457624320991421</c:v>
                </c:pt>
                <c:pt idx="3">
                  <c:v>-67.846939323367408</c:v>
                </c:pt>
                <c:pt idx="4">
                  <c:v>-86.410586781505273</c:v>
                </c:pt>
                <c:pt idx="5">
                  <c:v>-105.03532418858535</c:v>
                </c:pt>
                <c:pt idx="6">
                  <c:v>-123.68040179280206</c:v>
                </c:pt>
                <c:pt idx="7">
                  <c:v>-142.332016309463</c:v>
                </c:pt>
                <c:pt idx="8">
                  <c:v>-160.98567880626433</c:v>
                </c:pt>
                <c:pt idx="9">
                  <c:v>-179.63997081261317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6-4C82-88E2-BE300815D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48272"/>
        <c:axId val="-1985145248"/>
      </c:lineChart>
      <c:catAx>
        <c:axId val="-198514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5248"/>
        <c:crosses val="autoZero"/>
        <c:auto val="1"/>
        <c:lblAlgn val="ctr"/>
        <c:lblOffset val="100"/>
        <c:noMultiLvlLbl val="0"/>
      </c:catAx>
      <c:valAx>
        <c:axId val="-19851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4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'3x10'!$U$6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'3x10'!$U$7:$U$16</c:f>
              <c:numCache>
                <c:formatCode>_(* #,##0.0000_);_(* \(#,##0.0000\);_(* "-"??_);_(@_)</c:formatCode>
                <c:ptCount val="10"/>
                <c:pt idx="0">
                  <c:v>-16.455330573699428</c:v>
                </c:pt>
                <c:pt idx="1">
                  <c:v>-35.329411897974978</c:v>
                </c:pt>
                <c:pt idx="2">
                  <c:v>-55.425755949305859</c:v>
                </c:pt>
                <c:pt idx="3">
                  <c:v>-76.043025432287763</c:v>
                </c:pt>
                <c:pt idx="4">
                  <c:v>-96.858134927701329</c:v>
                </c:pt>
                <c:pt idx="5">
                  <c:v>-117.74286018436398</c:v>
                </c:pt>
                <c:pt idx="6">
                  <c:v>-138.650860206121</c:v>
                </c:pt>
                <c:pt idx="7">
                  <c:v>-159.56637095994515</c:v>
                </c:pt>
                <c:pt idx="8">
                  <c:v>-180.48424438822968</c:v>
                </c:pt>
                <c:pt idx="9">
                  <c:v>-201.40284700668181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2CD-8E23-47038D1C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199104"/>
        <c:axId val="-1985384208"/>
      </c:lineChart>
      <c:catAx>
        <c:axId val="-19851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384208"/>
        <c:crosses val="autoZero"/>
        <c:auto val="1"/>
        <c:lblAlgn val="ctr"/>
        <c:lblOffset val="100"/>
        <c:noMultiLvlLbl val="0"/>
      </c:catAx>
      <c:valAx>
        <c:axId val="-19853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1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Analysis!$R$23</c:f>
              <c:strCache>
                <c:ptCount val="1"/>
                <c:pt idx="0">
                  <c:v> Edge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Analysis!$R$24:$R$33</c:f>
              <c:numCache>
                <c:formatCode>_(* #,##0.0000_);_(* \(#,##0.0000\);_(* "-"??_);_(@_)</c:formatCode>
                <c:ptCount val="10"/>
                <c:pt idx="0">
                  <c:v>-0.63388218459272161</c:v>
                </c:pt>
                <c:pt idx="1">
                  <c:v>-0.47255184314049714</c:v>
                </c:pt>
                <c:pt idx="2">
                  <c:v>-0.39038707568060604</c:v>
                </c:pt>
                <c:pt idx="3">
                  <c:v>-0.34545676954823368</c:v>
                </c:pt>
                <c:pt idx="4">
                  <c:v>-0.3199292336323955</c:v>
                </c:pt>
                <c:pt idx="5">
                  <c:v>-0.30510949009281235</c:v>
                </c:pt>
                <c:pt idx="6">
                  <c:v>-0.29639818852009853</c:v>
                </c:pt>
                <c:pt idx="7">
                  <c:v>-0.29123999462589323</c:v>
                </c:pt>
                <c:pt idx="8">
                  <c:v>-0.28817247143897662</c:v>
                </c:pt>
                <c:pt idx="9">
                  <c:v>-0.2863435609340157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E-934E-8148-2C34652223AE}"/>
            </c:ext>
          </c:extLst>
        </c:ser>
        <c:ser>
          <c:idx val="1"/>
          <c:order val="1"/>
          <c:tx>
            <c:strRef>
              <c:f>Analysis!$S$23</c:f>
              <c:strCache>
                <c:ptCount val="1"/>
                <c:pt idx="0">
                  <c:v>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Analysis!$S$24:$S$33</c:f>
              <c:numCache>
                <c:formatCode>General</c:formatCode>
                <c:ptCount val="10"/>
                <c:pt idx="0">
                  <c:v>1.1104223095383876</c:v>
                </c:pt>
                <c:pt idx="1">
                  <c:v>2.3278838335838383</c:v>
                </c:pt>
                <c:pt idx="2">
                  <c:v>3.6354543659697041</c:v>
                </c:pt>
                <c:pt idx="3">
                  <c:v>5.0157814317049709</c:v>
                </c:pt>
                <c:pt idx="4">
                  <c:v>6.452709006348754</c:v>
                </c:pt>
                <c:pt idx="5">
                  <c:v>7.93225714155031</c:v>
                </c:pt>
                <c:pt idx="6">
                  <c:v>9.443008417622222</c:v>
                </c:pt>
                <c:pt idx="7">
                  <c:v>10.976061174287505</c:v>
                </c:pt>
                <c:pt idx="8">
                  <c:v>12.524731197092033</c:v>
                </c:pt>
                <c:pt idx="9">
                  <c:v>14.084150560039753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E-934E-8148-2C34652223AE}"/>
            </c:ext>
          </c:extLst>
        </c:ser>
        <c:ser>
          <c:idx val="2"/>
          <c:order val="2"/>
          <c:tx>
            <c:strRef>
              <c:f>Analysis!$T$23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Analysis!$T$24:$T$33</c:f>
              <c:numCache>
                <c:formatCode>General</c:formatCode>
                <c:ptCount val="10"/>
                <c:pt idx="0">
                  <c:v>-1.122810663275255</c:v>
                </c:pt>
                <c:pt idx="1">
                  <c:v>-2.3538547170405653</c:v>
                </c:pt>
                <c:pt idx="2">
                  <c:v>-3.6760130743935231</c:v>
                </c:pt>
                <c:pt idx="3">
                  <c:v>-5.0717396685928824</c:v>
                </c:pt>
                <c:pt idx="4">
                  <c:v>-6.5246982315696957</c:v>
                </c:pt>
                <c:pt idx="5">
                  <c:v>-8.0207528485954676</c:v>
                </c:pt>
                <c:pt idx="6">
                  <c:v>-9.548358722288155</c:v>
                </c:pt>
                <c:pt idx="7">
                  <c:v>-11.09851488158117</c:v>
                </c:pt>
                <c:pt idx="8">
                  <c:v>-12.664462540019802</c:v>
                </c:pt>
                <c:pt idx="9">
                  <c:v>-14.24127946291059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E-934E-8148-2C34652223AE}"/>
            </c:ext>
          </c:extLst>
        </c:ser>
        <c:ser>
          <c:idx val="3"/>
          <c:order val="3"/>
          <c:tx>
            <c:strRef>
              <c:f>Analysis!$U$23</c:f>
              <c:strCache>
                <c:ptCount val="1"/>
                <c:pt idx="0">
                  <c:v> EV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Analysis!$U$24:$U$33</c:f>
              <c:numCache>
                <c:formatCode>_(* #,##0.0000_);_(* \(#,##0.0000\);_(* "-"??_);_(@_)</c:formatCode>
                <c:ptCount val="10"/>
                <c:pt idx="0">
                  <c:v>-1.2388353736867419E-2</c:v>
                </c:pt>
                <c:pt idx="1">
                  <c:v>-2.5970883456726934E-2</c:v>
                </c:pt>
                <c:pt idx="2">
                  <c:v>-4.0558708423819034E-2</c:v>
                </c:pt>
                <c:pt idx="3">
                  <c:v>-5.5958236887911461E-2</c:v>
                </c:pt>
                <c:pt idx="4">
                  <c:v>-7.1989225220941755E-2</c:v>
                </c:pt>
                <c:pt idx="5">
                  <c:v>-8.8495707045157523E-2</c:v>
                </c:pt>
                <c:pt idx="6">
                  <c:v>-0.10535030466593298</c:v>
                </c:pt>
                <c:pt idx="7">
                  <c:v>-0.12245370729366556</c:v>
                </c:pt>
                <c:pt idx="8">
                  <c:v>-0.13973134292776912</c:v>
                </c:pt>
                <c:pt idx="9">
                  <c:v>-0.15712890287083781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BE40-AE07-4A63048A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849824"/>
        <c:axId val="-1985846480"/>
      </c:lineChart>
      <c:catAx>
        <c:axId val="-19858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6480"/>
        <c:crosses val="autoZero"/>
        <c:auto val="1"/>
        <c:lblAlgn val="ctr"/>
        <c:lblOffset val="100"/>
        <c:noMultiLvlLbl val="0"/>
      </c:catAx>
      <c:valAx>
        <c:axId val="-19858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_);_(* \(#,##0.0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8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'1x2'!$E$20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'1x2'!$E$21:$E$30</c:f>
              <c:numCache>
                <c:formatCode>General</c:formatCode>
                <c:ptCount val="10"/>
                <c:pt idx="0">
                  <c:v>-90.321824013684903</c:v>
                </c:pt>
                <c:pt idx="1">
                  <c:v>19.763091965302699</c:v>
                </c:pt>
                <c:pt idx="2">
                  <c:v>30.023189886264088</c:v>
                </c:pt>
                <c:pt idx="3">
                  <c:v>53.209916923481771</c:v>
                </c:pt>
                <c:pt idx="4">
                  <c:v>98.616574747062955</c:v>
                </c:pt>
                <c:pt idx="5">
                  <c:v>186.67803833805183</c:v>
                </c:pt>
                <c:pt idx="6">
                  <c:v>357.96040940683321</c:v>
                </c:pt>
                <c:pt idx="7">
                  <c:v>692.53049652658819</c:v>
                </c:pt>
                <c:pt idx="8">
                  <c:v>1348.5520190232075</c:v>
                </c:pt>
                <c:pt idx="9">
                  <c:v>2638.9154673835865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9173168"/>
        <c:axId val="-2139170176"/>
      </c:lineChart>
      <c:catAx>
        <c:axId val="-213917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0176"/>
        <c:crosses val="autoZero"/>
        <c:auto val="1"/>
        <c:lblAlgn val="ctr"/>
        <c:lblOffset val="100"/>
        <c:noMultiLvlLbl val="0"/>
      </c:catAx>
      <c:valAx>
        <c:axId val="-2139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17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'1x3'!$E$20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'1x3'!$E$21:$E$30</c:f>
              <c:numCache>
                <c:formatCode>General</c:formatCode>
                <c:ptCount val="10"/>
                <c:pt idx="0">
                  <c:v>38.078860090907135</c:v>
                </c:pt>
                <c:pt idx="1">
                  <c:v>27.560313968421401</c:v>
                </c:pt>
                <c:pt idx="2">
                  <c:v>63.775384111327512</c:v>
                </c:pt>
                <c:pt idx="3">
                  <c:v>167.72448198177628</c:v>
                </c:pt>
                <c:pt idx="4">
                  <c:v>463.39959276198863</c:v>
                </c:pt>
                <c:pt idx="5">
                  <c:v>1314.6294555272668</c:v>
                </c:pt>
                <c:pt idx="6">
                  <c:v>3790.1438977220832</c:v>
                </c:pt>
                <c:pt idx="7">
                  <c:v>11042.447055962262</c:v>
                </c:pt>
                <c:pt idx="8">
                  <c:v>32402.153519205061</c:v>
                </c:pt>
                <c:pt idx="9">
                  <c:v>95557.732679988854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1669328"/>
        <c:axId val="-1931666304"/>
      </c:lineChart>
      <c:catAx>
        <c:axId val="-19316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6304"/>
        <c:crosses val="autoZero"/>
        <c:auto val="1"/>
        <c:lblAlgn val="ctr"/>
        <c:lblOffset val="100"/>
        <c:noMultiLvlLbl val="0"/>
      </c:catAx>
      <c:valAx>
        <c:axId val="-19316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'1x4'!$E$20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'1x4'!$E$21:$E$30</c:f>
              <c:numCache>
                <c:formatCode>General</c:formatCode>
                <c:ptCount val="10"/>
                <c:pt idx="0">
                  <c:v>30.725396746957941</c:v>
                </c:pt>
                <c:pt idx="1">
                  <c:v>40.124499275269557</c:v>
                </c:pt>
                <c:pt idx="2">
                  <c:v>124.17902306604816</c:v>
                </c:pt>
                <c:pt idx="3">
                  <c:v>436.70633650462474</c:v>
                </c:pt>
                <c:pt idx="4">
                  <c:v>1618.1191401733438</c:v>
                </c:pt>
                <c:pt idx="5">
                  <c:v>6162.374432304302</c:v>
                </c:pt>
                <c:pt idx="6">
                  <c:v>23848.048315002903</c:v>
                </c:pt>
                <c:pt idx="7">
                  <c:v>93220.099954132893</c:v>
                </c:pt>
                <c:pt idx="8">
                  <c:v>366792.82616911479</c:v>
                </c:pt>
                <c:pt idx="9">
                  <c:v>1449693.7949543572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2501168"/>
        <c:axId val="-1932439824"/>
      </c:lineChart>
      <c:catAx>
        <c:axId val="-19325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439824"/>
        <c:crosses val="autoZero"/>
        <c:auto val="1"/>
        <c:lblAlgn val="ctr"/>
        <c:lblOffset val="100"/>
        <c:noMultiLvlLbl val="0"/>
      </c:catAx>
      <c:valAx>
        <c:axId val="-19324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2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'1x5'!$E$20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'1x5'!$E$21:$E$30</c:f>
              <c:numCache>
                <c:formatCode>General</c:formatCode>
                <c:ptCount val="10"/>
                <c:pt idx="0">
                  <c:v>31.586896549486926</c:v>
                </c:pt>
                <c:pt idx="1">
                  <c:v>56.433517001417954</c:v>
                </c:pt>
                <c:pt idx="2">
                  <c:v>218.57876596249932</c:v>
                </c:pt>
                <c:pt idx="3">
                  <c:v>964.35317527204825</c:v>
                </c:pt>
                <c:pt idx="4">
                  <c:v>4487.9643013937275</c:v>
                </c:pt>
                <c:pt idx="5">
                  <c:v>21464.787553787923</c:v>
                </c:pt>
                <c:pt idx="6">
                  <c:v>104268.09501430579</c:v>
                </c:pt>
                <c:pt idx="7">
                  <c:v>511315.06838824082</c:v>
                </c:pt>
                <c:pt idx="8">
                  <c:v>2522660.0679048486</c:v>
                </c:pt>
                <c:pt idx="9">
                  <c:v>12496135.538177572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681792"/>
        <c:axId val="-1985261776"/>
      </c:lineChart>
      <c:catAx>
        <c:axId val="-19856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61776"/>
        <c:crosses val="autoZero"/>
        <c:auto val="1"/>
        <c:lblAlgn val="ctr"/>
        <c:lblOffset val="100"/>
        <c:noMultiLvlLbl val="0"/>
      </c:catAx>
      <c:valAx>
        <c:axId val="-19852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6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'1x6'!$E$20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'1x6'!$E$21:$E$30</c:f>
              <c:numCache>
                <c:formatCode>General</c:formatCode>
                <c:ptCount val="10"/>
                <c:pt idx="0">
                  <c:v>34.43065747220021</c:v>
                </c:pt>
                <c:pt idx="1">
                  <c:v>76.3644029252482</c:v>
                </c:pt>
                <c:pt idx="2">
                  <c:v>354.98744676314726</c:v>
                </c:pt>
                <c:pt idx="3">
                  <c:v>1884.2863937459429</c:v>
                </c:pt>
                <c:pt idx="4">
                  <c:v>10555.539317271388</c:v>
                </c:pt>
                <c:pt idx="5">
                  <c:v>60751.440959747088</c:v>
                </c:pt>
                <c:pt idx="6">
                  <c:v>354976.91989176424</c:v>
                </c:pt>
                <c:pt idx="7">
                  <c:v>2093082.162032231</c:v>
                </c:pt>
                <c:pt idx="8">
                  <c:v>12412443.381014671</c:v>
                </c:pt>
                <c:pt idx="9">
                  <c:v>73883547.116060197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61568"/>
        <c:axId val="-1985235936"/>
      </c:lineChart>
      <c:catAx>
        <c:axId val="-19850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235936"/>
        <c:crosses val="autoZero"/>
        <c:auto val="1"/>
        <c:lblAlgn val="ctr"/>
        <c:lblOffset val="100"/>
        <c:noMultiLvlLbl val="0"/>
      </c:catAx>
      <c:valAx>
        <c:axId val="-19852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69021138389"/>
          <c:y val="0.20809827437356301"/>
          <c:w val="0.82267170676455803"/>
          <c:h val="0.76287916454300597"/>
        </c:manualLayout>
      </c:layout>
      <c:lineChart>
        <c:grouping val="standard"/>
        <c:varyColors val="0"/>
        <c:ser>
          <c:idx val="0"/>
          <c:order val="0"/>
          <c:tx>
            <c:strRef>
              <c:f>'1x7'!$E$20</c:f>
              <c:strCache>
                <c:ptCount val="1"/>
                <c:pt idx="0">
                  <c:v>BYE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'1x7'!$E$21:$E$30</c:f>
              <c:numCache>
                <c:formatCode>General</c:formatCode>
                <c:ptCount val="10"/>
                <c:pt idx="0">
                  <c:v>38.139987362557228</c:v>
                </c:pt>
                <c:pt idx="1">
                  <c:v>99.906541318001857</c:v>
                </c:pt>
                <c:pt idx="2">
                  <c:v>541.57978168665011</c:v>
                </c:pt>
                <c:pt idx="3">
                  <c:v>3359.3128107487778</c:v>
                </c:pt>
                <c:pt idx="4">
                  <c:v>21996.232417890162</c:v>
                </c:pt>
                <c:pt idx="5">
                  <c:v>147941.19243262155</c:v>
                </c:pt>
                <c:pt idx="6">
                  <c:v>1009894.2255823287</c:v>
                </c:pt>
                <c:pt idx="7">
                  <c:v>6955001.1310954532</c:v>
                </c:pt>
                <c:pt idx="8">
                  <c:v>48162768.960126683</c:v>
                </c:pt>
                <c:pt idx="9">
                  <c:v>334709232.24577355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D-104F-B6EA-28542FAD2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5013312"/>
        <c:axId val="-1985084080"/>
      </c:lineChart>
      <c:catAx>
        <c:axId val="-198501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84080"/>
        <c:crosses val="autoZero"/>
        <c:auto val="1"/>
        <c:lblAlgn val="ctr"/>
        <c:lblOffset val="100"/>
        <c:noMultiLvlLbl val="0"/>
      </c:catAx>
      <c:valAx>
        <c:axId val="-19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501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403225</xdr:colOff>
      <xdr:row>4</xdr:row>
      <xdr:rowOff>180975</xdr:rowOff>
    </xdr:from>
    <xdr:to>
      <xdr:col>29</xdr:col>
      <xdr:colOff>171450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339725</xdr:colOff>
      <xdr:row>20</xdr:row>
      <xdr:rowOff>196850</xdr:rowOff>
    </xdr:from>
    <xdr:to>
      <xdr:col>28</xdr:col>
      <xdr:colOff>631825</xdr:colOff>
      <xdr:row>32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187325</xdr:colOff>
      <xdr:row>36</xdr:row>
      <xdr:rowOff>63500</xdr:rowOff>
    </xdr:from>
    <xdr:to>
      <xdr:col>29</xdr:col>
      <xdr:colOff>479425</xdr:colOff>
      <xdr:row>47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16</xdr:row>
      <xdr:rowOff>47625</xdr:rowOff>
    </xdr:from>
    <xdr:to>
      <xdr:col>12</xdr:col>
      <xdr:colOff>171450</xdr:colOff>
      <xdr:row>30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34925</xdr:rowOff>
    </xdr:from>
    <xdr:to>
      <xdr:col>12</xdr:col>
      <xdr:colOff>187325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18</xdr:row>
      <xdr:rowOff>123825</xdr:rowOff>
    </xdr:from>
    <xdr:to>
      <xdr:col>12</xdr:col>
      <xdr:colOff>212725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9525</xdr:rowOff>
    </xdr:from>
    <xdr:to>
      <xdr:col>12</xdr:col>
      <xdr:colOff>200025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18</xdr:row>
      <xdr:rowOff>212725</xdr:rowOff>
    </xdr:from>
    <xdr:to>
      <xdr:col>12</xdr:col>
      <xdr:colOff>149225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18</xdr:row>
      <xdr:rowOff>200025</xdr:rowOff>
    </xdr:from>
    <xdr:to>
      <xdr:col>12</xdr:col>
      <xdr:colOff>288925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19</xdr:row>
      <xdr:rowOff>22225</xdr:rowOff>
    </xdr:from>
    <xdr:to>
      <xdr:col>12</xdr:col>
      <xdr:colOff>187325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19</xdr:row>
      <xdr:rowOff>60325</xdr:rowOff>
    </xdr:from>
    <xdr:to>
      <xdr:col>12</xdr:col>
      <xdr:colOff>276225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73025</xdr:rowOff>
    </xdr:from>
    <xdr:to>
      <xdr:col>12</xdr:col>
      <xdr:colOff>288925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19</xdr:row>
      <xdr:rowOff>85725</xdr:rowOff>
    </xdr:from>
    <xdr:to>
      <xdr:col>12</xdr:col>
      <xdr:colOff>288925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422275</xdr:colOff>
      <xdr:row>18</xdr:row>
      <xdr:rowOff>57150</xdr:rowOff>
    </xdr:from>
    <xdr:to>
      <xdr:col>12</xdr:col>
      <xdr:colOff>571500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</xdr:colOff>
      <xdr:row>19</xdr:row>
      <xdr:rowOff>73025</xdr:rowOff>
    </xdr:from>
    <xdr:to>
      <xdr:col>12</xdr:col>
      <xdr:colOff>212725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19</xdr:row>
      <xdr:rowOff>85725</xdr:rowOff>
    </xdr:from>
    <xdr:to>
      <xdr:col>12</xdr:col>
      <xdr:colOff>250825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22225</xdr:rowOff>
    </xdr:from>
    <xdr:to>
      <xdr:col>12</xdr:col>
      <xdr:colOff>200025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19</xdr:row>
      <xdr:rowOff>85725</xdr:rowOff>
    </xdr:from>
    <xdr:to>
      <xdr:col>12</xdr:col>
      <xdr:colOff>200025</xdr:colOff>
      <xdr:row>31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19</xdr:row>
      <xdr:rowOff>47625</xdr:rowOff>
    </xdr:from>
    <xdr:to>
      <xdr:col>12</xdr:col>
      <xdr:colOff>149225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</xdr:colOff>
      <xdr:row>19</xdr:row>
      <xdr:rowOff>98425</xdr:rowOff>
    </xdr:from>
    <xdr:to>
      <xdr:col>12</xdr:col>
      <xdr:colOff>174625</xdr:colOff>
      <xdr:row>31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638175</xdr:colOff>
      <xdr:row>19</xdr:row>
      <xdr:rowOff>57150</xdr:rowOff>
    </xdr:from>
    <xdr:to>
      <xdr:col>12</xdr:col>
      <xdr:colOff>127000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16</xdr:row>
      <xdr:rowOff>152400</xdr:rowOff>
    </xdr:from>
    <xdr:to>
      <xdr:col>12</xdr:col>
      <xdr:colOff>180975</xdr:colOff>
      <xdr:row>30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31750</xdr:colOff>
      <xdr:row>18</xdr:row>
      <xdr:rowOff>161925</xdr:rowOff>
    </xdr:from>
    <xdr:to>
      <xdr:col>13</xdr:col>
      <xdr:colOff>180975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</xdr:colOff>
      <xdr:row>17</xdr:row>
      <xdr:rowOff>200025</xdr:rowOff>
    </xdr:from>
    <xdr:to>
      <xdr:col>12</xdr:col>
      <xdr:colOff>187325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19</xdr:row>
      <xdr:rowOff>9525</xdr:rowOff>
    </xdr:from>
    <xdr:to>
      <xdr:col>12</xdr:col>
      <xdr:colOff>466725</xdr:colOff>
      <xdr:row>32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98425</xdr:colOff>
      <xdr:row>16</xdr:row>
      <xdr:rowOff>190500</xdr:rowOff>
    </xdr:from>
    <xdr:to>
      <xdr:col>12</xdr:col>
      <xdr:colOff>247650</xdr:colOff>
      <xdr:row>30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18</xdr:row>
      <xdr:rowOff>111125</xdr:rowOff>
    </xdr:from>
    <xdr:to>
      <xdr:col>12</xdr:col>
      <xdr:colOff>209550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7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9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0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2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1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5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1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7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18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9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0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21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22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2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24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42"/>
  <sheetViews>
    <sheetView tabSelected="1" zoomScale="80" zoomScaleNormal="80" zoomScalePageLayoutView="80" workbookViewId="0">
      <selection activeCell="B6" sqref="B6"/>
    </sheetView>
  </sheetViews>
  <sheetFormatPr baseColWidth="10" defaultColWidth="11" defaultRowHeight="16" x14ac:dyDescent="0.2"/>
  <cols>
    <col min="1" max="1" width="16.83203125" bestFit="1" customWidth="1"/>
    <col min="2" max="2" width="15.33203125" bestFit="1" customWidth="1"/>
    <col min="3" max="6" width="13.5" bestFit="1" customWidth="1"/>
    <col min="7" max="7" width="15.33203125" bestFit="1" customWidth="1"/>
    <col min="8" max="19" width="4.6640625" customWidth="1"/>
  </cols>
  <sheetData>
    <row r="1" spans="1:19" ht="25" thickBot="1" x14ac:dyDescent="0.35">
      <c r="A1" s="297" t="s">
        <v>120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9"/>
    </row>
    <row r="2" spans="1:19" ht="22" thickBot="1" x14ac:dyDescent="0.3">
      <c r="A2" s="310" t="s">
        <v>50</v>
      </c>
      <c r="B2" s="311"/>
      <c r="C2" s="311"/>
      <c r="D2" s="311"/>
      <c r="E2" s="311"/>
      <c r="F2" s="311"/>
      <c r="G2" s="311"/>
      <c r="I2" s="303" t="s">
        <v>23</v>
      </c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7" thickBot="1" x14ac:dyDescent="0.25">
      <c r="A3" s="112" t="s">
        <v>63</v>
      </c>
      <c r="B3" s="132" t="s">
        <v>61</v>
      </c>
      <c r="D3" s="123" t="s">
        <v>52</v>
      </c>
      <c r="E3" s="124" t="s">
        <v>61</v>
      </c>
      <c r="F3" s="138" t="s">
        <v>62</v>
      </c>
      <c r="G3" s="125" t="s">
        <v>85</v>
      </c>
      <c r="I3" s="48" t="s">
        <v>9</v>
      </c>
      <c r="J3" s="48" t="s">
        <v>22</v>
      </c>
      <c r="K3" s="48">
        <v>2</v>
      </c>
      <c r="L3" s="48">
        <v>3</v>
      </c>
      <c r="M3" s="48">
        <v>4</v>
      </c>
      <c r="N3" s="48">
        <v>5</v>
      </c>
      <c r="O3" s="48">
        <v>6</v>
      </c>
      <c r="P3" s="48">
        <v>7</v>
      </c>
      <c r="Q3" s="48">
        <v>8</v>
      </c>
      <c r="R3" s="48">
        <v>9</v>
      </c>
      <c r="S3" s="48">
        <v>10</v>
      </c>
    </row>
    <row r="4" spans="1:19" ht="17" thickBot="1" x14ac:dyDescent="0.25">
      <c r="A4" s="112" t="s">
        <v>121</v>
      </c>
      <c r="B4" s="133" t="s">
        <v>6</v>
      </c>
      <c r="D4" s="126" t="s">
        <v>52</v>
      </c>
      <c r="E4" s="122" t="s">
        <v>51</v>
      </c>
      <c r="F4" s="122" t="s">
        <v>6</v>
      </c>
      <c r="G4" s="127"/>
      <c r="I4" s="48" t="s">
        <v>20</v>
      </c>
      <c r="J4" s="49" t="str">
        <f>Summary!C3</f>
        <v>H</v>
      </c>
      <c r="K4" s="49" t="str">
        <f>Summary!D3</f>
        <v>H</v>
      </c>
      <c r="L4" s="49" t="str">
        <f>Summary!E3</f>
        <v>H</v>
      </c>
      <c r="M4" s="49" t="str">
        <f>Summary!F3</f>
        <v>H</v>
      </c>
      <c r="N4" s="49" t="str">
        <f>Summary!G3</f>
        <v>H</v>
      </c>
      <c r="O4" s="49" t="str">
        <f>Summary!H3</f>
        <v>H</v>
      </c>
      <c r="P4" s="49" t="str">
        <f>Summary!I3</f>
        <v>H</v>
      </c>
      <c r="Q4" s="49" t="str">
        <f>Summary!J3</f>
        <v>H</v>
      </c>
      <c r="R4" s="49" t="str">
        <f>Summary!K3</f>
        <v>H</v>
      </c>
      <c r="S4" s="49" t="str">
        <f>Summary!L3</f>
        <v>H</v>
      </c>
    </row>
    <row r="5" spans="1:19" ht="17" thickBot="1" x14ac:dyDescent="0.25">
      <c r="A5" s="112" t="s">
        <v>122</v>
      </c>
      <c r="B5" s="134">
        <v>4</v>
      </c>
      <c r="C5" s="114" t="str">
        <f>"True Count: " &amp; B5-4</f>
        <v>True Count: 0</v>
      </c>
      <c r="D5" s="126" t="s">
        <v>52</v>
      </c>
      <c r="E5" s="122" t="s">
        <v>82</v>
      </c>
      <c r="F5" s="122" t="s">
        <v>81</v>
      </c>
      <c r="G5" s="127"/>
      <c r="I5" s="48">
        <v>9</v>
      </c>
      <c r="J5" s="49" t="str">
        <f>Summary!C4</f>
        <v>H</v>
      </c>
      <c r="K5" s="49" t="str">
        <f>Summary!D4</f>
        <v>H</v>
      </c>
      <c r="L5" s="49" t="str">
        <f>Summary!E4</f>
        <v>D</v>
      </c>
      <c r="M5" s="49" t="str">
        <f>Summary!F4</f>
        <v>D</v>
      </c>
      <c r="N5" s="49" t="str">
        <f>Summary!G4</f>
        <v>D</v>
      </c>
      <c r="O5" s="49" t="str">
        <f>Summary!H4</f>
        <v>D</v>
      </c>
      <c r="P5" s="49" t="str">
        <f>Summary!I4</f>
        <v>H</v>
      </c>
      <c r="Q5" s="49" t="str">
        <f>Summary!J4</f>
        <v>H</v>
      </c>
      <c r="R5" s="49" t="str">
        <f>Summary!K4</f>
        <v>H</v>
      </c>
      <c r="S5" s="49" t="str">
        <f>Summary!L4</f>
        <v>H</v>
      </c>
    </row>
    <row r="6" spans="1:19" ht="17" thickBot="1" x14ac:dyDescent="0.25">
      <c r="A6" s="112" t="s">
        <v>54</v>
      </c>
      <c r="B6" s="135" t="s">
        <v>74</v>
      </c>
      <c r="C6" s="121"/>
      <c r="D6" s="126" t="s">
        <v>52</v>
      </c>
      <c r="E6" s="122" t="s">
        <v>74</v>
      </c>
      <c r="F6" s="122" t="s">
        <v>55</v>
      </c>
      <c r="G6" s="127"/>
      <c r="I6" s="48">
        <v>10</v>
      </c>
      <c r="J6" s="49" t="str">
        <f>Summary!C5</f>
        <v>H</v>
      </c>
      <c r="K6" s="49" t="str">
        <f>Summary!D5</f>
        <v>D</v>
      </c>
      <c r="L6" s="49" t="str">
        <f>Summary!E5</f>
        <v>D</v>
      </c>
      <c r="M6" s="49" t="str">
        <f>Summary!F5</f>
        <v>D</v>
      </c>
      <c r="N6" s="49" t="str">
        <f>Summary!G5</f>
        <v>D</v>
      </c>
      <c r="O6" s="49" t="str">
        <f>Summary!H5</f>
        <v>D</v>
      </c>
      <c r="P6" s="49" t="str">
        <f>Summary!I5</f>
        <v>D</v>
      </c>
      <c r="Q6" s="49" t="str">
        <f>Summary!J5</f>
        <v>D</v>
      </c>
      <c r="R6" s="49" t="str">
        <f>Summary!K5</f>
        <v>D</v>
      </c>
      <c r="S6" s="49" t="str">
        <f>Summary!L5</f>
        <v>H</v>
      </c>
    </row>
    <row r="7" spans="1:19" ht="17" thickBot="1" x14ac:dyDescent="0.25">
      <c r="A7" s="112" t="s">
        <v>60</v>
      </c>
      <c r="B7" s="136" t="s">
        <v>57</v>
      </c>
      <c r="C7" s="98"/>
      <c r="D7" s="126" t="s">
        <v>52</v>
      </c>
      <c r="E7" s="122" t="s">
        <v>56</v>
      </c>
      <c r="F7" s="122" t="s">
        <v>57</v>
      </c>
      <c r="G7" s="127"/>
      <c r="I7" s="48">
        <v>11</v>
      </c>
      <c r="J7" s="49" t="str">
        <f>Summary!C6</f>
        <v>H</v>
      </c>
      <c r="K7" s="49" t="str">
        <f>Summary!D6</f>
        <v>D</v>
      </c>
      <c r="L7" s="49" t="str">
        <f>Summary!E6</f>
        <v>D</v>
      </c>
      <c r="M7" s="49" t="str">
        <f>Summary!F6</f>
        <v>D</v>
      </c>
      <c r="N7" s="49" t="str">
        <f>Summary!G6</f>
        <v>D</v>
      </c>
      <c r="O7" s="49" t="str">
        <f>Summary!H6</f>
        <v>D</v>
      </c>
      <c r="P7" s="49" t="str">
        <f>Summary!I6</f>
        <v>D</v>
      </c>
      <c r="Q7" s="49" t="str">
        <f>Summary!J6</f>
        <v>D</v>
      </c>
      <c r="R7" s="49" t="str">
        <f>Summary!K6</f>
        <v>D</v>
      </c>
      <c r="S7" s="49" t="str">
        <f>Summary!L6</f>
        <v>D</v>
      </c>
    </row>
    <row r="8" spans="1:19" ht="17" thickBot="1" x14ac:dyDescent="0.25">
      <c r="A8" s="112" t="s">
        <v>58</v>
      </c>
      <c r="B8" s="136" t="s">
        <v>57</v>
      </c>
      <c r="C8" s="98"/>
      <c r="D8" s="126" t="s">
        <v>52</v>
      </c>
      <c r="E8" s="122" t="s">
        <v>56</v>
      </c>
      <c r="F8" s="122" t="s">
        <v>57</v>
      </c>
      <c r="G8" s="127"/>
      <c r="I8" s="48">
        <v>12</v>
      </c>
      <c r="J8" s="49" t="str">
        <f>Summary!C7</f>
        <v>H</v>
      </c>
      <c r="K8" s="49" t="str">
        <f>Summary!D7</f>
        <v>H</v>
      </c>
      <c r="L8" s="49" t="str">
        <f>Summary!E7</f>
        <v>H</v>
      </c>
      <c r="M8" s="49" t="str">
        <f>Summary!F7</f>
        <v>S</v>
      </c>
      <c r="N8" s="49" t="str">
        <f>Summary!G7</f>
        <v>S</v>
      </c>
      <c r="O8" s="49" t="str">
        <f>Summary!H7</f>
        <v>S</v>
      </c>
      <c r="P8" s="49" t="str">
        <f>Summary!I7</f>
        <v>H</v>
      </c>
      <c r="Q8" s="49" t="str">
        <f>Summary!J7</f>
        <v>H</v>
      </c>
      <c r="R8" s="49" t="str">
        <f>Summary!K7</f>
        <v>H</v>
      </c>
      <c r="S8" s="49" t="str">
        <f>Summary!L7</f>
        <v>H</v>
      </c>
    </row>
    <row r="9" spans="1:19" ht="17" thickBot="1" x14ac:dyDescent="0.25">
      <c r="A9" s="112" t="s">
        <v>73</v>
      </c>
      <c r="B9" s="136" t="s">
        <v>57</v>
      </c>
      <c r="C9" s="98"/>
      <c r="D9" s="126" t="s">
        <v>52</v>
      </c>
      <c r="E9" s="122" t="s">
        <v>56</v>
      </c>
      <c r="F9" s="122" t="s">
        <v>57</v>
      </c>
      <c r="G9" s="127"/>
      <c r="I9" s="48">
        <v>13</v>
      </c>
      <c r="J9" s="49" t="str">
        <f>Summary!C8</f>
        <v>H</v>
      </c>
      <c r="K9" s="49" t="str">
        <f>Summary!D8</f>
        <v>S</v>
      </c>
      <c r="L9" s="49" t="str">
        <f>Summary!E8</f>
        <v>S</v>
      </c>
      <c r="M9" s="49" t="str">
        <f>Summary!F8</f>
        <v>S</v>
      </c>
      <c r="N9" s="49" t="str">
        <f>Summary!G8</f>
        <v>S</v>
      </c>
      <c r="O9" s="49" t="str">
        <f>Summary!H8</f>
        <v>S</v>
      </c>
      <c r="P9" s="49" t="str">
        <f>Summary!I8</f>
        <v>H</v>
      </c>
      <c r="Q9" s="49" t="str">
        <f>Summary!J8</f>
        <v>H</v>
      </c>
      <c r="R9" s="49" t="str">
        <f>Summary!K8</f>
        <v>H</v>
      </c>
      <c r="S9" s="49" t="str">
        <f>Summary!L8</f>
        <v>H</v>
      </c>
    </row>
    <row r="10" spans="1:19" ht="17" thickBot="1" x14ac:dyDescent="0.25">
      <c r="A10" s="112" t="s">
        <v>50</v>
      </c>
      <c r="B10" s="136" t="s">
        <v>65</v>
      </c>
      <c r="C10" s="98"/>
      <c r="D10" s="126" t="s">
        <v>52</v>
      </c>
      <c r="E10" s="122" t="s">
        <v>65</v>
      </c>
      <c r="F10" s="122" t="s">
        <v>64</v>
      </c>
      <c r="G10" s="127"/>
      <c r="I10" s="48">
        <v>14</v>
      </c>
      <c r="J10" s="49" t="str">
        <f>Summary!C9</f>
        <v>H</v>
      </c>
      <c r="K10" s="49" t="str">
        <f>Summary!D9</f>
        <v>S</v>
      </c>
      <c r="L10" s="49" t="str">
        <f>Summary!E9</f>
        <v>S</v>
      </c>
      <c r="M10" s="49" t="str">
        <f>Summary!F9</f>
        <v>S</v>
      </c>
      <c r="N10" s="49" t="str">
        <f>Summary!G9</f>
        <v>S</v>
      </c>
      <c r="O10" s="49" t="str">
        <f>Summary!H9</f>
        <v>S</v>
      </c>
      <c r="P10" s="49" t="str">
        <f>Summary!I9</f>
        <v>H</v>
      </c>
      <c r="Q10" s="49" t="str">
        <f>Summary!J9</f>
        <v>H</v>
      </c>
      <c r="R10" s="49" t="str">
        <f>Summary!K9</f>
        <v>H</v>
      </c>
      <c r="S10" s="49" t="str">
        <f>Summary!L9</f>
        <v>H</v>
      </c>
    </row>
    <row r="11" spans="1:19" ht="17" thickBot="1" x14ac:dyDescent="0.25">
      <c r="A11" s="112" t="s">
        <v>71</v>
      </c>
      <c r="B11" s="136">
        <v>2</v>
      </c>
      <c r="C11" s="98" t="s">
        <v>72</v>
      </c>
      <c r="D11" s="126" t="s">
        <v>52</v>
      </c>
      <c r="E11" s="122" t="s">
        <v>59</v>
      </c>
      <c r="F11" s="122" t="s">
        <v>80</v>
      </c>
      <c r="G11" s="127"/>
      <c r="I11" s="48">
        <v>15</v>
      </c>
      <c r="J11" s="49" t="str">
        <f>Summary!C10</f>
        <v>H</v>
      </c>
      <c r="K11" s="49" t="str">
        <f>Summary!D10</f>
        <v>S</v>
      </c>
      <c r="L11" s="49" t="str">
        <f>Summary!E10</f>
        <v>S</v>
      </c>
      <c r="M11" s="49" t="str">
        <f>Summary!F10</f>
        <v>S</v>
      </c>
      <c r="N11" s="49" t="str">
        <f>Summary!G10</f>
        <v>S</v>
      </c>
      <c r="O11" s="49" t="str">
        <f>Summary!H10</f>
        <v>S</v>
      </c>
      <c r="P11" s="49" t="str">
        <f>Summary!I10</f>
        <v>H</v>
      </c>
      <c r="Q11" s="49" t="str">
        <f>Summary!J10</f>
        <v>H</v>
      </c>
      <c r="R11" s="49" t="str">
        <f>Summary!K10</f>
        <v>H</v>
      </c>
      <c r="S11" s="49" t="str">
        <f>Summary!L10</f>
        <v>H</v>
      </c>
    </row>
    <row r="12" spans="1:19" ht="17" thickBot="1" x14ac:dyDescent="0.25">
      <c r="A12" s="112" t="s">
        <v>79</v>
      </c>
      <c r="B12" s="133" t="s">
        <v>57</v>
      </c>
      <c r="C12" s="128"/>
      <c r="D12" s="126" t="s">
        <v>52</v>
      </c>
      <c r="E12" s="122" t="s">
        <v>56</v>
      </c>
      <c r="F12" s="122" t="s">
        <v>57</v>
      </c>
      <c r="G12" s="127"/>
      <c r="I12" s="48">
        <v>16</v>
      </c>
      <c r="J12" s="49" t="str">
        <f>Summary!C11</f>
        <v>H</v>
      </c>
      <c r="K12" s="49" t="str">
        <f>Summary!D11</f>
        <v>S</v>
      </c>
      <c r="L12" s="49" t="str">
        <f>Summary!E11</f>
        <v>S</v>
      </c>
      <c r="M12" s="49" t="str">
        <f>Summary!F11</f>
        <v>S</v>
      </c>
      <c r="N12" s="49" t="str">
        <f>Summary!G11</f>
        <v>S</v>
      </c>
      <c r="O12" s="49" t="str">
        <f>Summary!H11</f>
        <v>S</v>
      </c>
      <c r="P12" s="49" t="str">
        <f>Summary!I11</f>
        <v>H</v>
      </c>
      <c r="Q12" s="49" t="str">
        <f>Summary!J11</f>
        <v>H</v>
      </c>
      <c r="R12" s="49" t="str">
        <f>Summary!K11</f>
        <v>H</v>
      </c>
      <c r="S12" s="49" t="str">
        <f>Summary!L11</f>
        <v>H</v>
      </c>
    </row>
    <row r="13" spans="1:19" ht="17" thickBot="1" x14ac:dyDescent="0.25">
      <c r="A13" s="112" t="s">
        <v>87</v>
      </c>
      <c r="B13" s="133" t="s">
        <v>84</v>
      </c>
      <c r="C13" s="128"/>
      <c r="D13" s="126" t="s">
        <v>52</v>
      </c>
      <c r="E13" s="122" t="s">
        <v>83</v>
      </c>
      <c r="F13" s="122" t="s">
        <v>84</v>
      </c>
      <c r="G13" s="127"/>
      <c r="I13" s="48" t="s">
        <v>21</v>
      </c>
      <c r="J13" s="49" t="str">
        <f>Summary!C12</f>
        <v>S</v>
      </c>
      <c r="K13" s="49" t="str">
        <f>Summary!D12</f>
        <v>S</v>
      </c>
      <c r="L13" s="49" t="str">
        <f>Summary!E12</f>
        <v>S</v>
      </c>
      <c r="M13" s="49" t="str">
        <f>Summary!F12</f>
        <v>S</v>
      </c>
      <c r="N13" s="49" t="str">
        <f>Summary!G12</f>
        <v>S</v>
      </c>
      <c r="O13" s="49" t="str">
        <f>Summary!H12</f>
        <v>S</v>
      </c>
      <c r="P13" s="49" t="str">
        <f>Summary!I12</f>
        <v>S</v>
      </c>
      <c r="Q13" s="49" t="str">
        <f>Summary!J12</f>
        <v>S</v>
      </c>
      <c r="R13" s="49" t="str">
        <f>Summary!K12</f>
        <v>S</v>
      </c>
      <c r="S13" s="49" t="str">
        <f>Summary!L12</f>
        <v>S</v>
      </c>
    </row>
    <row r="14" spans="1:19" ht="17" thickBot="1" x14ac:dyDescent="0.25">
      <c r="A14" s="112" t="s">
        <v>88</v>
      </c>
      <c r="B14" s="133" t="s">
        <v>89</v>
      </c>
      <c r="C14" s="128"/>
      <c r="D14" s="129" t="s">
        <v>52</v>
      </c>
      <c r="E14" s="130" t="s">
        <v>89</v>
      </c>
      <c r="F14" s="130" t="s">
        <v>90</v>
      </c>
      <c r="G14" s="131"/>
      <c r="I14" s="48" t="s">
        <v>4</v>
      </c>
      <c r="J14" s="48" t="s">
        <v>22</v>
      </c>
      <c r="K14" s="48">
        <v>2</v>
      </c>
      <c r="L14" s="48">
        <v>3</v>
      </c>
      <c r="M14" s="48">
        <v>4</v>
      </c>
      <c r="N14" s="48">
        <v>5</v>
      </c>
      <c r="O14" s="48">
        <v>6</v>
      </c>
      <c r="P14" s="48">
        <v>7</v>
      </c>
      <c r="Q14" s="48">
        <v>8</v>
      </c>
      <c r="R14" s="48">
        <v>9</v>
      </c>
      <c r="S14" s="48">
        <v>10</v>
      </c>
    </row>
    <row r="15" spans="1:19" ht="17" thickBot="1" x14ac:dyDescent="0.25">
      <c r="A15" s="112" t="s">
        <v>113</v>
      </c>
      <c r="B15" s="133" t="s">
        <v>84</v>
      </c>
      <c r="C15" s="128"/>
      <c r="D15" s="129" t="s">
        <v>52</v>
      </c>
      <c r="E15" s="130" t="s">
        <v>83</v>
      </c>
      <c r="F15" s="130" t="s">
        <v>114</v>
      </c>
      <c r="G15" s="131" t="s">
        <v>84</v>
      </c>
      <c r="I15" s="48">
        <v>13</v>
      </c>
      <c r="J15" s="49" t="str">
        <f>Summary!C14</f>
        <v>H</v>
      </c>
      <c r="K15" s="49" t="str">
        <f>Summary!D14</f>
        <v>H</v>
      </c>
      <c r="L15" s="49" t="str">
        <f>Summary!E14</f>
        <v>H</v>
      </c>
      <c r="M15" s="49" t="str">
        <f>Summary!F14</f>
        <v>H</v>
      </c>
      <c r="N15" s="49" t="str">
        <f>Summary!G14</f>
        <v>H</v>
      </c>
      <c r="O15" s="49" t="str">
        <f>Summary!H14</f>
        <v>D</v>
      </c>
      <c r="P15" s="49" t="str">
        <f>Summary!I14</f>
        <v>H</v>
      </c>
      <c r="Q15" s="49" t="str">
        <f>Summary!J14</f>
        <v>H</v>
      </c>
      <c r="R15" s="49" t="str">
        <f>Summary!K14</f>
        <v>H</v>
      </c>
      <c r="S15" s="49" t="str">
        <f>Summary!L14</f>
        <v>H</v>
      </c>
    </row>
    <row r="16" spans="1:19" ht="17" thickBot="1" x14ac:dyDescent="0.25">
      <c r="A16" s="112" t="s">
        <v>112</v>
      </c>
      <c r="B16" s="133" t="s">
        <v>84</v>
      </c>
      <c r="C16" s="128"/>
      <c r="D16" s="129" t="s">
        <v>52</v>
      </c>
      <c r="E16" s="130" t="s">
        <v>83</v>
      </c>
      <c r="F16" s="130" t="s">
        <v>114</v>
      </c>
      <c r="G16" s="131" t="s">
        <v>84</v>
      </c>
      <c r="I16" s="48">
        <v>14</v>
      </c>
      <c r="J16" s="49" t="str">
        <f>Summary!C15</f>
        <v>H</v>
      </c>
      <c r="K16" s="49" t="str">
        <f>Summary!D15</f>
        <v>H</v>
      </c>
      <c r="L16" s="49" t="str">
        <f>Summary!E15</f>
        <v>H</v>
      </c>
      <c r="M16" s="49" t="str">
        <f>Summary!F15</f>
        <v>H</v>
      </c>
      <c r="N16" s="49" t="str">
        <f>Summary!G15</f>
        <v>D</v>
      </c>
      <c r="O16" s="49" t="str">
        <f>Summary!H15</f>
        <v>D</v>
      </c>
      <c r="P16" s="49" t="str">
        <f>Summary!I15</f>
        <v>H</v>
      </c>
      <c r="Q16" s="49" t="str">
        <f>Summary!J15</f>
        <v>H</v>
      </c>
      <c r="R16" s="49" t="str">
        <f>Summary!K15</f>
        <v>H</v>
      </c>
      <c r="S16" s="49" t="str">
        <f>Summary!L15</f>
        <v>H</v>
      </c>
    </row>
    <row r="17" spans="1:19" x14ac:dyDescent="0.2">
      <c r="A17" s="112" t="s">
        <v>86</v>
      </c>
      <c r="B17" s="133">
        <v>2</v>
      </c>
      <c r="C17" s="128" t="s">
        <v>72</v>
      </c>
      <c r="D17" s="129" t="s">
        <v>52</v>
      </c>
      <c r="E17" s="130" t="s">
        <v>59</v>
      </c>
      <c r="F17" s="130" t="s">
        <v>80</v>
      </c>
      <c r="G17" s="131"/>
      <c r="I17" s="48">
        <v>15</v>
      </c>
      <c r="J17" s="49" t="str">
        <f>Summary!C16</f>
        <v>H</v>
      </c>
      <c r="K17" s="49" t="str">
        <f>Summary!D16</f>
        <v>H</v>
      </c>
      <c r="L17" s="49" t="str">
        <f>Summary!E16</f>
        <v>H</v>
      </c>
      <c r="M17" s="49" t="str">
        <f>Summary!F16</f>
        <v>H</v>
      </c>
      <c r="N17" s="49" t="str">
        <f>Summary!G16</f>
        <v>D</v>
      </c>
      <c r="O17" s="49" t="str">
        <f>Summary!H16</f>
        <v>D</v>
      </c>
      <c r="P17" s="49" t="str">
        <f>Summary!I16</f>
        <v>H</v>
      </c>
      <c r="Q17" s="49" t="str">
        <f>Summary!J16</f>
        <v>H</v>
      </c>
      <c r="R17" s="49" t="str">
        <f>Summary!K16</f>
        <v>H</v>
      </c>
      <c r="S17" s="49" t="str">
        <f>Summary!L16</f>
        <v>H</v>
      </c>
    </row>
    <row r="18" spans="1:19" x14ac:dyDescent="0.2">
      <c r="A18" s="293" t="s">
        <v>205</v>
      </c>
      <c r="B18" s="296" t="s">
        <v>206</v>
      </c>
      <c r="C18" s="1"/>
      <c r="D18" s="122"/>
      <c r="E18" s="122"/>
      <c r="F18" s="122"/>
      <c r="G18" s="122"/>
      <c r="I18" s="48">
        <v>16</v>
      </c>
      <c r="J18" s="49" t="str">
        <f>Summary!C17</f>
        <v>H</v>
      </c>
      <c r="K18" s="49" t="str">
        <f>Summary!D17</f>
        <v>H</v>
      </c>
      <c r="L18" s="49" t="str">
        <f>Summary!E17</f>
        <v>H</v>
      </c>
      <c r="M18" s="49" t="str">
        <f>Summary!F17</f>
        <v>D</v>
      </c>
      <c r="N18" s="49" t="str">
        <f>Summary!G17</f>
        <v>D</v>
      </c>
      <c r="O18" s="49" t="str">
        <f>Summary!H17</f>
        <v>D</v>
      </c>
      <c r="P18" s="49" t="str">
        <f>Summary!I17</f>
        <v>H</v>
      </c>
      <c r="Q18" s="49" t="str">
        <f>Summary!J17</f>
        <v>H</v>
      </c>
      <c r="R18" s="49" t="str">
        <f>Summary!K17</f>
        <v>H</v>
      </c>
      <c r="S18" s="49" t="str">
        <f>Summary!L17</f>
        <v>H</v>
      </c>
    </row>
    <row r="19" spans="1:19" x14ac:dyDescent="0.2">
      <c r="A19" s="293" t="s">
        <v>204</v>
      </c>
      <c r="B19" s="312" t="s">
        <v>207</v>
      </c>
      <c r="C19" s="313"/>
      <c r="D19" s="313"/>
      <c r="E19" s="313"/>
      <c r="F19" s="313"/>
      <c r="G19" s="314"/>
      <c r="I19" s="48">
        <v>17</v>
      </c>
      <c r="J19" s="49" t="str">
        <f>Summary!C18</f>
        <v>H</v>
      </c>
      <c r="K19" s="49" t="str">
        <f>Summary!D18</f>
        <v>H</v>
      </c>
      <c r="L19" s="49" t="str">
        <f>Summary!E18</f>
        <v>D</v>
      </c>
      <c r="M19" s="49" t="str">
        <f>Summary!F18</f>
        <v>D</v>
      </c>
      <c r="N19" s="49" t="str">
        <f>Summary!G18</f>
        <v>D</v>
      </c>
      <c r="O19" s="49" t="str">
        <f>Summary!H18</f>
        <v>D</v>
      </c>
      <c r="P19" s="49" t="str">
        <f>Summary!I18</f>
        <v>H</v>
      </c>
      <c r="Q19" s="49" t="str">
        <f>Summary!J18</f>
        <v>H</v>
      </c>
      <c r="R19" s="49" t="str">
        <f>Summary!K18</f>
        <v>H</v>
      </c>
      <c r="S19" s="49" t="str">
        <f>Summary!L18</f>
        <v>H</v>
      </c>
    </row>
    <row r="20" spans="1:19" ht="17" thickBot="1" x14ac:dyDescent="0.25">
      <c r="A20" s="48" t="s">
        <v>41</v>
      </c>
      <c r="B20">
        <f>'WL Prob'!P15</f>
        <v>0.37440835558793756</v>
      </c>
      <c r="C20" s="30">
        <f>'WL Prob'!P15</f>
        <v>0.37440835558793756</v>
      </c>
      <c r="D20" s="294" t="s">
        <v>177</v>
      </c>
      <c r="E20">
        <f>'WL Prob'!R15</f>
        <v>0.6255916444120625</v>
      </c>
      <c r="F20" s="30">
        <f>'WL Prob'!R15</f>
        <v>0.6255916444120625</v>
      </c>
      <c r="G20" s="295" t="s">
        <v>49</v>
      </c>
      <c r="I20" s="48">
        <v>18</v>
      </c>
      <c r="J20" s="49" t="str">
        <f>Summary!C19</f>
        <v>H</v>
      </c>
      <c r="K20" s="49" t="str">
        <f>Summary!D19</f>
        <v>S</v>
      </c>
      <c r="L20" s="49" t="str">
        <f>Summary!E19</f>
        <v>D</v>
      </c>
      <c r="M20" s="49" t="str">
        <f>Summary!F19</f>
        <v>D</v>
      </c>
      <c r="N20" s="49" t="str">
        <f>Summary!G19</f>
        <v>D</v>
      </c>
      <c r="O20" s="49" t="str">
        <f>Summary!H19</f>
        <v>D</v>
      </c>
      <c r="P20" s="49" t="str">
        <f>Summary!I19</f>
        <v>S</v>
      </c>
      <c r="Q20" s="49" t="str">
        <f>Summary!J19</f>
        <v>S</v>
      </c>
      <c r="R20" s="49" t="str">
        <f>Summary!K19</f>
        <v>H</v>
      </c>
      <c r="S20" s="49" t="str">
        <f>Summary!L19</f>
        <v>H</v>
      </c>
    </row>
    <row r="21" spans="1:19" ht="17" thickBot="1" x14ac:dyDescent="0.25">
      <c r="A21" s="48" t="s">
        <v>68</v>
      </c>
      <c r="B21" s="48"/>
      <c r="C21" s="306">
        <f>IF(Rules!$B$16=Rules!$E$16,EV!H46+'5 Cards'!G122,EV!H46)</f>
        <v>-6.9023663911402661E-3</v>
      </c>
      <c r="D21" s="307"/>
      <c r="E21" s="308" t="str">
        <f>"( "&amp; ROUND(C21*100,2)&amp; "% )"</f>
        <v>( -0.69% )</v>
      </c>
      <c r="F21" s="309"/>
      <c r="G21" s="178">
        <f>B20-E20</f>
        <v>-0.25118328882412494</v>
      </c>
      <c r="I21" s="48">
        <v>19</v>
      </c>
      <c r="J21" s="49" t="str">
        <f>Summary!C20</f>
        <v>S</v>
      </c>
      <c r="K21" s="49" t="str">
        <f>Summary!D20</f>
        <v>S</v>
      </c>
      <c r="L21" s="49" t="str">
        <f>Summary!E20</f>
        <v>S</v>
      </c>
      <c r="M21" s="49" t="str">
        <f>Summary!F20</f>
        <v>S</v>
      </c>
      <c r="N21" s="49" t="str">
        <f>Summary!G20</f>
        <v>S</v>
      </c>
      <c r="O21" s="49" t="str">
        <f>Summary!H20</f>
        <v>S</v>
      </c>
      <c r="P21" s="49" t="str">
        <f>Summary!I20</f>
        <v>S</v>
      </c>
      <c r="Q21" s="49" t="str">
        <f>Summary!J20</f>
        <v>S</v>
      </c>
      <c r="R21" s="49" t="str">
        <f>Summary!K20</f>
        <v>S</v>
      </c>
      <c r="S21" s="49" t="str">
        <f>Summary!L20</f>
        <v>S</v>
      </c>
    </row>
    <row r="22" spans="1:19" x14ac:dyDescent="0.2">
      <c r="A22" s="367" t="str">
        <f>Final!M6</f>
        <v>Strategy Evs</v>
      </c>
      <c r="B22" s="368"/>
      <c r="C22" s="368"/>
      <c r="D22" s="368"/>
      <c r="E22" s="368"/>
      <c r="F22" s="368"/>
      <c r="G22" s="369"/>
      <c r="I22" s="48" t="s">
        <v>10</v>
      </c>
      <c r="J22" s="48" t="s">
        <v>22</v>
      </c>
      <c r="K22" s="48">
        <v>2</v>
      </c>
      <c r="L22" s="48">
        <v>3</v>
      </c>
      <c r="M22" s="48">
        <v>4</v>
      </c>
      <c r="N22" s="48">
        <v>5</v>
      </c>
      <c r="O22" s="48">
        <v>6</v>
      </c>
      <c r="P22" s="48">
        <v>7</v>
      </c>
      <c r="Q22" s="48">
        <v>8</v>
      </c>
      <c r="R22" s="48">
        <v>9</v>
      </c>
      <c r="S22" s="48">
        <v>10</v>
      </c>
    </row>
    <row r="23" spans="1:19" x14ac:dyDescent="0.2">
      <c r="A23" s="177" t="str">
        <f>Final!M7</f>
        <v>Level</v>
      </c>
      <c r="B23" s="177" t="str">
        <f>Final!N7</f>
        <v>1x2</v>
      </c>
      <c r="C23" s="177" t="str">
        <f>Final!O7</f>
        <v>1x3</v>
      </c>
      <c r="D23" s="177" t="str">
        <f>Final!P7</f>
        <v>1x4</v>
      </c>
      <c r="E23" s="177" t="str">
        <f>Final!Q7</f>
        <v>1x5</v>
      </c>
      <c r="F23" s="177" t="str">
        <f>Final!R7</f>
        <v>1x6</v>
      </c>
      <c r="G23" s="177" t="str">
        <f>Final!S7</f>
        <v>1x7</v>
      </c>
      <c r="I23" s="48" t="s">
        <v>22</v>
      </c>
      <c r="J23" s="49" t="str">
        <f>Summary!C22</f>
        <v>P</v>
      </c>
      <c r="K23" s="49" t="str">
        <f>Summary!D22</f>
        <v>P</v>
      </c>
      <c r="L23" s="49" t="str">
        <f>Summary!E22</f>
        <v>P</v>
      </c>
      <c r="M23" s="49" t="str">
        <f>Summary!F22</f>
        <v>P</v>
      </c>
      <c r="N23" s="49" t="str">
        <f>Summary!G22</f>
        <v>P</v>
      </c>
      <c r="O23" s="49" t="str">
        <f>Summary!H22</f>
        <v>P</v>
      </c>
      <c r="P23" s="49" t="str">
        <f>Summary!I22</f>
        <v>P</v>
      </c>
      <c r="Q23" s="49" t="str">
        <f>Summary!J22</f>
        <v>P</v>
      </c>
      <c r="R23" s="49" t="str">
        <f>Summary!K22</f>
        <v>P</v>
      </c>
      <c r="S23" s="49" t="str">
        <f>Summary!L22</f>
        <v>P</v>
      </c>
    </row>
    <row r="24" spans="1:19" x14ac:dyDescent="0.2">
      <c r="A24" s="177">
        <f>Final!M8</f>
        <v>1</v>
      </c>
      <c r="B24" s="1">
        <f>Final!N8</f>
        <v>-3.6570223864540674E-2</v>
      </c>
      <c r="C24" s="1">
        <f>Final!O8</f>
        <v>0.15281319380232716</v>
      </c>
      <c r="D24" s="1">
        <f>Final!P8</f>
        <v>0.36258956038755419</v>
      </c>
      <c r="E24" s="1">
        <f>Final!Q8</f>
        <v>0.5769949910823704</v>
      </c>
      <c r="F24" s="1">
        <f>Final!R8</f>
        <v>0.7898304523694315</v>
      </c>
      <c r="G24" s="1">
        <f>Final!S8</f>
        <v>0.99889500731052427</v>
      </c>
      <c r="I24" s="48">
        <v>2</v>
      </c>
      <c r="J24" s="49" t="str">
        <f>Summary!C23</f>
        <v>H</v>
      </c>
      <c r="K24" s="49" t="str">
        <f>Summary!D23</f>
        <v>H</v>
      </c>
      <c r="L24" s="49" t="str">
        <f>Summary!E23</f>
        <v>H</v>
      </c>
      <c r="M24" s="49" t="str">
        <f>Summary!F23</f>
        <v>P</v>
      </c>
      <c r="N24" s="49" t="str">
        <f>Summary!G23</f>
        <v>P</v>
      </c>
      <c r="O24" s="49" t="str">
        <f>Summary!H23</f>
        <v>P</v>
      </c>
      <c r="P24" s="49" t="str">
        <f>Summary!I23</f>
        <v>P</v>
      </c>
      <c r="Q24" s="49" t="str">
        <f>Summary!J23</f>
        <v>H</v>
      </c>
      <c r="R24" s="49" t="str">
        <f>Summary!K23</f>
        <v>H</v>
      </c>
      <c r="S24" s="49" t="str">
        <f>Summary!L23</f>
        <v>H</v>
      </c>
    </row>
    <row r="25" spans="1:19" x14ac:dyDescent="0.2">
      <c r="A25" s="177">
        <f>Final!M9</f>
        <v>2</v>
      </c>
      <c r="B25" s="1">
        <f>Final!N9</f>
        <v>-7.3668258212151283E-2</v>
      </c>
      <c r="C25" s="1">
        <f>Final!O9</f>
        <v>0.29698579077379517</v>
      </c>
      <c r="D25" s="1">
        <f>Final!P9</f>
        <v>0.68981281978385534</v>
      </c>
      <c r="E25" s="1">
        <f>Final!Q9</f>
        <v>1.0840460310671967</v>
      </c>
      <c r="F25" s="1">
        <f>Final!R9</f>
        <v>1.4729914772238679</v>
      </c>
      <c r="G25" s="1">
        <f>Final!S9</f>
        <v>1.8547433437928653</v>
      </c>
      <c r="I25" s="48">
        <v>3</v>
      </c>
      <c r="J25" s="49" t="str">
        <f>Summary!C24</f>
        <v>H</v>
      </c>
      <c r="K25" s="49" t="str">
        <f>Summary!D24</f>
        <v>H</v>
      </c>
      <c r="L25" s="49" t="str">
        <f>Summary!E24</f>
        <v>H</v>
      </c>
      <c r="M25" s="49" t="str">
        <f>Summary!F24</f>
        <v>P</v>
      </c>
      <c r="N25" s="49" t="str">
        <f>Summary!G24</f>
        <v>P</v>
      </c>
      <c r="O25" s="49" t="str">
        <f>Summary!H24</f>
        <v>P</v>
      </c>
      <c r="P25" s="49" t="str">
        <f>Summary!I24</f>
        <v>P</v>
      </c>
      <c r="Q25" s="49" t="str">
        <f>Summary!J24</f>
        <v>H</v>
      </c>
      <c r="R25" s="49" t="str">
        <f>Summary!K24</f>
        <v>H</v>
      </c>
      <c r="S25" s="49" t="str">
        <f>Summary!L24</f>
        <v>H</v>
      </c>
    </row>
    <row r="26" spans="1:19" x14ac:dyDescent="0.2">
      <c r="A26" s="177">
        <f>Final!M10</f>
        <v>3</v>
      </c>
      <c r="B26" s="1">
        <f>Final!N10</f>
        <v>-0.11129358571039338</v>
      </c>
      <c r="C26" s="1">
        <f>Final!O10</f>
        <v>0.43262439186512847</v>
      </c>
      <c r="D26" s="1">
        <f>Final!P10</f>
        <v>0.98284859348552533</v>
      </c>
      <c r="E26" s="1">
        <f>Final!Q10</f>
        <v>1.5245725860901702</v>
      </c>
      <c r="F26" s="1">
        <f>Final!R10</f>
        <v>2.0557707424448184</v>
      </c>
      <c r="G26" s="1">
        <f>Final!S10</f>
        <v>2.5768679856900238</v>
      </c>
      <c r="I26" s="48">
        <v>4</v>
      </c>
      <c r="J26" s="49" t="str">
        <f>Summary!C25</f>
        <v>H</v>
      </c>
      <c r="K26" s="49" t="str">
        <f>Summary!D25</f>
        <v>H</v>
      </c>
      <c r="L26" s="49" t="str">
        <f>Summary!E25</f>
        <v>H</v>
      </c>
      <c r="M26" s="49" t="str">
        <f>Summary!F25</f>
        <v>H</v>
      </c>
      <c r="N26" s="49" t="str">
        <f>Summary!G25</f>
        <v>H</v>
      </c>
      <c r="O26" s="49" t="str">
        <f>Summary!H25</f>
        <v>H</v>
      </c>
      <c r="P26" s="49" t="str">
        <f>Summary!I25</f>
        <v>H</v>
      </c>
      <c r="Q26" s="49" t="str">
        <f>Summary!J25</f>
        <v>H</v>
      </c>
      <c r="R26" s="49" t="str">
        <f>Summary!K25</f>
        <v>H</v>
      </c>
      <c r="S26" s="49" t="str">
        <f>Summary!L25</f>
        <v>H</v>
      </c>
    </row>
    <row r="27" spans="1:19" x14ac:dyDescent="0.2">
      <c r="A27" s="177">
        <f>Final!M11</f>
        <v>4</v>
      </c>
      <c r="B27" s="1">
        <f>Final!N11</f>
        <v>-0.14944548310754024</v>
      </c>
      <c r="C27" s="1">
        <f>Final!O11</f>
        <v>0.55987562228713816</v>
      </c>
      <c r="D27" s="1">
        <f>Final!P11</f>
        <v>1.2432697746051113</v>
      </c>
      <c r="E27" s="1">
        <f>Final!Q11</f>
        <v>1.903034598162372</v>
      </c>
      <c r="F27" s="1">
        <f>Final!R11</f>
        <v>2.5462484484956764</v>
      </c>
      <c r="G27" s="1">
        <f>Final!S11</f>
        <v>3.1771397069953391</v>
      </c>
      <c r="I27" s="48">
        <v>5</v>
      </c>
      <c r="J27" s="49" t="str">
        <f>Summary!C26</f>
        <v>H</v>
      </c>
      <c r="K27" s="49" t="str">
        <f>Summary!D26</f>
        <v>D</v>
      </c>
      <c r="L27" s="49" t="str">
        <f>Summary!E26</f>
        <v>D</v>
      </c>
      <c r="M27" s="49" t="str">
        <f>Summary!F26</f>
        <v>D</v>
      </c>
      <c r="N27" s="49" t="str">
        <f>Summary!G26</f>
        <v>D</v>
      </c>
      <c r="O27" s="49" t="str">
        <f>Summary!H26</f>
        <v>D</v>
      </c>
      <c r="P27" s="49" t="str">
        <f>Summary!I26</f>
        <v>D</v>
      </c>
      <c r="Q27" s="49" t="str">
        <f>Summary!J26</f>
        <v>D</v>
      </c>
      <c r="R27" s="49" t="str">
        <f>Summary!K26</f>
        <v>D</v>
      </c>
      <c r="S27" s="49" t="str">
        <f>Summary!L26</f>
        <v>H</v>
      </c>
    </row>
    <row r="28" spans="1:19" x14ac:dyDescent="0.2">
      <c r="A28" s="367" t="str">
        <f>Final!M12</f>
        <v>Strategy Edges</v>
      </c>
      <c r="B28" s="368">
        <f>Final!N12</f>
        <v>0</v>
      </c>
      <c r="C28" s="368">
        <f>Final!O12</f>
        <v>0</v>
      </c>
      <c r="D28" s="368">
        <f>Final!P12</f>
        <v>0</v>
      </c>
      <c r="E28" s="368">
        <f>Final!Q12</f>
        <v>0</v>
      </c>
      <c r="F28" s="368">
        <f>Final!R12</f>
        <v>0</v>
      </c>
      <c r="G28" s="369">
        <f>Final!S12</f>
        <v>0</v>
      </c>
      <c r="I28" s="48">
        <v>6</v>
      </c>
      <c r="J28" s="49" t="str">
        <f>Summary!C27</f>
        <v>H</v>
      </c>
      <c r="K28" s="49" t="str">
        <f>Summary!D27</f>
        <v>H</v>
      </c>
      <c r="L28" s="49" t="str">
        <f>Summary!E27</f>
        <v>P</v>
      </c>
      <c r="M28" s="49" t="str">
        <f>Summary!F27</f>
        <v>P</v>
      </c>
      <c r="N28" s="49" t="str">
        <f>Summary!G27</f>
        <v>P</v>
      </c>
      <c r="O28" s="49" t="str">
        <f>Summary!H27</f>
        <v>P</v>
      </c>
      <c r="P28" s="49" t="str">
        <f>Summary!I27</f>
        <v>H</v>
      </c>
      <c r="Q28" s="49" t="str">
        <f>Summary!J27</f>
        <v>H</v>
      </c>
      <c r="R28" s="49" t="str">
        <f>Summary!K27</f>
        <v>H</v>
      </c>
      <c r="S28" s="49" t="str">
        <f>Summary!L27</f>
        <v>H</v>
      </c>
    </row>
    <row r="29" spans="1:19" x14ac:dyDescent="0.2">
      <c r="A29" s="177" t="str">
        <f>Final!M13</f>
        <v>Level</v>
      </c>
      <c r="B29" s="177" t="str">
        <f>Final!N13</f>
        <v>1x2</v>
      </c>
      <c r="C29" s="177" t="str">
        <f>Final!O13</f>
        <v>1x3</v>
      </c>
      <c r="D29" s="177" t="str">
        <f>Final!P13</f>
        <v>1x4</v>
      </c>
      <c r="E29" s="177" t="str">
        <f>Final!Q13</f>
        <v>1x5</v>
      </c>
      <c r="F29" s="177" t="str">
        <f>Final!R13</f>
        <v>1x6</v>
      </c>
      <c r="G29" s="177" t="str">
        <f>Final!S13</f>
        <v>1x7</v>
      </c>
      <c r="I29" s="48">
        <v>7</v>
      </c>
      <c r="J29" s="49" t="str">
        <f>Summary!C28</f>
        <v>H</v>
      </c>
      <c r="K29" s="49" t="str">
        <f>Summary!D28</f>
        <v>P</v>
      </c>
      <c r="L29" s="49" t="str">
        <f>Summary!E28</f>
        <v>P</v>
      </c>
      <c r="M29" s="49" t="str">
        <f>Summary!F28</f>
        <v>P</v>
      </c>
      <c r="N29" s="49" t="str">
        <f>Summary!G28</f>
        <v>P</v>
      </c>
      <c r="O29" s="49" t="str">
        <f>Summary!H28</f>
        <v>P</v>
      </c>
      <c r="P29" s="49" t="str">
        <f>Summary!I28</f>
        <v>P</v>
      </c>
      <c r="Q29" s="49" t="str">
        <f>Summary!J28</f>
        <v>H</v>
      </c>
      <c r="R29" s="49" t="str">
        <f>Summary!K28</f>
        <v>H</v>
      </c>
      <c r="S29" s="49" t="str">
        <f>Summary!L28</f>
        <v>H</v>
      </c>
    </row>
    <row r="30" spans="1:19" x14ac:dyDescent="0.2">
      <c r="A30" s="177">
        <f>Final!M14</f>
        <v>2</v>
      </c>
      <c r="B30" s="1">
        <f>Final!N14</f>
        <v>0.30359621918138968</v>
      </c>
      <c r="C30" s="1">
        <f>Final!O14</f>
        <v>0.43540868270766425</v>
      </c>
      <c r="D30" s="1">
        <f>Final!P14</f>
        <v>0.49844858780148954</v>
      </c>
      <c r="E30" s="1">
        <f>Final!Q14</f>
        <v>0.53159897865742123</v>
      </c>
      <c r="F30" s="1">
        <f>Final!R14</f>
        <v>0.54999447898666975</v>
      </c>
      <c r="G30" s="1">
        <f>Final!S14</f>
        <v>0.56052385821016837</v>
      </c>
      <c r="I30" s="48">
        <v>8</v>
      </c>
      <c r="J30" s="49" t="str">
        <f>Summary!C29</f>
        <v>P</v>
      </c>
      <c r="K30" s="49" t="str">
        <f>Summary!D29</f>
        <v>P</v>
      </c>
      <c r="L30" s="49" t="str">
        <f>Summary!E29</f>
        <v>P</v>
      </c>
      <c r="M30" s="49" t="str">
        <f>Summary!F29</f>
        <v>P</v>
      </c>
      <c r="N30" s="49" t="str">
        <f>Summary!G29</f>
        <v>P</v>
      </c>
      <c r="O30" s="49" t="str">
        <f>Summary!H29</f>
        <v>P</v>
      </c>
      <c r="P30" s="49" t="str">
        <f>Summary!I29</f>
        <v>P</v>
      </c>
      <c r="Q30" s="49" t="str">
        <f>Summary!J29</f>
        <v>P</v>
      </c>
      <c r="R30" s="49" t="str">
        <f>Summary!K29</f>
        <v>P</v>
      </c>
      <c r="S30" s="49" t="str">
        <f>Summary!L29</f>
        <v>P</v>
      </c>
    </row>
    <row r="31" spans="1:19" x14ac:dyDescent="0.2">
      <c r="A31" s="177">
        <f>Final!M15</f>
        <v>3</v>
      </c>
      <c r="B31" s="1">
        <f>Final!N15</f>
        <v>0.46630621373131109</v>
      </c>
      <c r="C31" s="1">
        <f>Final!O15</f>
        <v>0.61152120905960938</v>
      </c>
      <c r="D31" s="1">
        <f>Final!P15</f>
        <v>0.67644275116677477</v>
      </c>
      <c r="E31" s="1">
        <f>Final!Q15</f>
        <v>0.7091265215880701</v>
      </c>
      <c r="F31" s="1">
        <f>Final!R15</f>
        <v>0.72678626343691899</v>
      </c>
      <c r="G31" s="1">
        <f>Final!S15</f>
        <v>0.73673355891792758</v>
      </c>
      <c r="I31" s="48">
        <v>9</v>
      </c>
      <c r="J31" s="49" t="str">
        <f>Summary!C30</f>
        <v>S</v>
      </c>
      <c r="K31" s="49" t="str">
        <f>Summary!D30</f>
        <v>P</v>
      </c>
      <c r="L31" s="49" t="str">
        <f>Summary!E30</f>
        <v>P</v>
      </c>
      <c r="M31" s="49" t="str">
        <f>Summary!F30</f>
        <v>P</v>
      </c>
      <c r="N31" s="49" t="str">
        <f>Summary!G30</f>
        <v>P</v>
      </c>
      <c r="O31" s="49" t="str">
        <f>Summary!H30</f>
        <v>P</v>
      </c>
      <c r="P31" s="49" t="str">
        <f>Summary!I30</f>
        <v>S</v>
      </c>
      <c r="Q31" s="49" t="str">
        <f>Summary!J30</f>
        <v>P</v>
      </c>
      <c r="R31" s="49" t="str">
        <f>Summary!K30</f>
        <v>P</v>
      </c>
      <c r="S31" s="49" t="str">
        <f>Summary!L30</f>
        <v>S</v>
      </c>
    </row>
    <row r="32" spans="1:19" x14ac:dyDescent="0.2">
      <c r="A32" s="177">
        <f>Final!M16</f>
        <v>4</v>
      </c>
      <c r="B32" s="1">
        <f>Final!N16</f>
        <v>0.56380467654443689</v>
      </c>
      <c r="C32" s="1">
        <f>Final!O16</f>
        <v>0.71545905870222526</v>
      </c>
      <c r="D32" s="1">
        <f>Final!P16</f>
        <v>0.77855522482532002</v>
      </c>
      <c r="E32" s="1">
        <f>Final!Q16</f>
        <v>0.80883230335189038</v>
      </c>
      <c r="F32" s="1">
        <f>Final!R16</f>
        <v>0.82471539632075952</v>
      </c>
      <c r="G32" s="1">
        <f>Final!S16</f>
        <v>0.83350380203976626</v>
      </c>
      <c r="I32" s="48">
        <v>10</v>
      </c>
      <c r="J32" s="49" t="str">
        <f>Summary!C31</f>
        <v>S</v>
      </c>
      <c r="K32" s="49" t="str">
        <f>Summary!D31</f>
        <v>S</v>
      </c>
      <c r="L32" s="49" t="str">
        <f>Summary!E31</f>
        <v>S</v>
      </c>
      <c r="M32" s="49" t="str">
        <f>Summary!F31</f>
        <v>S</v>
      </c>
      <c r="N32" s="49" t="str">
        <f>Summary!G31</f>
        <v>S</v>
      </c>
      <c r="O32" s="49" t="str">
        <f>Summary!H31</f>
        <v>S</v>
      </c>
      <c r="P32" s="49" t="str">
        <f>Summary!I31</f>
        <v>S</v>
      </c>
      <c r="Q32" s="49" t="str">
        <f>Summary!J31</f>
        <v>S</v>
      </c>
      <c r="R32" s="49" t="str">
        <f>Summary!K31</f>
        <v>S</v>
      </c>
      <c r="S32" s="49" t="str">
        <f>Summary!L31</f>
        <v>S</v>
      </c>
    </row>
    <row r="33" spans="1:19" x14ac:dyDescent="0.2">
      <c r="A33" s="359" t="str">
        <f>Final!M17</f>
        <v>Strategy #1 Bet your Edge Bankroll</v>
      </c>
      <c r="B33" s="360"/>
      <c r="C33" s="360"/>
      <c r="D33" s="360"/>
      <c r="E33" s="360"/>
      <c r="F33" s="360"/>
      <c r="G33" s="361"/>
      <c r="I33" s="300" t="str">
        <f>Summary!B32</f>
        <v>EV = -0.00690236639114027</v>
      </c>
      <c r="J33" s="300"/>
      <c r="K33" s="300"/>
      <c r="L33" s="300"/>
      <c r="M33" s="300"/>
      <c r="N33" s="300"/>
      <c r="O33" s="300"/>
      <c r="P33" s="300"/>
      <c r="Q33" s="300"/>
      <c r="R33" s="300"/>
      <c r="S33" s="300"/>
    </row>
    <row r="34" spans="1:19" x14ac:dyDescent="0.2">
      <c r="A34" s="177" t="str">
        <f>Final!M18</f>
        <v>Level</v>
      </c>
      <c r="B34" s="177" t="str">
        <f>Final!N18</f>
        <v>1x2</v>
      </c>
      <c r="C34" s="177" t="str">
        <f>Final!O18</f>
        <v>1x3</v>
      </c>
      <c r="D34" s="177" t="str">
        <f>Final!P18</f>
        <v>1x4</v>
      </c>
      <c r="E34" s="177" t="str">
        <f>Final!Q18</f>
        <v>1x5</v>
      </c>
      <c r="F34" s="177" t="str">
        <f>Final!R18</f>
        <v>1x6</v>
      </c>
      <c r="G34" s="177" t="str">
        <f>Final!S18</f>
        <v>1x7</v>
      </c>
      <c r="I34" s="300" t="str">
        <f>Summary!B33</f>
        <v>EV = -0.690236639114027 %</v>
      </c>
      <c r="J34" s="300"/>
      <c r="K34" s="300"/>
      <c r="L34" s="300"/>
      <c r="M34" s="300"/>
      <c r="N34" s="300"/>
      <c r="O34" s="300"/>
      <c r="P34" s="300"/>
      <c r="Q34" s="300"/>
      <c r="R34" s="300"/>
      <c r="S34" s="300"/>
    </row>
    <row r="35" spans="1:19" x14ac:dyDescent="0.2">
      <c r="A35" s="177">
        <f>Final!M19</f>
        <v>2</v>
      </c>
      <c r="B35" s="1">
        <f>Final!N19</f>
        <v>19.763091965302699</v>
      </c>
      <c r="C35" s="1">
        <f>Final!O19</f>
        <v>27.560313968421401</v>
      </c>
      <c r="D35" s="1">
        <f>Final!P19</f>
        <v>40.124499275269557</v>
      </c>
      <c r="E35" s="1">
        <f>Final!Q19</f>
        <v>56.433517001417954</v>
      </c>
      <c r="F35" s="1">
        <f>Final!R19</f>
        <v>76.3644029252482</v>
      </c>
      <c r="G35" s="1">
        <f>Final!S19</f>
        <v>99.906541318001857</v>
      </c>
      <c r="I35" s="304" t="s">
        <v>24</v>
      </c>
      <c r="J35" s="304"/>
      <c r="K35" s="304"/>
      <c r="L35" s="304"/>
      <c r="M35" s="304"/>
      <c r="N35" s="304"/>
      <c r="O35" s="304"/>
      <c r="P35" s="304"/>
      <c r="Q35" s="304"/>
      <c r="R35" s="304"/>
      <c r="S35" s="304"/>
    </row>
    <row r="36" spans="1:19" x14ac:dyDescent="0.2">
      <c r="A36" s="177">
        <f>Final!M20</f>
        <v>3</v>
      </c>
      <c r="B36" s="1">
        <f>Final!N20</f>
        <v>30.023189886264088</v>
      </c>
      <c r="C36" s="1">
        <f>Final!O20</f>
        <v>63.775384111327512</v>
      </c>
      <c r="D36" s="1">
        <f>Final!P20</f>
        <v>124.17902306604816</v>
      </c>
      <c r="E36" s="1">
        <f>Final!Q20</f>
        <v>218.57876596249932</v>
      </c>
      <c r="F36" s="1">
        <f>Final!R20</f>
        <v>354.98744676314726</v>
      </c>
      <c r="G36" s="1">
        <f>Final!S20</f>
        <v>541.57978168665011</v>
      </c>
      <c r="I36" s="305" t="s">
        <v>25</v>
      </c>
      <c r="J36" s="305"/>
      <c r="K36" s="305"/>
      <c r="L36" s="305"/>
      <c r="M36" s="305"/>
      <c r="N36" s="305"/>
      <c r="O36" s="305"/>
      <c r="P36" s="305"/>
      <c r="Q36" s="305"/>
      <c r="R36" s="305"/>
      <c r="S36" s="305"/>
    </row>
    <row r="37" spans="1:19" x14ac:dyDescent="0.2">
      <c r="A37" s="177">
        <f>Final!M21</f>
        <v>4</v>
      </c>
      <c r="B37" s="1">
        <f>Final!N21</f>
        <v>53.209916923481771</v>
      </c>
      <c r="C37" s="1">
        <f>Final!O21</f>
        <v>167.72448198177628</v>
      </c>
      <c r="D37" s="1">
        <f>Final!P21</f>
        <v>436.70633650462474</v>
      </c>
      <c r="E37" s="1">
        <f>Final!Q21</f>
        <v>964.35317527204825</v>
      </c>
      <c r="F37" s="1">
        <f>Final!R21</f>
        <v>1884.2863937459429</v>
      </c>
      <c r="G37" s="1">
        <f>Final!S21</f>
        <v>3359.3128107487778</v>
      </c>
      <c r="I37" s="301" t="s">
        <v>26</v>
      </c>
      <c r="J37" s="301"/>
      <c r="K37" s="301"/>
      <c r="L37" s="301"/>
      <c r="M37" s="301"/>
      <c r="N37" s="301"/>
      <c r="O37" s="301"/>
      <c r="P37" s="301"/>
      <c r="Q37" s="301"/>
      <c r="R37" s="301"/>
      <c r="S37" s="301"/>
    </row>
    <row r="38" spans="1:19" x14ac:dyDescent="0.2">
      <c r="A38" s="359" t="str">
        <f>Final!M27</f>
        <v>Strategy #1 Bet Your Edge ROI</v>
      </c>
      <c r="B38" s="360"/>
      <c r="C38" s="360"/>
      <c r="D38" s="360"/>
      <c r="E38" s="360"/>
      <c r="F38" s="360"/>
      <c r="G38" s="361"/>
      <c r="I38" s="302" t="s">
        <v>27</v>
      </c>
      <c r="J38" s="302"/>
      <c r="K38" s="302"/>
      <c r="L38" s="302"/>
      <c r="M38" s="302"/>
      <c r="N38" s="302"/>
      <c r="O38" s="302"/>
      <c r="P38" s="302"/>
      <c r="Q38" s="302"/>
      <c r="R38" s="302"/>
      <c r="S38" s="302"/>
    </row>
    <row r="39" spans="1:19" x14ac:dyDescent="0.2">
      <c r="A39" s="177" t="str">
        <f>Final!M28</f>
        <v>Level</v>
      </c>
      <c r="B39" s="177" t="str">
        <f>Final!N28</f>
        <v>1x2</v>
      </c>
      <c r="C39" s="177" t="str">
        <f>Final!O28</f>
        <v>1x3</v>
      </c>
      <c r="D39" s="177" t="str">
        <f>Final!P28</f>
        <v>1x4</v>
      </c>
      <c r="E39" s="177" t="str">
        <f>Final!Q28</f>
        <v>1x5</v>
      </c>
      <c r="F39" s="177" t="str">
        <f>Final!R28</f>
        <v>1x6</v>
      </c>
      <c r="G39" s="177" t="str">
        <f>Final!S28</f>
        <v>1x7</v>
      </c>
      <c r="I39" s="300" t="s">
        <v>28</v>
      </c>
      <c r="J39" s="300"/>
      <c r="K39" s="300"/>
      <c r="L39" s="300"/>
      <c r="M39" s="300"/>
      <c r="N39" s="300"/>
      <c r="O39" s="300"/>
      <c r="P39" s="300"/>
      <c r="Q39" s="300"/>
      <c r="R39" s="300"/>
      <c r="S39" s="300"/>
    </row>
    <row r="40" spans="1:19" x14ac:dyDescent="0.2">
      <c r="A40" s="177">
        <f>Final!M29</f>
        <v>2</v>
      </c>
      <c r="B40" s="1">
        <f>Final!N29</f>
        <v>-3.7275674444812489E-3</v>
      </c>
      <c r="C40" s="1">
        <f>Final!O29</f>
        <v>1.0775849328642678E-2</v>
      </c>
      <c r="D40" s="1">
        <f>Final!P29</f>
        <v>1.7191811293431305E-2</v>
      </c>
      <c r="E40" s="1">
        <f>Final!Q29</f>
        <v>1.9209258764431761E-2</v>
      </c>
      <c r="F40" s="1">
        <f>Final!R29</f>
        <v>1.9288980477798718E-2</v>
      </c>
      <c r="G40" s="1">
        <f>Final!S29</f>
        <v>1.8564783840221529E-2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</row>
    <row r="41" spans="1:19" x14ac:dyDescent="0.2">
      <c r="A41" s="177">
        <f>Final!M30</f>
        <v>3</v>
      </c>
      <c r="B41" s="1">
        <f>Final!N30</f>
        <v>-3.7069207546567636E-3</v>
      </c>
      <c r="C41" s="1">
        <f>Final!O30</f>
        <v>6.783563876462605E-3</v>
      </c>
      <c r="D41" s="1">
        <f>Final!P30</f>
        <v>7.9147715066398075E-3</v>
      </c>
      <c r="E41" s="1">
        <f>Final!Q30</f>
        <v>6.9749345476300059E-3</v>
      </c>
      <c r="F41" s="1">
        <f>Final!R30</f>
        <v>5.7911082805597296E-3</v>
      </c>
      <c r="G41" s="1">
        <f>Final!S30</f>
        <v>4.7580579497721364E-3</v>
      </c>
    </row>
    <row r="42" spans="1:19" x14ac:dyDescent="0.2">
      <c r="A42" s="177">
        <f>Final!M31</f>
        <v>4</v>
      </c>
      <c r="B42" s="1">
        <f>Final!N31</f>
        <v>-2.8086020754824613E-3</v>
      </c>
      <c r="C42" s="1">
        <f>Final!O31</f>
        <v>3.3380673809323205E-3</v>
      </c>
      <c r="D42" s="1">
        <f>Final!P31</f>
        <v>2.8469240555476691E-3</v>
      </c>
      <c r="E42" s="1">
        <f>Final!Q31</f>
        <v>1.9733793043461671E-3</v>
      </c>
      <c r="F42" s="1">
        <f>Final!R31</f>
        <v>1.3513064982832888E-3</v>
      </c>
      <c r="G42" s="1">
        <f>Final!S31</f>
        <v>9.4577072335432996E-4</v>
      </c>
    </row>
  </sheetData>
  <sheetProtection sheet="1" objects="1" scenarios="1"/>
  <mergeCells count="17">
    <mergeCell ref="A38:G38"/>
    <mergeCell ref="A28:G28"/>
    <mergeCell ref="A33:G33"/>
    <mergeCell ref="A1:S1"/>
    <mergeCell ref="I39:S39"/>
    <mergeCell ref="I37:S37"/>
    <mergeCell ref="I38:S38"/>
    <mergeCell ref="I2:S2"/>
    <mergeCell ref="I33:S33"/>
    <mergeCell ref="I35:S35"/>
    <mergeCell ref="I36:S36"/>
    <mergeCell ref="C21:D21"/>
    <mergeCell ref="E21:F21"/>
    <mergeCell ref="I34:S34"/>
    <mergeCell ref="A2:G2"/>
    <mergeCell ref="B19:G19"/>
    <mergeCell ref="A22:G22"/>
  </mergeCells>
  <phoneticPr fontId="16" type="noConversion"/>
  <conditionalFormatting sqref="J23:S32 J4:S13 J15:S21">
    <cfRule type="containsText" dxfId="46" priority="70" operator="containsText" text="S">
      <formula>NOT(ISERROR(SEARCH("S",J4)))</formula>
    </cfRule>
    <cfRule type="containsText" dxfId="45" priority="71" operator="containsText" text="H">
      <formula>NOT(ISERROR(SEARCH("H",J4)))</formula>
    </cfRule>
  </conditionalFormatting>
  <conditionalFormatting sqref="J23:S32 J4:S13 J15:S21">
    <cfRule type="containsText" dxfId="44" priority="69" operator="containsText" text="D">
      <formula>NOT(ISERROR(SEARCH("D",J4)))</formula>
    </cfRule>
  </conditionalFormatting>
  <conditionalFormatting sqref="J23:S32 J4:S13 J15:S21">
    <cfRule type="containsText" dxfId="43" priority="68" operator="containsText" text="R">
      <formula>NOT(ISERROR(SEARCH("R",J4)))</formula>
    </cfRule>
  </conditionalFormatting>
  <conditionalFormatting sqref="J23:S32 J4:S13 J15:S21">
    <cfRule type="containsText" dxfId="42" priority="67" operator="containsText" text="P">
      <formula>NOT(ISERROR(SEARCH("P",J4)))</formula>
    </cfRule>
  </conditionalFormatting>
  <conditionalFormatting sqref="A39:A42">
    <cfRule type="containsText" dxfId="41" priority="65" operator="containsText" text="S">
      <formula>NOT(ISERROR(SEARCH("S",A39)))</formula>
    </cfRule>
    <cfRule type="containsText" dxfId="40" priority="66" operator="containsText" text="H">
      <formula>NOT(ISERROR(SEARCH("H",A39)))</formula>
    </cfRule>
  </conditionalFormatting>
  <conditionalFormatting sqref="A39:A42">
    <cfRule type="containsText" dxfId="39" priority="64" operator="containsText" text="D">
      <formula>NOT(ISERROR(SEARCH("D",A39)))</formula>
    </cfRule>
  </conditionalFormatting>
  <conditionalFormatting sqref="A39:A42">
    <cfRule type="containsText" dxfId="38" priority="63" operator="containsText" text="R">
      <formula>NOT(ISERROR(SEARCH("R",A39)))</formula>
    </cfRule>
  </conditionalFormatting>
  <conditionalFormatting sqref="A39:A42">
    <cfRule type="containsText" dxfId="37" priority="62" operator="containsText" text="P">
      <formula>NOT(ISERROR(SEARCH("P",A39)))</formula>
    </cfRule>
  </conditionalFormatting>
  <conditionalFormatting sqref="B39:G39">
    <cfRule type="containsText" dxfId="36" priority="60" operator="containsText" text="S">
      <formula>NOT(ISERROR(SEARCH("S",B39)))</formula>
    </cfRule>
    <cfRule type="containsText" dxfId="35" priority="61" operator="containsText" text="H">
      <formula>NOT(ISERROR(SEARCH("H",B39)))</formula>
    </cfRule>
  </conditionalFormatting>
  <conditionalFormatting sqref="B39:G39">
    <cfRule type="containsText" dxfId="34" priority="59" operator="containsText" text="D">
      <formula>NOT(ISERROR(SEARCH("D",B39)))</formula>
    </cfRule>
  </conditionalFormatting>
  <conditionalFormatting sqref="B39:G39">
    <cfRule type="containsText" dxfId="33" priority="58" operator="containsText" text="R">
      <formula>NOT(ISERROR(SEARCH("R",B39)))</formula>
    </cfRule>
  </conditionalFormatting>
  <conditionalFormatting sqref="B39:G39">
    <cfRule type="containsText" dxfId="32" priority="57" operator="containsText" text="P">
      <formula>NOT(ISERROR(SEARCH("P",B39)))</formula>
    </cfRule>
  </conditionalFormatting>
  <conditionalFormatting sqref="B40:G42">
    <cfRule type="colorScale" priority="55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31" priority="56" operator="equal">
      <formula>MAX($B$40:$G$42)</formula>
    </cfRule>
  </conditionalFormatting>
  <conditionalFormatting sqref="A23:A27">
    <cfRule type="containsText" dxfId="30" priority="53" operator="containsText" text="S">
      <formula>NOT(ISERROR(SEARCH("S",A23)))</formula>
    </cfRule>
    <cfRule type="containsText" dxfId="29" priority="54" operator="containsText" text="H">
      <formula>NOT(ISERROR(SEARCH("H",A23)))</formula>
    </cfRule>
  </conditionalFormatting>
  <conditionalFormatting sqref="A23:A27">
    <cfRule type="containsText" dxfId="28" priority="52" operator="containsText" text="D">
      <formula>NOT(ISERROR(SEARCH("D",A23)))</formula>
    </cfRule>
  </conditionalFormatting>
  <conditionalFormatting sqref="A23:A27">
    <cfRule type="containsText" dxfId="27" priority="51" operator="containsText" text="R">
      <formula>NOT(ISERROR(SEARCH("R",A23)))</formula>
    </cfRule>
  </conditionalFormatting>
  <conditionalFormatting sqref="A23:A27">
    <cfRule type="containsText" dxfId="26" priority="50" operator="containsText" text="P">
      <formula>NOT(ISERROR(SEARCH("P",A23)))</formula>
    </cfRule>
  </conditionalFormatting>
  <conditionalFormatting sqref="B23:G23">
    <cfRule type="containsText" dxfId="25" priority="48" operator="containsText" text="S">
      <formula>NOT(ISERROR(SEARCH("S",B23)))</formula>
    </cfRule>
    <cfRule type="containsText" dxfId="24" priority="49" operator="containsText" text="H">
      <formula>NOT(ISERROR(SEARCH("H",B23)))</formula>
    </cfRule>
  </conditionalFormatting>
  <conditionalFormatting sqref="B23:G23">
    <cfRule type="containsText" dxfId="23" priority="47" operator="containsText" text="D">
      <formula>NOT(ISERROR(SEARCH("D",B23)))</formula>
    </cfRule>
  </conditionalFormatting>
  <conditionalFormatting sqref="B23:G23">
    <cfRule type="containsText" dxfId="22" priority="46" operator="containsText" text="R">
      <formula>NOT(ISERROR(SEARCH("R",B23)))</formula>
    </cfRule>
  </conditionalFormatting>
  <conditionalFormatting sqref="B23:G23">
    <cfRule type="containsText" dxfId="21" priority="45" operator="containsText" text="P">
      <formula>NOT(ISERROR(SEARCH("P",B23)))</formula>
    </cfRule>
  </conditionalFormatting>
  <conditionalFormatting sqref="B24:G27">
    <cfRule type="colorScale" priority="4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A34:A37">
    <cfRule type="containsText" dxfId="20" priority="22" operator="containsText" text="S">
      <formula>NOT(ISERROR(SEARCH("S",A34)))</formula>
    </cfRule>
    <cfRule type="containsText" dxfId="19" priority="23" operator="containsText" text="H">
      <formula>NOT(ISERROR(SEARCH("H",A34)))</formula>
    </cfRule>
  </conditionalFormatting>
  <conditionalFormatting sqref="A34:A37">
    <cfRule type="containsText" dxfId="18" priority="21" operator="containsText" text="D">
      <formula>NOT(ISERROR(SEARCH("D",A34)))</formula>
    </cfRule>
  </conditionalFormatting>
  <conditionalFormatting sqref="A34:A37">
    <cfRule type="containsText" dxfId="17" priority="20" operator="containsText" text="R">
      <formula>NOT(ISERROR(SEARCH("R",A34)))</formula>
    </cfRule>
  </conditionalFormatting>
  <conditionalFormatting sqref="A34:A37">
    <cfRule type="containsText" dxfId="16" priority="19" operator="containsText" text="P">
      <formula>NOT(ISERROR(SEARCH("P",A34)))</formula>
    </cfRule>
  </conditionalFormatting>
  <conditionalFormatting sqref="B34:G34">
    <cfRule type="containsText" dxfId="15" priority="17" operator="containsText" text="S">
      <formula>NOT(ISERROR(SEARCH("S",B34)))</formula>
    </cfRule>
    <cfRule type="containsText" dxfId="14" priority="18" operator="containsText" text="H">
      <formula>NOT(ISERROR(SEARCH("H",B34)))</formula>
    </cfRule>
  </conditionalFormatting>
  <conditionalFormatting sqref="B34:G34">
    <cfRule type="containsText" dxfId="13" priority="16" operator="containsText" text="D">
      <formula>NOT(ISERROR(SEARCH("D",B34)))</formula>
    </cfRule>
  </conditionalFormatting>
  <conditionalFormatting sqref="B34:G34">
    <cfRule type="containsText" dxfId="12" priority="15" operator="containsText" text="R">
      <formula>NOT(ISERROR(SEARCH("R",B34)))</formula>
    </cfRule>
  </conditionalFormatting>
  <conditionalFormatting sqref="B34:G34">
    <cfRule type="containsText" dxfId="11" priority="14" operator="containsText" text="P">
      <formula>NOT(ISERROR(SEARCH("P",B34)))</formula>
    </cfRule>
  </conditionalFormatting>
  <conditionalFormatting sqref="B35:G37">
    <cfRule type="colorScale" priority="12">
      <colorScale>
        <cfvo type="num" val="0"/>
        <cfvo type="num" val="0"/>
        <cfvo type="max"/>
        <color rgb="FF00B050"/>
        <color rgb="FFFFEB84"/>
        <color rgb="FFFF0000"/>
      </colorScale>
    </cfRule>
    <cfRule type="cellIs" dxfId="10" priority="13" operator="equal">
      <formula>MAX($N$29:$V$31)</formula>
    </cfRule>
  </conditionalFormatting>
  <conditionalFormatting sqref="A29:A32">
    <cfRule type="containsText" dxfId="9" priority="10" operator="containsText" text="S">
      <formula>NOT(ISERROR(SEARCH("S",A29)))</formula>
    </cfRule>
    <cfRule type="containsText" dxfId="8" priority="11" operator="containsText" text="H">
      <formula>NOT(ISERROR(SEARCH("H",A29)))</formula>
    </cfRule>
  </conditionalFormatting>
  <conditionalFormatting sqref="A29:A32">
    <cfRule type="containsText" dxfId="7" priority="9" operator="containsText" text="D">
      <formula>NOT(ISERROR(SEARCH("D",A29)))</formula>
    </cfRule>
  </conditionalFormatting>
  <conditionalFormatting sqref="A29:A32">
    <cfRule type="containsText" dxfId="6" priority="8" operator="containsText" text="R">
      <formula>NOT(ISERROR(SEARCH("R",A29)))</formula>
    </cfRule>
  </conditionalFormatting>
  <conditionalFormatting sqref="A29:A32">
    <cfRule type="containsText" dxfId="5" priority="7" operator="containsText" text="P">
      <formula>NOT(ISERROR(SEARCH("P",A29)))</formula>
    </cfRule>
  </conditionalFormatting>
  <conditionalFormatting sqref="B29:G29">
    <cfRule type="containsText" dxfId="4" priority="5" operator="containsText" text="S">
      <formula>NOT(ISERROR(SEARCH("S",B29)))</formula>
    </cfRule>
    <cfRule type="containsText" dxfId="3" priority="6" operator="containsText" text="H">
      <formula>NOT(ISERROR(SEARCH("H",B29)))</formula>
    </cfRule>
  </conditionalFormatting>
  <conditionalFormatting sqref="B29:G29">
    <cfRule type="containsText" dxfId="2" priority="4" operator="containsText" text="D">
      <formula>NOT(ISERROR(SEARCH("D",B29)))</formula>
    </cfRule>
  </conditionalFormatting>
  <conditionalFormatting sqref="B29:G29">
    <cfRule type="containsText" dxfId="1" priority="3" operator="containsText" text="R">
      <formula>NOT(ISERROR(SEARCH("R",B29)))</formula>
    </cfRule>
  </conditionalFormatting>
  <conditionalFormatting sqref="B29:G29">
    <cfRule type="containsText" dxfId="0" priority="2" operator="containsText" text="P">
      <formula>NOT(ISERROR(SEARCH("P",B29)))</formula>
    </cfRule>
  </conditionalFormatting>
  <conditionalFormatting sqref="B30:G32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dataValidations count="14">
    <dataValidation type="list" allowBlank="1" showInputMessage="1" showErrorMessage="1" sqref="B4" xr:uid="{00000000-0002-0000-0000-000000000000}">
      <formula1>$E$4:$F$4</formula1>
    </dataValidation>
    <dataValidation type="list" allowBlank="1" showInputMessage="1" showErrorMessage="1" sqref="B3" xr:uid="{00000000-0002-0000-0000-000001000000}">
      <formula1>$E$3:$G$3</formula1>
    </dataValidation>
    <dataValidation type="whole" allowBlank="1" showInputMessage="1" showErrorMessage="1" sqref="B5" xr:uid="{00000000-0002-0000-0000-000002000000}">
      <formula1>0</formula1>
      <formula2>100</formula2>
    </dataValidation>
    <dataValidation type="list" allowBlank="1" showInputMessage="1" showErrorMessage="1" sqref="B6" xr:uid="{00000000-0002-0000-0000-000003000000}">
      <formula1>$E$6:$F$6</formula1>
    </dataValidation>
    <dataValidation type="list" allowBlank="1" showInputMessage="1" showErrorMessage="1" sqref="B8:B9" xr:uid="{00000000-0002-0000-0000-000004000000}">
      <formula1>$E$8:$F$8</formula1>
    </dataValidation>
    <dataValidation type="list" allowBlank="1" showInputMessage="1" showErrorMessage="1" sqref="B7" xr:uid="{00000000-0002-0000-0000-000005000000}">
      <formula1>$E$7:$F$7</formula1>
    </dataValidation>
    <dataValidation type="list" allowBlank="1" showInputMessage="1" showErrorMessage="1" sqref="B10" xr:uid="{00000000-0002-0000-0000-000006000000}">
      <formula1>$E$10:$F$10</formula1>
    </dataValidation>
    <dataValidation type="whole" allowBlank="1" showInputMessage="1" showErrorMessage="1" sqref="B11 B17" xr:uid="{00000000-0002-0000-0000-000007000000}">
      <formula1>2</formula1>
      <formula2>5</formula2>
    </dataValidation>
    <dataValidation type="list" allowBlank="1" showInputMessage="1" showErrorMessage="1" sqref="B12" xr:uid="{00000000-0002-0000-0000-000008000000}">
      <formula1>$E$12:$F$12</formula1>
    </dataValidation>
    <dataValidation type="list" allowBlank="1" showInputMessage="1" showErrorMessage="1" sqref="B13" xr:uid="{00000000-0002-0000-0000-000009000000}">
      <formula1>$E$13:$F$13</formula1>
    </dataValidation>
    <dataValidation type="list" allowBlank="1" showInputMessage="1" showErrorMessage="1" sqref="B14" xr:uid="{00000000-0002-0000-0000-00000A000000}">
      <formula1>$E$14:$F$14</formula1>
    </dataValidation>
    <dataValidation type="list" allowBlank="1" showInputMessage="1" showErrorMessage="1" sqref="B16" xr:uid="{00000000-0002-0000-0000-00000B000000}">
      <formula1>$E$16:$G$16</formula1>
    </dataValidation>
    <dataValidation type="list" allowBlank="1" showInputMessage="1" showErrorMessage="1" sqref="B15" xr:uid="{00000000-0002-0000-0000-00000C000000}">
      <formula1>$E$15:$G$15</formula1>
    </dataValidation>
    <dataValidation type="textLength" operator="greaterThan" allowBlank="1" showInputMessage="1" showErrorMessage="1" sqref="B18:B19" xr:uid="{DB7CC3A3-DC58-B24B-8A55-F7465E4C5F5A}">
      <formula1>0</formula1>
    </dataValidation>
  </dataValidations>
  <pageMargins left="0.7" right="0.7" top="0.75" bottom="0.75" header="0.3" footer="0.3"/>
  <pageSetup paperSize="9" scale="7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63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3.5" customWidth="1"/>
  </cols>
  <sheetData>
    <row r="1" spans="1:24" ht="17" thickBot="1" x14ac:dyDescent="0.25">
      <c r="A1" s="306" t="s">
        <v>75</v>
      </c>
      <c r="B1" s="316"/>
      <c r="C1" s="316"/>
      <c r="D1" s="316"/>
      <c r="E1" s="316"/>
      <c r="F1" s="316"/>
      <c r="G1" s="316"/>
      <c r="H1" s="316"/>
      <c r="I1" s="316"/>
      <c r="J1" s="316"/>
      <c r="K1" s="307"/>
      <c r="N1" t="s">
        <v>7</v>
      </c>
      <c r="O1">
        <v>1</v>
      </c>
      <c r="P1">
        <v>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  <c r="X1">
        <v>10</v>
      </c>
    </row>
    <row r="2" spans="1:24" ht="17" thickBot="1" x14ac:dyDescent="0.25">
      <c r="A2" s="101" t="s">
        <v>7</v>
      </c>
      <c r="B2" s="117">
        <v>1</v>
      </c>
      <c r="C2" s="118">
        <v>2</v>
      </c>
      <c r="D2" s="118">
        <v>3</v>
      </c>
      <c r="E2" s="118">
        <v>4</v>
      </c>
      <c r="F2" s="118">
        <v>5</v>
      </c>
      <c r="G2" s="118">
        <v>6</v>
      </c>
      <c r="H2" s="118">
        <v>7</v>
      </c>
      <c r="I2" s="118">
        <v>8</v>
      </c>
      <c r="J2" s="118">
        <v>9</v>
      </c>
      <c r="K2" s="105">
        <v>10</v>
      </c>
      <c r="N2">
        <v>1</v>
      </c>
      <c r="O2" s="31" t="str">
        <f>IF(B54=IF(Rules!$B$17=2,B42,IF(Rules!$B$17=3,B29,IF(Rules!$B$17=4,B16,B3))),"P",HSDR!O34)</f>
        <v>P</v>
      </c>
      <c r="P2" s="31" t="str">
        <f>IF(C54=IF(Rules!$B$17=2,C42,IF(Rules!$B$17=3,C29,IF(Rules!$B$17=4,C16,C3))),"P",HSDR!P34)</f>
        <v>P</v>
      </c>
      <c r="Q2" s="31" t="str">
        <f>IF(D54=IF(Rules!$B$17=2,D42,IF(Rules!$B$17=3,D29,IF(Rules!$B$17=4,D16,D3))),"P",HSDR!Q34)</f>
        <v>P</v>
      </c>
      <c r="R2" s="31" t="str">
        <f>IF(E54=IF(Rules!$B$17=2,E42,IF(Rules!$B$17=3,E29,IF(Rules!$B$17=4,E16,E3))),"P",HSDR!R34)</f>
        <v>P</v>
      </c>
      <c r="S2" s="31" t="str">
        <f>IF(F54=IF(Rules!$B$17=2,F42,IF(Rules!$B$17=3,F29,IF(Rules!$B$17=4,F16,F3))),"P",HSDR!S34)</f>
        <v>P</v>
      </c>
      <c r="T2" s="31" t="str">
        <f>IF(G54=IF(Rules!$B$17=2,G42,IF(Rules!$B$17=3,G29,IF(Rules!$B$17=4,G16,G3))),"P",HSDR!T34)</f>
        <v>P</v>
      </c>
      <c r="U2" s="31" t="str">
        <f>IF(H54=IF(Rules!$B$17=2,H42,IF(Rules!$B$17=3,H29,IF(Rules!$B$17=4,H16,H3))),"P",HSDR!U34)</f>
        <v>P</v>
      </c>
      <c r="V2" s="31" t="str">
        <f>IF(I54=IF(Rules!$B$17=2,I42,IF(Rules!$B$17=3,I29,IF(Rules!$B$17=4,I16,I3))),"P",HSDR!V34)</f>
        <v>P</v>
      </c>
      <c r="W2" s="31" t="str">
        <f>IF(J54=IF(Rules!$B$17=2,J42,IF(Rules!$B$17=3,J29,IF(Rules!$B$17=4,J16,J3))),"P",HSDR!W34)</f>
        <v>P</v>
      </c>
      <c r="X2" s="31" t="str">
        <f>IF(K54=IF(Rules!$B$17=2,K42,IF(Rules!$B$17=3,K29,IF(Rules!$B$17=4,K16,K3))),"P",HSDR!X34)</f>
        <v>P</v>
      </c>
    </row>
    <row r="3" spans="1:24" x14ac:dyDescent="0.2">
      <c r="A3" s="99">
        <v>1</v>
      </c>
      <c r="B3" s="109">
        <f>2*(IF(Rules!$B$12=Rules!$F$12,SUM(Stand!B36:B43)+Rules!$B$5*Stand!B44+B16,SUM(HSD!B36:B43)+Rules!$B$5*HSD!B44+B16)/(9+Rules!$B$5))</f>
        <v>0.24964002360108775</v>
      </c>
      <c r="C3" s="110">
        <f>2*(IF(Rules!$B$12=Rules!$F$12,SUM(Stand!C36:C43)+Rules!$B$5*Stand!C44+C16,SUM(HSD!C36:C43)+Rules!$B$5*HSD!C44+C16)/(9+Rules!$B$5))</f>
        <v>0.60893997246027043</v>
      </c>
      <c r="D3" s="110">
        <f>2*(IF(Rules!$B$12=Rules!$F$12,SUM(Stand!D36:D43)+Rules!$B$5*Stand!D44+D16,SUM(HSD!D36:D43)+Rules!$B$5*HSD!D44+D16)/(9+Rules!$B$5))</f>
        <v>0.65729370645788177</v>
      </c>
      <c r="E3" s="110">
        <f>2*(IF(Rules!$B$12=Rules!$F$12,SUM(Stand!E36:E43)+Rules!$B$5*Stand!E44+E16,SUM(HSD!E36:E43)+Rules!$B$5*HSD!E44+E16)/(9+Rules!$B$5))</f>
        <v>0.7068176357371978</v>
      </c>
      <c r="F3" s="110">
        <f>2*(IF(Rules!$B$12=Rules!$F$12,SUM(Stand!F36:F43)+Rules!$B$5*Stand!F44+F16,SUM(HSD!F36:F43)+Rules!$B$5*HSD!F44+F16)/(9+Rules!$B$5))</f>
        <v>0.75634348224235182</v>
      </c>
      <c r="G3" s="110">
        <f>2*(IF(Rules!$B$12=Rules!$F$12,SUM(Stand!G36:G43)+Rules!$B$5*Stand!G44+G16,SUM(HSD!G36:G43)+Rules!$B$5*HSD!G44+G16)/(9+Rules!$B$5))</f>
        <v>0.81612360245129012</v>
      </c>
      <c r="H3" s="110">
        <f>2*(IF(Rules!$B$12=Rules!$F$12,SUM(Stand!H36:H43)+Rules!$B$5*Stand!H44+H16,SUM(HSD!H36:H43)+Rules!$B$5*HSD!H44+H16)/(9+Rules!$B$5))</f>
        <v>0.63286124044017034</v>
      </c>
      <c r="I3" s="110">
        <f>2*(IF(Rules!$B$12=Rules!$F$12,SUM(Stand!I36:I43)+Rules!$B$5*Stand!I44+I16,SUM(HSD!I36:I43)+Rules!$B$5*HSD!I44+I16)/(9+Rules!$B$5))</f>
        <v>0.5067060739538094</v>
      </c>
      <c r="J3" s="110">
        <f>2*(IF(Rules!$B$12=Rules!$F$12,SUM(Stand!J36:J43)+Rules!$B$5*Stand!J44+J16,SUM(HSD!J36:J43)+Rules!$B$5*HSD!J44+J16)/(9+Rules!$B$5))</f>
        <v>0.36744267463395625</v>
      </c>
      <c r="K3" s="57">
        <f>2*(IF(Rules!$B$12=Rules!$F$12,SUM(Stand!K36:K43)+Rules!$B$5*Stand!K44+K16,SUM(HSD!K36:K43)+Rules!$B$5*HSD!K44+K16)/(9+Rules!$B$5))</f>
        <v>0.31014270394261662</v>
      </c>
      <c r="N3">
        <v>2</v>
      </c>
      <c r="O3" s="31" t="str">
        <f>IF(B55=IF(Rules!$B$11=2,B43,IF(Rules!$B$11=3,B30,IF(Rules!$B$11=4,B17,B4))),"P",HSDR!O4)</f>
        <v>H</v>
      </c>
      <c r="P3" s="31" t="str">
        <f>IF(C55=IF(Rules!$B$11=2,C43,IF(Rules!$B$11=3,C30,IF(Rules!$B$11=4,C17,C4))),"P",HSDR!P4)</f>
        <v>H</v>
      </c>
      <c r="Q3" s="31" t="str">
        <f>IF(D55=IF(Rules!$B$11=2,D43,IF(Rules!$B$11=3,D30,IF(Rules!$B$11=4,D17,D4))),"P",HSDR!Q4)</f>
        <v>H</v>
      </c>
      <c r="R3" s="31" t="str">
        <f>IF(E55=IF(Rules!$B$11=2,E43,IF(Rules!$B$11=3,E30,IF(Rules!$B$11=4,E17,E4))),"P",HSDR!R4)</f>
        <v>P</v>
      </c>
      <c r="S3" s="31" t="str">
        <f>IF(F55=IF(Rules!$B$11=2,F43,IF(Rules!$B$11=3,F30,IF(Rules!$B$11=4,F17,F4))),"P",HSDR!S4)</f>
        <v>P</v>
      </c>
      <c r="T3" s="31" t="str">
        <f>IF(G55=IF(Rules!$B$11=2,G43,IF(Rules!$B$11=3,G30,IF(Rules!$B$11=4,G17,G4))),"P",HSDR!T4)</f>
        <v>P</v>
      </c>
      <c r="U3" s="31" t="str">
        <f>IF(H55=IF(Rules!$B$11=2,H43,IF(Rules!$B$11=3,H30,IF(Rules!$B$11=4,H17,H4))),"P",HSDR!U4)</f>
        <v>P</v>
      </c>
      <c r="V3" s="31" t="str">
        <f>IF(I55=IF(Rules!$B$11=2,I43,IF(Rules!$B$11=3,I30,IF(Rules!$B$11=4,I17,I4))),"P",HSDR!V4)</f>
        <v>H</v>
      </c>
      <c r="W3" s="31" t="str">
        <f>IF(J55=IF(Rules!$B$11=2,J43,IF(Rules!$B$11=3,J30,IF(Rules!$B$11=4,J17,J4))),"P",HSDR!W4)</f>
        <v>H</v>
      </c>
      <c r="X3" s="31" t="str">
        <f>IF(K55=IF(Rules!$B$11=2,K43,IF(Rules!$B$11=3,K30,IF(Rules!$B$11=4,K17,K4))),"P",HSDR!X4)</f>
        <v>H</v>
      </c>
    </row>
    <row r="4" spans="1:24" x14ac:dyDescent="0.2">
      <c r="A4" s="99">
        <v>2</v>
      </c>
      <c r="B4" s="93">
        <f>2*(IF(Rules!$B$9=Rules!$E$9,SUM(HSD!B5:B11)+Rules!$B$5*HSD!B12+HSD!B36+B17,SUM(HS!B5:B11)+Rules!$B$5*HS!B12+HS!B36+B17)/(9+Rules!$B$5))</f>
        <v>-0.43453844868912295</v>
      </c>
      <c r="C4" s="1">
        <f>2*(IF(Rules!$B$9=Rules!$E$9,SUM(HSD!C5:C11)+Rules!$B$5*HSD!C12+HSD!C36+C17,SUM(HS!C5:C11)+Rules!$B$5*HS!C12+HS!C36+C17)/(9+Rules!$B$5))</f>
        <v>-0.15844529598680707</v>
      </c>
      <c r="D4" s="1">
        <f>2*(IF(Rules!$B$9=Rules!$E$9,SUM(HSD!D5:D11)+Rules!$B$5*HSD!D12+HSD!D36+D17,SUM(HS!D5:D11)+Rules!$B$5*HS!D12+HS!D36+D17)/(9+Rules!$B$5))</f>
        <v>-0.10256079463294504</v>
      </c>
      <c r="E4" s="1">
        <f>2*(IF(Rules!$B$9=Rules!$E$9,SUM(HSD!E5:E11)+Rules!$B$5*HSD!E12+HSD!E36+E17,SUM(HS!E5:E11)+Rules!$B$5*HS!E12+HS!E36+E17)/(9+Rules!$B$5))</f>
        <v>-4.3264863806293831E-2</v>
      </c>
      <c r="F4" s="1">
        <f>2*(IF(Rules!$B$9=Rules!$E$9,SUM(HSD!F5:F11)+Rules!$B$5*HSD!F12+HSD!F36+F17,SUM(HS!F5:F11)+Rules!$B$5*HS!F12+HS!F36+F17)/(9+Rules!$B$5))</f>
        <v>3.4677322855237773E-2</v>
      </c>
      <c r="G4" s="1">
        <f>2*(IF(Rules!$B$9=Rules!$E$9,SUM(HSD!G5:G11)+Rules!$B$5*HSD!G12+HSD!G36+G17,SUM(HS!G5:G11)+Rules!$B$5*HS!G12+HS!G36+G17)/(9+Rules!$B$5))</f>
        <v>8.9838416897347936E-2</v>
      </c>
      <c r="H4" s="1">
        <f>2*(IF(Rules!$B$9=Rules!$E$9,SUM(HSD!H5:H11)+Rules!$B$5*HSD!H12+HSD!H36+H17,SUM(HS!H5:H11)+Rules!$B$5*HS!H12+HS!H36+H17)/(9+Rules!$B$5))</f>
        <v>-4.8397277614682085E-2</v>
      </c>
      <c r="I4" s="1">
        <f>2*(IF(Rules!$B$9=Rules!$E$9,SUM(HSD!I5:I11)+Rules!$B$5*HSD!I12+HSD!I36+I17,SUM(HS!I5:I11)+Rules!$B$5*HS!I12+HS!I36+I17)/(9+Rules!$B$5))</f>
        <v>-0.21483585543657208</v>
      </c>
      <c r="J4" s="1">
        <f>2*(IF(Rules!$B$9=Rules!$E$9,SUM(HSD!J5:J11)+Rules!$B$5*HSD!J12+HSD!J36+J17,SUM(HS!J5:J11)+Rules!$B$5*HS!J12+HS!J36+J17)/(9+Rules!$B$5))</f>
        <v>-0.40535254125838382</v>
      </c>
      <c r="K4" s="9">
        <f>2*(IF(Rules!$B$9=Rules!$E$9,SUM(HSD!K5:K11)+Rules!$B$5*HSD!K12+HSD!K36+K17,SUM(HS!K5:K11)+Rules!$B$5*HS!K12+HS!K36+K17)/(9+Rules!$B$5))</f>
        <v>-0.51928494407048609</v>
      </c>
      <c r="N4">
        <v>3</v>
      </c>
      <c r="O4" s="31" t="str">
        <f>IF(B56=IF(Rules!$B$11=2,B44,IF(Rules!$B$11=3,B31,IF(Rules!$B$11=4,B18,B5))),"P",HSDR!O6)</f>
        <v>H</v>
      </c>
      <c r="P4" s="31" t="str">
        <f>IF(C56=IF(Rules!$B$11=2,C44,IF(Rules!$B$11=3,C31,IF(Rules!$B$11=4,C18,C5))),"P",HSDR!P6)</f>
        <v>H</v>
      </c>
      <c r="Q4" s="31" t="str">
        <f>IF(D56=IF(Rules!$B$11=2,D44,IF(Rules!$B$11=3,D31,IF(Rules!$B$11=4,D18,D5))),"P",HSDR!Q6)</f>
        <v>H</v>
      </c>
      <c r="R4" s="31" t="str">
        <f>IF(E56=IF(Rules!$B$11=2,E44,IF(Rules!$B$11=3,E31,IF(Rules!$B$11=4,E18,E5))),"P",HSDR!R6)</f>
        <v>P</v>
      </c>
      <c r="S4" s="31" t="str">
        <f>IF(F56=IF(Rules!$B$11=2,F44,IF(Rules!$B$11=3,F31,IF(Rules!$B$11=4,F18,F5))),"P",HSDR!S6)</f>
        <v>P</v>
      </c>
      <c r="T4" s="31" t="str">
        <f>IF(G56=IF(Rules!$B$11=2,G44,IF(Rules!$B$11=3,G31,IF(Rules!$B$11=4,G18,G5))),"P",HSDR!T6)</f>
        <v>P</v>
      </c>
      <c r="U4" s="31" t="str">
        <f>IF(H56=IF(Rules!$B$11=2,H44,IF(Rules!$B$11=3,H31,IF(Rules!$B$11=4,H18,H5))),"P",HSDR!U6)</f>
        <v>P</v>
      </c>
      <c r="V4" s="31" t="str">
        <f>IF(I56=IF(Rules!$B$11=2,I44,IF(Rules!$B$11=3,I31,IF(Rules!$B$11=4,I18,I5))),"P",HSDR!V6)</f>
        <v>H</v>
      </c>
      <c r="W4" s="31" t="str">
        <f>IF(J56=IF(Rules!$B$11=2,J44,IF(Rules!$B$11=3,J31,IF(Rules!$B$11=4,J18,J5))),"P",HSDR!W6)</f>
        <v>H</v>
      </c>
      <c r="X4" s="31" t="str">
        <f>IF(K56=IF(Rules!$B$11=2,K44,IF(Rules!$B$11=3,K31,IF(Rules!$B$11=4,K18,K5))),"P",HSDR!X6)</f>
        <v>H</v>
      </c>
    </row>
    <row r="5" spans="1:24" x14ac:dyDescent="0.2">
      <c r="A5" s="99">
        <v>3</v>
      </c>
      <c r="B5" s="93">
        <f>2*(IF(Rules!$B$9=Rules!$E$9,SUM(HSD!B6:B12)+Rules!$B$5*HSD!B13+HSD!B37+B18,SUM(HS!B6:B12)+Rules!$B$5*HS!B13+HS!B37+B18)/(9+Rules!$B$5))</f>
        <v>-0.48799403658041574</v>
      </c>
      <c r="C5" s="1">
        <f>2*(IF(Rules!$B$9=Rules!$E$9,SUM(HSD!C6:C12)+Rules!$B$5*HSD!C13+HSD!C37+C18,SUM(HS!C6:C12)+Rules!$B$5*HS!C13+HS!C37+C18)/(9+Rules!$B$5))</f>
        <v>-0.2142385080261642</v>
      </c>
      <c r="D5" s="1">
        <f>2*(IF(Rules!$B$9=Rules!$E$9,SUM(HSD!D6:D12)+Rules!$B$5*HSD!D13+HSD!D37+D18,SUM(HS!D6:D12)+Rules!$B$5*HS!D13+HS!D37+D18)/(9+Rules!$B$5))</f>
        <v>-0.1454402521699614</v>
      </c>
      <c r="E5" s="1">
        <f>2*(IF(Rules!$B$9=Rules!$E$9,SUM(HSD!E6:E12)+Rules!$B$5*HSD!E13+HSD!E37+E18,SUM(HS!E6:E12)+Rules!$B$5*HS!E13+HS!E37+E18)/(9+Rules!$B$5))</f>
        <v>-7.4523109707665208E-2</v>
      </c>
      <c r="F5" s="1">
        <f>2*(IF(Rules!$B$9=Rules!$E$9,SUM(HSD!F6:F12)+Rules!$B$5*HSD!F13+HSD!F37+F18,SUM(HS!F6:F12)+Rules!$B$5*HS!F13+HS!F37+F18)/(9+Rules!$B$5))</f>
        <v>4.7454290741965922E-3</v>
      </c>
      <c r="G5" s="1">
        <f>2*(IF(Rules!$B$9=Rules!$E$9,SUM(HSD!G6:G12)+Rules!$B$5*HSD!G13+HSD!G37+G18,SUM(HS!G6:G12)+Rules!$B$5*HS!G13+HS!G37+G18)/(9+Rules!$B$5))</f>
        <v>5.802377155290956E-2</v>
      </c>
      <c r="H5" s="1">
        <f>2*(IF(Rules!$B$9=Rules!$E$9,SUM(HSD!H6:H12)+Rules!$B$5*HSD!H13+HSD!H37+H18,SUM(HS!H6:H12)+Rules!$B$5*HS!H13+HS!H37+H18)/(9+Rules!$B$5))</f>
        <v>-0.11404688332023669</v>
      </c>
      <c r="I5" s="1">
        <f>2*(IF(Rules!$B$9=Rules!$E$9,SUM(HSD!I6:I12)+Rules!$B$5*HSD!I13+HSD!I37+I18,SUM(HS!I6:I12)+Rules!$B$5*HS!I13+HS!I37+I18)/(9+Rules!$B$5))</f>
        <v>-0.27525135440194609</v>
      </c>
      <c r="J5" s="1">
        <f>2*(IF(Rules!$B$9=Rules!$E$9,SUM(HSD!J6:J12)+Rules!$B$5*HSD!J13+HSD!J37+J18,SUM(HS!J6:J12)+Rules!$B$5*HS!J13+HS!J37+J18)/(9+Rules!$B$5))</f>
        <v>-0.45977919033511255</v>
      </c>
      <c r="K5" s="9">
        <f>2*(IF(Rules!$B$9=Rules!$E$9,SUM(HSD!K6:K12)+Rules!$B$5*HSD!K13+HSD!K37+K18,SUM(HS!K6:K12)+Rules!$B$5*HS!K13+HS!K37+K18)/(9+Rules!$B$5))</f>
        <v>-0.57001401490197534</v>
      </c>
      <c r="N5">
        <v>4</v>
      </c>
      <c r="O5" s="31" t="str">
        <f>IF(B57=IF(Rules!$B$11=2,B45,IF(Rules!$B$11=3,B32,IF(Rules!$B$11=4,B19,B6))),"P",HSDR!O8)</f>
        <v>H</v>
      </c>
      <c r="P5" s="31" t="str">
        <f>IF(C57=IF(Rules!$B$11=2,C45,IF(Rules!$B$11=3,C32,IF(Rules!$B$11=4,C19,C6))),"P",HSDR!P8)</f>
        <v>H</v>
      </c>
      <c r="Q5" s="31" t="str">
        <f>IF(D57=IF(Rules!$B$11=2,D45,IF(Rules!$B$11=3,D32,IF(Rules!$B$11=4,D19,D6))),"P",HSDR!Q8)</f>
        <v>H</v>
      </c>
      <c r="R5" s="31" t="str">
        <f>IF(E57=IF(Rules!$B$11=2,E45,IF(Rules!$B$11=3,E32,IF(Rules!$B$11=4,E19,E6))),"P",HSDR!R8)</f>
        <v>H</v>
      </c>
      <c r="S5" s="31" t="str">
        <f>IF(F57=IF(Rules!$B$11=2,F45,IF(Rules!$B$11=3,F32,IF(Rules!$B$11=4,F19,F6))),"P",HSDR!S8)</f>
        <v>H</v>
      </c>
      <c r="T5" s="31" t="str">
        <f>IF(G57=IF(Rules!$B$11=2,G45,IF(Rules!$B$11=3,G32,IF(Rules!$B$11=4,G19,G6))),"P",HSDR!T8)</f>
        <v>H</v>
      </c>
      <c r="U5" s="31" t="str">
        <f>IF(H57=IF(Rules!$B$11=2,H45,IF(Rules!$B$11=3,H32,IF(Rules!$B$11=4,H19,H6))),"P",HSDR!U8)</f>
        <v>H</v>
      </c>
      <c r="V5" s="31" t="str">
        <f>IF(I57=IF(Rules!$B$11=2,I45,IF(Rules!$B$11=3,I32,IF(Rules!$B$11=4,I19,I6))),"P",HSDR!V8)</f>
        <v>H</v>
      </c>
      <c r="W5" s="31" t="str">
        <f>IF(J57=IF(Rules!$B$11=2,J45,IF(Rules!$B$11=3,J32,IF(Rules!$B$11=4,J19,J6))),"P",HSDR!W8)</f>
        <v>H</v>
      </c>
      <c r="X5" s="31" t="str">
        <f>IF(K57=IF(Rules!$B$11=2,K45,IF(Rules!$B$11=3,K32,IF(Rules!$B$11=4,K19,K6))),"P",HSDR!X8)</f>
        <v>H</v>
      </c>
    </row>
    <row r="6" spans="1:24" x14ac:dyDescent="0.2">
      <c r="A6" s="99">
        <v>4</v>
      </c>
      <c r="B6" s="93">
        <f>2*(IF(Rules!$B$9=Rules!$E$9,SUM(HSD!B7:B13)+Rules!$B$5*HSD!B14+HSD!B38+B19,SUM(HS!B7:B13)+Rules!$B$5*HS!B14+HS!B38+B19)/(9+Rules!$B$5))</f>
        <v>-0.54274885836502385</v>
      </c>
      <c r="C6" s="1">
        <f>2*(IF(Rules!$B$9=Rules!$E$9,SUM(HSD!C7:C13)+Rules!$B$5*HSD!C14+HSD!C38+C19,SUM(HS!C7:C13)+Rules!$B$5*HS!C14+HS!C38+C19)/(9+Rules!$B$5))</f>
        <v>-0.24596178497638319</v>
      </c>
      <c r="D6" s="1">
        <f>2*(IF(Rules!$B$9=Rules!$E$9,SUM(HSD!D7:D13)+Rules!$B$5*HSD!D14+HSD!D38+D19,SUM(HS!D7:D13)+Rules!$B$5*HS!D14+HS!D38+D19)/(9+Rules!$B$5))</f>
        <v>-0.17572200826957085</v>
      </c>
      <c r="E6" s="1">
        <f>2*(IF(Rules!$B$9=Rules!$E$9,SUM(HSD!E7:E13)+Rules!$B$5*HSD!E14+HSD!E38+E19,SUM(HS!E7:E13)+Rules!$B$5*HS!E14+HS!E38+E19)/(9+Rules!$B$5))</f>
        <v>-0.10341187431415412</v>
      </c>
      <c r="F6" s="1">
        <f>2*(IF(Rules!$B$9=Rules!$E$9,SUM(HSD!F7:F13)+Rules!$B$5*HSD!F14+HSD!F38+F19,SUM(HS!F7:F13)+Rules!$B$5*HS!F14+HS!F38+F19)/(9+Rules!$B$5))</f>
        <v>-2.2920009673662818E-2</v>
      </c>
      <c r="G6" s="1">
        <f>2*(IF(Rules!$B$9=Rules!$E$9,SUM(HSD!G7:G13)+Rules!$B$5*HSD!G14+HSD!G38+G19,SUM(HS!G7:G13)+Rules!$B$5*HS!G14+HS!G38+G19)/(9+Rules!$B$5))</f>
        <v>2.8649607751103836E-2</v>
      </c>
      <c r="H6" s="1">
        <f>2*(IF(Rules!$B$9=Rules!$E$9,SUM(HSD!H7:H13)+Rules!$B$5*HSD!H14+HSD!H38+H19,SUM(HS!H7:H13)+Rules!$B$5*HS!H14+HS!H38+H19)/(9+Rules!$B$5))</f>
        <v>-0.18101949750260365</v>
      </c>
      <c r="I6" s="1">
        <f>2*(IF(Rules!$B$9=Rules!$E$9,SUM(HSD!I7:I13)+Rules!$B$5*HSD!I14+HSD!I38+I19,SUM(HS!I7:I13)+Rules!$B$5*HS!I14+HS!I38+I19)/(9+Rules!$B$5))</f>
        <v>-0.33704232295894054</v>
      </c>
      <c r="J6" s="1">
        <f>2*(IF(Rules!$B$9=Rules!$E$9,SUM(HSD!J7:J13)+Rules!$B$5*HSD!J14+HSD!J38+J19,SUM(HS!J7:J13)+Rules!$B$5*HS!J14+HS!J38+J19)/(9+Rules!$B$5))</f>
        <v>-0.51551500734058797</v>
      </c>
      <c r="K6" s="9">
        <f>2*(IF(Rules!$B$9=Rules!$E$9,SUM(HSD!K7:K13)+Rules!$B$5*HSD!K14+HSD!K38+K19,SUM(HS!K7:K13)+Rules!$B$5*HS!K14+HS!K38+K19)/(9+Rules!$B$5))</f>
        <v>-0.62199039549842849</v>
      </c>
      <c r="N6">
        <v>5</v>
      </c>
      <c r="O6" s="31" t="str">
        <f>IF(B58=IF(Rules!$B$11=2,B46,IF(Rules!$B$11=3,B33,IF(Rules!$B$11=4,B20,B7))),"P",HSDR!O10)</f>
        <v>H</v>
      </c>
      <c r="P6" s="31" t="str">
        <f>IF(C58=IF(Rules!$B$11=2,C46,IF(Rules!$B$11=3,C33,IF(Rules!$B$11=4,C20,C7))),"P",HSDR!P10)</f>
        <v>D</v>
      </c>
      <c r="Q6" s="31" t="str">
        <f>IF(D58=IF(Rules!$B$11=2,D46,IF(Rules!$B$11=3,D33,IF(Rules!$B$11=4,D20,D7))),"P",HSDR!Q10)</f>
        <v>D</v>
      </c>
      <c r="R6" s="31" t="str">
        <f>IF(E58=IF(Rules!$B$11=2,E46,IF(Rules!$B$11=3,E33,IF(Rules!$B$11=4,E20,E7))),"P",HSDR!R10)</f>
        <v>D</v>
      </c>
      <c r="S6" s="31" t="str">
        <f>IF(F58=IF(Rules!$B$11=2,F46,IF(Rules!$B$11=3,F33,IF(Rules!$B$11=4,F20,F7))),"P",HSDR!S10)</f>
        <v>D</v>
      </c>
      <c r="T6" s="31" t="str">
        <f>IF(G58=IF(Rules!$B$11=2,G46,IF(Rules!$B$11=3,G33,IF(Rules!$B$11=4,G20,G7))),"P",HSDR!T10)</f>
        <v>D</v>
      </c>
      <c r="U6" s="31" t="str">
        <f>IF(H58=IF(Rules!$B$11=2,H46,IF(Rules!$B$11=3,H33,IF(Rules!$B$11=4,H20,H7))),"P",HSDR!U10)</f>
        <v>D</v>
      </c>
      <c r="V6" s="31" t="str">
        <f>IF(I58=IF(Rules!$B$11=2,I46,IF(Rules!$B$11=3,I33,IF(Rules!$B$11=4,I20,I7))),"P",HSDR!V10)</f>
        <v>D</v>
      </c>
      <c r="W6" s="31" t="str">
        <f>IF(J58=IF(Rules!$B$11=2,J46,IF(Rules!$B$11=3,J33,IF(Rules!$B$11=4,J20,J7))),"P",HSDR!W10)</f>
        <v>D</v>
      </c>
      <c r="X6" s="31" t="str">
        <f>IF(K58=IF(Rules!$B$11=2,K46,IF(Rules!$B$11=3,K33,IF(Rules!$B$11=4,K20,K7))),"P",HSDR!X10)</f>
        <v>H</v>
      </c>
    </row>
    <row r="7" spans="1:24" x14ac:dyDescent="0.2">
      <c r="A7" s="99">
        <v>5</v>
      </c>
      <c r="B7" s="93">
        <f>2*(IF(Rules!$B$9=Rules!$E$9,SUM(HSD!B8:B14)+Rules!$B$5*HSD!B15+HSD!B39+B20,SUM(HS!B8:B14)+Rules!$B$5*HS!B15+HS!B39+B20)/(9+Rules!$B$5))</f>
        <v>-0.60190880494399301</v>
      </c>
      <c r="C7" s="1">
        <f>2*(IF(Rules!$B$9=Rules!$E$9,SUM(HSD!C8:C14)+Rules!$B$5*HSD!C15+HSD!C39+C20,SUM(HS!C8:C14)+Rules!$B$5*HS!C15+HS!C39+C20)/(9+Rules!$B$5))</f>
        <v>-0.28310595756483203</v>
      </c>
      <c r="D7" s="1">
        <f>2*(IF(Rules!$B$9=Rules!$E$9,SUM(HSD!D8:D14)+Rules!$B$5*HSD!D15+HSD!D39+D20,SUM(HS!D8:D14)+Rules!$B$5*HS!D15+HS!D39+D20)/(9+Rules!$B$5))</f>
        <v>-0.21127904082346655</v>
      </c>
      <c r="E7" s="1">
        <f>2*(IF(Rules!$B$9=Rules!$E$9,SUM(HSD!E8:E14)+Rules!$B$5*HSD!E15+HSD!E39+E20,SUM(HS!E8:E14)+Rules!$B$5*HS!E15+HS!E39+E20)/(9+Rules!$B$5))</f>
        <v>-0.13744002966895089</v>
      </c>
      <c r="F7" s="1">
        <f>2*(IF(Rules!$B$9=Rules!$E$9,SUM(HSD!F8:F14)+Rules!$B$5*HSD!F15+HSD!F39+F20,SUM(HS!F8:F14)+Rules!$B$5*HS!F15+HS!F39+F20)/(9+Rules!$B$5))</f>
        <v>-5.5328563811734607E-2</v>
      </c>
      <c r="G7" s="1">
        <f>2*(IF(Rules!$B$9=Rules!$E$9,SUM(HSD!G8:G14)+Rules!$B$5*HSD!G15+HSD!G39+G20,SUM(HS!G8:G14)+Rules!$B$5*HS!G15+HS!G39+G20)/(9+Rules!$B$5))</f>
        <v>-8.0896038408470993E-3</v>
      </c>
      <c r="H7" s="1">
        <f>2*(IF(Rules!$B$9=Rules!$E$9,SUM(HSD!H8:H14)+Rules!$B$5*HSD!H15+HSD!H39+H20,SUM(HS!H8:H14)+Rules!$B$5*HS!H15+HS!H39+H20)/(9+Rules!$B$5))</f>
        <v>-0.26970720033942674</v>
      </c>
      <c r="I7" s="1">
        <f>2*(IF(Rules!$B$9=Rules!$E$9,SUM(HSD!I8:I14)+Rules!$B$5*HSD!I15+HSD!I39+I20,SUM(HS!I8:I14)+Rules!$B$5*HS!I15+HS!I39+I20)/(9+Rules!$B$5))</f>
        <v>-0.40618277164553479</v>
      </c>
      <c r="J7" s="1">
        <f>2*(IF(Rules!$B$9=Rules!$E$9,SUM(HSD!J8:J14)+Rules!$B$5*HSD!J15+HSD!J39+J20,SUM(HS!J8:J14)+Rules!$B$5*HS!J15+HS!J39+J20)/(9+Rules!$B$5))</f>
        <v>-0.57813230842695973</v>
      </c>
      <c r="K7" s="9">
        <f>2*(IF(Rules!$B$9=Rules!$E$9,SUM(HSD!K8:K14)+Rules!$B$5*HSD!K15+HSD!K39+K20,SUM(HS!K8:K14)+Rules!$B$5*HS!K15+HS!K39+K20)/(9+Rules!$B$5))</f>
        <v>-0.68257743381322777</v>
      </c>
      <c r="N7">
        <v>6</v>
      </c>
      <c r="O7" s="31" t="str">
        <f>IF(B59=IF(Rules!$B$11=2,B47,IF(Rules!$B$11=3,B34,IF(Rules!$B$11=4,B21,B8))),"P",HSDR!O12)</f>
        <v>H</v>
      </c>
      <c r="P7" s="31" t="str">
        <f>IF(C59=IF(Rules!$B$11=2,C47,IF(Rules!$B$11=3,C34,IF(Rules!$B$11=4,C21,C8))),"P",HSDR!P12)</f>
        <v>H</v>
      </c>
      <c r="Q7" s="31" t="str">
        <f>IF(D59=IF(Rules!$B$11=2,D47,IF(Rules!$B$11=3,D34,IF(Rules!$B$11=4,D21,D8))),"P",HSDR!Q12)</f>
        <v>P</v>
      </c>
      <c r="R7" s="31" t="str">
        <f>IF(E59=IF(Rules!$B$11=2,E47,IF(Rules!$B$11=3,E34,IF(Rules!$B$11=4,E21,E8))),"P",HSDR!R12)</f>
        <v>P</v>
      </c>
      <c r="S7" s="31" t="str">
        <f>IF(F59=IF(Rules!$B$11=2,F47,IF(Rules!$B$11=3,F34,IF(Rules!$B$11=4,F21,F8))),"P",HSDR!S12)</f>
        <v>P</v>
      </c>
      <c r="T7" s="31" t="str">
        <f>IF(G59=IF(Rules!$B$11=2,G47,IF(Rules!$B$11=3,G34,IF(Rules!$B$11=4,G21,G8))),"P",HSDR!T12)</f>
        <v>P</v>
      </c>
      <c r="U7" s="31" t="str">
        <f>IF(H59=IF(Rules!$B$11=2,H47,IF(Rules!$B$11=3,H34,IF(Rules!$B$11=4,H21,H8))),"P",HSDR!U12)</f>
        <v>H</v>
      </c>
      <c r="V7" s="31" t="str">
        <f>IF(I59=IF(Rules!$B$11=2,I47,IF(Rules!$B$11=3,I34,IF(Rules!$B$11=4,I21,I8))),"P",HSDR!V12)</f>
        <v>H</v>
      </c>
      <c r="W7" s="31" t="str">
        <f>IF(J59=IF(Rules!$B$11=2,J47,IF(Rules!$B$11=3,J34,IF(Rules!$B$11=4,J21,J8))),"P",HSDR!W12)</f>
        <v>H</v>
      </c>
      <c r="X7" s="31" t="str">
        <f>IF(K59=IF(Rules!$B$11=2,K47,IF(Rules!$B$11=3,K34,IF(Rules!$B$11=4,K21,K8))),"P",HSDR!X12)</f>
        <v>H</v>
      </c>
    </row>
    <row r="8" spans="1:24" x14ac:dyDescent="0.2">
      <c r="A8" s="99">
        <v>6</v>
      </c>
      <c r="B8" s="93">
        <f>2*(IF(Rules!$B$9=Rules!$E$9,SUM(HSD!B9:B15)+Rules!$B$5*HSD!B16+HSD!B40+B21,SUM(HS!B9:B15)+Rules!$B$5*HS!B16+HS!B40+B21)/(9+Rules!$B$5))</f>
        <v>-0.68279633507299153</v>
      </c>
      <c r="C8" s="1">
        <f>2*(IF(Rules!$B$9=Rules!$E$9,SUM(HSD!C9:C15)+Rules!$B$5*HSD!C16+HSD!C40+C21,SUM(HS!C9:C15)+Rules!$B$5*HS!C16+HS!C40+C21)/(9+Rules!$B$5))</f>
        <v>-0.32856811142011766</v>
      </c>
      <c r="D8" s="1">
        <f>2*(IF(Rules!$B$9=Rules!$E$9,SUM(HSD!D9:D15)+Rules!$B$5*HSD!D16+HSD!D40+D21,SUM(HS!D9:D15)+Rules!$B$5*HS!D16+HS!D40+D21)/(9+Rules!$B$5))</f>
        <v>-0.25490522956389527</v>
      </c>
      <c r="E8" s="1">
        <f>2*(IF(Rules!$B$9=Rules!$E$9,SUM(HSD!E9:E15)+Rules!$B$5*HSD!E16+HSD!E40+E21,SUM(HS!E9:E15)+Rules!$B$5*HS!E16+HS!E40+E21)/(9+Rules!$B$5))</f>
        <v>-0.17927910194004515</v>
      </c>
      <c r="F8" s="1">
        <f>2*(IF(Rules!$B$9=Rules!$E$9,SUM(HSD!F9:F15)+Rules!$B$5*HSD!F16+HSD!F40+F21,SUM(HS!F9:F15)+Rules!$B$5*HS!F16+HS!F40+F21)/(9+Rules!$B$5))</f>
        <v>-9.5309124581009458E-2</v>
      </c>
      <c r="G8" s="1">
        <f>2*(IF(Rules!$B$9=Rules!$E$9,SUM(HSD!G9:G15)+Rules!$B$5*HSD!G16+HSD!G40+G21,SUM(HS!G9:G15)+Rules!$B$5*HS!G16+HS!G40+G21)/(9+Rules!$B$5))</f>
        <v>-5.1549579489460401E-2</v>
      </c>
      <c r="H8" s="1">
        <f>2*(IF(Rules!$B$9=Rules!$E$9,SUM(HSD!H9:H15)+Rules!$B$5*HSD!H16+HSD!H40+H21,SUM(HS!H9:H15)+Rules!$B$5*HS!H16+HS!H40+H21)/(9+Rules!$B$5))</f>
        <v>-0.37380487547803365</v>
      </c>
      <c r="I8" s="1">
        <f>2*(IF(Rules!$B$9=Rules!$E$9,SUM(HSD!I9:I15)+Rules!$B$5*HSD!I16+HSD!I40+I21,SUM(HS!I9:I15)+Rules!$B$5*HS!I16+HS!I40+I21)/(9+Rules!$B$5))</f>
        <v>-0.50234221681507862</v>
      </c>
      <c r="J8" s="1">
        <f>2*(IF(Rules!$B$9=Rules!$E$9,SUM(HSD!J9:J15)+Rules!$B$5*HSD!J16+HSD!J40+J21,SUM(HS!J9:J15)+Rules!$B$5*HS!J16+HS!J40+J21)/(9+Rules!$B$5))</f>
        <v>-0.65323216836181486</v>
      </c>
      <c r="K8" s="9">
        <f>2*(IF(Rules!$B$9=Rules!$E$9,SUM(HSD!K9:K15)+Rules!$B$5*HSD!K16+HSD!K40+K21,SUM(HS!K9:K15)+Rules!$B$5*HS!K16+HS!K40+K21)/(9+Rules!$B$5))</f>
        <v>-0.75269381588698558</v>
      </c>
      <c r="N8">
        <v>7</v>
      </c>
      <c r="O8" s="31" t="str">
        <f>IF(B60=IF(Rules!$B$11=2,B48,IF(Rules!$B$11=3,B35,IF(Rules!$B$11=4,B22,B9))),"P",HSDR!O14)</f>
        <v>H</v>
      </c>
      <c r="P8" s="31" t="str">
        <f>IF(C60=IF(Rules!$B$11=2,C48,IF(Rules!$B$11=3,C35,IF(Rules!$B$11=4,C22,C9))),"P",HSDR!P14)</f>
        <v>P</v>
      </c>
      <c r="Q8" s="31" t="str">
        <f>IF(D60=IF(Rules!$B$11=2,D48,IF(Rules!$B$11=3,D35,IF(Rules!$B$11=4,D22,D9))),"P",HSDR!Q14)</f>
        <v>P</v>
      </c>
      <c r="R8" s="31" t="str">
        <f>IF(E60=IF(Rules!$B$11=2,E48,IF(Rules!$B$11=3,E35,IF(Rules!$B$11=4,E22,E9))),"P",HSDR!R14)</f>
        <v>P</v>
      </c>
      <c r="S8" s="31" t="str">
        <f>IF(F60=IF(Rules!$B$11=2,F48,IF(Rules!$B$11=3,F35,IF(Rules!$B$11=4,F22,F9))),"P",HSDR!S14)</f>
        <v>P</v>
      </c>
      <c r="T8" s="31" t="str">
        <f>IF(G60=IF(Rules!$B$11=2,G48,IF(Rules!$B$11=3,G35,IF(Rules!$B$11=4,G22,G9))),"P",HSDR!T14)</f>
        <v>P</v>
      </c>
      <c r="U8" s="31" t="str">
        <f>IF(H60=IF(Rules!$B$11=2,H48,IF(Rules!$B$11=3,H35,IF(Rules!$B$11=4,H22,H9))),"P",HSDR!U14)</f>
        <v>P</v>
      </c>
      <c r="V8" s="31" t="str">
        <f>IF(I60=IF(Rules!$B$11=2,I48,IF(Rules!$B$11=3,I35,IF(Rules!$B$11=4,I22,I9))),"P",HSDR!V14)</f>
        <v>H</v>
      </c>
      <c r="W8" s="31" t="str">
        <f>IF(J60=IF(Rules!$B$11=2,J48,IF(Rules!$B$11=3,J35,IF(Rules!$B$11=4,J22,J9))),"P",HSDR!W14)</f>
        <v>H</v>
      </c>
      <c r="X8" s="31" t="str">
        <f>IF(K60=IF(Rules!$B$11=2,K48,IF(Rules!$B$11=3,K35,IF(Rules!$B$11=4,K22,K9))),"P",HSDR!X14)</f>
        <v>H</v>
      </c>
    </row>
    <row r="9" spans="1:24" x14ac:dyDescent="0.2">
      <c r="A9" s="99">
        <v>7</v>
      </c>
      <c r="B9" s="93">
        <f>2*(IF(Rules!$B$9=Rules!$E$9,SUM(HSD!B10:B16)+Rules!$B$5*HSD!B17+HSD!B41+B22,SUM(HS!B10:B16)+Rules!$B$5*HS!B17+HS!B41+B22)/(9+Rules!$B$5))</f>
        <v>-0.72058758091375785</v>
      </c>
      <c r="C9" s="1">
        <f>2*(IF(Rules!$B$9=Rules!$E$9,SUM(HSD!C10:C16)+Rules!$B$5*HSD!C17+HSD!C41+C22,SUM(HS!C10:C16)+Rules!$B$5*HS!C17+HS!C41+C22)/(9+Rules!$B$5))</f>
        <v>-0.27141170395226322</v>
      </c>
      <c r="D9" s="1">
        <f>2*(IF(Rules!$B$9=Rules!$E$9,SUM(HSD!D10:D16)+Rules!$B$5*HSD!D17+HSD!D41+D22,SUM(HS!D10:D16)+Rules!$B$5*HS!D17+HS!D41+D22)/(9+Rules!$B$5))</f>
        <v>-0.19925763649350892</v>
      </c>
      <c r="E9" s="1">
        <f>2*(IF(Rules!$B$9=Rules!$E$9,SUM(HSD!E10:E16)+Rules!$B$5*HSD!E17+HSD!E41+E22,SUM(HS!E10:E16)+Rules!$B$5*HS!E17+HS!E41+E22)/(9+Rules!$B$5))</f>
        <v>-0.12499658698153827</v>
      </c>
      <c r="F9" s="1">
        <f>2*(IF(Rules!$B$9=Rules!$E$9,SUM(HSD!F10:F16)+Rules!$B$5*HSD!F17+HSD!F41+F22,SUM(HS!F10:F16)+Rules!$B$5*HS!F17+HS!F41+F22)/(9+Rules!$B$5))</f>
        <v>-4.580566312259314E-2</v>
      </c>
      <c r="G9" s="1">
        <f>2*(IF(Rules!$B$9=Rules!$E$9,SUM(HSD!G10:G16)+Rules!$B$5*HSD!G17+HSD!G41+G22,SUM(HS!G10:G16)+Rules!$B$5*HS!G17+HS!G41+G22)/(9+Rules!$B$5))</f>
        <v>3.3434878831197522E-2</v>
      </c>
      <c r="H9" s="1">
        <f>2*(IF(Rules!$B$9=Rules!$E$9,SUM(HSD!H10:H16)+Rules!$B$5*HSD!H17+HSD!H41+H22,SUM(HS!H10:H16)+Rules!$B$5*HS!H17+HS!H41+H22)/(9+Rules!$B$5))</f>
        <v>-0.19368042242937064</v>
      </c>
      <c r="I9" s="1">
        <f>2*(IF(Rules!$B$9=Rules!$E$9,SUM(HSD!I10:I16)+Rules!$B$5*HSD!I17+HSD!I41+I22,SUM(HS!I10:I16)+Rules!$B$5*HS!I17+HS!I41+I22)/(9+Rules!$B$5))</f>
        <v>-0.51533567784190304</v>
      </c>
      <c r="J9" s="1">
        <f>2*(IF(Rules!$B$9=Rules!$E$9,SUM(HSD!J10:J16)+Rules!$B$5*HSD!J17+HSD!J41+J22,SUM(HS!J10:J16)+Rules!$B$5*HS!J17+HS!J41+J22)/(9+Rules!$B$5))</f>
        <v>-0.66466990024977435</v>
      </c>
      <c r="K9" s="9">
        <f>2*(IF(Rules!$B$9=Rules!$E$9,SUM(HSD!K10:K16)+Rules!$B$5*HSD!K17+HSD!K41+K22,SUM(HS!K10:K16)+Rules!$B$5*HS!K17+HS!K41+K22)/(9+Rules!$B$5))</f>
        <v>-0.72599867063145451</v>
      </c>
      <c r="N9">
        <v>8</v>
      </c>
      <c r="O9" s="31" t="str">
        <f>IF(B61=IF(Rules!$B$11=2,B49,IF(Rules!$B$11=3,B36,IF(Rules!$B$11=4,B23,B10))),"P",HSDR!O16)</f>
        <v>P</v>
      </c>
      <c r="P9" s="31" t="str">
        <f>IF(C61=IF(Rules!$B$11=2,C49,IF(Rules!$B$11=3,C36,IF(Rules!$B$11=4,C23,C10))),"P",HSDR!P16)</f>
        <v>P</v>
      </c>
      <c r="Q9" s="31" t="str">
        <f>IF(D61=IF(Rules!$B$11=2,D49,IF(Rules!$B$11=3,D36,IF(Rules!$B$11=4,D23,D10))),"P",HSDR!Q16)</f>
        <v>P</v>
      </c>
      <c r="R9" s="31" t="str">
        <f>IF(E61=IF(Rules!$B$11=2,E49,IF(Rules!$B$11=3,E36,IF(Rules!$B$11=4,E23,E10))),"P",HSDR!R16)</f>
        <v>P</v>
      </c>
      <c r="S9" s="31" t="str">
        <f>IF(F61=IF(Rules!$B$11=2,F49,IF(Rules!$B$11=3,F36,IF(Rules!$B$11=4,F23,F10))),"P",HSDR!S16)</f>
        <v>P</v>
      </c>
      <c r="T9" s="31" t="str">
        <f>IF(G61=IF(Rules!$B$11=2,G49,IF(Rules!$B$11=3,G36,IF(Rules!$B$11=4,G23,G10))),"P",HSDR!T16)</f>
        <v>P</v>
      </c>
      <c r="U9" s="31" t="str">
        <f>IF(H61=IF(Rules!$B$11=2,H49,IF(Rules!$B$11=3,H36,IF(Rules!$B$11=4,H23,H10))),"P",HSDR!U16)</f>
        <v>P</v>
      </c>
      <c r="V9" s="31" t="str">
        <f>IF(I61=IF(Rules!$B$11=2,I49,IF(Rules!$B$11=3,I36,IF(Rules!$B$11=4,I23,I10))),"P",HSDR!V16)</f>
        <v>P</v>
      </c>
      <c r="W9" s="31" t="str">
        <f>IF(J61=IF(Rules!$B$11=2,J49,IF(Rules!$B$11=3,J36,IF(Rules!$B$11=4,J23,J10))),"P",HSDR!W16)</f>
        <v>P</v>
      </c>
      <c r="X9" s="31" t="str">
        <f>IF(K61=IF(Rules!$B$11=2,K49,IF(Rules!$B$11=3,K36,IF(Rules!$B$11=4,K23,K10))),"P",HSDR!X16)</f>
        <v>P</v>
      </c>
    </row>
    <row r="10" spans="1:24" x14ac:dyDescent="0.2">
      <c r="A10" s="99">
        <v>8</v>
      </c>
      <c r="B10" s="93">
        <f>2*(IF(Rules!$B$9=Rules!$E$9,SUM(HSD!B11:B17)+Rules!$B$5*HSD!B18+HSD!B42+B23,SUM(HS!B11:B17)+Rules!$B$5*HS!B18+HS!B42+B23)/(9+Rules!$B$5))</f>
        <v>-0.48019868486214329</v>
      </c>
      <c r="C10" s="1">
        <f>2*(IF(Rules!$B$9=Rules!$E$9,SUM(HSD!C11:C17)+Rules!$B$5*HSD!C18+HSD!C42+C23,SUM(HS!C11:C17)+Rules!$B$5*HS!C18+HS!C42+C23)/(9+Rules!$B$5))</f>
        <v>-8.4555117606418401E-2</v>
      </c>
      <c r="D10" s="1">
        <f>2*(IF(Rules!$B$9=Rules!$E$9,SUM(HSD!D11:D17)+Rules!$B$5*HSD!D18+HSD!D42+D23,SUM(HS!D11:D17)+Rules!$B$5*HS!D18+HS!D42+D23)/(9+Rules!$B$5))</f>
        <v>-1.842316879374175E-2</v>
      </c>
      <c r="E10" s="1">
        <f>2*(IF(Rules!$B$9=Rules!$E$9,SUM(HSD!E11:E17)+Rules!$B$5*HSD!E18+HSD!E42+E23,SUM(HS!E11:E17)+Rules!$B$5*HS!E18+HS!E42+E23)/(9+Rules!$B$5))</f>
        <v>4.9869962582447573E-2</v>
      </c>
      <c r="F10" s="1">
        <f>2*(IF(Rules!$B$9=Rules!$E$9,SUM(HSD!F11:F17)+Rules!$B$5*HSD!F18+HSD!F42+F23,SUM(HS!F11:F17)+Rules!$B$5*HS!F18+HS!F42+F23)/(9+Rules!$B$5))</f>
        <v>0.12083985255361643</v>
      </c>
      <c r="G10" s="1">
        <f>2*(IF(Rules!$B$9=Rules!$E$9,SUM(HSD!G11:G17)+Rules!$B$5*HSD!G18+HSD!G42+G23,SUM(HS!G11:G17)+Rules!$B$5*HS!G18+HS!G42+G23)/(9+Rules!$B$5))</f>
        <v>0.21943592874303255</v>
      </c>
      <c r="H10" s="1">
        <f>2*(IF(Rules!$B$9=Rules!$E$9,SUM(HSD!H11:H17)+Rules!$B$5*HSD!H18+HSD!H42+H23,SUM(HS!H11:H17)+Rules!$B$5*HS!H18+HS!H42+H23)/(9+Rules!$B$5))</f>
        <v>0.14765904872647384</v>
      </c>
      <c r="I10" s="1">
        <f>2*(IF(Rules!$B$9=Rules!$E$9,SUM(HSD!I11:I17)+Rules!$B$5*HSD!I18+HSD!I42+I23,SUM(HS!I11:I17)+Rules!$B$5*HS!I18+HS!I42+I23)/(9+Rules!$B$5))</f>
        <v>-0.17735895611495348</v>
      </c>
      <c r="J10" s="1">
        <f>2*(IF(Rules!$B$9=Rules!$E$9,SUM(HSD!J11:J17)+Rules!$B$5*HSD!J18+HSD!J42+J23,SUM(HS!J11:J17)+Rules!$B$5*HS!J18+HS!J42+J23)/(9+Rules!$B$5))</f>
        <v>-0.51763579440888674</v>
      </c>
      <c r="K10" s="9">
        <f>2*(IF(Rules!$B$9=Rules!$E$9,SUM(HSD!K11:K17)+Rules!$B$5*HSD!K18+HSD!K42+K23,SUM(HS!K11:K17)+Rules!$B$5*HS!K18+HS!K42+K23)/(9+Rules!$B$5))</f>
        <v>-0.59368660001916862</v>
      </c>
      <c r="N10">
        <v>9</v>
      </c>
      <c r="O10" s="31" t="str">
        <f>IF(B62=IF(Rules!$B$11=2,B50,IF(Rules!$B$11=3,B37,IF(Rules!$B$11=4,B24,B11))),"P",HSDR!O18)</f>
        <v>S</v>
      </c>
      <c r="P10" s="31" t="str">
        <f>IF(C62=IF(Rules!$B$11=2,C50,IF(Rules!$B$11=3,C37,IF(Rules!$B$11=4,C24,C11))),"P",HSDR!P18)</f>
        <v>P</v>
      </c>
      <c r="Q10" s="31" t="str">
        <f>IF(D62=IF(Rules!$B$11=2,D50,IF(Rules!$B$11=3,D37,IF(Rules!$B$11=4,D24,D11))),"P",HSDR!Q18)</f>
        <v>P</v>
      </c>
      <c r="R10" s="31" t="str">
        <f>IF(E62=IF(Rules!$B$11=2,E50,IF(Rules!$B$11=3,E37,IF(Rules!$B$11=4,E24,E11))),"P",HSDR!R18)</f>
        <v>P</v>
      </c>
      <c r="S10" s="31" t="str">
        <f>IF(F62=IF(Rules!$B$11=2,F50,IF(Rules!$B$11=3,F37,IF(Rules!$B$11=4,F24,F11))),"P",HSDR!S18)</f>
        <v>P</v>
      </c>
      <c r="T10" s="31" t="str">
        <f>IF(G62=IF(Rules!$B$11=2,G50,IF(Rules!$B$11=3,G37,IF(Rules!$B$11=4,G24,G11))),"P",HSDR!T18)</f>
        <v>P</v>
      </c>
      <c r="U10" s="31" t="str">
        <f>IF(H62=IF(Rules!$B$11=2,H50,IF(Rules!$B$11=3,H37,IF(Rules!$B$11=4,H24,H11))),"P",HSDR!U18)</f>
        <v>S</v>
      </c>
      <c r="V10" s="31" t="str">
        <f>IF(I62=IF(Rules!$B$11=2,I50,IF(Rules!$B$11=3,I37,IF(Rules!$B$11=4,I24,I11))),"P",HSDR!V18)</f>
        <v>P</v>
      </c>
      <c r="W10" s="31" t="str">
        <f>IF(J62=IF(Rules!$B$11=2,J50,IF(Rules!$B$11=3,J37,IF(Rules!$B$11=4,J24,J11))),"P",HSDR!W18)</f>
        <v>P</v>
      </c>
      <c r="X10" s="31" t="str">
        <f>IF(K62=IF(Rules!$B$11=2,K50,IF(Rules!$B$11=3,K37,IF(Rules!$B$11=4,K24,K11))),"P",HSDR!X18)</f>
        <v>S</v>
      </c>
    </row>
    <row r="11" spans="1:24" x14ac:dyDescent="0.2">
      <c r="A11" s="99">
        <v>9</v>
      </c>
      <c r="B11" s="93">
        <f>2*(IF(Rules!$B$9=Rules!$E$9,SUM(HSD!B12:B18)+Rules!$B$5*HSD!B19+HSD!B43+B24,SUM(HS!B12:B18)+Rules!$B$5*HS!B19+HS!B43+B24)/(9+Rules!$B$5))</f>
        <v>-0.18106406561604571</v>
      </c>
      <c r="C11" s="1">
        <f>2*(IF(Rules!$B$9=Rules!$E$9,SUM(HSD!C12:C18)+Rules!$B$5*HSD!C19+HSD!C43+C24,SUM(HS!C12:C18)+Rules!$B$5*HS!C19+HS!C43+C24)/(9+Rules!$B$5))</f>
        <v>0.13268608863771994</v>
      </c>
      <c r="D11" s="1">
        <f>2*(IF(Rules!$B$9=Rules!$E$9,SUM(HSD!D12:D18)+Rules!$B$5*HSD!D19+HSD!D43+D24,SUM(HS!D12:D18)+Rules!$B$5*HS!D19+HS!D43+D24)/(9+Rules!$B$5))</f>
        <v>0.19205932892331024</v>
      </c>
      <c r="E11" s="1">
        <f>2*(IF(Rules!$B$9=Rules!$E$9,SUM(HSD!E12:E18)+Rules!$B$5*HSD!E19+HSD!E43+E24,SUM(HS!E12:E18)+Rules!$B$5*HS!E19+HS!E43+E24)/(9+Rules!$B$5))</f>
        <v>0.25342225938676494</v>
      </c>
      <c r="F11" s="1">
        <f>2*(IF(Rules!$B$9=Rules!$E$9,SUM(HSD!F12:F18)+Rules!$B$5*HSD!F19+HSD!F43+F24,SUM(HS!F12:F18)+Rules!$B$5*HS!F19+HS!F43+F24)/(9+Rules!$B$5))</f>
        <v>0.31764234385950318</v>
      </c>
      <c r="G11" s="1">
        <f>2*(IF(Rules!$B$9=Rules!$E$9,SUM(HSD!G12:G18)+Rules!$B$5*HSD!G19+HSD!G43+G24,SUM(HS!G12:G18)+Rules!$B$5*HS!G19+HS!G43+G24)/(9+Rules!$B$5))</f>
        <v>0.40260770908451093</v>
      </c>
      <c r="H11" s="1">
        <f>2*(IF(Rules!$B$9=Rules!$E$9,SUM(HSD!H12:H18)+Rules!$B$5*HSD!H19+HSD!H43+H24,SUM(HS!H12:H18)+Rules!$B$5*HS!H19+HS!H43+H24)/(9+Rules!$B$5))</f>
        <v>0.35308133391180391</v>
      </c>
      <c r="I11" s="1">
        <f>2*(IF(Rules!$B$9=Rules!$E$9,SUM(HSD!I12:I18)+Rules!$B$5*HSD!I19+HSD!I43+I24,SUM(HS!I12:I18)+Rules!$B$5*HS!I19+HS!I43+I24)/(9+Rules!$B$5))</f>
        <v>0.1907326693904135</v>
      </c>
      <c r="J11" s="1">
        <f>2*(IF(Rules!$B$9=Rules!$E$9,SUM(HSD!J12:J18)+Rules!$B$5*HSD!J19+HSD!J43+J24,SUM(HS!J12:J18)+Rules!$B$5*HS!J19+HS!J43+J24)/(9+Rules!$B$5))</f>
        <v>-0.15193010041706978</v>
      </c>
      <c r="K11" s="9">
        <f>2*(IF(Rules!$B$9=Rules!$E$9,SUM(HSD!K12:K18)+Rules!$B$5*HSD!K19+HSD!K43+K24,SUM(HS!K12:K18)+Rules!$B$5*HS!K19+HS!K43+K24)/(9+Rules!$B$5))</f>
        <v>-0.38296764649197834</v>
      </c>
      <c r="N11">
        <v>10</v>
      </c>
      <c r="O11" s="31" t="str">
        <f>IF(B63=IF(Rules!$B$11=2,B51,IF(Rules!$B$11=3,B38,IF(Rules!$B$11=4,B25,B12))),"P",HSDR!O20)</f>
        <v>S</v>
      </c>
      <c r="P11" s="31" t="str">
        <f>IF(C63=IF(Rules!$B$11=2,C51,IF(Rules!$B$11=3,C38,IF(Rules!$B$11=4,C25,C12))),"P",HSDR!P20)</f>
        <v>S</v>
      </c>
      <c r="Q11" s="31" t="str">
        <f>IF(D63=IF(Rules!$B$11=2,D51,IF(Rules!$B$11=3,D38,IF(Rules!$B$11=4,D25,D12))),"P",HSDR!Q20)</f>
        <v>S</v>
      </c>
      <c r="R11" s="31" t="str">
        <f>IF(E63=IF(Rules!$B$11=2,E51,IF(Rules!$B$11=3,E38,IF(Rules!$B$11=4,E25,E12))),"P",HSDR!R20)</f>
        <v>S</v>
      </c>
      <c r="S11" s="31" t="str">
        <f>IF(F63=IF(Rules!$B$11=2,F51,IF(Rules!$B$11=3,F38,IF(Rules!$B$11=4,F25,F12))),"P",HSDR!S20)</f>
        <v>S</v>
      </c>
      <c r="T11" s="31" t="str">
        <f>IF(G63=IF(Rules!$B$11=2,G51,IF(Rules!$B$11=3,G38,IF(Rules!$B$11=4,G25,G12))),"P",HSDR!T20)</f>
        <v>S</v>
      </c>
      <c r="U11" s="31" t="str">
        <f>IF(H63=IF(Rules!$B$11=2,H51,IF(Rules!$B$11=3,H38,IF(Rules!$B$11=4,H25,H12))),"P",HSDR!U20)</f>
        <v>S</v>
      </c>
      <c r="V11" s="31" t="str">
        <f>IF(I63=IF(Rules!$B$11=2,I51,IF(Rules!$B$11=3,I38,IF(Rules!$B$11=4,I25,I12))),"P",HSDR!V20)</f>
        <v>S</v>
      </c>
      <c r="W11" s="31" t="str">
        <f>IF(J63=IF(Rules!$B$11=2,J51,IF(Rules!$B$11=3,J38,IF(Rules!$B$11=4,J25,J12))),"P",HSDR!W20)</f>
        <v>S</v>
      </c>
      <c r="X11" s="31" t="str">
        <f>IF(K63=IF(Rules!$B$11=2,K51,IF(Rules!$B$11=3,K38,IF(Rules!$B$11=4,K25,K12))),"P",HSDR!X20)</f>
        <v>S</v>
      </c>
    </row>
    <row r="12" spans="1:24" ht="17" thickBot="1" x14ac:dyDescent="0.25">
      <c r="A12" s="100">
        <v>10</v>
      </c>
      <c r="B12" s="94">
        <f>2*(IF(Rules!$B$9=Rules!$E$9,SUM(HSD!B13:B19)+Rules!$B$5*HSD!B20+HSD!B44+B25,SUM(HS!B13:B19)+Rules!$B$5*HS!B20+HS!B44+B25)/(9+Rules!$B$5))</f>
        <v>0.25591217102008812</v>
      </c>
      <c r="C12" s="111">
        <f>2*(IF(Rules!$B$9=Rules!$E$9,SUM(HSD!C13:C19)+Rules!$B$5*HSD!C20+HSD!C44+C25,SUM(HS!C13:C19)+Rules!$B$5*HS!C20+HS!C44+C25)/(9+Rules!$B$5))</f>
        <v>0.47702511757927396</v>
      </c>
      <c r="D12" s="111">
        <f>2*(IF(Rules!$B$9=Rules!$E$9,SUM(HSD!D13:D19)+Rules!$B$5*HSD!D20+HSD!D44+D25,SUM(HS!D13:D19)+Rules!$B$5*HS!D20+HS!D44+D25)/(9+Rules!$B$5))</f>
        <v>0.52917868575056526</v>
      </c>
      <c r="E12" s="111">
        <f>2*(IF(Rules!$B$9=Rules!$E$9,SUM(HSD!E13:E19)+Rules!$B$5*HSD!E20+HSD!E44+E25,SUM(HS!E13:E19)+Rules!$B$5*HS!E20+HS!E44+E25)/(9+Rules!$B$5))</f>
        <v>0.58267776514625602</v>
      </c>
      <c r="F12" s="111">
        <f>2*(IF(Rules!$B$9=Rules!$E$9,SUM(HSD!F13:F19)+Rules!$B$5*HSD!F20+HSD!F44+F25,SUM(HS!F13:F19)+Rules!$B$5*HS!F20+HS!F44+F25)/(9+Rules!$B$5))</f>
        <v>0.63565069498224802</v>
      </c>
      <c r="G12" s="111">
        <f>2*(IF(Rules!$B$9=Rules!$E$9,SUM(HSD!G13:G19)+Rules!$B$5*HSD!G20+HSD!G44+G25,SUM(HS!G13:G19)+Rules!$B$5*HS!G20+HS!G44+G25)/(9+Rules!$B$5))</f>
        <v>0.70770536905396042</v>
      </c>
      <c r="H12" s="111">
        <f>2*(IF(Rules!$B$9=Rules!$E$9,SUM(HSD!H13:H19)+Rules!$B$5*HSD!H20+HSD!H44+H25,SUM(HS!H13:H19)+Rules!$B$5*HS!H20+HS!H44+H25)/(9+Rules!$B$5))</f>
        <v>0.6454573388630771</v>
      </c>
      <c r="I12" s="111">
        <f>2*(IF(Rules!$B$9=Rules!$E$9,SUM(HSD!I13:I19)+Rules!$B$5*HSD!I20+HSD!I44+I25,SUM(HS!I13:I19)+Rules!$B$5*HS!I20+HS!I44+I25)/(9+Rules!$B$5))</f>
        <v>0.51682590743860801</v>
      </c>
      <c r="J12" s="111">
        <f>2*(IF(Rules!$B$9=Rules!$E$9,SUM(HSD!J13:J19)+Rules!$B$5*HSD!J20+HSD!J44+J25,SUM(HS!J13:J19)+Rules!$B$5*HS!J20+HS!J44+J25)/(9+Rules!$B$5))</f>
        <v>0.33687476710602637</v>
      </c>
      <c r="K12" s="10">
        <f>2*(IF(Rules!$B$9=Rules!$E$9,SUM(HSD!K13:K19)+Rules!$B$5*HSD!K20+HSD!K44+K25,SUM(HS!K13:K19)+Rules!$B$5*HS!K20+HS!K44+K25)/(9+Rules!$B$5))</f>
        <v>0.12881490474995208</v>
      </c>
    </row>
    <row r="13" spans="1:24" ht="17" thickBot="1" x14ac:dyDescent="0.25"/>
    <row r="14" spans="1:24" ht="17" thickBot="1" x14ac:dyDescent="0.25">
      <c r="A14" s="306" t="s">
        <v>76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07"/>
    </row>
    <row r="15" spans="1:24" ht="17" thickBot="1" x14ac:dyDescent="0.25">
      <c r="A15" s="103" t="s">
        <v>7</v>
      </c>
      <c r="B15" s="117">
        <v>1</v>
      </c>
      <c r="C15" s="118">
        <v>2</v>
      </c>
      <c r="D15" s="118">
        <v>3</v>
      </c>
      <c r="E15" s="118">
        <v>4</v>
      </c>
      <c r="F15" s="118">
        <v>5</v>
      </c>
      <c r="G15" s="118">
        <v>6</v>
      </c>
      <c r="H15" s="118">
        <v>7</v>
      </c>
      <c r="I15" s="118">
        <v>8</v>
      </c>
      <c r="J15" s="118">
        <v>9</v>
      </c>
      <c r="K15" s="105">
        <v>10</v>
      </c>
    </row>
    <row r="16" spans="1:24" x14ac:dyDescent="0.2">
      <c r="A16" s="101">
        <v>1</v>
      </c>
      <c r="B16" s="109">
        <f>2*(IF(Rules!$B$12=Rules!$F$12,SUM(Stand!B36:B43)+Rules!$B$5*Stand!B44+B29,SUM(HSD!B36:B43)+Rules!$B$5*HSD!B44+B29)/(9+Rules!$B$5))</f>
        <v>0.24681431015742963</v>
      </c>
      <c r="C16" s="110">
        <f>2*(IF(Rules!$B$12=Rules!$F$12,SUM(Stand!C36:C43)+Rules!$B$5*Stand!C44+C29,SUM(HSD!C36:C43)+Rules!$B$5*HSD!C44+C29)/(9+Rules!$B$5))</f>
        <v>0.60616009207593269</v>
      </c>
      <c r="D16" s="110">
        <f>2*(IF(Rules!$B$12=Rules!$F$12,SUM(Stand!D36:D43)+Rules!$B$5*Stand!D44+D29,SUM(HSD!D36:D43)+Rules!$B$5*HSD!D44+D29)/(9+Rules!$B$5))</f>
        <v>0.65448971744610962</v>
      </c>
      <c r="E16" s="110">
        <f>2*(IF(Rules!$B$12=Rules!$F$12,SUM(Stand!E36:E43)+Rules!$B$5*Stand!E44+E29,SUM(HSD!E36:E43)+Rules!$B$5*HSD!E44+E29)/(9+Rules!$B$5))</f>
        <v>0.70398794558002764</v>
      </c>
      <c r="F16" s="110">
        <f>2*(IF(Rules!$B$12=Rules!$F$12,SUM(Stand!F36:F43)+Rules!$B$5*Stand!F44+F29,SUM(HSD!F36:F43)+Rules!$B$5*HSD!F44+F29)/(9+Rules!$B$5))</f>
        <v>0.75349635733112907</v>
      </c>
      <c r="G16" s="110">
        <f>2*(IF(Rules!$B$12=Rules!$F$12,SUM(Stand!G36:G43)+Rules!$B$5*Stand!G44+G29,SUM(HSD!G36:G43)+Rules!$B$5*HSD!G44+G29)/(9+Rules!$B$5))</f>
        <v>0.81313378320418017</v>
      </c>
      <c r="H16" s="110">
        <f>2*(IF(Rules!$B$12=Rules!$F$12,SUM(Stand!H36:H43)+Rules!$B$5*Stand!H44+H29,SUM(HSD!H36:H43)+Rules!$B$5*HSD!H44+H29)/(9+Rules!$B$5))</f>
        <v>0.62944471196628327</v>
      </c>
      <c r="I16" s="110">
        <f>2*(IF(Rules!$B$12=Rules!$F$12,SUM(Stand!I36:I43)+Rules!$B$5*Stand!I44+I29,SUM(HSD!I36:I43)+Rules!$B$5*HSD!I44+I29)/(9+Rules!$B$5))</f>
        <v>0.50357012454509587</v>
      </c>
      <c r="J16" s="110">
        <f>2*(IF(Rules!$B$12=Rules!$F$12,SUM(Stand!J36:J43)+Rules!$B$5*Stand!J44+J29,SUM(HSD!J36:J43)+Rules!$B$5*HSD!J44+J29)/(9+Rules!$B$5))</f>
        <v>0.36463545349864968</v>
      </c>
      <c r="K16" s="57">
        <f>2*(IF(Rules!$B$12=Rules!$F$12,SUM(Stand!K36:K43)+Rules!$B$5*Stand!K44+K29,SUM(HSD!K36:K43)+Rules!$B$5*HSD!K44+K29)/(9+Rules!$B$5))</f>
        <v>0.30752051345957193</v>
      </c>
    </row>
    <row r="17" spans="1:11" x14ac:dyDescent="0.2">
      <c r="A17" s="99">
        <v>2</v>
      </c>
      <c r="B17" s="93">
        <f>2*(IF(Rules!$B$9=Rules!$E$9,SUM(HSD!B5:B11)+Rules!$B$5*HSD!B12+HSD!B36+B30,SUM(HS!B5:B11)+Rules!$B$5*HS!B12+HS!B36+B30)/(9+Rules!$B$5))</f>
        <v>-0.43397902994758852</v>
      </c>
      <c r="C17" s="1">
        <f>2*(IF(Rules!$B$9=Rules!$E$9,SUM(HSD!C5:C11)+Rules!$B$5*HSD!C12+HSD!C36+C30,SUM(HS!C5:C11)+Rules!$B$5*HS!C12+HS!C36+C30)/(9+Rules!$B$5))</f>
        <v>-0.158311093386829</v>
      </c>
      <c r="D17" s="1">
        <f>2*(IF(Rules!$B$9=Rules!$E$9,SUM(HSD!D5:D11)+Rules!$B$5*HSD!D12+HSD!D36+D30,SUM(HS!D5:D11)+Rules!$B$5*HS!D12+HS!D36+D30)/(9+Rules!$B$5))</f>
        <v>-0.10249929951053055</v>
      </c>
      <c r="E17" s="1">
        <f>2*(IF(Rules!$B$9=Rules!$E$9,SUM(HSD!E5:E11)+Rules!$B$5*HSD!E12+HSD!E36+E30,SUM(HS!E5:E11)+Rules!$B$5*HS!E12+HS!E36+E30)/(9+Rules!$B$5))</f>
        <v>-4.3283677081979763E-2</v>
      </c>
      <c r="F17" s="1">
        <f>2*(IF(Rules!$B$9=Rules!$E$9,SUM(HSD!F5:F11)+Rules!$B$5*HSD!F12+HSD!F36+F30,SUM(HS!F5:F11)+Rules!$B$5*HS!F12+HS!F36+F30)/(9+Rules!$B$5))</f>
        <v>3.4532252336932835E-2</v>
      </c>
      <c r="G17" s="1">
        <f>2*(IF(Rules!$B$9=Rules!$E$9,SUM(HSD!G5:G11)+Rules!$B$5*HSD!G12+HSD!G36+G30,SUM(HS!G5:G11)+Rules!$B$5*HS!G12+HS!G36+G30)/(9+Rules!$B$5))</f>
        <v>8.9595771811825417E-2</v>
      </c>
      <c r="H17" s="1">
        <f>2*(IF(Rules!$B$9=Rules!$E$9,SUM(HSD!H5:H11)+Rules!$B$5*HSD!H12+HSD!H36+H30,SUM(HS!H5:H11)+Rules!$B$5*HS!H12+HS!H36+H30)/(9+Rules!$B$5))</f>
        <v>-4.852022766768796E-2</v>
      </c>
      <c r="I17" s="1">
        <f>2*(IF(Rules!$B$9=Rules!$E$9,SUM(HSD!I5:I11)+Rules!$B$5*HSD!I12+HSD!I36+I30,SUM(HS!I5:I11)+Rules!$B$5*HS!I12+HS!I36+I30)/(9+Rules!$B$5))</f>
        <v>-0.21466475192126919</v>
      </c>
      <c r="J17" s="1">
        <f>2*(IF(Rules!$B$9=Rules!$E$9,SUM(HSD!J5:J11)+Rules!$B$5*HSD!J12+HSD!J36+J30,SUM(HS!J5:J11)+Rules!$B$5*HS!J12+HS!J36+J30)/(9+Rules!$B$5))</f>
        <v>-0.40484483763725082</v>
      </c>
      <c r="K17" s="9">
        <f>2*(IF(Rules!$B$9=Rules!$E$9,SUM(HSD!K5:K11)+Rules!$B$5*HSD!K12+HSD!K36+K30,SUM(HS!K5:K11)+Rules!$B$5*HS!K12+HS!K36+K30)/(9+Rules!$B$5))</f>
        <v>-0.51857561989450207</v>
      </c>
    </row>
    <row r="18" spans="1:11" x14ac:dyDescent="0.2">
      <c r="A18" s="99">
        <v>3</v>
      </c>
      <c r="B18" s="93">
        <f>2*(IF(Rules!$B$9=Rules!$E$9,SUM(HSD!B6:B12)+Rules!$B$5*HSD!B13+HSD!B37+B31,SUM(HS!B6:B12)+Rules!$B$5*HS!B13+HS!B37+B31)/(9+Rules!$B$5))</f>
        <v>-0.48734842751982665</v>
      </c>
      <c r="C18" s="1">
        <f>2*(IF(Rules!$B$9=Rules!$E$9,SUM(HSD!C6:C12)+Rules!$B$5*HSD!C13+HSD!C37+C31,SUM(HS!C6:C12)+Rules!$B$5*HS!C13+HS!C37+C31)/(9+Rules!$B$5))</f>
        <v>-0.2139733120617329</v>
      </c>
      <c r="D18" s="1">
        <f>2*(IF(Rules!$B$9=Rules!$E$9,SUM(HSD!D6:D12)+Rules!$B$5*HSD!D13+HSD!D37+D31,SUM(HS!D6:D12)+Rules!$B$5*HS!D13+HS!D37+D31)/(9+Rules!$B$5))</f>
        <v>-0.14528570874057112</v>
      </c>
      <c r="E18" s="1">
        <f>2*(IF(Rules!$B$9=Rules!$E$9,SUM(HSD!E6:E12)+Rules!$B$5*HSD!E13+HSD!E37+E31,SUM(HS!E6:E12)+Rules!$B$5*HS!E13+HS!E37+E31)/(9+Rules!$B$5))</f>
        <v>-7.4482898083748542E-2</v>
      </c>
      <c r="F18" s="1">
        <f>2*(IF(Rules!$B$9=Rules!$E$9,SUM(HSD!F6:F12)+Rules!$B$5*HSD!F13+HSD!F37+F31,SUM(HS!F6:F12)+Rules!$B$5*HS!F13+HS!F37+F31)/(9+Rules!$B$5))</f>
        <v>4.6568760122588466E-3</v>
      </c>
      <c r="G18" s="1">
        <f>2*(IF(Rules!$B$9=Rules!$E$9,SUM(HSD!G6:G12)+Rules!$B$5*HSD!G13+HSD!G37+G31,SUM(HS!G6:G12)+Rules!$B$5*HS!G13+HS!G37+G31)/(9+Rules!$B$5))</f>
        <v>5.784123557020019E-2</v>
      </c>
      <c r="H18" s="1">
        <f>2*(IF(Rules!$B$9=Rules!$E$9,SUM(HSD!H6:H12)+Rules!$B$5*HSD!H13+HSD!H37+H31,SUM(HS!H6:H12)+Rules!$B$5*HS!H13+HS!H37+H31)/(9+Rules!$B$5))</f>
        <v>-0.1140635324410503</v>
      </c>
      <c r="I18" s="1">
        <f>2*(IF(Rules!$B$9=Rules!$E$9,SUM(HSD!I6:I12)+Rules!$B$5*HSD!I13+HSD!I37+I31,SUM(HS!I6:I12)+Rules!$B$5*HS!I13+HS!I37+I31)/(9+Rules!$B$5))</f>
        <v>-0.27498265906322161</v>
      </c>
      <c r="J18" s="1">
        <f>2*(IF(Rules!$B$9=Rules!$E$9,SUM(HSD!J6:J12)+Rules!$B$5*HSD!J13+HSD!J37+J31,SUM(HS!J6:J12)+Rules!$B$5*HS!J13+HS!J37+J31)/(9+Rules!$B$5))</f>
        <v>-0.4591836939590751</v>
      </c>
      <c r="K18" s="9">
        <f>2*(IF(Rules!$B$9=Rules!$E$9,SUM(HSD!K6:K12)+Rules!$B$5*HSD!K13+HSD!K37+K31,SUM(HS!K6:K12)+Rules!$B$5*HS!K13+HS!K37+K31)/(9+Rules!$B$5))</f>
        <v>-0.56922294786062821</v>
      </c>
    </row>
    <row r="19" spans="1:11" x14ac:dyDescent="0.2">
      <c r="A19" s="99">
        <v>4</v>
      </c>
      <c r="B19" s="93">
        <f>2*(IF(Rules!$B$9=Rules!$E$9,SUM(HSD!B7:B13)+Rules!$B$5*HSD!B14+HSD!B38+B32,SUM(HS!B7:B13)+Rules!$B$5*HS!B14+HS!B38+B32)/(9+Rules!$B$5))</f>
        <v>-0.54201328309754238</v>
      </c>
      <c r="C19" s="1">
        <f>2*(IF(Rules!$B$9=Rules!$E$9,SUM(HSD!C7:C13)+Rules!$B$5*HSD!C14+HSD!C38+C32,SUM(HS!C7:C13)+Rules!$B$5*HS!C14+HS!C38+C32)/(9+Rules!$B$5))</f>
        <v>-0.24563746076053314</v>
      </c>
      <c r="D19" s="1">
        <f>2*(IF(Rules!$B$9=Rules!$E$9,SUM(HSD!D7:D13)+Rules!$B$5*HSD!D14+HSD!D38+D32,SUM(HS!D7:D13)+Rules!$B$5*HS!D14+HS!D38+D32)/(9+Rules!$B$5))</f>
        <v>-0.17551104586414204</v>
      </c>
      <c r="E19" s="1">
        <f>2*(IF(Rules!$B$9=Rules!$E$9,SUM(HSD!E7:E13)+Rules!$B$5*HSD!E14+HSD!E38+E32,SUM(HS!E7:E13)+Rules!$B$5*HS!E14+HS!E38+E32)/(9+Rules!$B$5))</f>
        <v>-0.1033178635784693</v>
      </c>
      <c r="F19" s="1">
        <f>2*(IF(Rules!$B$9=Rules!$E$9,SUM(HSD!F7:F13)+Rules!$B$5*HSD!F14+HSD!F38+F32,SUM(HS!F7:F13)+Rules!$B$5*HS!F14+HS!F38+F32)/(9+Rules!$B$5))</f>
        <v>-2.2956991449867643E-2</v>
      </c>
      <c r="G19" s="1">
        <f>2*(IF(Rules!$B$9=Rules!$E$9,SUM(HSD!G7:G13)+Rules!$B$5*HSD!G14+HSD!G38+G32,SUM(HS!G7:G13)+Rules!$B$5*HS!G14+HS!G38+G32)/(9+Rules!$B$5))</f>
        <v>2.8521190199563246E-2</v>
      </c>
      <c r="H19" s="1">
        <f>2*(IF(Rules!$B$9=Rules!$E$9,SUM(HSD!H7:H13)+Rules!$B$5*HSD!H14+HSD!H38+H32,SUM(HS!H7:H13)+Rules!$B$5*HS!H14+HS!H38+H32)/(9+Rules!$B$5))</f>
        <v>-0.1809298272435951</v>
      </c>
      <c r="I19" s="1">
        <f>2*(IF(Rules!$B$9=Rules!$E$9,SUM(HSD!I7:I13)+Rules!$B$5*HSD!I14+HSD!I38+I32,SUM(HS!I7:I13)+Rules!$B$5*HS!I14+HS!I38+I32)/(9+Rules!$B$5))</f>
        <v>-0.3366729959712314</v>
      </c>
      <c r="J19" s="1">
        <f>2*(IF(Rules!$B$9=Rules!$E$9,SUM(HSD!J7:J13)+Rules!$B$5*HSD!J14+HSD!J38+J32,SUM(HS!J7:J13)+Rules!$B$5*HS!J14+HS!J38+J32)/(9+Rules!$B$5))</f>
        <v>-0.51482791891779689</v>
      </c>
      <c r="K19" s="9">
        <f>2*(IF(Rules!$B$9=Rules!$E$9,SUM(HSD!K7:K13)+Rules!$B$5*HSD!K14+HSD!K38+K32,SUM(HS!K7:K13)+Rules!$B$5*HS!K14+HS!K38+K32)/(9+Rules!$B$5))</f>
        <v>-0.62111412280441691</v>
      </c>
    </row>
    <row r="20" spans="1:11" x14ac:dyDescent="0.2">
      <c r="A20" s="99">
        <v>5</v>
      </c>
      <c r="B20" s="93">
        <f>2*(IF(Rules!$B$9=Rules!$E$9,SUM(HSD!B8:B14)+Rules!$B$5*HSD!B15+HSD!B39+B33,SUM(HS!B8:B14)+Rules!$B$5*HS!B15+HS!B39+B33)/(9+Rules!$B$5))</f>
        <v>-0.60100911429393566</v>
      </c>
      <c r="C20" s="1">
        <f>2*(IF(Rules!$B$9=Rules!$E$9,SUM(HSD!C8:C14)+Rules!$B$5*HSD!C15+HSD!C39+C33,SUM(HS!C8:C14)+Rules!$B$5*HS!C15+HS!C39+C33)/(9+Rules!$B$5))</f>
        <v>-0.28256978020930767</v>
      </c>
      <c r="D20" s="1">
        <f>2*(IF(Rules!$B$9=Rules!$E$9,SUM(HSD!D8:D14)+Rules!$B$5*HSD!D15+HSD!D39+D33,SUM(HS!D8:D14)+Rules!$B$5*HS!D15+HS!D39+D33)/(9+Rules!$B$5))</f>
        <v>-0.21086379285762763</v>
      </c>
      <c r="E20" s="1">
        <f>2*(IF(Rules!$B$9=Rules!$E$9,SUM(HSD!E8:E14)+Rules!$B$5*HSD!E15+HSD!E39+E33,SUM(HS!E8:E14)+Rules!$B$5*HS!E15+HS!E39+E33)/(9+Rules!$B$5))</f>
        <v>-0.13714895225649737</v>
      </c>
      <c r="F20" s="1">
        <f>2*(IF(Rules!$B$9=Rules!$E$9,SUM(HSD!F8:F14)+Rules!$B$5*HSD!F15+HSD!F39+F33,SUM(HS!F8:F14)+Rules!$B$5*HS!F15+HS!F39+F33)/(9+Rules!$B$5))</f>
        <v>-5.5180410585040834E-2</v>
      </c>
      <c r="G20" s="1">
        <f>2*(IF(Rules!$B$9=Rules!$E$9,SUM(HSD!G8:G14)+Rules!$B$5*HSD!G15+HSD!G39+G33,SUM(HS!G8:G14)+Rules!$B$5*HS!G15+HS!G39+G33)/(9+Rules!$B$5))</f>
        <v>-7.9746907119231433E-3</v>
      </c>
      <c r="H20" s="1">
        <f>2*(IF(Rules!$B$9=Rules!$E$9,SUM(HSD!H8:H14)+Rules!$B$5*HSD!H15+HSD!H39+H33,SUM(HS!H8:H14)+Rules!$B$5*HS!H15+HS!H39+H33)/(9+Rules!$B$5))</f>
        <v>-0.2690878572927709</v>
      </c>
      <c r="I20" s="1">
        <f>2*(IF(Rules!$B$9=Rules!$E$9,SUM(HSD!I8:I14)+Rules!$B$5*HSD!I15+HSD!I39+I33,SUM(HS!I8:I14)+Rules!$B$5*HS!I15+HS!I39+I33)/(9+Rules!$B$5))</f>
        <v>-0.40557983367891848</v>
      </c>
      <c r="J20" s="1">
        <f>2*(IF(Rules!$B$9=Rules!$E$9,SUM(HSD!J8:J14)+Rules!$B$5*HSD!J15+HSD!J39+J33,SUM(HS!J8:J14)+Rules!$B$5*HS!J15+HS!J39+J33)/(9+Rules!$B$5))</f>
        <v>-0.5772297516086472</v>
      </c>
      <c r="K20" s="9">
        <f>2*(IF(Rules!$B$9=Rules!$E$9,SUM(HSD!K8:K14)+Rules!$B$5*HSD!K15+HSD!K39+K33,SUM(HS!K8:K14)+Rules!$B$5*HS!K15+HS!K39+K33)/(9+Rules!$B$5))</f>
        <v>-0.68145674743969431</v>
      </c>
    </row>
    <row r="21" spans="1:11" x14ac:dyDescent="0.2">
      <c r="A21" s="99">
        <v>6</v>
      </c>
      <c r="B21" s="93">
        <f>2*(IF(Rules!$B$9=Rules!$E$9,SUM(HSD!B9:B15)+Rules!$B$5*HSD!B16+HSD!B40+B34,SUM(HS!B9:B15)+Rules!$B$5*HS!B16+HS!B40+B34)/(9+Rules!$B$5))</f>
        <v>-0.68129878586451731</v>
      </c>
      <c r="C21" s="1">
        <f>2*(IF(Rules!$B$9=Rules!$E$9,SUM(HSD!C9:C15)+Rules!$B$5*HSD!C16+HSD!C40+C34,SUM(HS!C9:C15)+Rules!$B$5*HS!C16+HS!C40+C34)/(9+Rules!$B$5))</f>
        <v>-0.32762238525931209</v>
      </c>
      <c r="D21" s="1">
        <f>2*(IF(Rules!$B$9=Rules!$E$9,SUM(HSD!D9:D15)+Rules!$B$5*HSD!D16+HSD!D40+D34,SUM(HS!D9:D15)+Rules!$B$5*HS!D16+HS!D40+D34)/(9+Rules!$B$5))</f>
        <v>-0.25409471552275603</v>
      </c>
      <c r="E21" s="1">
        <f>2*(IF(Rules!$B$9=Rules!$E$9,SUM(HSD!E9:E15)+Rules!$B$5*HSD!E16+HSD!E40+E34,SUM(HS!E9:E15)+Rules!$B$5*HS!E16+HS!E40+E34)/(9+Rules!$B$5))</f>
        <v>-0.17860684429004975</v>
      </c>
      <c r="F21" s="1">
        <f>2*(IF(Rules!$B$9=Rules!$E$9,SUM(HSD!F9:F15)+Rules!$B$5*HSD!F16+HSD!F40+F34,SUM(HS!F9:F15)+Rules!$B$5*HS!F16+HS!F40+F34)/(9+Rules!$B$5))</f>
        <v>-9.4797020502199306E-2</v>
      </c>
      <c r="G21" s="1">
        <f>2*(IF(Rules!$B$9=Rules!$E$9,SUM(HSD!G9:G15)+Rules!$B$5*HSD!G16+HSD!G40+G34,SUM(HS!G9:G15)+Rules!$B$5*HS!G16+HS!G40+G34)/(9+Rules!$B$5))</f>
        <v>-5.1036254696903378E-2</v>
      </c>
      <c r="H21" s="1">
        <f>2*(IF(Rules!$B$9=Rules!$E$9,SUM(HSD!H9:H15)+Rules!$B$5*HSD!H16+HSD!H40+H34,SUM(HS!H9:H15)+Rules!$B$5*HS!H16+HS!H40+H34)/(9+Rules!$B$5))</f>
        <v>-0.37239905716638266</v>
      </c>
      <c r="I21" s="1">
        <f>2*(IF(Rules!$B$9=Rules!$E$9,SUM(HSD!I9:I15)+Rules!$B$5*HSD!I16+HSD!I40+I34,SUM(HS!I9:I15)+Rules!$B$5*HS!I16+HS!I40+I34)/(9+Rules!$B$5))</f>
        <v>-0.50097822778646539</v>
      </c>
      <c r="J21" s="1">
        <f>2*(IF(Rules!$B$9=Rules!$E$9,SUM(HSD!J9:J15)+Rules!$B$5*HSD!J16+HSD!J40+J34,SUM(HS!J9:J15)+Rules!$B$5*HS!J16+HS!J40+J34)/(9+Rules!$B$5))</f>
        <v>-0.65186632377957632</v>
      </c>
      <c r="K21" s="9">
        <f>2*(IF(Rules!$B$9=Rules!$E$9,SUM(HSD!K9:K15)+Rules!$B$5*HSD!K16+HSD!K40+K34,SUM(HS!K9:K15)+Rules!$B$5*HS!K16+HS!K40+K34)/(9+Rules!$B$5))</f>
        <v>-0.75114215889944458</v>
      </c>
    </row>
    <row r="22" spans="1:11" x14ac:dyDescent="0.2">
      <c r="A22" s="99">
        <v>7</v>
      </c>
      <c r="B22" s="93">
        <f>2*(IF(Rules!$B$9=Rules!$E$9,SUM(HSD!B10:B16)+Rules!$B$5*HSD!B17+HSD!B41+B35,SUM(HS!B10:B16)+Rules!$B$5*HS!B17+HS!B41+B35)/(9+Rules!$B$5))</f>
        <v>-0.71856860040621029</v>
      </c>
      <c r="C22" s="1">
        <f>2*(IF(Rules!$B$9=Rules!$E$9,SUM(HSD!C10:C16)+Rules!$B$5*HSD!C17+HSD!C41+C35,SUM(HS!C10:C16)+Rules!$B$5*HS!C17+HS!C41+C35)/(9+Rules!$B$5))</f>
        <v>-0.27034547584735807</v>
      </c>
      <c r="D22" s="1">
        <f>2*(IF(Rules!$B$9=Rules!$E$9,SUM(HSD!D10:D16)+Rules!$B$5*HSD!D17+HSD!D41+D35,SUM(HS!D10:D16)+Rules!$B$5*HS!D17+HS!D41+D35)/(9+Rules!$B$5))</f>
        <v>-0.19833117071090425</v>
      </c>
      <c r="E22" s="1">
        <f>2*(IF(Rules!$B$9=Rules!$E$9,SUM(HSD!E10:E16)+Rules!$B$5*HSD!E17+HSD!E41+E35,SUM(HS!E10:E16)+Rules!$B$5*HS!E17+HS!E41+E35)/(9+Rules!$B$5))</f>
        <v>-0.12421361212781255</v>
      </c>
      <c r="F22" s="1">
        <f>2*(IF(Rules!$B$9=Rules!$E$9,SUM(HSD!F10:F16)+Rules!$B$5*HSD!F17+HSD!F41+F35,SUM(HS!F10:F16)+Rules!$B$5*HS!F17+HS!F41+F35)/(9+Rules!$B$5))</f>
        <v>-4.5177262292106474E-2</v>
      </c>
      <c r="G22" s="1">
        <f>2*(IF(Rules!$B$9=Rules!$E$9,SUM(HSD!G10:G16)+Rules!$B$5*HSD!G17+HSD!G41+G35,SUM(HS!G10:G16)+Rules!$B$5*HS!G17+HS!G41+G35)/(9+Rules!$B$5))</f>
        <v>3.3936101059871375E-2</v>
      </c>
      <c r="H22" s="1">
        <f>2*(IF(Rules!$B$9=Rules!$E$9,SUM(HSD!H10:H16)+Rules!$B$5*HSD!H17+HSD!H41+H35,SUM(HS!H10:H16)+Rules!$B$5*HS!H17+HS!H41+H35)/(9+Rules!$B$5))</f>
        <v>-0.19255349130839547</v>
      </c>
      <c r="I22" s="1">
        <f>2*(IF(Rules!$B$9=Rules!$E$9,SUM(HSD!I10:I16)+Rules!$B$5*HSD!I17+HSD!I41+I35,SUM(HS!I10:I16)+Rules!$B$5*HS!I17+HS!I41+I35)/(9+Rules!$B$5))</f>
        <v>-0.51344369512043164</v>
      </c>
      <c r="J22" s="1">
        <f>2*(IF(Rules!$B$9=Rules!$E$9,SUM(HSD!J10:J16)+Rules!$B$5*HSD!J17+HSD!J41+J35,SUM(HS!J10:J16)+Rules!$B$5*HS!J17+HS!J41+J35)/(9+Rules!$B$5))</f>
        <v>-0.66278167875678895</v>
      </c>
      <c r="K22" s="9">
        <f>2*(IF(Rules!$B$9=Rules!$E$9,SUM(HSD!K10:K16)+Rules!$B$5*HSD!K17+HSD!K41+K35,SUM(HS!K10:K16)+Rules!$B$5*HS!K17+HS!K41+K35)/(9+Rules!$B$5))</f>
        <v>-0.72423205580060468</v>
      </c>
    </row>
    <row r="23" spans="1:11" x14ac:dyDescent="0.2">
      <c r="A23" s="99">
        <v>8</v>
      </c>
      <c r="B23" s="93">
        <f>2*(IF(Rules!$B$9=Rules!$E$9,SUM(HSD!B11:B17)+Rules!$B$5*HSD!B18+HSD!B42+B36,SUM(HS!B11:B17)+Rules!$B$5*HS!B18+HS!B42+B36)/(9+Rules!$B$5))</f>
        <v>-0.47846720619452893</v>
      </c>
      <c r="C23" s="1">
        <f>2*(IF(Rules!$B$9=Rules!$E$9,SUM(HSD!C11:C17)+Rules!$B$5*HSD!C18+HSD!C42+C36,SUM(HS!C11:C17)+Rules!$B$5*HS!C18+HS!C42+C36)/(9+Rules!$B$5))</f>
        <v>-8.3731826318201183E-2</v>
      </c>
      <c r="D23" s="1">
        <f>2*(IF(Rules!$B$9=Rules!$E$9,SUM(HSD!D11:D17)+Rules!$B$5*HSD!D18+HSD!D42+D36,SUM(HS!D11:D17)+Rules!$B$5*HS!D18+HS!D42+D36)/(9+Rules!$B$5))</f>
        <v>-1.7731034243891476E-2</v>
      </c>
      <c r="E23" s="1">
        <f>2*(IF(Rules!$B$9=Rules!$E$9,SUM(HSD!E11:E17)+Rules!$B$5*HSD!E18+HSD!E42+E36,SUM(HS!E11:E17)+Rules!$B$5*HS!E18+HS!E42+E36)/(9+Rules!$B$5))</f>
        <v>5.0426726079371591E-2</v>
      </c>
      <c r="F23" s="1">
        <f>2*(IF(Rules!$B$9=Rules!$E$9,SUM(HSD!F11:F17)+Rules!$B$5*HSD!F18+HSD!F42+F36,SUM(HS!F11:F17)+Rules!$B$5*HS!F18+HS!F42+F36)/(9+Rules!$B$5))</f>
        <v>0.12125732832070087</v>
      </c>
      <c r="G23" s="1">
        <f>2*(IF(Rules!$B$9=Rules!$E$9,SUM(HSD!G11:G17)+Rules!$B$5*HSD!G18+HSD!G42+G36,SUM(HS!G11:G17)+Rules!$B$5*HS!G18+HS!G42+G36)/(9+Rules!$B$5))</f>
        <v>0.21964666987769416</v>
      </c>
      <c r="H23" s="1">
        <f>2*(IF(Rules!$B$9=Rules!$E$9,SUM(HSD!H11:H17)+Rules!$B$5*HSD!H18+HSD!H42+H36,SUM(HS!H11:H17)+Rules!$B$5*HS!H18+HS!H42+H36)/(9+Rules!$B$5))</f>
        <v>0.14799584932950927</v>
      </c>
      <c r="I23" s="1">
        <f>2*(IF(Rules!$B$9=Rules!$E$9,SUM(HSD!I11:I17)+Rules!$B$5*HSD!I18+HSD!I42+I36,SUM(HS!I11:I17)+Rules!$B$5*HS!I18+HS!I42+I36)/(9+Rules!$B$5))</f>
        <v>-0.17620192285268932</v>
      </c>
      <c r="J23" s="1">
        <f>2*(IF(Rules!$B$9=Rules!$E$9,SUM(HSD!J11:J17)+Rules!$B$5*HSD!J18+HSD!J42+J36,SUM(HS!J11:J17)+Rules!$B$5*HS!J18+HS!J42+J36)/(9+Rules!$B$5))</f>
        <v>-0.51568075661165147</v>
      </c>
      <c r="K23" s="9">
        <f>2*(IF(Rules!$B$9=Rules!$E$9,SUM(HSD!K11:K17)+Rules!$B$5*HSD!K18+HSD!K42+K36,SUM(HS!K11:K17)+Rules!$B$5*HS!K18+HS!K42+K36)/(9+Rules!$B$5))</f>
        <v>-0.59177832989027457</v>
      </c>
    </row>
    <row r="24" spans="1:11" x14ac:dyDescent="0.2">
      <c r="A24" s="99">
        <v>9</v>
      </c>
      <c r="B24" s="93">
        <f>2*(IF(Rules!$B$9=Rules!$E$9,SUM(HSD!B12:B18)+Rules!$B$5*HSD!B19+HSD!B43+B37,SUM(HS!B12:B18)+Rules!$B$5*HS!B19+HS!B43+B37)/(9+Rules!$B$5))</f>
        <v>-0.18006502022790671</v>
      </c>
      <c r="C24" s="1">
        <f>2*(IF(Rules!$B$9=Rules!$E$9,SUM(HSD!C12:C18)+Rules!$B$5*HSD!C19+HSD!C43+C37,SUM(HS!C12:C18)+Rules!$B$5*HS!C19+HS!C43+C37)/(9+Rules!$B$5))</f>
        <v>0.13301183711038245</v>
      </c>
      <c r="D24" s="1">
        <f>2*(IF(Rules!$B$9=Rules!$E$9,SUM(HSD!D12:D18)+Rules!$B$5*HSD!D19+HSD!D43+D37,SUM(HS!D12:D18)+Rules!$B$5*HS!D19+HS!D43+D37)/(9+Rules!$B$5))</f>
        <v>0.19226978268319855</v>
      </c>
      <c r="E24" s="1">
        <f>2*(IF(Rules!$B$9=Rules!$E$9,SUM(HSD!E12:E18)+Rules!$B$5*HSD!E19+HSD!E43+E37,SUM(HS!E12:E18)+Rules!$B$5*HS!E19+HS!E43+E37)/(9+Rules!$B$5))</f>
        <v>0.2535135056783171</v>
      </c>
      <c r="F24" s="1">
        <f>2*(IF(Rules!$B$9=Rules!$E$9,SUM(HSD!F12:F18)+Rules!$B$5*HSD!F19+HSD!F43+F37,SUM(HS!F12:F18)+Rules!$B$5*HS!F19+HS!F43+F37)/(9+Rules!$B$5))</f>
        <v>0.31761061257655909</v>
      </c>
      <c r="G24" s="1">
        <f>2*(IF(Rules!$B$9=Rules!$E$9,SUM(HSD!G12:G18)+Rules!$B$5*HSD!G19+HSD!G43+G37,SUM(HS!G12:G18)+Rules!$B$5*HS!G19+HS!G43+G37)/(9+Rules!$B$5))</f>
        <v>0.40239524615848171</v>
      </c>
      <c r="H24" s="1">
        <f>2*(IF(Rules!$B$9=Rules!$E$9,SUM(HSD!H12:H18)+Rules!$B$5*HSD!H19+HSD!H43+H37,SUM(HS!H12:H18)+Rules!$B$5*HS!H19+HS!H43+H37)/(9+Rules!$B$5))</f>
        <v>0.35289348237335366</v>
      </c>
      <c r="I24" s="1">
        <f>2*(IF(Rules!$B$9=Rules!$E$9,SUM(HSD!I12:I18)+Rules!$B$5*HSD!I19+HSD!I43+I37,SUM(HS!I12:I18)+Rules!$B$5*HS!I19+HS!I43+I37)/(9+Rules!$B$5))</f>
        <v>0.19085366970157674</v>
      </c>
      <c r="J24" s="1">
        <f>2*(IF(Rules!$B$9=Rules!$E$9,SUM(HSD!J12:J18)+Rules!$B$5*HSD!J19+HSD!J43+J37,SUM(HS!J12:J18)+Rules!$B$5*HS!J19+HS!J43+J37)/(9+Rules!$B$5))</f>
        <v>-0.15097383924135588</v>
      </c>
      <c r="K24" s="9">
        <f>2*(IF(Rules!$B$9=Rules!$E$9,SUM(HSD!K12:K18)+Rules!$B$5*HSD!K19+HSD!K43+K37,SUM(HS!K12:K18)+Rules!$B$5*HS!K19+HS!K43+K37)/(9+Rules!$B$5))</f>
        <v>-0.38141866806498581</v>
      </c>
    </row>
    <row r="25" spans="1:11" ht="17" thickBot="1" x14ac:dyDescent="0.25">
      <c r="A25" s="100">
        <v>10</v>
      </c>
      <c r="B25" s="94">
        <f>2*(IF(Rules!$B$9=Rules!$E$9,SUM(HSD!B13:B19)+Rules!$B$5*HSD!B20+HSD!B44+B38,SUM(HS!B13:B19)+Rules!$B$5*HS!B20+HS!B44+B38)/(9+Rules!$B$5))</f>
        <v>0.25404256790190649</v>
      </c>
      <c r="C25" s="111">
        <f>2*(IF(Rules!$B$9=Rules!$E$9,SUM(HSD!C13:C19)+Rules!$B$5*HSD!C20+HSD!C44+C38,SUM(HS!C13:C19)+Rules!$B$5*HS!C20+HS!C44+C38)/(9+Rules!$B$5))</f>
        <v>0.47477335618105915</v>
      </c>
      <c r="D25" s="111">
        <f>2*(IF(Rules!$B$9=Rules!$E$9,SUM(HSD!D13:D19)+Rules!$B$5*HSD!D20+HSD!D44+D38,SUM(HS!D13:D19)+Rules!$B$5*HS!D20+HS!D44+D38)/(9+Rules!$B$5))</f>
        <v>0.52682687199935552</v>
      </c>
      <c r="E25" s="111">
        <f>2*(IF(Rules!$B$9=Rules!$E$9,SUM(HSD!E13:E19)+Rules!$B$5*HSD!E20+HSD!E44+E38,SUM(HS!E13:E19)+Rules!$B$5*HS!E20+HS!E44+E38)/(9+Rules!$B$5))</f>
        <v>0.58023077979244886</v>
      </c>
      <c r="F25" s="111">
        <f>2*(IF(Rules!$B$9=Rules!$E$9,SUM(HSD!F13:F19)+Rules!$B$5*HSD!F20+HSD!F44+F38,SUM(HS!F13:F19)+Rules!$B$5*HS!F20+HS!F44+F38)/(9+Rules!$B$5))</f>
        <v>0.63317564802789661</v>
      </c>
      <c r="G25" s="111">
        <f>2*(IF(Rules!$B$9=Rules!$E$9,SUM(HSD!G13:G19)+Rules!$B$5*HSD!G20+HSD!G44+G38,SUM(HS!G13:G19)+Rules!$B$5*HS!G20+HS!G44+G38)/(9+Rules!$B$5))</f>
        <v>0.70504978713524302</v>
      </c>
      <c r="H25" s="111">
        <f>2*(IF(Rules!$B$9=Rules!$E$9,SUM(HSD!H13:H19)+Rules!$B$5*HSD!H20+HSD!H44+H38,SUM(HS!H13:H19)+Rules!$B$5*HS!H20+HS!H44+H38)/(9+Rules!$B$5))</f>
        <v>0.64281131172356143</v>
      </c>
      <c r="I25" s="111">
        <f>2*(IF(Rules!$B$9=Rules!$E$9,SUM(HSD!I13:I19)+Rules!$B$5*HSD!I20+HSD!I44+I38,SUM(HS!I13:I19)+Rules!$B$5*HS!I20+HS!I44+I38)/(9+Rules!$B$5))</f>
        <v>0.5143953850109767</v>
      </c>
      <c r="J25" s="111">
        <f>2*(IF(Rules!$B$9=Rules!$E$9,SUM(HSD!J13:J19)+Rules!$B$5*HSD!J20+HSD!J44+J38,SUM(HS!J13:J19)+Rules!$B$5*HS!J20+HS!J44+J38)/(9+Rules!$B$5))</f>
        <v>0.3347880216795448</v>
      </c>
      <c r="K25" s="10">
        <f>2*(IF(Rules!$B$9=Rules!$E$9,SUM(HSD!K13:K19)+Rules!$B$5*HSD!K20+HSD!K44+K38,SUM(HS!K13:K19)+Rules!$B$5*HS!K20+HS!K44+K38)/(9+Rules!$B$5))</f>
        <v>0.12724308849531457</v>
      </c>
    </row>
    <row r="26" spans="1:11" ht="17" thickBot="1" x14ac:dyDescent="0.25"/>
    <row r="27" spans="1:11" ht="17" thickBot="1" x14ac:dyDescent="0.25">
      <c r="A27" s="306" t="s">
        <v>77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07"/>
    </row>
    <row r="28" spans="1:11" ht="17" thickBot="1" x14ac:dyDescent="0.25">
      <c r="A28" s="106" t="s">
        <v>7</v>
      </c>
      <c r="B28" s="117">
        <v>1</v>
      </c>
      <c r="C28" s="118">
        <v>2</v>
      </c>
      <c r="D28" s="118">
        <v>3</v>
      </c>
      <c r="E28" s="118">
        <v>4</v>
      </c>
      <c r="F28" s="118">
        <v>5</v>
      </c>
      <c r="G28" s="118">
        <v>6</v>
      </c>
      <c r="H28" s="118">
        <v>7</v>
      </c>
      <c r="I28" s="118">
        <v>8</v>
      </c>
      <c r="J28" s="118">
        <v>9</v>
      </c>
      <c r="K28" s="105">
        <v>10</v>
      </c>
    </row>
    <row r="29" spans="1:11" x14ac:dyDescent="0.2">
      <c r="A29" s="101">
        <v>1</v>
      </c>
      <c r="B29" s="109">
        <f>2*(IF(Rules!$B$12=Rules!$F$12,SUM(Stand!B36:B43)+Rules!$B$5*Stand!B44+B42,SUM(HSD!B36:B43)+Rules!$B$5*HSD!B44+B42)/(9+Rules!$B$5))</f>
        <v>0.22844717277365195</v>
      </c>
      <c r="C29" s="110">
        <f>2*(IF(Rules!$B$12=Rules!$F$12,SUM(Stand!C36:C43)+Rules!$B$5*Stand!C44+C42,SUM(HSD!C36:C43)+Rules!$B$5*HSD!C44+C42)/(9+Rules!$B$5))</f>
        <v>0.58809086957773749</v>
      </c>
      <c r="D29" s="110">
        <f>2*(IF(Rules!$B$12=Rules!$F$12,SUM(Stand!D36:D43)+Rules!$B$5*Stand!D44+D42,SUM(HSD!D36:D43)+Rules!$B$5*HSD!D44+D42)/(9+Rules!$B$5))</f>
        <v>0.63626378886959067</v>
      </c>
      <c r="E29" s="110">
        <f>2*(IF(Rules!$B$12=Rules!$F$12,SUM(Stand!E36:E43)+Rules!$B$5*Stand!E44+E42,SUM(HSD!E36:E43)+Rules!$B$5*HSD!E44+E42)/(9+Rules!$B$5))</f>
        <v>0.68559495955842076</v>
      </c>
      <c r="F29" s="110">
        <f>2*(IF(Rules!$B$12=Rules!$F$12,SUM(Stand!F36:F43)+Rules!$B$5*Stand!F44+F42,SUM(HSD!F36:F43)+Rules!$B$5*HSD!F44+F42)/(9+Rules!$B$5))</f>
        <v>0.73499004540818236</v>
      </c>
      <c r="G29" s="110">
        <f>2*(IF(Rules!$B$12=Rules!$F$12,SUM(Stand!G36:G43)+Rules!$B$5*Stand!G44+G42,SUM(HSD!G36:G43)+Rules!$B$5*HSD!G44+G42)/(9+Rules!$B$5))</f>
        <v>0.79369995809796545</v>
      </c>
      <c r="H29" s="110">
        <f>2*(IF(Rules!$B$12=Rules!$F$12,SUM(Stand!H36:H43)+Rules!$B$5*Stand!H44+H42,SUM(HSD!H36:H43)+Rules!$B$5*HSD!H44+H42)/(9+Rules!$B$5))</f>
        <v>0.60723727688601759</v>
      </c>
      <c r="I29" s="110">
        <f>2*(IF(Rules!$B$12=Rules!$F$12,SUM(Stand!I36:I43)+Rules!$B$5*Stand!I44+I42,SUM(HSD!I36:I43)+Rules!$B$5*HSD!I44+I42)/(9+Rules!$B$5))</f>
        <v>0.48318645338845845</v>
      </c>
      <c r="J29" s="110">
        <f>2*(IF(Rules!$B$12=Rules!$F$12,SUM(Stand!J36:J43)+Rules!$B$5*Stand!J44+J42,SUM(HSD!J36:J43)+Rules!$B$5*HSD!J44+J42)/(9+Rules!$B$5))</f>
        <v>0.34638851611915705</v>
      </c>
      <c r="K29" s="57">
        <f>2*(IF(Rules!$B$12=Rules!$F$12,SUM(Stand!K36:K43)+Rules!$B$5*Stand!K44+K42,SUM(HSD!K36:K43)+Rules!$B$5*HSD!K44+K42)/(9+Rules!$B$5))</f>
        <v>0.29047627531978187</v>
      </c>
    </row>
    <row r="30" spans="1:11" x14ac:dyDescent="0.2">
      <c r="A30" s="99">
        <v>2</v>
      </c>
      <c r="B30" s="93">
        <f>2*(IF(Rules!$B$9=Rules!$E$9,SUM(HSD!B5:B11)+Rules!$B$5*HSD!B12+HSD!B36+B43,SUM(HS!B5:B11)+Rules!$B$5*HS!B12+HS!B36+B43)/(9+Rules!$B$5))</f>
        <v>-0.43034280812761505</v>
      </c>
      <c r="C30" s="1">
        <f>2*(IF(Rules!$B$9=Rules!$E$9,SUM(HSD!C5:C11)+Rules!$B$5*HSD!C12+HSD!C36+C43,SUM(HS!C5:C11)+Rules!$B$5*HS!C12+HS!C36+C43)/(9+Rules!$B$5))</f>
        <v>-0.15743877648697158</v>
      </c>
      <c r="D30" s="1">
        <f>2*(IF(Rules!$B$9=Rules!$E$9,SUM(HSD!D5:D11)+Rules!$B$5*HSD!D12+HSD!D36+D43,SUM(HS!D5:D11)+Rules!$B$5*HS!D12+HS!D36+D43)/(9+Rules!$B$5))</f>
        <v>-0.10209958121483635</v>
      </c>
      <c r="E30" s="1">
        <f>2*(IF(Rules!$B$9=Rules!$E$9,SUM(HSD!E5:E11)+Rules!$B$5*HSD!E12+HSD!E36+E43,SUM(HS!E5:E11)+Rules!$B$5*HS!E12+HS!E36+E43)/(9+Rules!$B$5))</f>
        <v>-4.3405963373938289E-2</v>
      </c>
      <c r="F30" s="1">
        <f>2*(IF(Rules!$B$9=Rules!$E$9,SUM(HSD!F5:F11)+Rules!$B$5*HSD!F12+HSD!F36+F43,SUM(HS!F5:F11)+Rules!$B$5*HS!F12+HS!F36+F43)/(9+Rules!$B$5))</f>
        <v>3.3589293967950747E-2</v>
      </c>
      <c r="G30" s="1">
        <f>2*(IF(Rules!$B$9=Rules!$E$9,SUM(HSD!G5:G11)+Rules!$B$5*HSD!G12+HSD!G36+G43,SUM(HS!G5:G11)+Rules!$B$5*HS!G12+HS!G36+G43)/(9+Rules!$B$5))</f>
        <v>8.8018578755929028E-2</v>
      </c>
      <c r="H30" s="1">
        <f>2*(IF(Rules!$B$9=Rules!$E$9,SUM(HSD!H5:H11)+Rules!$B$5*HSD!H12+HSD!H36+H43,SUM(HS!H5:H11)+Rules!$B$5*HS!H12+HS!H36+H43)/(9+Rules!$B$5))</f>
        <v>-4.9319403012226162E-2</v>
      </c>
      <c r="I30" s="1">
        <f>2*(IF(Rules!$B$9=Rules!$E$9,SUM(HSD!I5:I11)+Rules!$B$5*HSD!I12+HSD!I36+I43,SUM(HS!I5:I11)+Rules!$B$5*HS!I12+HS!I36+I43)/(9+Rules!$B$5))</f>
        <v>-0.21355257907180056</v>
      </c>
      <c r="J30" s="1">
        <f>2*(IF(Rules!$B$9=Rules!$E$9,SUM(HSD!J5:J11)+Rules!$B$5*HSD!J12+HSD!J36+J43,SUM(HS!J5:J11)+Rules!$B$5*HS!J12+HS!J36+J43)/(9+Rules!$B$5))</f>
        <v>-0.40154476409988626</v>
      </c>
      <c r="K30" s="9">
        <f>2*(IF(Rules!$B$9=Rules!$E$9,SUM(HSD!K5:K11)+Rules!$B$5*HSD!K12+HSD!K36+K43,SUM(HS!K5:K11)+Rules!$B$5*HS!K12+HS!K36+K43)/(9+Rules!$B$5))</f>
        <v>-0.51396501275060613</v>
      </c>
    </row>
    <row r="31" spans="1:11" x14ac:dyDescent="0.2">
      <c r="A31" s="99">
        <v>3</v>
      </c>
      <c r="B31" s="93">
        <f>2*(IF(Rules!$B$9=Rules!$E$9,SUM(HSD!B6:B12)+Rules!$B$5*HSD!B13+HSD!B37+B44,SUM(HS!B6:B12)+Rules!$B$5*HS!B13+HS!B37+B44)/(9+Rules!$B$5))</f>
        <v>-0.48315196862599741</v>
      </c>
      <c r="C31" s="1">
        <f>2*(IF(Rules!$B$9=Rules!$E$9,SUM(HSD!C6:C12)+Rules!$B$5*HSD!C13+HSD!C37+C44,SUM(HS!C6:C12)+Rules!$B$5*HS!C13+HS!C37+C44)/(9+Rules!$B$5))</f>
        <v>-0.21224953829292914</v>
      </c>
      <c r="D31" s="1">
        <f>2*(IF(Rules!$B$9=Rules!$E$9,SUM(HSD!D6:D12)+Rules!$B$5*HSD!D13+HSD!D37+D44,SUM(HS!D6:D12)+Rules!$B$5*HS!D13+HS!D37+D44)/(9+Rules!$B$5))</f>
        <v>-0.14428117644953431</v>
      </c>
      <c r="E31" s="1">
        <f>2*(IF(Rules!$B$9=Rules!$E$9,SUM(HSD!E6:E12)+Rules!$B$5*HSD!E13+HSD!E37+E44,SUM(HS!E6:E12)+Rules!$B$5*HS!E13+HS!E37+E44)/(9+Rules!$B$5))</f>
        <v>-7.4221522528290146E-2</v>
      </c>
      <c r="F31" s="1">
        <f>2*(IF(Rules!$B$9=Rules!$E$9,SUM(HSD!F6:F12)+Rules!$B$5*HSD!F13+HSD!F37+F44,SUM(HS!F6:F12)+Rules!$B$5*HS!F13+HS!F37+F44)/(9+Rules!$B$5))</f>
        <v>4.0812811096635013E-3</v>
      </c>
      <c r="G31" s="1">
        <f>2*(IF(Rules!$B$9=Rules!$E$9,SUM(HSD!G6:G12)+Rules!$B$5*HSD!G13+HSD!G37+G44,SUM(HS!G6:G12)+Rules!$B$5*HS!G13+HS!G37+G44)/(9+Rules!$B$5))</f>
        <v>5.6654751682589329E-2</v>
      </c>
      <c r="H31" s="1">
        <f>2*(IF(Rules!$B$9=Rules!$E$9,SUM(HSD!H6:H12)+Rules!$B$5*HSD!H13+HSD!H37+H44,SUM(HS!H6:H12)+Rules!$B$5*HS!H13+HS!H37+H44)/(9+Rules!$B$5))</f>
        <v>-0.1141717517263387</v>
      </c>
      <c r="I31" s="1">
        <f>2*(IF(Rules!$B$9=Rules!$E$9,SUM(HSD!I6:I12)+Rules!$B$5*HSD!I13+HSD!I37+I44,SUM(HS!I6:I12)+Rules!$B$5*HS!I13+HS!I37+I44)/(9+Rules!$B$5))</f>
        <v>-0.27323613936151231</v>
      </c>
      <c r="J31" s="1">
        <f>2*(IF(Rules!$B$9=Rules!$E$9,SUM(HSD!J6:J12)+Rules!$B$5*HSD!J13+HSD!J37+J44,SUM(HS!J6:J12)+Rules!$B$5*HS!J13+HS!J37+J44)/(9+Rules!$B$5))</f>
        <v>-0.45531296751483158</v>
      </c>
      <c r="K31" s="9">
        <f>2*(IF(Rules!$B$9=Rules!$E$9,SUM(HSD!K6:K12)+Rules!$B$5*HSD!K13+HSD!K37+K44,SUM(HS!K6:K12)+Rules!$B$5*HS!K13+HS!K37+K44)/(9+Rules!$B$5))</f>
        <v>-0.56408101209187123</v>
      </c>
    </row>
    <row r="32" spans="1:11" x14ac:dyDescent="0.2">
      <c r="A32" s="99">
        <v>4</v>
      </c>
      <c r="B32" s="93">
        <f>2*(IF(Rules!$B$9=Rules!$E$9,SUM(HSD!B7:B13)+Rules!$B$5*HSD!B14+HSD!B38+B45,SUM(HS!B7:B13)+Rules!$B$5*HS!B14+HS!B38+B45)/(9+Rules!$B$5))</f>
        <v>-0.53723204385891232</v>
      </c>
      <c r="C32" s="1">
        <f>2*(IF(Rules!$B$9=Rules!$E$9,SUM(HSD!C7:C13)+Rules!$B$5*HSD!C14+HSD!C38+C45,SUM(HS!C7:C13)+Rules!$B$5*HS!C14+HS!C38+C45)/(9+Rules!$B$5))</f>
        <v>-0.24352935335750775</v>
      </c>
      <c r="D32" s="1">
        <f>2*(IF(Rules!$B$9=Rules!$E$9,SUM(HSD!D7:D13)+Rules!$B$5*HSD!D14+HSD!D38+D45,SUM(HS!D7:D13)+Rules!$B$5*HS!D14+HS!D38+D45)/(9+Rules!$B$5))</f>
        <v>-0.17413979022885492</v>
      </c>
      <c r="E32" s="1">
        <f>2*(IF(Rules!$B$9=Rules!$E$9,SUM(HSD!E7:E13)+Rules!$B$5*HSD!E14+HSD!E38+E45,SUM(HS!E7:E13)+Rules!$B$5*HS!E14+HS!E38+E45)/(9+Rules!$B$5))</f>
        <v>-0.1027067937965179</v>
      </c>
      <c r="F32" s="1">
        <f>2*(IF(Rules!$B$9=Rules!$E$9,SUM(HSD!F7:F13)+Rules!$B$5*HSD!F14+HSD!F38+F45,SUM(HS!F7:F13)+Rules!$B$5*HS!F14+HS!F38+F45)/(9+Rules!$B$5))</f>
        <v>-2.319737299519899E-2</v>
      </c>
      <c r="G32" s="1">
        <f>2*(IF(Rules!$B$9=Rules!$E$9,SUM(HSD!G7:G13)+Rules!$B$5*HSD!G14+HSD!G38+G45,SUM(HS!G7:G13)+Rules!$B$5*HS!G14+HS!G38+G45)/(9+Rules!$B$5))</f>
        <v>2.7686476114549427E-2</v>
      </c>
      <c r="H32" s="1">
        <f>2*(IF(Rules!$B$9=Rules!$E$9,SUM(HSD!H7:H13)+Rules!$B$5*HSD!H14+HSD!H38+H45,SUM(HS!H7:H13)+Rules!$B$5*HS!H14+HS!H38+H45)/(9+Rules!$B$5))</f>
        <v>-0.1803469705600394</v>
      </c>
      <c r="I32" s="1">
        <f>2*(IF(Rules!$B$9=Rules!$E$9,SUM(HSD!I7:I13)+Rules!$B$5*HSD!I14+HSD!I38+I45,SUM(HS!I7:I13)+Rules!$B$5*HS!I14+HS!I38+I45)/(9+Rules!$B$5))</f>
        <v>-0.33427237055112191</v>
      </c>
      <c r="J32" s="1">
        <f>2*(IF(Rules!$B$9=Rules!$E$9,SUM(HSD!J7:J13)+Rules!$B$5*HSD!J14+HSD!J38+J45,SUM(HS!J7:J13)+Rules!$B$5*HS!J14+HS!J38+J45)/(9+Rules!$B$5))</f>
        <v>-0.5103618441696548</v>
      </c>
      <c r="K32" s="9">
        <f>2*(IF(Rules!$B$9=Rules!$E$9,SUM(HSD!K7:K13)+Rules!$B$5*HSD!K14+HSD!K38+K45,SUM(HS!K7:K13)+Rules!$B$5*HS!K14+HS!K38+K45)/(9+Rules!$B$5))</f>
        <v>-0.61541835029334147</v>
      </c>
    </row>
    <row r="33" spans="1:11" x14ac:dyDescent="0.2">
      <c r="A33" s="99">
        <v>5</v>
      </c>
      <c r="B33" s="93">
        <f>2*(IF(Rules!$B$9=Rules!$E$9,SUM(HSD!B8:B14)+Rules!$B$5*HSD!B15+HSD!B39+B46,SUM(HS!B8:B14)+Rules!$B$5*HS!B15+HS!B39+B46)/(9+Rules!$B$5))</f>
        <v>-0.59516112506856278</v>
      </c>
      <c r="C33" s="1">
        <f>2*(IF(Rules!$B$9=Rules!$E$9,SUM(HSD!C8:C14)+Rules!$B$5*HSD!C15+HSD!C39+C46,SUM(HS!C8:C14)+Rules!$B$5*HS!C15+HS!C39+C46)/(9+Rules!$B$5))</f>
        <v>-0.27908462739839934</v>
      </c>
      <c r="D33" s="1">
        <f>2*(IF(Rules!$B$9=Rules!$E$9,SUM(HSD!D8:D14)+Rules!$B$5*HSD!D15+HSD!D39+D46,SUM(HS!D8:D14)+Rules!$B$5*HS!D15+HS!D39+D46)/(9+Rules!$B$5))</f>
        <v>-0.20816468107967456</v>
      </c>
      <c r="E33" s="1">
        <f>2*(IF(Rules!$B$9=Rules!$E$9,SUM(HSD!E8:E14)+Rules!$B$5*HSD!E15+HSD!E39+E46,SUM(HS!E8:E14)+Rules!$B$5*HS!E15+HS!E39+E46)/(9+Rules!$B$5))</f>
        <v>-0.1352569490755495</v>
      </c>
      <c r="F33" s="1">
        <f>2*(IF(Rules!$B$9=Rules!$E$9,SUM(HSD!F8:F14)+Rules!$B$5*HSD!F15+HSD!F39+F46,SUM(HS!F8:F14)+Rules!$B$5*HS!F15+HS!F39+F46)/(9+Rules!$B$5))</f>
        <v>-5.4217414611531289E-2</v>
      </c>
      <c r="G33" s="1">
        <f>2*(IF(Rules!$B$9=Rules!$E$9,SUM(HSD!G8:G14)+Rules!$B$5*HSD!G15+HSD!G39+G46,SUM(HS!G8:G14)+Rules!$B$5*HS!G15+HS!G39+G46)/(9+Rules!$B$5))</f>
        <v>-7.227755373917435E-3</v>
      </c>
      <c r="H33" s="1">
        <f>2*(IF(Rules!$B$9=Rules!$E$9,SUM(HSD!H8:H14)+Rules!$B$5*HSD!H15+HSD!H39+H46,SUM(HS!H8:H14)+Rules!$B$5*HS!H15+HS!H39+H46)/(9+Rules!$B$5))</f>
        <v>-0.26506212748950769</v>
      </c>
      <c r="I33" s="1">
        <f>2*(IF(Rules!$B$9=Rules!$E$9,SUM(HSD!I8:I14)+Rules!$B$5*HSD!I15+HSD!I39+I46,SUM(HS!I8:I14)+Rules!$B$5*HS!I15+HS!I39+I46)/(9+Rules!$B$5))</f>
        <v>-0.40166073689591203</v>
      </c>
      <c r="J33" s="1">
        <f>2*(IF(Rules!$B$9=Rules!$E$9,SUM(HSD!J8:J14)+Rules!$B$5*HSD!J15+HSD!J39+J46,SUM(HS!J8:J14)+Rules!$B$5*HS!J15+HS!J39+J46)/(9+Rules!$B$5))</f>
        <v>-0.57136313228961666</v>
      </c>
      <c r="K33" s="9">
        <f>2*(IF(Rules!$B$9=Rules!$E$9,SUM(HSD!K8:K14)+Rules!$B$5*HSD!K15+HSD!K39+K46,SUM(HS!K8:K14)+Rules!$B$5*HS!K15+HS!K39+K46)/(9+Rules!$B$5))</f>
        <v>-0.67417228601172741</v>
      </c>
    </row>
    <row r="34" spans="1:11" x14ac:dyDescent="0.2">
      <c r="A34" s="99">
        <v>6</v>
      </c>
      <c r="B34" s="93">
        <f>2*(IF(Rules!$B$9=Rules!$E$9,SUM(HSD!B9:B15)+Rules!$B$5*HSD!B16+HSD!B40+B47,SUM(HS!B9:B15)+Rules!$B$5*HS!B16+HS!B40+B47)/(9+Rules!$B$5))</f>
        <v>-0.6715647160094349</v>
      </c>
      <c r="C34" s="1">
        <f>2*(IF(Rules!$B$9=Rules!$E$9,SUM(HSD!C9:C15)+Rules!$B$5*HSD!C16+HSD!C40+C47,SUM(HS!C9:C15)+Rules!$B$5*HS!C16+HS!C40+C47)/(9+Rules!$B$5))</f>
        <v>-0.32147516521407576</v>
      </c>
      <c r="D34" s="1">
        <f>2*(IF(Rules!$B$9=Rules!$E$9,SUM(HSD!D9:D15)+Rules!$B$5*HSD!D16+HSD!D40+D47,SUM(HS!D9:D15)+Rules!$B$5*HS!D16+HS!D40+D47)/(9+Rules!$B$5))</f>
        <v>-0.24882637425535079</v>
      </c>
      <c r="E34" s="1">
        <f>2*(IF(Rules!$B$9=Rules!$E$9,SUM(HSD!E9:E15)+Rules!$B$5*HSD!E16+HSD!E40+E47,SUM(HS!E9:E15)+Rules!$B$5*HS!E16+HS!E40+E47)/(9+Rules!$B$5))</f>
        <v>-0.17423716956507976</v>
      </c>
      <c r="F34" s="1">
        <f>2*(IF(Rules!$B$9=Rules!$E$9,SUM(HSD!F9:F15)+Rules!$B$5*HSD!F16+HSD!F40+F47,SUM(HS!F9:F15)+Rules!$B$5*HS!F16+HS!F40+F47)/(9+Rules!$B$5))</f>
        <v>-9.146834398993331E-2</v>
      </c>
      <c r="G34" s="1">
        <f>2*(IF(Rules!$B$9=Rules!$E$9,SUM(HSD!G9:G15)+Rules!$B$5*HSD!G16+HSD!G40+G47,SUM(HS!G9:G15)+Rules!$B$5*HS!G16+HS!G40+G47)/(9+Rules!$B$5))</f>
        <v>-4.7699643545282742E-2</v>
      </c>
      <c r="H34" s="1">
        <f>2*(IF(Rules!$B$9=Rules!$E$9,SUM(HSD!H9:H15)+Rules!$B$5*HSD!H16+HSD!H40+H47,SUM(HS!H9:H15)+Rules!$B$5*HS!H16+HS!H40+H47)/(9+Rules!$B$5))</f>
        <v>-0.36326123814065148</v>
      </c>
      <c r="I34" s="1">
        <f>2*(IF(Rules!$B$9=Rules!$E$9,SUM(HSD!I9:I15)+Rules!$B$5*HSD!I16+HSD!I40+I47,SUM(HS!I9:I15)+Rules!$B$5*HS!I16+HS!I40+I47)/(9+Rules!$B$5))</f>
        <v>-0.49211229910047927</v>
      </c>
      <c r="J34" s="1">
        <f>2*(IF(Rules!$B$9=Rules!$E$9,SUM(HSD!J9:J15)+Rules!$B$5*HSD!J16+HSD!J40+J47,SUM(HS!J9:J15)+Rules!$B$5*HS!J16+HS!J40+J47)/(9+Rules!$B$5))</f>
        <v>-0.64298833399502642</v>
      </c>
      <c r="K34" s="9">
        <f>2*(IF(Rules!$B$9=Rules!$E$9,SUM(HSD!K9:K15)+Rules!$B$5*HSD!K16+HSD!K40+K47,SUM(HS!K9:K15)+Rules!$B$5*HS!K16+HS!K40+K47)/(9+Rules!$B$5))</f>
        <v>-0.74105638848042743</v>
      </c>
    </row>
    <row r="35" spans="1:11" x14ac:dyDescent="0.2">
      <c r="A35" s="99">
        <v>7</v>
      </c>
      <c r="B35" s="93">
        <f>2*(IF(Rules!$B$9=Rules!$E$9,SUM(HSD!B10:B16)+Rules!$B$5*HSD!B17+HSD!B41+B48,SUM(HS!B10:B16)+Rules!$B$5*HS!B17+HS!B41+B48)/(9+Rules!$B$5))</f>
        <v>-0.70544522710715207</v>
      </c>
      <c r="C35" s="1">
        <f>2*(IF(Rules!$B$9=Rules!$E$9,SUM(HSD!C10:C16)+Rules!$B$5*HSD!C17+HSD!C41+C48,SUM(HS!C10:C16)+Rules!$B$5*HS!C17+HS!C41+C48)/(9+Rules!$B$5))</f>
        <v>-0.26341499316547468</v>
      </c>
      <c r="D35" s="1">
        <f>2*(IF(Rules!$B$9=Rules!$E$9,SUM(HSD!D10:D16)+Rules!$B$5*HSD!D17+HSD!D41+D48,SUM(HS!D10:D16)+Rules!$B$5*HS!D17+HS!D41+D48)/(9+Rules!$B$5))</f>
        <v>-0.19230914312397399</v>
      </c>
      <c r="E35" s="1">
        <f>2*(IF(Rules!$B$9=Rules!$E$9,SUM(HSD!E10:E16)+Rules!$B$5*HSD!E17+HSD!E41+E48,SUM(HS!E10:E16)+Rules!$B$5*HS!E17+HS!E41+E48)/(9+Rules!$B$5))</f>
        <v>-0.11912427557859537</v>
      </c>
      <c r="F35" s="1">
        <f>2*(IF(Rules!$B$9=Rules!$E$9,SUM(HSD!F10:F16)+Rules!$B$5*HSD!F17+HSD!F41+F48,SUM(HS!F10:F16)+Rules!$B$5*HS!F17+HS!F41+F48)/(9+Rules!$B$5))</f>
        <v>-4.1092656893943182E-2</v>
      </c>
      <c r="G35" s="1">
        <f>2*(IF(Rules!$B$9=Rules!$E$9,SUM(HSD!G10:G16)+Rules!$B$5*HSD!G17+HSD!G41+G48,SUM(HS!G10:G16)+Rules!$B$5*HS!G17+HS!G41+G48)/(9+Rules!$B$5))</f>
        <v>3.7194045546251421E-2</v>
      </c>
      <c r="H35" s="1">
        <f>2*(IF(Rules!$B$9=Rules!$E$9,SUM(HSD!H10:H16)+Rules!$B$5*HSD!H17+HSD!H41+H48,SUM(HS!H10:H16)+Rules!$B$5*HS!H17+HS!H41+H48)/(9+Rules!$B$5))</f>
        <v>-0.18522843902205677</v>
      </c>
      <c r="I35" s="1">
        <f>2*(IF(Rules!$B$9=Rules!$E$9,SUM(HSD!I10:I16)+Rules!$B$5*HSD!I17+HSD!I41+I48,SUM(HS!I10:I16)+Rules!$B$5*HS!I17+HS!I41+I48)/(9+Rules!$B$5))</f>
        <v>-0.50114580743086734</v>
      </c>
      <c r="J35" s="1">
        <f>2*(IF(Rules!$B$9=Rules!$E$9,SUM(HSD!J10:J16)+Rules!$B$5*HSD!J17+HSD!J41+J48,SUM(HS!J10:J16)+Rules!$B$5*HS!J17+HS!J41+J48)/(9+Rules!$B$5))</f>
        <v>-0.6505082390523842</v>
      </c>
      <c r="K35" s="9">
        <f>2*(IF(Rules!$B$9=Rules!$E$9,SUM(HSD!K10:K16)+Rules!$B$5*HSD!K17+HSD!K41+K48,SUM(HS!K10:K16)+Rules!$B$5*HS!K17+HS!K41+K48)/(9+Rules!$B$5))</f>
        <v>-0.71274905940008104</v>
      </c>
    </row>
    <row r="36" spans="1:11" x14ac:dyDescent="0.2">
      <c r="A36" s="99">
        <v>8</v>
      </c>
      <c r="B36" s="93">
        <f>2*(IF(Rules!$B$9=Rules!$E$9,SUM(HSD!B11:B17)+Rules!$B$5*HSD!B18+HSD!B42+B49,SUM(HS!B11:B17)+Rules!$B$5*HS!B18+HS!B42+B49)/(9+Rules!$B$5))</f>
        <v>-0.46721259485503536</v>
      </c>
      <c r="C36" s="1">
        <f>2*(IF(Rules!$B$9=Rules!$E$9,SUM(HSD!C11:C17)+Rules!$B$5*HSD!C18+HSD!C42+C49,SUM(HS!C11:C17)+Rules!$B$5*HS!C18+HS!C42+C49)/(9+Rules!$B$5))</f>
        <v>-7.8380432944789191E-2</v>
      </c>
      <c r="D36" s="1">
        <f>2*(IF(Rules!$B$9=Rules!$E$9,SUM(HSD!D11:D17)+Rules!$B$5*HSD!D18+HSD!D42+D49,SUM(HS!D11:D17)+Rules!$B$5*HS!D18+HS!D42+D49)/(9+Rules!$B$5))</f>
        <v>-1.3232159669864697E-2</v>
      </c>
      <c r="E36" s="1">
        <f>2*(IF(Rules!$B$9=Rules!$E$9,SUM(HSD!E11:E17)+Rules!$B$5*HSD!E18+HSD!E42+E49,SUM(HS!E11:E17)+Rules!$B$5*HS!E18+HS!E42+E49)/(9+Rules!$B$5))</f>
        <v>5.4045688809377726E-2</v>
      </c>
      <c r="F36" s="1">
        <f>2*(IF(Rules!$B$9=Rules!$E$9,SUM(HSD!F11:F17)+Rules!$B$5*HSD!F18+HSD!F42+F49,SUM(HS!F11:F17)+Rules!$B$5*HS!F18+HS!F42+F49)/(9+Rules!$B$5))</f>
        <v>0.12397092080674978</v>
      </c>
      <c r="G36" s="1">
        <f>2*(IF(Rules!$B$9=Rules!$E$9,SUM(HSD!G11:G17)+Rules!$B$5*HSD!G18+HSD!G42+G49,SUM(HS!G11:G17)+Rules!$B$5*HS!G18+HS!G42+G49)/(9+Rules!$B$5))</f>
        <v>0.22101648725299444</v>
      </c>
      <c r="H36" s="1">
        <f>2*(IF(Rules!$B$9=Rules!$E$9,SUM(HSD!H11:H17)+Rules!$B$5*HSD!H18+HSD!H42+H49,SUM(HS!H11:H17)+Rules!$B$5*HS!H18+HS!H42+H49)/(9+Rules!$B$5))</f>
        <v>0.15018505324923945</v>
      </c>
      <c r="I36" s="1">
        <f>2*(IF(Rules!$B$9=Rules!$E$9,SUM(HSD!I11:I17)+Rules!$B$5*HSD!I18+HSD!I42+I49,SUM(HS!I11:I17)+Rules!$B$5*HS!I18+HS!I42+I49)/(9+Rules!$B$5))</f>
        <v>-0.16868120664797243</v>
      </c>
      <c r="J36" s="1">
        <f>2*(IF(Rules!$B$9=Rules!$E$9,SUM(HSD!J11:J17)+Rules!$B$5*HSD!J18+HSD!J42+J49,SUM(HS!J11:J17)+Rules!$B$5*HS!J18+HS!J42+J49)/(9+Rules!$B$5))</f>
        <v>-0.50297301092962265</v>
      </c>
      <c r="K36" s="9">
        <f>2*(IF(Rules!$B$9=Rules!$E$9,SUM(HSD!K11:K17)+Rules!$B$5*HSD!K18+HSD!K42+K49,SUM(HS!K11:K17)+Rules!$B$5*HS!K18+HS!K42+K49)/(9+Rules!$B$5))</f>
        <v>-0.57937457405246262</v>
      </c>
    </row>
    <row r="37" spans="1:11" x14ac:dyDescent="0.2">
      <c r="A37" s="99">
        <v>9</v>
      </c>
      <c r="B37" s="93">
        <f>2*(IF(Rules!$B$9=Rules!$E$9,SUM(HSD!B12:B18)+Rules!$B$5*HSD!B19+HSD!B43+B50,SUM(HS!B12:B18)+Rules!$B$5*HS!B19+HS!B43+B50)/(9+Rules!$B$5))</f>
        <v>-0.17357122520500348</v>
      </c>
      <c r="C37" s="1">
        <f>2*(IF(Rules!$B$9=Rules!$E$9,SUM(HSD!C12:C18)+Rules!$B$5*HSD!C19+HSD!C43+C50,SUM(HS!C12:C18)+Rules!$B$5*HS!C19+HS!C43+C50)/(9+Rules!$B$5))</f>
        <v>0.13512920218268892</v>
      </c>
      <c r="D37" s="1">
        <f>2*(IF(Rules!$B$9=Rules!$E$9,SUM(HSD!D12:D18)+Rules!$B$5*HSD!D19+HSD!D43+D50,SUM(HS!D12:D18)+Rules!$B$5*HS!D19+HS!D43+D50)/(9+Rules!$B$5))</f>
        <v>0.19363773212247254</v>
      </c>
      <c r="E37" s="1">
        <f>2*(IF(Rules!$B$9=Rules!$E$9,SUM(HSD!E12:E18)+Rules!$B$5*HSD!E19+HSD!E43+E50,SUM(HS!E12:E18)+Rules!$B$5*HS!E19+HS!E43+E50)/(9+Rules!$B$5))</f>
        <v>0.25410660657340595</v>
      </c>
      <c r="F37" s="1">
        <f>2*(IF(Rules!$B$9=Rules!$E$9,SUM(HSD!F12:F18)+Rules!$B$5*HSD!F19+HSD!F43+F50,SUM(HS!F12:F18)+Rules!$B$5*HS!F19+HS!F43+F50)/(9+Rules!$B$5))</f>
        <v>0.3174043592374225</v>
      </c>
      <c r="G37" s="1">
        <f>2*(IF(Rules!$B$9=Rules!$E$9,SUM(HSD!G12:G18)+Rules!$B$5*HSD!G19+HSD!G43+G50,SUM(HS!G12:G18)+Rules!$B$5*HS!G19+HS!G43+G50)/(9+Rules!$B$5))</f>
        <v>0.40101423713929185</v>
      </c>
      <c r="H37" s="1">
        <f>2*(IF(Rules!$B$9=Rules!$E$9,SUM(HSD!H12:H18)+Rules!$B$5*HSD!H19+HSD!H43+H50,SUM(HS!H12:H18)+Rules!$B$5*HS!H19+HS!H43+H50)/(9+Rules!$B$5))</f>
        <v>0.35167244737342723</v>
      </c>
      <c r="I37" s="1">
        <f>2*(IF(Rules!$B$9=Rules!$E$9,SUM(HSD!I12:I18)+Rules!$B$5*HSD!I19+HSD!I43+I50,SUM(HS!I12:I18)+Rules!$B$5*HS!I19+HS!I43+I50)/(9+Rules!$B$5))</f>
        <v>0.19164017172413786</v>
      </c>
      <c r="J37" s="1">
        <f>2*(IF(Rules!$B$9=Rules!$E$9,SUM(HSD!J12:J18)+Rules!$B$5*HSD!J19+HSD!J43+J50,SUM(HS!J12:J18)+Rules!$B$5*HS!J19+HS!J43+J50)/(9+Rules!$B$5))</f>
        <v>-0.14475814159921555</v>
      </c>
      <c r="K37" s="9">
        <f>2*(IF(Rules!$B$9=Rules!$E$9,SUM(HSD!K12:K18)+Rules!$B$5*HSD!K19+HSD!K43+K50,SUM(HS!K12:K18)+Rules!$B$5*HS!K19+HS!K43+K50)/(9+Rules!$B$5))</f>
        <v>-0.37135030828953458</v>
      </c>
    </row>
    <row r="38" spans="1:11" ht="17" thickBot="1" x14ac:dyDescent="0.25">
      <c r="A38" s="100">
        <v>10</v>
      </c>
      <c r="B38" s="94">
        <f>2*(IF(Rules!$B$9=Rules!$E$9,SUM(HSD!B13:B19)+Rules!$B$5*HSD!B20+HSD!B44+B51,SUM(HS!B13:B19)+Rules!$B$5*HS!B20+HS!B44+B51)/(9+Rules!$B$5))</f>
        <v>0.24189014763372588</v>
      </c>
      <c r="C38" s="111">
        <f>2*(IF(Rules!$B$9=Rules!$E$9,SUM(HSD!C13:C19)+Rules!$B$5*HSD!C20+HSD!C44+C51,SUM(HS!C13:C19)+Rules!$B$5*HS!C20+HS!C44+C51)/(9+Rules!$B$5))</f>
        <v>0.46013690709266325</v>
      </c>
      <c r="D38" s="111">
        <f>2*(IF(Rules!$B$9=Rules!$E$9,SUM(HSD!D13:D19)+Rules!$B$5*HSD!D20+HSD!D44+D51,SUM(HS!D13:D19)+Rules!$B$5*HS!D20+HS!D44+D51)/(9+Rules!$B$5))</f>
        <v>0.51154008261649231</v>
      </c>
      <c r="E38" s="111">
        <f>2*(IF(Rules!$B$9=Rules!$E$9,SUM(HSD!E13:E19)+Rules!$B$5*HSD!E20+HSD!E44+E51,SUM(HS!E13:E19)+Rules!$B$5*HS!E20+HS!E44+E51)/(9+Rules!$B$5))</f>
        <v>0.56432537499270297</v>
      </c>
      <c r="F38" s="111">
        <f>2*(IF(Rules!$B$9=Rules!$E$9,SUM(HSD!F13:F19)+Rules!$B$5*HSD!F20+HSD!F44+F51,SUM(HS!F13:F19)+Rules!$B$5*HS!F20+HS!F44+F51)/(9+Rules!$B$5))</f>
        <v>0.61708784282461282</v>
      </c>
      <c r="G38" s="111">
        <f>2*(IF(Rules!$B$9=Rules!$E$9,SUM(HSD!G13:G19)+Rules!$B$5*HSD!G20+HSD!G44+G51,SUM(HS!G13:G19)+Rules!$B$5*HS!G20+HS!G44+G51)/(9+Rules!$B$5))</f>
        <v>0.68778850466357977</v>
      </c>
      <c r="H38" s="111">
        <f>2*(IF(Rules!$B$9=Rules!$E$9,SUM(HSD!H13:H19)+Rules!$B$5*HSD!H20+HSD!H44+H51,SUM(HS!H13:H19)+Rules!$B$5*HS!H20+HS!H44+H51)/(9+Rules!$B$5))</f>
        <v>0.62561213531670967</v>
      </c>
      <c r="I38" s="111">
        <f>2*(IF(Rules!$B$9=Rules!$E$9,SUM(HSD!I13:I19)+Rules!$B$5*HSD!I20+HSD!I44+I51,SUM(HS!I13:I19)+Rules!$B$5*HS!I20+HS!I44+I51)/(9+Rules!$B$5))</f>
        <v>0.49859698923137341</v>
      </c>
      <c r="J38" s="111">
        <f>2*(IF(Rules!$B$9=Rules!$E$9,SUM(HSD!J13:J19)+Rules!$B$5*HSD!J20+HSD!J44+J51,SUM(HS!J13:J19)+Rules!$B$5*HS!J20+HS!J44+J51)/(9+Rules!$B$5))</f>
        <v>0.32122417640741452</v>
      </c>
      <c r="K38" s="10">
        <f>2*(IF(Rules!$B$9=Rules!$E$9,SUM(HSD!K13:K19)+Rules!$B$5*HSD!K20+HSD!K44+K51,SUM(HS!K13:K19)+Rules!$B$5*HS!K20+HS!K44+K51)/(9+Rules!$B$5))</f>
        <v>0.11702628284017082</v>
      </c>
    </row>
    <row r="39" spans="1:11" ht="17" thickBot="1" x14ac:dyDescent="0.25"/>
    <row r="40" spans="1:11" ht="17" thickBot="1" x14ac:dyDescent="0.25">
      <c r="A40" s="317" t="s">
        <v>78</v>
      </c>
      <c r="B40" s="318"/>
      <c r="C40" s="318"/>
      <c r="D40" s="318"/>
      <c r="E40" s="318"/>
      <c r="F40" s="318"/>
      <c r="G40" s="318"/>
      <c r="H40" s="318"/>
      <c r="I40" s="318"/>
      <c r="J40" s="318"/>
      <c r="K40" s="319"/>
    </row>
    <row r="41" spans="1:11" ht="17" thickBot="1" x14ac:dyDescent="0.25">
      <c r="A41" s="106" t="s">
        <v>7</v>
      </c>
      <c r="B41" s="119">
        <v>1</v>
      </c>
      <c r="C41" s="120">
        <v>2</v>
      </c>
      <c r="D41" s="120">
        <v>3</v>
      </c>
      <c r="E41" s="120">
        <v>4</v>
      </c>
      <c r="F41" s="120">
        <v>5</v>
      </c>
      <c r="G41" s="120">
        <v>6</v>
      </c>
      <c r="H41" s="120">
        <v>7</v>
      </c>
      <c r="I41" s="120">
        <v>8</v>
      </c>
      <c r="J41" s="120">
        <v>9</v>
      </c>
      <c r="K41" s="102">
        <v>10</v>
      </c>
    </row>
    <row r="42" spans="1:11" x14ac:dyDescent="0.2">
      <c r="A42" s="101">
        <v>1</v>
      </c>
      <c r="B42" s="109">
        <f>2*(IF(Rules!$B$12=Rules!$F$12,SUM(Stand!B35:B43)+Rules!$B$5*Stand!B44,SUM(HSD!B35:B43)+Rules!$B$5*HSD!B44)/(9+Rules!$B$5))</f>
        <v>0.10906077977909699</v>
      </c>
      <c r="C42" s="110">
        <f>2*(IF(Rules!$B$12=Rules!$F$12,SUM(Stand!C35:C43)+Rules!$B$5*Stand!C44,SUM(HSD!C35:C43)+Rules!$B$5*HSD!C44)/(9+Rules!$B$5))</f>
        <v>0.47064092333946894</v>
      </c>
      <c r="D42" s="110">
        <f>2*(IF(Rules!$B$12=Rules!$F$12,SUM(Stand!D35:D43)+Rules!$B$5*Stand!D44,SUM(HSD!D35:D43)+Rules!$B$5*HSD!D44)/(9+Rules!$B$5))</f>
        <v>0.51779525312221664</v>
      </c>
      <c r="E42" s="110">
        <f>2*(IF(Rules!$B$12=Rules!$F$12,SUM(Stand!E35:E43)+Rules!$B$5*Stand!E44,SUM(HSD!E35:E43)+Rules!$B$5*HSD!E44)/(9+Rules!$B$5))</f>
        <v>0.56604055041797596</v>
      </c>
      <c r="F42" s="110">
        <f>2*(IF(Rules!$B$12=Rules!$F$12,SUM(Stand!F35:F43)+Rules!$B$5*Stand!F44,SUM(HSD!F35:F43)+Rules!$B$5*HSD!F44)/(9+Rules!$B$5))</f>
        <v>0.61469901790902803</v>
      </c>
      <c r="G42" s="110">
        <f>2*(IF(Rules!$B$12=Rules!$F$12,SUM(Stand!G35:G43)+Rules!$B$5*Stand!G44,SUM(HSD!G35:G43)+Rules!$B$5*HSD!G44)/(9+Rules!$B$5))</f>
        <v>0.66738009490756944</v>
      </c>
      <c r="H42" s="110">
        <f>2*(IF(Rules!$B$12=Rules!$F$12,SUM(Stand!H35:H43)+Rules!$B$5*Stand!H44,SUM(HSD!H35:H43)+Rules!$B$5*HSD!H44)/(9+Rules!$B$5))</f>
        <v>0.46288894886429088</v>
      </c>
      <c r="I42" s="110">
        <f>2*(IF(Rules!$B$12=Rules!$F$12,SUM(Stand!I35:I43)+Rules!$B$5*Stand!I44,SUM(HSD!I35:I43)+Rules!$B$5*HSD!I44)/(9+Rules!$B$5))</f>
        <v>0.35069259087031512</v>
      </c>
      <c r="J42" s="110">
        <f>2*(IF(Rules!$B$12=Rules!$F$12,SUM(Stand!J35:J43)+Rules!$B$5*Stand!J44,SUM(HSD!J35:J43)+Rules!$B$5*HSD!J44)/(9+Rules!$B$5))</f>
        <v>0.22778342315245487</v>
      </c>
      <c r="K42" s="57">
        <f>2*(IF(Rules!$B$12=Rules!$F$12,SUM(Stand!K35:K43)+Rules!$B$5*Stand!K44,SUM(HSD!K35:K43)+Rules!$B$5*HSD!K44)/(9+Rules!$B$5))</f>
        <v>0.17968872741114625</v>
      </c>
    </row>
    <row r="43" spans="1:11" x14ac:dyDescent="0.2">
      <c r="A43" s="99">
        <v>2</v>
      </c>
      <c r="B43" s="93">
        <f>2*(IF(Rules!$B$9=Rules!$E$9,SUM(HSD!B4:B11)+Rules!$B$5*HSD!B12+HSD!B36,SUM(HS!B4:B11)+Rules!$B$5*HS!B12+HS!B36)/(9+Rules!$B$5))</f>
        <v>-0.40670736629778753</v>
      </c>
      <c r="C43" s="1">
        <f>2*(IF(Rules!$B$9=Rules!$E$9,SUM(HSD!C4:C11)+Rules!$B$5*HSD!C12+HSD!C36,SUM(HS!C4:C11)+Rules!$B$5*HS!C12+HS!C36)/(9+Rules!$B$5))</f>
        <v>-0.1517687166378982</v>
      </c>
      <c r="D43" s="1">
        <f>2*(IF(Rules!$B$9=Rules!$E$9,SUM(HSD!D4:D11)+Rules!$B$5*HSD!D12+HSD!D36,SUM(HS!D4:D11)+Rules!$B$5*HS!D12+HS!D36)/(9+Rules!$B$5))</f>
        <v>-9.9501412292824096E-2</v>
      </c>
      <c r="E43" s="1">
        <f>2*(IF(Rules!$B$9=Rules!$E$9,SUM(HSD!E4:E11)+Rules!$B$5*HSD!E12+HSD!E36,SUM(HS!E4:E11)+Rules!$B$5*HS!E12+HS!E36)/(9+Rules!$B$5))</f>
        <v>-4.4200824271668777E-2</v>
      </c>
      <c r="F43" s="1">
        <f>2*(IF(Rules!$B$9=Rules!$E$9,SUM(HSD!F4:F11)+Rules!$B$5*HSD!F12+HSD!F36,SUM(HS!F4:F11)+Rules!$B$5*HS!F12+HS!F36)/(9+Rules!$B$5))</f>
        <v>2.7460064569567143E-2</v>
      </c>
      <c r="G43" s="1">
        <f>2*(IF(Rules!$B$9=Rules!$E$9,SUM(HSD!G4:G11)+Rules!$B$5*HSD!G12+HSD!G36,SUM(HS!G4:G11)+Rules!$B$5*HS!G12+HS!G36)/(9+Rules!$B$5))</f>
        <v>7.7766823892602463E-2</v>
      </c>
      <c r="H43" s="1">
        <f>2*(IF(Rules!$B$9=Rules!$E$9,SUM(HSD!H4:H11)+Rules!$B$5*HSD!H12+HSD!H36,SUM(HS!H4:H11)+Rules!$B$5*HS!H12+HS!H36)/(9+Rules!$B$5))</f>
        <v>-5.4514042751724494E-2</v>
      </c>
      <c r="I43" s="1">
        <f>2*(IF(Rules!$B$9=Rules!$E$9,SUM(HSD!I4:I11)+Rules!$B$5*HSD!I12+HSD!I36,SUM(HS!I4:I11)+Rules!$B$5*HS!I12+HS!I36)/(9+Rules!$B$5))</f>
        <v>-0.20632345555025453</v>
      </c>
      <c r="J43" s="1">
        <f>2*(IF(Rules!$B$9=Rules!$E$9,SUM(HSD!J4:J11)+Rules!$B$5*HSD!J12+HSD!J36,SUM(HS!J4:J11)+Rules!$B$5*HS!J12+HS!J36)/(9+Rules!$B$5))</f>
        <v>-0.38009428610701684</v>
      </c>
      <c r="K43" s="9">
        <f>2*(IF(Rules!$B$9=Rules!$E$9,SUM(HSD!K4:K11)+Rules!$B$5*HSD!K12+HSD!K36,SUM(HS!K4:K11)+Rules!$B$5*HS!K12+HS!K36)/(9+Rules!$B$5))</f>
        <v>-0.48399606631528197</v>
      </c>
    </row>
    <row r="44" spans="1:11" x14ac:dyDescent="0.2">
      <c r="A44" s="99">
        <v>3</v>
      </c>
      <c r="B44" s="93">
        <f>2*(IF(Rules!$B$9=Rules!$E$9,SUM(HSD!B5:B12)+Rules!$B$5*HSD!B13+HSD!B37,SUM(HS!B5:B12)+Rules!$B$5*HS!B13+HS!B37)/(9+Rules!$B$5))</f>
        <v>-0.45587498581610703</v>
      </c>
      <c r="C44" s="1">
        <f>2*(IF(Rules!$B$9=Rules!$E$9,SUM(HSD!C5:C12)+Rules!$B$5*HSD!C13+HSD!C37,SUM(HS!C5:C12)+Rules!$B$5*HS!C13+HS!C37)/(9+Rules!$B$5))</f>
        <v>-0.20104500879570492</v>
      </c>
      <c r="D44" s="1">
        <f>2*(IF(Rules!$B$9=Rules!$E$9,SUM(HSD!D5:D12)+Rules!$B$5*HSD!D13+HSD!D37,SUM(HS!D5:D12)+Rules!$B$5*HS!D13+HS!D37)/(9+Rules!$B$5))</f>
        <v>-0.13775171655779503</v>
      </c>
      <c r="E44" s="1">
        <f>2*(IF(Rules!$B$9=Rules!$E$9,SUM(HSD!E5:E12)+Rules!$B$5*HSD!E13+HSD!E37,SUM(HS!E5:E12)+Rules!$B$5*HS!E13+HS!E37)/(9+Rules!$B$5))</f>
        <v>-7.2522581417810678E-2</v>
      </c>
      <c r="F44" s="1">
        <f>2*(IF(Rules!$B$9=Rules!$E$9,SUM(HSD!F5:F12)+Rules!$B$5*HSD!F13+HSD!F37,SUM(HS!F5:F12)+Rules!$B$5*HS!F13+HS!F37)/(9+Rules!$B$5))</f>
        <v>3.3991424279375615E-4</v>
      </c>
      <c r="G44" s="1">
        <f>2*(IF(Rules!$B$9=Rules!$E$9,SUM(HSD!G5:G12)+Rules!$B$5*HSD!G13+HSD!G37,SUM(HS!G5:G12)+Rules!$B$5*HS!G13+HS!G37)/(9+Rules!$B$5))</f>
        <v>4.8942606413118719E-2</v>
      </c>
      <c r="H44" s="1">
        <f>2*(IF(Rules!$B$9=Rules!$E$9,SUM(HSD!H5:H12)+Rules!$B$5*HSD!H13+HSD!H37,SUM(HS!H5:H12)+Rules!$B$5*HS!H13+HS!H37)/(9+Rules!$B$5))</f>
        <v>-0.11487517708071333</v>
      </c>
      <c r="I44" s="1">
        <f>2*(IF(Rules!$B$9=Rules!$E$9,SUM(HSD!I5:I12)+Rules!$B$5*HSD!I13+HSD!I37,SUM(HS!I5:I12)+Rules!$B$5*HS!I13+HS!I37)/(9+Rules!$B$5))</f>
        <v>-0.26188376130040203</v>
      </c>
      <c r="J44" s="1">
        <f>2*(IF(Rules!$B$9=Rules!$E$9,SUM(HSD!J5:J12)+Rules!$B$5*HSD!J13+HSD!J37,SUM(HS!J5:J12)+Rules!$B$5*HS!J13+HS!J37)/(9+Rules!$B$5))</f>
        <v>-0.43015324562724866</v>
      </c>
      <c r="K44" s="9">
        <f>2*(IF(Rules!$B$9=Rules!$E$9,SUM(HSD!K5:K12)+Rules!$B$5*HSD!K13+HSD!K37,SUM(HS!K5:K12)+Rules!$B$5*HS!K13+HS!K37)/(9+Rules!$B$5))</f>
        <v>-0.53065842959495124</v>
      </c>
    </row>
    <row r="45" spans="1:11" x14ac:dyDescent="0.2">
      <c r="A45" s="99">
        <v>4</v>
      </c>
      <c r="B45" s="93">
        <f>2*(IF(Rules!$B$9=Rules!$E$9,SUM(HSD!B6:B13)+Rules!$B$5*HSD!B14+HSD!B38,SUM(HS!B6:B13)+Rules!$B$5*HS!B14+HS!B38)/(9+Rules!$B$5))</f>
        <v>-0.50615398880781726</v>
      </c>
      <c r="C45" s="1">
        <f>2*(IF(Rules!$B$9=Rules!$E$9,SUM(HSD!C6:C13)+Rules!$B$5*HSD!C14+HSD!C38,SUM(HS!C6:C13)+Rules!$B$5*HS!C14+HS!C38)/(9+Rules!$B$5))</f>
        <v>-0.22982665523784268</v>
      </c>
      <c r="D45" s="1">
        <f>2*(IF(Rules!$B$9=Rules!$E$9,SUM(HSD!D6:D13)+Rules!$B$5*HSD!D14+HSD!D38,SUM(HS!D6:D13)+Rules!$B$5*HS!D14+HS!D38)/(9+Rules!$B$5))</f>
        <v>-0.16522662859948872</v>
      </c>
      <c r="E45" s="1">
        <f>2*(IF(Rules!$B$9=Rules!$E$9,SUM(HSD!E6:E13)+Rules!$B$5*HSD!E14+HSD!E38,SUM(HS!E6:E13)+Rules!$B$5*HS!E14+HS!E38)/(9+Rules!$B$5))</f>
        <v>-9.8734840213833844E-2</v>
      </c>
      <c r="F45" s="1">
        <f>2*(IF(Rules!$B$9=Rules!$E$9,SUM(HSD!F6:F13)+Rules!$B$5*HSD!F14+HSD!F38,SUM(HS!F6:F13)+Rules!$B$5*HS!F14+HS!F38)/(9+Rules!$B$5))</f>
        <v>-2.4759853039852769E-2</v>
      </c>
      <c r="G45" s="1">
        <f>2*(IF(Rules!$B$9=Rules!$E$9,SUM(HSD!G6:G13)+Rules!$B$5*HSD!G14+HSD!G38,SUM(HS!G6:G13)+Rules!$B$5*HS!G14+HS!G38)/(9+Rules!$B$5))</f>
        <v>2.2260834561959594E-2</v>
      </c>
      <c r="H45" s="1">
        <f>2*(IF(Rules!$B$9=Rules!$E$9,SUM(HSD!H6:H13)+Rules!$B$5*HSD!H14+HSD!H38,SUM(HS!H6:H13)+Rules!$B$5*HS!H14+HS!H38)/(9+Rules!$B$5))</f>
        <v>-0.17655840211692744</v>
      </c>
      <c r="I45" s="1">
        <f>2*(IF(Rules!$B$9=Rules!$E$9,SUM(HSD!I6:I13)+Rules!$B$5*HSD!I14+HSD!I38,SUM(HS!I6:I13)+Rules!$B$5*HS!I14+HS!I38)/(9+Rules!$B$5))</f>
        <v>-0.31866830532041024</v>
      </c>
      <c r="J45" s="1">
        <f>2*(IF(Rules!$B$9=Rules!$E$9,SUM(HSD!J6:J13)+Rules!$B$5*HSD!J14+HSD!J38,SUM(HS!J6:J13)+Rules!$B$5*HS!J14+HS!J38)/(9+Rules!$B$5))</f>
        <v>-0.48133235830673093</v>
      </c>
      <c r="K45" s="9">
        <f>2*(IF(Rules!$B$9=Rules!$E$9,SUM(HSD!K6:K13)+Rules!$B$5*HSD!K14+HSD!K38,SUM(HS!K6:K13)+Rules!$B$5*HS!K14+HS!K38)/(9+Rules!$B$5))</f>
        <v>-0.57839582897135022</v>
      </c>
    </row>
    <row r="46" spans="1:11" x14ac:dyDescent="0.2">
      <c r="A46" s="99">
        <v>5</v>
      </c>
      <c r="B46" s="93">
        <f>2*(IF(Rules!$B$9=Rules!$E$9,SUM(HSD!B7:B14)+Rules!$B$5*HSD!B15+HSD!B39,SUM(HS!B7:B14)+Rules!$B$5*HS!B15+HS!B39)/(9+Rules!$B$5))</f>
        <v>-0.55714919510363936</v>
      </c>
      <c r="C46" s="1">
        <f>2*(IF(Rules!$B$9=Rules!$E$9,SUM(HSD!C7:C14)+Rules!$B$5*HSD!C15+HSD!C39,SUM(HS!C7:C14)+Rules!$B$5*HS!C15+HS!C39)/(9+Rules!$B$5))</f>
        <v>-0.25643113412749491</v>
      </c>
      <c r="D46" s="1">
        <f>2*(IF(Rules!$B$9=Rules!$E$9,SUM(HSD!D7:D14)+Rules!$B$5*HSD!D15+HSD!D39,SUM(HS!D7:D14)+Rules!$B$5*HS!D15+HS!D39)/(9+Rules!$B$5))</f>
        <v>-0.19062045452297977</v>
      </c>
      <c r="E46" s="1">
        <f>2*(IF(Rules!$B$9=Rules!$E$9,SUM(HSD!E7:E14)+Rules!$B$5*HSD!E15+HSD!E39,SUM(HS!E7:E14)+Rules!$B$5*HS!E15+HS!E39)/(9+Rules!$B$5))</f>
        <v>-0.12295892839938848</v>
      </c>
      <c r="F46" s="1">
        <f>2*(IF(Rules!$B$9=Rules!$E$9,SUM(HSD!F7:F14)+Rules!$B$5*HSD!F15+HSD!F39,SUM(HS!F7:F14)+Rules!$B$5*HS!F15+HS!F39)/(9+Rules!$B$5))</f>
        <v>-4.795794078371924E-2</v>
      </c>
      <c r="G46" s="1">
        <f>2*(IF(Rules!$B$9=Rules!$E$9,SUM(HSD!G7:G14)+Rules!$B$5*HSD!G15+HSD!G39,SUM(HS!G7:G14)+Rules!$B$5*HS!G15+HS!G39)/(9+Rules!$B$5))</f>
        <v>-2.3726756768803247E-3</v>
      </c>
      <c r="H46" s="1">
        <f>2*(IF(Rules!$B$9=Rules!$E$9,SUM(HSD!H7:H14)+Rules!$B$5*HSD!H15+HSD!H39,SUM(HS!H7:H14)+Rules!$B$5*HS!H15+HS!H39)/(9+Rules!$B$5))</f>
        <v>-0.23889488376829704</v>
      </c>
      <c r="I46" s="1">
        <f>2*(IF(Rules!$B$9=Rules!$E$9,SUM(HSD!I7:I14)+Rules!$B$5*HSD!I15+HSD!I39,SUM(HS!I7:I14)+Rules!$B$5*HS!I15+HS!I39)/(9+Rules!$B$5))</f>
        <v>-0.37618660780637048</v>
      </c>
      <c r="J46" s="1">
        <f>2*(IF(Rules!$B$9=Rules!$E$9,SUM(HSD!J7:J14)+Rules!$B$5*HSD!J15+HSD!J39,SUM(HS!J7:J14)+Rules!$B$5*HS!J15+HS!J39)/(9+Rules!$B$5))</f>
        <v>-0.53323010671591797</v>
      </c>
      <c r="K46" s="9">
        <f>2*(IF(Rules!$B$9=Rules!$E$9,SUM(HSD!K7:K14)+Rules!$B$5*HSD!K15+HSD!K39,SUM(HS!K7:K14)+Rules!$B$5*HS!K15+HS!K39)/(9+Rules!$B$5))</f>
        <v>-0.62682328672994214</v>
      </c>
    </row>
    <row r="47" spans="1:11" x14ac:dyDescent="0.2">
      <c r="A47" s="99">
        <v>6</v>
      </c>
      <c r="B47" s="93">
        <f>2*(IF(Rules!$B$9=Rules!$E$9,SUM(HSD!B8:B15)+Rules!$B$5*HSD!B16+HSD!B40,SUM(HS!B8:B15)+Rules!$B$5*HS!B16+HS!B40)/(9+Rules!$B$5))</f>
        <v>-0.60829326195139866</v>
      </c>
      <c r="C47" s="1">
        <f>2*(IF(Rules!$B$9=Rules!$E$9,SUM(HSD!C8:C15)+Rules!$B$5*HSD!C16+HSD!C40,SUM(HS!C8:C15)+Rules!$B$5*HS!C16+HS!C40)/(9+Rules!$B$5))</f>
        <v>-0.28151823492003974</v>
      </c>
      <c r="D47" s="1">
        <f>2*(IF(Rules!$B$9=Rules!$E$9,SUM(HSD!D8:D15)+Rules!$B$5*HSD!D16+HSD!D40,SUM(HS!D8:D15)+Rules!$B$5*HS!D16+HS!D40)/(9+Rules!$B$5))</f>
        <v>-0.21458215601721672</v>
      </c>
      <c r="E47" s="1">
        <f>2*(IF(Rules!$B$9=Rules!$E$9,SUM(HSD!E8:E15)+Rules!$B$5*HSD!E16+HSD!E40,SUM(HS!E8:E15)+Rules!$B$5*HS!E16+HS!E40)/(9+Rules!$B$5))</f>
        <v>-0.14583428385277461</v>
      </c>
      <c r="F47" s="1">
        <f>2*(IF(Rules!$B$9=Rules!$E$9,SUM(HSD!F8:F15)+Rules!$B$5*HSD!F16+HSD!F40,SUM(HS!F8:F15)+Rules!$B$5*HS!F16+HS!F40)/(9+Rules!$B$5))</f>
        <v>-6.9831946660204355E-2</v>
      </c>
      <c r="G47" s="1">
        <f>2*(IF(Rules!$B$9=Rules!$E$9,SUM(HSD!G8:G15)+Rules!$B$5*HSD!G16+HSD!G40,SUM(HS!G8:G15)+Rules!$B$5*HS!G16+HS!G40)/(9+Rules!$B$5))</f>
        <v>-2.6011671059748588E-2</v>
      </c>
      <c r="H47" s="1">
        <f>2*(IF(Rules!$B$9=Rules!$E$9,SUM(HSD!H8:H15)+Rules!$B$5*HSD!H16+HSD!H40,SUM(HS!H8:H15)+Rules!$B$5*HS!H16+HS!H40)/(9+Rules!$B$5))</f>
        <v>-0.30386541447339888</v>
      </c>
      <c r="I47" s="1">
        <f>2*(IF(Rules!$B$9=Rules!$E$9,SUM(HSD!I8:I15)+Rules!$B$5*HSD!I16+HSD!I40,SUM(HS!I8:I15)+Rules!$B$5*HS!I16+HS!I40)/(9+Rules!$B$5))</f>
        <v>-0.43448376264156952</v>
      </c>
      <c r="J47" s="1">
        <f>2*(IF(Rules!$B$9=Rules!$E$9,SUM(HSD!J8:J15)+Rules!$B$5*HSD!J16+HSD!J40,SUM(HS!J8:J15)+Rules!$B$5*HS!J16+HS!J40)/(9+Rules!$B$5))</f>
        <v>-0.58528140039545196</v>
      </c>
      <c r="K47" s="9">
        <f>2*(IF(Rules!$B$9=Rules!$E$9,SUM(HSD!K8:K15)+Rules!$B$5*HSD!K16+HSD!K40,SUM(HS!K8:K15)+Rules!$B$5*HS!K16+HS!K40)/(9+Rules!$B$5))</f>
        <v>-0.67549888075681608</v>
      </c>
    </row>
    <row r="48" spans="1:11" x14ac:dyDescent="0.2">
      <c r="A48" s="99">
        <v>7</v>
      </c>
      <c r="B48" s="93">
        <f>2*(IF(Rules!$B$9=Rules!$E$9,SUM(HSD!B9:B16)+Rules!$B$5*HSD!B17+HSD!B41,SUM(HS!B9:B16)+Rules!$B$5*HS!B17+HS!B41)/(9+Rules!$B$5))</f>
        <v>-0.62014330066327394</v>
      </c>
      <c r="C48" s="1">
        <f>2*(IF(Rules!$B$9=Rules!$E$9,SUM(HSD!C9:C16)+Rules!$B$5*HSD!C17+HSD!C41,SUM(HS!C9:C16)+Rules!$B$5*HS!C17+HS!C41)/(9+Rules!$B$5))</f>
        <v>-0.21836685573323267</v>
      </c>
      <c r="D48" s="1">
        <f>2*(IF(Rules!$B$9=Rules!$E$9,SUM(HSD!D9:D16)+Rules!$B$5*HSD!D17+HSD!D41,SUM(HS!D9:D16)+Rules!$B$5*HS!D17+HS!D41)/(9+Rules!$B$5))</f>
        <v>-0.15316596380892722</v>
      </c>
      <c r="E48" s="1">
        <f>2*(IF(Rules!$B$9=Rules!$E$9,SUM(HSD!E9:E16)+Rules!$B$5*HSD!E17+HSD!E41,SUM(HS!E9:E16)+Rules!$B$5*HS!E17+HS!E41)/(9+Rules!$B$5))</f>
        <v>-8.6043588008683752E-2</v>
      </c>
      <c r="F48" s="1">
        <f>2*(IF(Rules!$B$9=Rules!$E$9,SUM(HSD!F9:F16)+Rules!$B$5*HSD!F17+HSD!F41,SUM(HS!F9:F16)+Rules!$B$5*HS!F17+HS!F41)/(9+Rules!$B$5))</f>
        <v>-1.4542721805881769E-2</v>
      </c>
      <c r="G48" s="1">
        <f>2*(IF(Rules!$B$9=Rules!$E$9,SUM(HSD!G9:G16)+Rules!$B$5*HSD!G17+HSD!G41,SUM(HS!G9:G16)+Rules!$B$5*HS!G17+HS!G41)/(9+Rules!$B$5))</f>
        <v>5.8370684707721728E-2</v>
      </c>
      <c r="H48" s="1">
        <f>2*(IF(Rules!$B$9=Rules!$E$9,SUM(HSD!H9:H16)+Rules!$B$5*HSD!H17+HSD!H41,SUM(HS!H9:H16)+Rules!$B$5*HS!H17+HS!H41)/(9+Rules!$B$5))</f>
        <v>-0.13761559916085553</v>
      </c>
      <c r="I48" s="1">
        <f>2*(IF(Rules!$B$9=Rules!$E$9,SUM(HSD!I9:I16)+Rules!$B$5*HSD!I17+HSD!I41,SUM(HS!I9:I16)+Rules!$B$5*HS!I17+HS!I41)/(9+Rules!$B$5))</f>
        <v>-0.42120953744869938</v>
      </c>
      <c r="J48" s="1">
        <f>2*(IF(Rules!$B$9=Rules!$E$9,SUM(HSD!J9:J16)+Rules!$B$5*HSD!J17+HSD!J41,SUM(HS!J9:J16)+Rules!$B$5*HS!J17+HS!J41)/(9+Rules!$B$5))</f>
        <v>-0.57073088097375313</v>
      </c>
      <c r="K48" s="9">
        <f>2*(IF(Rules!$B$9=Rules!$E$9,SUM(HSD!K9:K16)+Rules!$B$5*HSD!K17+HSD!K41,SUM(HS!K9:K16)+Rules!$B$5*HS!K17+HS!K41)/(9+Rules!$B$5))</f>
        <v>-0.63810958279667684</v>
      </c>
    </row>
    <row r="49" spans="1:11" x14ac:dyDescent="0.2">
      <c r="A49" s="99">
        <v>8</v>
      </c>
      <c r="B49" s="93">
        <f>2*(IF(Rules!$B$9=Rules!$E$9,SUM(HSD!B10:B17)+Rules!$B$5*HSD!B18+HSD!B42,SUM(HS!B10:B17)+Rules!$B$5*HS!B18+HS!B42)/(9+Rules!$B$5))</f>
        <v>-0.39405762114832721</v>
      </c>
      <c r="C49" s="1">
        <f>2*(IF(Rules!$B$9=Rules!$E$9,SUM(HSD!C10:C17)+Rules!$B$5*HSD!C18+HSD!C42,SUM(HS!C10:C17)+Rules!$B$5*HS!C18+HS!C42)/(9+Rules!$B$5))</f>
        <v>-4.3596376017611335E-2</v>
      </c>
      <c r="D49" s="1">
        <f>2*(IF(Rules!$B$9=Rules!$E$9,SUM(HSD!D10:D17)+Rules!$B$5*HSD!D18+HSD!D42,SUM(HS!D10:D17)+Rules!$B$5*HS!D18+HS!D42)/(9+Rules!$B$5))</f>
        <v>1.6010525061309365E-2</v>
      </c>
      <c r="E49" s="1">
        <f>2*(IF(Rules!$B$9=Rules!$E$9,SUM(HSD!E10:E17)+Rules!$B$5*HSD!E18+HSD!E42,SUM(HS!E10:E17)+Rules!$B$5*HS!E18+HS!E42)/(9+Rules!$B$5))</f>
        <v>7.7568946554417623E-2</v>
      </c>
      <c r="F49" s="1">
        <f>2*(IF(Rules!$B$9=Rules!$E$9,SUM(HSD!F10:F17)+Rules!$B$5*HSD!F18+HSD!F42,SUM(HS!F10:F17)+Rules!$B$5*HS!F18+HS!F42)/(9+Rules!$B$5))</f>
        <v>0.14160927196606765</v>
      </c>
      <c r="G49" s="1">
        <f>2*(IF(Rules!$B$9=Rules!$E$9,SUM(HSD!G10:G17)+Rules!$B$5*HSD!G18+HSD!G42,SUM(HS!G10:G17)+Rules!$B$5*HS!G18+HS!G42)/(9+Rules!$B$5))</f>
        <v>0.22992030019244641</v>
      </c>
      <c r="H49" s="1">
        <f>2*(IF(Rules!$B$9=Rules!$E$9,SUM(HSD!H10:H17)+Rules!$B$5*HSD!H18+HSD!H42,SUM(HS!H10:H17)+Rules!$B$5*HS!H18+HS!H42)/(9+Rules!$B$5))</f>
        <v>0.16441487872748572</v>
      </c>
      <c r="I49" s="1">
        <f>2*(IF(Rules!$B$9=Rules!$E$9,SUM(HSD!I10:I17)+Rules!$B$5*HSD!I18+HSD!I42,SUM(HS!I10:I17)+Rules!$B$5*HS!I18+HS!I42)/(9+Rules!$B$5))</f>
        <v>-0.11979655131731261</v>
      </c>
      <c r="J49" s="1">
        <f>2*(IF(Rules!$B$9=Rules!$E$9,SUM(HSD!J10:J17)+Rules!$B$5*HSD!J18+HSD!J42,SUM(HS!J10:J17)+Rules!$B$5*HS!J18+HS!J42)/(9+Rules!$B$5))</f>
        <v>-0.42037266399643514</v>
      </c>
      <c r="K49" s="9">
        <f>2*(IF(Rules!$B$9=Rules!$E$9,SUM(HSD!K10:K17)+Rules!$B$5*HSD!K18+HSD!K42,SUM(HS!K10:K17)+Rules!$B$5*HS!K18+HS!K42)/(9+Rules!$B$5))</f>
        <v>-0.49875016110668519</v>
      </c>
    </row>
    <row r="50" spans="1:11" x14ac:dyDescent="0.2">
      <c r="A50" s="99">
        <v>9</v>
      </c>
      <c r="B50" s="93">
        <f>2*(IF(Rules!$B$9=Rules!$E$9,SUM(HSD!B11:B18)+Rules!$B$5*HSD!B19+HSD!B43,SUM(HS!B11:B18)+Rules!$B$5*HS!B19+HS!B43)/(9+Rules!$B$5))</f>
        <v>-0.13136155755613241</v>
      </c>
      <c r="C50" s="1">
        <f>2*(IF(Rules!$B$9=Rules!$E$9,SUM(HSD!C11:C18)+Rules!$B$5*HSD!C19+HSD!C43,SUM(HS!C11:C18)+Rules!$B$5*HS!C19+HS!C43)/(9+Rules!$B$5))</f>
        <v>0.14889207515268105</v>
      </c>
      <c r="D50" s="1">
        <f>2*(IF(Rules!$B$9=Rules!$E$9,SUM(HSD!D11:D18)+Rules!$B$5*HSD!D19+HSD!D43,SUM(HS!D11:D18)+Rules!$B$5*HS!D19+HS!D43)/(9+Rules!$B$5))</f>
        <v>0.20252940347775347</v>
      </c>
      <c r="E50" s="1">
        <f>2*(IF(Rules!$B$9=Rules!$E$9,SUM(HSD!E11:E18)+Rules!$B$5*HSD!E19+HSD!E43,SUM(HS!E11:E18)+Rules!$B$5*HS!E19+HS!E43)/(9+Rules!$B$5))</f>
        <v>0.25796176239148355</v>
      </c>
      <c r="F50" s="1">
        <f>2*(IF(Rules!$B$9=Rules!$E$9,SUM(HSD!F11:F18)+Rules!$B$5*HSD!F19+HSD!F43,SUM(HS!F11:F18)+Rules!$B$5*HS!F19+HS!F43)/(9+Rules!$B$5))</f>
        <v>0.31606371253303472</v>
      </c>
      <c r="G50" s="1">
        <f>2*(IF(Rules!$B$9=Rules!$E$9,SUM(HSD!G11:G18)+Rules!$B$5*HSD!G19+HSD!G43,SUM(HS!G11:G18)+Rules!$B$5*HS!G19+HS!G43)/(9+Rules!$B$5))</f>
        <v>0.39203767851455756</v>
      </c>
      <c r="H50" s="1">
        <f>2*(IF(Rules!$B$9=Rules!$E$9,SUM(HSD!H11:H18)+Rules!$B$5*HSD!H19+HSD!H43,SUM(HS!H11:H18)+Rules!$B$5*HS!H19+HS!H43)/(9+Rules!$B$5))</f>
        <v>0.34373571987390533</v>
      </c>
      <c r="I50" s="1">
        <f>2*(IF(Rules!$B$9=Rules!$E$9,SUM(HSD!I11:I18)+Rules!$B$5*HSD!I19+HSD!I43,SUM(HS!I11:I18)+Rules!$B$5*HS!I19+HS!I43)/(9+Rules!$B$5))</f>
        <v>0.19675243487078503</v>
      </c>
      <c r="J50" s="1">
        <f>2*(IF(Rules!$B$9=Rules!$E$9,SUM(HSD!J11:J18)+Rules!$B$5*HSD!J19+HSD!J43,SUM(HS!J11:J18)+Rules!$B$5*HS!J19+HS!J43)/(9+Rules!$B$5))</f>
        <v>-0.10435610692530334</v>
      </c>
      <c r="K50" s="9">
        <f>2*(IF(Rules!$B$9=Rules!$E$9,SUM(HSD!K11:K18)+Rules!$B$5*HSD!K19+HSD!K43,SUM(HS!K11:K18)+Rules!$B$5*HS!K19+HS!K43)/(9+Rules!$B$5))</f>
        <v>-0.3059059697491015</v>
      </c>
    </row>
    <row r="51" spans="1:11" ht="17" thickBot="1" x14ac:dyDescent="0.25">
      <c r="A51" s="100">
        <v>10</v>
      </c>
      <c r="B51" s="94">
        <f>2*(IF(Rules!$B$9=Rules!$E$9,SUM(HSD!B12:B19)+Rules!$B$5*HSD!B20+HSD!B44,SUM(HS!B12:B19)+Rules!$B$5*HS!B20+HS!B44)/(9+Rules!$B$5))</f>
        <v>0.16289941589055185</v>
      </c>
      <c r="C51" s="111">
        <f>2*(IF(Rules!$B$9=Rules!$E$9,SUM(HSD!C12:C19)+Rules!$B$5*HSD!C20+HSD!C44,SUM(HS!C12:C19)+Rules!$B$5*HS!C20+HS!C44)/(9+Rules!$B$5))</f>
        <v>0.36499998801808975</v>
      </c>
      <c r="D51" s="111">
        <f>2*(IF(Rules!$B$9=Rules!$E$9,SUM(HSD!D12:D19)+Rules!$B$5*HSD!D20+HSD!D44,SUM(HS!D12:D19)+Rules!$B$5*HS!D20+HS!D44)/(9+Rules!$B$5))</f>
        <v>0.41217595162788179</v>
      </c>
      <c r="E51" s="111">
        <f>2*(IF(Rules!$B$9=Rules!$E$9,SUM(HSD!E12:E19)+Rules!$B$5*HSD!E20+HSD!E44,SUM(HS!E12:E19)+Rules!$B$5*HS!E20+HS!E44)/(9+Rules!$B$5))</f>
        <v>0.460940243794354</v>
      </c>
      <c r="F51" s="111">
        <f>2*(IF(Rules!$B$9=Rules!$E$9,SUM(HSD!F12:F19)+Rules!$B$5*HSD!F20+HSD!F44,SUM(HS!F12:F19)+Rules!$B$5*HS!F20+HS!F44)/(9+Rules!$B$5))</f>
        <v>0.51251710900326775</v>
      </c>
      <c r="G51" s="111">
        <f>2*(IF(Rules!$B$9=Rules!$E$9,SUM(HSD!G12:G19)+Rules!$B$5*HSD!G20+HSD!G44,SUM(HS!G12:G19)+Rules!$B$5*HS!G20+HS!G44)/(9+Rules!$B$5))</f>
        <v>0.57559016859776857</v>
      </c>
      <c r="H51" s="111">
        <f>2*(IF(Rules!$B$9=Rules!$E$9,SUM(HSD!H12:H19)+Rules!$B$5*HSD!H20+HSD!H44,SUM(HS!H12:H19)+Rules!$B$5*HS!H20+HS!H44)/(9+Rules!$B$5))</f>
        <v>0.51381748867217314</v>
      </c>
      <c r="I51" s="111">
        <f>2*(IF(Rules!$B$9=Rules!$E$9,SUM(HSD!I12:I19)+Rules!$B$5*HSD!I20+HSD!I44,SUM(HS!I12:I19)+Rules!$B$5*HS!I20+HS!I44)/(9+Rules!$B$5))</f>
        <v>0.39590741666395218</v>
      </c>
      <c r="J51" s="111">
        <f>2*(IF(Rules!$B$9=Rules!$E$9,SUM(HSD!J12:J19)+Rules!$B$5*HSD!J20+HSD!J44,SUM(HS!J12:J19)+Rules!$B$5*HS!J20+HS!J44)/(9+Rules!$B$5))</f>
        <v>0.2330591821385678</v>
      </c>
      <c r="K51" s="10">
        <f>2*(IF(Rules!$B$9=Rules!$E$9,SUM(HSD!K12:K19)+Rules!$B$5*HSD!K20+HSD!K44,SUM(HS!K12:K19)+Rules!$B$5*HS!K20+HS!K44)/(9+Rules!$B$5))</f>
        <v>5.061704608173629E-2</v>
      </c>
    </row>
    <row r="53" spans="1:11" x14ac:dyDescent="0.2">
      <c r="A53" s="1" t="s">
        <v>7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</row>
    <row r="54" spans="1:11" x14ac:dyDescent="0.2">
      <c r="A54" s="1">
        <v>1</v>
      </c>
      <c r="B54" s="1">
        <f>MAX(IF(Rules!$B$17=2,B42,IF(Rules!$B$17=3,B29,IF(Rules!$B$17=4,B16,B3))),HSDR!B35)</f>
        <v>0.10906077977909699</v>
      </c>
      <c r="C54" s="1">
        <f>MAX(IF(Rules!$B$17=2,C42,IF(Rules!$B$17=3,C29,IF(Rules!$B$17=4,C16,C3))),HSDR!C35)</f>
        <v>0.47064092333946894</v>
      </c>
      <c r="D54" s="1">
        <f>MAX(IF(Rules!$B$17=2,D42,IF(Rules!$B$17=3,D29,IF(Rules!$B$17=4,D16,D3))),HSDR!D35)</f>
        <v>0.51779525312221664</v>
      </c>
      <c r="E54" s="1">
        <f>MAX(IF(Rules!$B$17=2,E42,IF(Rules!$B$17=3,E29,IF(Rules!$B$17=4,E16,E3))),HSDR!E35)</f>
        <v>0.56604055041797596</v>
      </c>
      <c r="F54" s="1">
        <f>MAX(IF(Rules!$B$17=2,F42,IF(Rules!$B$17=3,F29,IF(Rules!$B$17=4,F16,F3))),HSDR!F35)</f>
        <v>0.61469901790902803</v>
      </c>
      <c r="G54" s="1">
        <f>MAX(IF(Rules!$B$17=2,G42,IF(Rules!$B$17=3,G29,IF(Rules!$B$17=4,G16,G3))),HSDR!G35)</f>
        <v>0.66738009490756944</v>
      </c>
      <c r="H54" s="1">
        <f>MAX(IF(Rules!$B$17=2,H42,IF(Rules!$B$17=3,H29,IF(Rules!$B$17=4,H16,H3))),HSDR!H35)</f>
        <v>0.46288894886429088</v>
      </c>
      <c r="I54" s="1">
        <f>MAX(IF(Rules!$B$17=2,I42,IF(Rules!$B$17=3,I29,IF(Rules!$B$17=4,I16,I3))),HSDR!I35)</f>
        <v>0.35069259087031512</v>
      </c>
      <c r="J54" s="1">
        <f>MAX(IF(Rules!$B$17=2,J42,IF(Rules!$B$17=3,J29,IF(Rules!$B$17=4,J16,J3))),HSDR!J35)</f>
        <v>0.22778342315245487</v>
      </c>
      <c r="K54" s="1">
        <f>MAX(IF(Rules!$B$17=2,K42,IF(Rules!$B$17=3,K29,IF(Rules!$B$17=4,K16,K3))),HSDR!K35)</f>
        <v>0.17968872741114625</v>
      </c>
    </row>
    <row r="55" spans="1:11" x14ac:dyDescent="0.2">
      <c r="A55" s="1">
        <v>2</v>
      </c>
      <c r="B55" s="1">
        <f>MAX(IF(Rules!$B$11=2,B43,IF(Rules!$B$11=3,B30,IF(Rules!$B$11=4,B17,B4))),HSDR!B4)</f>
        <v>-0.25307699440390863</v>
      </c>
      <c r="C55" s="1">
        <f>MAX(IF(Rules!$B$11=2,C43,IF(Rules!$B$11=3,C30,IF(Rules!$B$11=4,C17,C4))),HSDR!C4)</f>
        <v>-0.11491332761892134</v>
      </c>
      <c r="D55" s="1">
        <f>MAX(IF(Rules!$B$11=2,D43,IF(Rules!$B$11=3,D30,IF(Rules!$B$11=4,D17,D4))),HSDR!D4)</f>
        <v>-8.2613314299744361E-2</v>
      </c>
      <c r="E55" s="1">
        <f>MAX(IF(Rules!$B$11=2,E43,IF(Rules!$B$11=3,E30,IF(Rules!$B$11=4,E17,E4))),HSDR!E4)</f>
        <v>-4.4200824271668777E-2</v>
      </c>
      <c r="F55" s="1">
        <f>MAX(IF(Rules!$B$11=2,F43,IF(Rules!$B$11=3,F30,IF(Rules!$B$11=4,F17,F4))),HSDR!F4)</f>
        <v>2.7460064569567143E-2</v>
      </c>
      <c r="G55" s="1">
        <f>MAX(IF(Rules!$B$11=2,G43,IF(Rules!$B$11=3,G30,IF(Rules!$B$11=4,G17,G4))),HSDR!G4)</f>
        <v>7.7766823892602463E-2</v>
      </c>
      <c r="H55" s="1">
        <f>MAX(IF(Rules!$B$11=2,H43,IF(Rules!$B$11=3,H30,IF(Rules!$B$11=4,H17,H4))),HSDR!H4)</f>
        <v>-5.4514042751724494E-2</v>
      </c>
      <c r="I55" s="1">
        <f>MAX(IF(Rules!$B$11=2,I43,IF(Rules!$B$11=3,I30,IF(Rules!$B$11=4,I17,I4))),HSDR!I4)</f>
        <v>-0.15933415266020512</v>
      </c>
      <c r="J55" s="1">
        <f>MAX(IF(Rules!$B$11=2,J43,IF(Rules!$B$11=3,J30,IF(Rules!$B$11=4,J17,J4))),HSDR!J4)</f>
        <v>-0.24066617915336547</v>
      </c>
      <c r="K55" s="1">
        <f>MAX(IF(Rules!$B$11=2,K43,IF(Rules!$B$11=3,K30,IF(Rules!$B$11=4,K17,K4))),HSDR!K4)</f>
        <v>-0.28919791448567511</v>
      </c>
    </row>
    <row r="56" spans="1:11" x14ac:dyDescent="0.2">
      <c r="A56" s="1">
        <v>3</v>
      </c>
      <c r="B56" s="1">
        <f>MAX(IF(Rules!$B$11=2,B44,IF(Rules!$B$11=3,B31,IF(Rules!$B$11=4,B18,B5))),HSDR!B6)</f>
        <v>-0.30414663097569933</v>
      </c>
      <c r="C56" s="1">
        <f>MAX(IF(Rules!$B$11=2,C44,IF(Rules!$B$11=3,C31,IF(Rules!$B$11=4,C18,C5))),HSDR!C6)</f>
        <v>-0.14075911746001987</v>
      </c>
      <c r="D56" s="1">
        <f>MAX(IF(Rules!$B$11=2,D44,IF(Rules!$B$11=3,D31,IF(Rules!$B$11=4,D18,D5))),HSDR!D6)</f>
        <v>-0.10729107800860836</v>
      </c>
      <c r="E56" s="1">
        <f>MAX(IF(Rules!$B$11=2,E44,IF(Rules!$B$11=3,E31,IF(Rules!$B$11=4,E18,E5))),HSDR!E6)</f>
        <v>-7.2522581417810678E-2</v>
      </c>
      <c r="F56" s="1">
        <f>MAX(IF(Rules!$B$11=2,F44,IF(Rules!$B$11=3,F31,IF(Rules!$B$11=4,F18,F5))),HSDR!F6)</f>
        <v>3.3991424279375615E-4</v>
      </c>
      <c r="G56" s="1">
        <f>MAX(IF(Rules!$B$11=2,G44,IF(Rules!$B$11=3,G31,IF(Rules!$B$11=4,G18,G5))),HSDR!G6)</f>
        <v>4.8942606413118719E-2</v>
      </c>
      <c r="H56" s="1">
        <f>MAX(IF(Rules!$B$11=2,H44,IF(Rules!$B$11=3,H31,IF(Rules!$B$11=4,H18,H5))),HSDR!H6)</f>
        <v>-0.11487517708071333</v>
      </c>
      <c r="I56" s="1">
        <f>MAX(IF(Rules!$B$11=2,I44,IF(Rules!$B$11=3,I31,IF(Rules!$B$11=4,I18,I5))),HSDR!I6)</f>
        <v>-0.21724188132078476</v>
      </c>
      <c r="J56" s="1">
        <f>MAX(IF(Rules!$B$11=2,J44,IF(Rules!$B$11=3,J31,IF(Rules!$B$11=4,J18,J5))),HSDR!J6)</f>
        <v>-0.29264070019772598</v>
      </c>
      <c r="K56" s="1">
        <f>MAX(IF(Rules!$B$11=2,K44,IF(Rules!$B$11=3,K31,IF(Rules!$B$11=4,K18,K5))),HSDR!K6)</f>
        <v>-0.33774944037840804</v>
      </c>
    </row>
    <row r="57" spans="1:11" x14ac:dyDescent="0.2">
      <c r="A57" s="1">
        <v>4</v>
      </c>
      <c r="B57" s="1">
        <f>MAX(IF(Rules!$B$11=2,B45,IF(Rules!$B$11=3,B32,IF(Rules!$B$11=4,B19,B6))),HSDR!B8)</f>
        <v>-0.1970288105741636</v>
      </c>
      <c r="C57" s="1">
        <f>MAX(IF(Rules!$B$11=2,C45,IF(Rules!$B$11=3,C32,IF(Rules!$B$11=4,C19,C6))),HSDR!C8)</f>
        <v>-2.1798188008805668E-2</v>
      </c>
      <c r="D57" s="1">
        <f>MAX(IF(Rules!$B$11=2,D45,IF(Rules!$B$11=3,D32,IF(Rules!$B$11=4,D19,D6))),HSDR!D8)</f>
        <v>8.0052625306546825E-3</v>
      </c>
      <c r="E57" s="1">
        <f>MAX(IF(Rules!$B$11=2,E45,IF(Rules!$B$11=3,E32,IF(Rules!$B$11=4,E19,E6))),HSDR!E8)</f>
        <v>3.8784473277208811E-2</v>
      </c>
      <c r="F57" s="1">
        <f>MAX(IF(Rules!$B$11=2,F45,IF(Rules!$B$11=3,F32,IF(Rules!$B$11=4,F19,F6))),HSDR!F8)</f>
        <v>7.0804635983033826E-2</v>
      </c>
      <c r="G57" s="1">
        <f>MAX(IF(Rules!$B$11=2,G45,IF(Rules!$B$11=3,G32,IF(Rules!$B$11=4,G19,G6))),HSDR!G8)</f>
        <v>0.11496015009622321</v>
      </c>
      <c r="H57" s="1">
        <f>MAX(IF(Rules!$B$11=2,H45,IF(Rules!$B$11=3,H32,IF(Rules!$B$11=4,H19,H6))),HSDR!H8)</f>
        <v>8.2207439363742862E-2</v>
      </c>
      <c r="I57" s="1">
        <f>MAX(IF(Rules!$B$11=2,I45,IF(Rules!$B$11=3,I32,IF(Rules!$B$11=4,I19,I6))),HSDR!I8)</f>
        <v>-5.9898275658656304E-2</v>
      </c>
      <c r="J57" s="1">
        <f>MAX(IF(Rules!$B$11=2,J45,IF(Rules!$B$11=3,J32,IF(Rules!$B$11=4,J19,J6))),HSDR!J8)</f>
        <v>-0.21018633199821757</v>
      </c>
      <c r="K57" s="1">
        <f>MAX(IF(Rules!$B$11=2,K45,IF(Rules!$B$11=3,K32,IF(Rules!$B$11=4,K19,K6))),HSDR!K8)</f>
        <v>-0.24937508055334259</v>
      </c>
    </row>
    <row r="58" spans="1:11" x14ac:dyDescent="0.2">
      <c r="A58" s="1">
        <v>5</v>
      </c>
      <c r="B58" s="1">
        <f>MAX(IF(Rules!$B$11=2,B46,IF(Rules!$B$11=3,B33,IF(Rules!$B$11=4,B20,B7))),HSDR!B10)</f>
        <v>8.1449707945275923E-2</v>
      </c>
      <c r="C58" s="1">
        <f>MAX(IF(Rules!$B$11=2,C46,IF(Rules!$B$11=3,C33,IF(Rules!$B$11=4,C20,C7))),HSDR!C10)</f>
        <v>0.3589394124422991</v>
      </c>
      <c r="D58" s="1">
        <f>MAX(IF(Rules!$B$11=2,D46,IF(Rules!$B$11=3,D33,IF(Rules!$B$11=4,D20,D7))),HSDR!D10)</f>
        <v>0.40932067017593915</v>
      </c>
      <c r="E58" s="1">
        <f>MAX(IF(Rules!$B$11=2,E46,IF(Rules!$B$11=3,E33,IF(Rules!$B$11=4,E20,E7))),HSDR!E10)</f>
        <v>0.460940243794354</v>
      </c>
      <c r="F58" s="1">
        <f>MAX(IF(Rules!$B$11=2,F46,IF(Rules!$B$11=3,F33,IF(Rules!$B$11=4,F20,F7))),HSDR!F10)</f>
        <v>0.51251710900326775</v>
      </c>
      <c r="G58" s="1">
        <f>MAX(IF(Rules!$B$11=2,G46,IF(Rules!$B$11=3,G33,IF(Rules!$B$11=4,G20,G7))),HSDR!G10)</f>
        <v>0.57559016859776857</v>
      </c>
      <c r="H58" s="1">
        <f>MAX(IF(Rules!$B$11=2,H46,IF(Rules!$B$11=3,H33,IF(Rules!$B$11=4,H20,H7))),HSDR!H10)</f>
        <v>0.39241245528243773</v>
      </c>
      <c r="I58" s="1">
        <f>MAX(IF(Rules!$B$11=2,I46,IF(Rules!$B$11=3,I33,IF(Rules!$B$11=4,I20,I7))),HSDR!I10)</f>
        <v>0.28663571688628381</v>
      </c>
      <c r="J58" s="1">
        <f>MAX(IF(Rules!$B$11=2,J46,IF(Rules!$B$11=3,J33,IF(Rules!$B$11=4,J20,J7))),HSDR!J10)</f>
        <v>0.1443283683807712</v>
      </c>
      <c r="K58" s="1">
        <f>MAX(IF(Rules!$B$11=2,K46,IF(Rules!$B$11=3,K33,IF(Rules!$B$11=4,K20,K7))),HSDR!K10)</f>
        <v>2.5308523040868145E-2</v>
      </c>
    </row>
    <row r="59" spans="1:11" x14ac:dyDescent="0.2">
      <c r="A59" s="1">
        <v>6</v>
      </c>
      <c r="B59" s="1">
        <f>MAX(IF(Rules!$B$11=2,B47,IF(Rules!$B$11=3,B34,IF(Rules!$B$11=4,B21,B8))),HSDR!B12)</f>
        <v>-0.35054034044008009</v>
      </c>
      <c r="C59" s="1">
        <f>MAX(IF(Rules!$B$11=2,C47,IF(Rules!$B$11=3,C34,IF(Rules!$B$11=4,C21,C8))),HSDR!C12)</f>
        <v>-0.25338998596663809</v>
      </c>
      <c r="D59" s="1">
        <f>MAX(IF(Rules!$B$11=2,D47,IF(Rules!$B$11=3,D34,IF(Rules!$B$11=4,D21,D8))),HSDR!D12)</f>
        <v>-0.21458215601721672</v>
      </c>
      <c r="E59" s="1">
        <f>MAX(IF(Rules!$B$11=2,E47,IF(Rules!$B$11=3,E34,IF(Rules!$B$11=4,E21,E8))),HSDR!E12)</f>
        <v>-0.14583428385277461</v>
      </c>
      <c r="F59" s="1">
        <f>MAX(IF(Rules!$B$11=2,F47,IF(Rules!$B$11=3,F34,IF(Rules!$B$11=4,F21,F8))),HSDR!F12)</f>
        <v>-6.9831946660204355E-2</v>
      </c>
      <c r="G59" s="1">
        <f>MAX(IF(Rules!$B$11=2,G47,IF(Rules!$B$11=3,G34,IF(Rules!$B$11=4,G21,G8))),HSDR!G12)</f>
        <v>-2.6011671059748588E-2</v>
      </c>
      <c r="H59" s="1">
        <f>MAX(IF(Rules!$B$11=2,H47,IF(Rules!$B$11=3,H34,IF(Rules!$B$11=4,H21,H8))),HSDR!H12)</f>
        <v>-0.21284771451731424</v>
      </c>
      <c r="I59" s="1">
        <f>MAX(IF(Rules!$B$11=2,I47,IF(Rules!$B$11=3,I34,IF(Rules!$B$11=4,I21,I8))),HSDR!I12)</f>
        <v>-0.27157480502428616</v>
      </c>
      <c r="J59" s="1">
        <f>MAX(IF(Rules!$B$11=2,J47,IF(Rules!$B$11=3,J34,IF(Rules!$B$11=4,J21,J8))),HSDR!J12)</f>
        <v>-0.3400132806089356</v>
      </c>
      <c r="K59" s="1">
        <f>MAX(IF(Rules!$B$11=2,K47,IF(Rules!$B$11=3,K34,IF(Rules!$B$11=4,K21,K8))),HSDR!K12)</f>
        <v>-0.38104299284808768</v>
      </c>
    </row>
    <row r="60" spans="1:11" x14ac:dyDescent="0.2">
      <c r="A60" s="1">
        <v>7</v>
      </c>
      <c r="B60" s="1">
        <f>MAX(IF(Rules!$B$11=2,B48,IF(Rules!$B$11=3,B35,IF(Rules!$B$11=4,B22,B9))),HSDR!B14)</f>
        <v>-0.44000672211415065</v>
      </c>
      <c r="C60" s="1">
        <f>MAX(IF(Rules!$B$11=2,C48,IF(Rules!$B$11=3,C35,IF(Rules!$B$11=4,C22,C9))),HSDR!C14)</f>
        <v>-0.21836685573323267</v>
      </c>
      <c r="D60" s="1">
        <f>MAX(IF(Rules!$B$11=2,D48,IF(Rules!$B$11=3,D35,IF(Rules!$B$11=4,D22,D9))),HSDR!D14)</f>
        <v>-0.15316596380892722</v>
      </c>
      <c r="E60" s="1">
        <f>MAX(IF(Rules!$B$11=2,E48,IF(Rules!$B$11=3,E35,IF(Rules!$B$11=4,E22,E9))),HSDR!E14)</f>
        <v>-8.6043588008683752E-2</v>
      </c>
      <c r="F60" s="1">
        <f>MAX(IF(Rules!$B$11=2,F48,IF(Rules!$B$11=3,F35,IF(Rules!$B$11=4,F22,F9))),HSDR!F14)</f>
        <v>-1.4542721805881769E-2</v>
      </c>
      <c r="G60" s="1">
        <f>MAX(IF(Rules!$B$11=2,G48,IF(Rules!$B$11=3,G35,IF(Rules!$B$11=4,G22,G9))),HSDR!G14)</f>
        <v>5.8370684707721728E-2</v>
      </c>
      <c r="H60" s="1">
        <f>MAX(IF(Rules!$B$11=2,H48,IF(Rules!$B$11=3,H35,IF(Rules!$B$11=4,H22,H9))),HSDR!H14)</f>
        <v>-0.13761559916085553</v>
      </c>
      <c r="I60" s="1">
        <f>MAX(IF(Rules!$B$11=2,I48,IF(Rules!$B$11=3,I35,IF(Rules!$B$11=4,I22,I9))),HSDR!I14)</f>
        <v>-0.37191909208726714</v>
      </c>
      <c r="J60" s="1">
        <f>MAX(IF(Rules!$B$11=2,J48,IF(Rules!$B$11=3,J35,IF(Rules!$B$11=4,J22,J9))),HSDR!J14)</f>
        <v>-0.43092981848423528</v>
      </c>
      <c r="K60" s="1">
        <f>MAX(IF(Rules!$B$11=2,K48,IF(Rules!$B$11=3,K35,IF(Rules!$B$11=4,K22,K9))),HSDR!K14)</f>
        <v>-0.46630747852717758</v>
      </c>
    </row>
    <row r="61" spans="1:11" x14ac:dyDescent="0.2">
      <c r="A61" s="1">
        <v>8</v>
      </c>
      <c r="B61" s="1">
        <f>MAX(IF(Rules!$B$11=2,B49,IF(Rules!$B$11=3,B36,IF(Rules!$B$11=4,B23,B10))),HSDR!B16)</f>
        <v>-0.39405762114832721</v>
      </c>
      <c r="C61" s="1">
        <f>MAX(IF(Rules!$B$11=2,C49,IF(Rules!$B$11=3,C36,IF(Rules!$B$11=4,C23,C10))),HSDR!C16)</f>
        <v>-4.3596376017611335E-2</v>
      </c>
      <c r="D61" s="1">
        <f>MAX(IF(Rules!$B$11=2,D49,IF(Rules!$B$11=3,D36,IF(Rules!$B$11=4,D23,D10))),HSDR!D16)</f>
        <v>1.6010525061309365E-2</v>
      </c>
      <c r="E61" s="1">
        <f>MAX(IF(Rules!$B$11=2,E49,IF(Rules!$B$11=3,E36,IF(Rules!$B$11=4,E23,E10))),HSDR!E16)</f>
        <v>7.7568946554417623E-2</v>
      </c>
      <c r="F61" s="1">
        <f>MAX(IF(Rules!$B$11=2,F49,IF(Rules!$B$11=3,F36,IF(Rules!$B$11=4,F23,F10))),HSDR!F16)</f>
        <v>0.14160927196606765</v>
      </c>
      <c r="G61" s="1">
        <f>MAX(IF(Rules!$B$11=2,G49,IF(Rules!$B$11=3,G36,IF(Rules!$B$11=4,G23,G10))),HSDR!G16)</f>
        <v>0.22992030019244641</v>
      </c>
      <c r="H61" s="1">
        <f>MAX(IF(Rules!$B$11=2,H49,IF(Rules!$B$11=3,H36,IF(Rules!$B$11=4,H23,H10))),HSDR!H16)</f>
        <v>0.16441487872748572</v>
      </c>
      <c r="I61" s="1">
        <f>MAX(IF(Rules!$B$11=2,I49,IF(Rules!$B$11=3,I36,IF(Rules!$B$11=4,I23,I10))),HSDR!I16)</f>
        <v>-0.11979655131731261</v>
      </c>
      <c r="J61" s="1">
        <f>MAX(IF(Rules!$B$11=2,J49,IF(Rules!$B$11=3,J36,IF(Rules!$B$11=4,J23,J10))),HSDR!J16)</f>
        <v>-0.42037266399643514</v>
      </c>
      <c r="K61" s="1">
        <f>MAX(IF(Rules!$B$11=2,K49,IF(Rules!$B$11=3,K36,IF(Rules!$B$11=4,K23,K10))),HSDR!K16)</f>
        <v>-0.49875016110668519</v>
      </c>
    </row>
    <row r="62" spans="1:11" x14ac:dyDescent="0.2">
      <c r="A62" s="1">
        <v>9</v>
      </c>
      <c r="B62" s="1">
        <f>MAX(IF(Rules!$B$11=2,B50,IF(Rules!$B$11=3,B37,IF(Rules!$B$11=4,B24,B11))),HSDR!B18)</f>
        <v>-0.10019887561319057</v>
      </c>
      <c r="C62" s="1">
        <f>MAX(IF(Rules!$B$11=2,C50,IF(Rules!$B$11=3,C37,IF(Rules!$B$11=4,C24,C11))),HSDR!C18)</f>
        <v>0.14889207515268105</v>
      </c>
      <c r="D62" s="1">
        <f>MAX(IF(Rules!$B$11=2,D50,IF(Rules!$B$11=3,D37,IF(Rules!$B$11=4,D24,D11))),HSDR!D18)</f>
        <v>0.20252940347775347</v>
      </c>
      <c r="E62" s="1">
        <f>MAX(IF(Rules!$B$11=2,E50,IF(Rules!$B$11=3,E37,IF(Rules!$B$11=4,E24,E11))),HSDR!E18)</f>
        <v>0.25796176239148355</v>
      </c>
      <c r="F62" s="1">
        <f>MAX(IF(Rules!$B$11=2,F50,IF(Rules!$B$11=3,F37,IF(Rules!$B$11=4,F24,F11))),HSDR!F18)</f>
        <v>0.31606371253303472</v>
      </c>
      <c r="G62" s="1">
        <f>MAX(IF(Rules!$B$11=2,G50,IF(Rules!$B$11=3,G37,IF(Rules!$B$11=4,G24,G11))),HSDR!G18)</f>
        <v>0.39203767851455756</v>
      </c>
      <c r="H62" s="1">
        <f>MAX(IF(Rules!$B$11=2,H50,IF(Rules!$B$11=3,H37,IF(Rules!$B$11=4,H24,H11))),HSDR!H18)</f>
        <v>0.3995541673365518</v>
      </c>
      <c r="I62" s="1">
        <f>MAX(IF(Rules!$B$11=2,I50,IF(Rules!$B$11=3,I37,IF(Rules!$B$11=4,I24,I11))),HSDR!I18)</f>
        <v>0.19675243487078503</v>
      </c>
      <c r="J62" s="1">
        <f>MAX(IF(Rules!$B$11=2,J50,IF(Rules!$B$11=3,J37,IF(Rules!$B$11=4,J24,J11))),HSDR!J18)</f>
        <v>-0.10435610692530334</v>
      </c>
      <c r="K62" s="1">
        <f>MAX(IF(Rules!$B$11=2,K50,IF(Rules!$B$11=3,K37,IF(Rules!$B$11=4,K24,K11))),HSDR!K18)</f>
        <v>-0.17830123379648949</v>
      </c>
    </row>
    <row r="63" spans="1:11" x14ac:dyDescent="0.2">
      <c r="A63" s="1">
        <v>10</v>
      </c>
      <c r="B63" s="1">
        <f>MAX(IF(Rules!$B$11=2,B51,IF(Rules!$B$11=3,B38,IF(Rules!$B$11=4,B25,B12))),HSDR!B20)</f>
        <v>0.65547032314990239</v>
      </c>
      <c r="C63" s="1">
        <f>MAX(IF(Rules!$B$11=2,C51,IF(Rules!$B$11=3,C38,IF(Rules!$B$11=4,C25,C12))),HSDR!C20)</f>
        <v>0.63998657521683877</v>
      </c>
      <c r="D63" s="1">
        <f>MAX(IF(Rules!$B$11=2,D51,IF(Rules!$B$11=3,D38,IF(Rules!$B$11=4,D25,D12))),HSDR!D20)</f>
        <v>0.65027209425148136</v>
      </c>
      <c r="E63" s="1">
        <f>MAX(IF(Rules!$B$11=2,E51,IF(Rules!$B$11=3,E38,IF(Rules!$B$11=4,E25,E12))),HSDR!E20)</f>
        <v>0.66104996194807186</v>
      </c>
      <c r="F63" s="1">
        <f>MAX(IF(Rules!$B$11=2,F51,IF(Rules!$B$11=3,F38,IF(Rules!$B$11=4,F25,F12))),HSDR!F20)</f>
        <v>0.67035969063279999</v>
      </c>
      <c r="G63" s="1">
        <f>MAX(IF(Rules!$B$11=2,G51,IF(Rules!$B$11=3,G38,IF(Rules!$B$11=4,G25,G12))),HSDR!G20)</f>
        <v>0.70395857017134467</v>
      </c>
      <c r="H63" s="1">
        <f>MAX(IF(Rules!$B$11=2,H51,IF(Rules!$B$11=3,H38,IF(Rules!$B$11=4,H25,H12))),HSDR!H20)</f>
        <v>0.77322722653717491</v>
      </c>
      <c r="I63" s="1">
        <f>MAX(IF(Rules!$B$11=2,I51,IF(Rules!$B$11=3,I38,IF(Rules!$B$11=4,I25,I12))),HSDR!I20)</f>
        <v>0.79181515955189841</v>
      </c>
      <c r="J63" s="1">
        <f>MAX(IF(Rules!$B$11=2,J51,IF(Rules!$B$11=3,J38,IF(Rules!$B$11=4,J25,J12))),HSDR!J20)</f>
        <v>0.75835687080859626</v>
      </c>
      <c r="K63" s="1">
        <f>MAX(IF(Rules!$B$11=2,K51,IF(Rules!$B$11=3,K38,IF(Rules!$B$11=4,K25,K12))),HSDR!K20)</f>
        <v>0.55453756646817121</v>
      </c>
    </row>
  </sheetData>
  <sheetProtection sheet="1" objects="1" scenarios="1"/>
  <mergeCells count="4">
    <mergeCell ref="A1:K1"/>
    <mergeCell ref="A14:K14"/>
    <mergeCell ref="A27:K27"/>
    <mergeCell ref="A40:K40"/>
  </mergeCells>
  <phoneticPr fontId="16" type="noConversion"/>
  <conditionalFormatting sqref="O2:X11">
    <cfRule type="containsText" dxfId="851" priority="5" operator="containsText" text="S">
      <formula>NOT(ISERROR(SEARCH("S",O2)))</formula>
    </cfRule>
    <cfRule type="containsText" dxfId="850" priority="6" operator="containsText" text="H">
      <formula>NOT(ISERROR(SEARCH("H",O2)))</formula>
    </cfRule>
  </conditionalFormatting>
  <conditionalFormatting sqref="O2:X11">
    <cfRule type="containsText" dxfId="849" priority="4" operator="containsText" text="D">
      <formula>NOT(ISERROR(SEARCH("D",O2)))</formula>
    </cfRule>
  </conditionalFormatting>
  <conditionalFormatting sqref="O2:X11">
    <cfRule type="containsText" dxfId="848" priority="3" operator="containsText" text="R">
      <formula>NOT(ISERROR(SEARCH("R",O2)))</formula>
    </cfRule>
  </conditionalFormatting>
  <conditionalFormatting sqref="O2:X11">
    <cfRule type="containsText" dxfId="847" priority="2" operator="containsText" text="P">
      <formula>NOT(ISERROR(SEARCH("P",O2)))</formula>
    </cfRule>
  </conditionalFormatting>
  <conditionalFormatting sqref="O3:X11">
    <cfRule type="containsText" dxfId="846" priority="1" operator="containsText" text="P">
      <formula>NOT(ISERROR(SEARCH("P",O3)))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B1:C3"/>
  <sheetViews>
    <sheetView workbookViewId="0">
      <selection activeCell="K9" sqref="K9"/>
    </sheetView>
  </sheetViews>
  <sheetFormatPr baseColWidth="10" defaultColWidth="8.83203125" defaultRowHeight="16" x14ac:dyDescent="0.2"/>
  <cols>
    <col min="2" max="2" width="17.6640625" bestFit="1" customWidth="1"/>
  </cols>
  <sheetData>
    <row r="1" spans="2:3" x14ac:dyDescent="0.2">
      <c r="B1" s="52" t="s">
        <v>31</v>
      </c>
      <c r="C1" s="1">
        <f>Dealer!J33</f>
        <v>4.7337278106508882E-2</v>
      </c>
    </row>
    <row r="2" spans="2:3" x14ac:dyDescent="0.2">
      <c r="B2" s="52" t="s">
        <v>32</v>
      </c>
      <c r="C2" s="1">
        <f>1-Dealer!J33</f>
        <v>0.9526627218934911</v>
      </c>
    </row>
    <row r="3" spans="2:3" x14ac:dyDescent="0.2">
      <c r="B3" s="1"/>
      <c r="C3" s="1">
        <f>C1*C2</f>
        <v>4.5096460207975919E-2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M87"/>
  <sheetViews>
    <sheetView workbookViewId="0">
      <selection activeCell="H6" sqref="H6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384" width="8.83203125" style="33"/>
  </cols>
  <sheetData>
    <row r="1" spans="1:13" ht="25" thickBot="1" x14ac:dyDescent="0.35">
      <c r="A1" s="320" t="s">
        <v>132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3" x14ac:dyDescent="0.2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</row>
    <row r="3" spans="1:13" x14ac:dyDescent="0.2">
      <c r="A3" s="32">
        <v>5</v>
      </c>
      <c r="B3" s="34">
        <f>$C71*1/(9+Rules!$B$5)*(9/(9+Rules!$B$5))</f>
        <v>6.3023003396239633E-4</v>
      </c>
      <c r="C3" s="34">
        <f>$C71*1/(9+Rules!$B$5)</f>
        <v>9.1033227127901696E-4</v>
      </c>
      <c r="D3" s="34">
        <f>$C71*1/(9+Rules!$B$5)</f>
        <v>9.1033227127901696E-4</v>
      </c>
      <c r="E3" s="34">
        <f>$C71*1/(9+Rules!$B$5)</f>
        <v>9.1033227127901696E-4</v>
      </c>
      <c r="F3" s="34">
        <f>$C71*1/(9+Rules!$B$5)</f>
        <v>9.1033227127901696E-4</v>
      </c>
      <c r="G3" s="34">
        <f>$C71*1/(9+Rules!$B$5)</f>
        <v>9.1033227127901696E-4</v>
      </c>
      <c r="H3" s="34">
        <f>$C71*1/(9+Rules!$B$5)</f>
        <v>9.1033227127901696E-4</v>
      </c>
      <c r="I3" s="34">
        <f>$C71*1/(9+Rules!$B$5)</f>
        <v>9.1033227127901696E-4</v>
      </c>
      <c r="J3" s="34">
        <f>$C71*1/(9+Rules!$B$5)</f>
        <v>9.1033227127901696E-4</v>
      </c>
      <c r="K3" s="34">
        <f>$C71*Rules!$B$5/(9+Rules!$B$5)*((9+Rules!$B$5-1)/(9+Rules!$B$5))</f>
        <v>3.3612268477994475E-3</v>
      </c>
    </row>
    <row r="4" spans="1:13" x14ac:dyDescent="0.2">
      <c r="A4" s="32">
        <v>6</v>
      </c>
      <c r="B4" s="34">
        <f>$C72*1/(9+Rules!$B$5)*(9/(9+Rules!$B$5))</f>
        <v>6.3023003396239633E-4</v>
      </c>
      <c r="C4" s="34">
        <f>$C72*1/(9+Rules!$B$5)</f>
        <v>9.1033227127901696E-4</v>
      </c>
      <c r="D4" s="34">
        <f>$C72*1/(9+Rules!$B$5)</f>
        <v>9.1033227127901696E-4</v>
      </c>
      <c r="E4" s="34">
        <f>$C72*1/(9+Rules!$B$5)</f>
        <v>9.1033227127901696E-4</v>
      </c>
      <c r="F4" s="34">
        <f>$C72*1/(9+Rules!$B$5)</f>
        <v>9.1033227127901696E-4</v>
      </c>
      <c r="G4" s="34">
        <f>$C72*1/(9+Rules!$B$5)</f>
        <v>9.1033227127901696E-4</v>
      </c>
      <c r="H4" s="34">
        <f>$C72*1/(9+Rules!$B$5)</f>
        <v>9.1033227127901696E-4</v>
      </c>
      <c r="I4" s="34">
        <f>$C72*1/(9+Rules!$B$5)</f>
        <v>9.1033227127901696E-4</v>
      </c>
      <c r="J4" s="34">
        <f>$C72*1/(9+Rules!$B$5)</f>
        <v>9.1033227127901696E-4</v>
      </c>
      <c r="K4" s="34">
        <f>$C72*Rules!$B$5/(9+Rules!$B$5)*((9+Rules!$B$5-1)/(9+Rules!$B$5))</f>
        <v>3.3612268477994475E-3</v>
      </c>
    </row>
    <row r="5" spans="1:13" x14ac:dyDescent="0.2">
      <c r="A5" s="32">
        <v>7</v>
      </c>
      <c r="B5" s="34">
        <f>$C73*1/(9+Rules!$B$5)*(9/(9+Rules!$B$5))</f>
        <v>1.2604600679247927E-3</v>
      </c>
      <c r="C5" s="34">
        <f>$C73*1/(9+Rules!$B$5)</f>
        <v>1.8206645425580339E-3</v>
      </c>
      <c r="D5" s="34">
        <f>$C73*1/(9+Rules!$B$5)</f>
        <v>1.8206645425580339E-3</v>
      </c>
      <c r="E5" s="34">
        <f>$C73*1/(9+Rules!$B$5)</f>
        <v>1.8206645425580339E-3</v>
      </c>
      <c r="F5" s="34">
        <f>$C73*1/(9+Rules!$B$5)</f>
        <v>1.8206645425580339E-3</v>
      </c>
      <c r="G5" s="34">
        <f>$C73*1/(9+Rules!$B$5)</f>
        <v>1.8206645425580339E-3</v>
      </c>
      <c r="H5" s="34">
        <f>$C73*1/(9+Rules!$B$5)</f>
        <v>1.8206645425580339E-3</v>
      </c>
      <c r="I5" s="34">
        <f>$C73*1/(9+Rules!$B$5)</f>
        <v>1.8206645425580339E-3</v>
      </c>
      <c r="J5" s="34">
        <f>$C73*1/(9+Rules!$B$5)</f>
        <v>1.8206645425580339E-3</v>
      </c>
      <c r="K5" s="34">
        <f>$C73*Rules!$B$5/(9+Rules!$B$5)*((9+Rules!$B$5-1)/(9+Rules!$B$5))</f>
        <v>6.7224536955988951E-3</v>
      </c>
    </row>
    <row r="6" spans="1:13" x14ac:dyDescent="0.2">
      <c r="A6" s="32">
        <v>8</v>
      </c>
      <c r="B6" s="34">
        <f>$C74*1/(9+Rules!$B$5)*(9/(9+Rules!$B$5))</f>
        <v>1.2604600679247927E-3</v>
      </c>
      <c r="C6" s="34">
        <f>$C74*1/(9+Rules!$B$5)</f>
        <v>1.8206645425580339E-3</v>
      </c>
      <c r="D6" s="34">
        <f>$C74*1/(9+Rules!$B$5)</f>
        <v>1.8206645425580339E-3</v>
      </c>
      <c r="E6" s="34">
        <f>$C74*1/(9+Rules!$B$5)</f>
        <v>1.8206645425580339E-3</v>
      </c>
      <c r="F6" s="34">
        <f>$C74*1/(9+Rules!$B$5)</f>
        <v>1.8206645425580339E-3</v>
      </c>
      <c r="G6" s="34">
        <f>$C74*1/(9+Rules!$B$5)</f>
        <v>1.8206645425580339E-3</v>
      </c>
      <c r="H6" s="34">
        <f>$C74*1/(9+Rules!$B$5)</f>
        <v>1.8206645425580339E-3</v>
      </c>
      <c r="I6" s="34">
        <f>$C74*1/(9+Rules!$B$5)</f>
        <v>1.8206645425580339E-3</v>
      </c>
      <c r="J6" s="34">
        <f>$C74*1/(9+Rules!$B$5)</f>
        <v>1.8206645425580339E-3</v>
      </c>
      <c r="K6" s="34">
        <f>$C74*Rules!$B$5/(9+Rules!$B$5)*((9+Rules!$B$5-1)/(9+Rules!$B$5))</f>
        <v>6.7224536955988951E-3</v>
      </c>
    </row>
    <row r="7" spans="1:13" x14ac:dyDescent="0.2">
      <c r="A7" s="32">
        <v>9</v>
      </c>
      <c r="B7" s="34">
        <f>$C75*1/(9+Rules!$B$5)*(9/(9+Rules!$B$5))</f>
        <v>1.890690101887189E-3</v>
      </c>
      <c r="C7" s="34">
        <f>$C75*1/(9+Rules!$B$5)</f>
        <v>2.730996813837051E-3</v>
      </c>
      <c r="D7" s="34">
        <f>$C75*1/(9+Rules!$B$5)</f>
        <v>2.730996813837051E-3</v>
      </c>
      <c r="E7" s="34">
        <f>$C75*1/(9+Rules!$B$5)</f>
        <v>2.730996813837051E-3</v>
      </c>
      <c r="F7" s="34">
        <f>$C75*1/(9+Rules!$B$5)</f>
        <v>2.730996813837051E-3</v>
      </c>
      <c r="G7" s="34">
        <f>$C75*1/(9+Rules!$B$5)</f>
        <v>2.730996813837051E-3</v>
      </c>
      <c r="H7" s="34">
        <f>$C75*1/(9+Rules!$B$5)</f>
        <v>2.730996813837051E-3</v>
      </c>
      <c r="I7" s="34">
        <f>$C75*1/(9+Rules!$B$5)</f>
        <v>2.730996813837051E-3</v>
      </c>
      <c r="J7" s="34">
        <f>$C75*1/(9+Rules!$B$5)</f>
        <v>2.730996813837051E-3</v>
      </c>
      <c r="K7" s="34">
        <f>$C75*Rules!$B$5/(9+Rules!$B$5)*((9+Rules!$B$5-1)/(9+Rules!$B$5))</f>
        <v>1.0083680543398343E-2</v>
      </c>
    </row>
    <row r="8" spans="1:13" x14ac:dyDescent="0.2">
      <c r="A8" s="32">
        <v>10</v>
      </c>
      <c r="B8" s="34">
        <f>$C76*1/(9+Rules!$B$5)*(9/(9+Rules!$B$5))</f>
        <v>1.890690101887189E-3</v>
      </c>
      <c r="C8" s="34">
        <f>$C76*1/(9+Rules!$B$5)</f>
        <v>2.730996813837051E-3</v>
      </c>
      <c r="D8" s="34">
        <f>$C76*1/(9+Rules!$B$5)</f>
        <v>2.730996813837051E-3</v>
      </c>
      <c r="E8" s="34">
        <f>$C76*1/(9+Rules!$B$5)</f>
        <v>2.730996813837051E-3</v>
      </c>
      <c r="F8" s="34">
        <f>$C76*1/(9+Rules!$B$5)</f>
        <v>2.730996813837051E-3</v>
      </c>
      <c r="G8" s="34">
        <f>$C76*1/(9+Rules!$B$5)</f>
        <v>2.730996813837051E-3</v>
      </c>
      <c r="H8" s="34">
        <f>$C76*1/(9+Rules!$B$5)</f>
        <v>2.730996813837051E-3</v>
      </c>
      <c r="I8" s="34">
        <f>$C76*1/(9+Rules!$B$5)</f>
        <v>2.730996813837051E-3</v>
      </c>
      <c r="J8" s="34">
        <f>$C76*1/(9+Rules!$B$5)</f>
        <v>2.730996813837051E-3</v>
      </c>
      <c r="K8" s="34">
        <f>$C76*Rules!$B$5/(9+Rules!$B$5)*((9+Rules!$B$5-1)/(9+Rules!$B$5))</f>
        <v>1.0083680543398343E-2</v>
      </c>
    </row>
    <row r="9" spans="1:13" x14ac:dyDescent="0.2">
      <c r="A9" s="32">
        <v>11</v>
      </c>
      <c r="B9" s="34">
        <f>$C77*1/(9+Rules!$B$5)*(9/(9+Rules!$B$5))</f>
        <v>2.5209201358495858E-3</v>
      </c>
      <c r="C9" s="34">
        <f>$C77*1/(9+Rules!$B$5)</f>
        <v>3.6413290851160683E-3</v>
      </c>
      <c r="D9" s="34">
        <f>$C77*1/(9+Rules!$B$5)</f>
        <v>3.6413290851160683E-3</v>
      </c>
      <c r="E9" s="34">
        <f>$C77*1/(9+Rules!$B$5)</f>
        <v>3.6413290851160683E-3</v>
      </c>
      <c r="F9" s="34">
        <f>$C77*1/(9+Rules!$B$5)</f>
        <v>3.6413290851160683E-3</v>
      </c>
      <c r="G9" s="34">
        <f>$C77*1/(9+Rules!$B$5)</f>
        <v>3.6413290851160683E-3</v>
      </c>
      <c r="H9" s="34">
        <f>$C77*1/(9+Rules!$B$5)</f>
        <v>3.6413290851160683E-3</v>
      </c>
      <c r="I9" s="34">
        <f>$C77*1/(9+Rules!$B$5)</f>
        <v>3.6413290851160683E-3</v>
      </c>
      <c r="J9" s="34">
        <f>$C77*1/(9+Rules!$B$5)</f>
        <v>3.6413290851160683E-3</v>
      </c>
      <c r="K9" s="34">
        <f>$C77*Rules!$B$5/(9+Rules!$B$5)*((9+Rules!$B$5-1)/(9+Rules!$B$5))</f>
        <v>1.3444907391197792E-2</v>
      </c>
    </row>
    <row r="10" spans="1:13" x14ac:dyDescent="0.2">
      <c r="A10" s="32">
        <v>12</v>
      </c>
      <c r="B10" s="34">
        <f>$C78*1/(9+Rules!$B$5)*(9/(9+Rules!$B$5))</f>
        <v>4.4116102377367745E-3</v>
      </c>
      <c r="C10" s="34">
        <f>$C78*1/(9+Rules!$B$5)</f>
        <v>6.3723258989531193E-3</v>
      </c>
      <c r="D10" s="34">
        <f>$C78*1/(9+Rules!$B$5)</f>
        <v>6.3723258989531193E-3</v>
      </c>
      <c r="E10" s="34">
        <f>$C78*1/(9+Rules!$B$5)</f>
        <v>6.3723258989531193E-3</v>
      </c>
      <c r="F10" s="34">
        <f>$C78*1/(9+Rules!$B$5)</f>
        <v>6.3723258989531193E-3</v>
      </c>
      <c r="G10" s="34">
        <f>$C78*1/(9+Rules!$B$5)</f>
        <v>6.3723258989531193E-3</v>
      </c>
      <c r="H10" s="34">
        <f>$C78*1/(9+Rules!$B$5)</f>
        <v>6.3723258989531193E-3</v>
      </c>
      <c r="I10" s="34">
        <f>$C78*1/(9+Rules!$B$5)</f>
        <v>6.3723258989531193E-3</v>
      </c>
      <c r="J10" s="34">
        <f>$C78*1/(9+Rules!$B$5)</f>
        <v>6.3723258989531193E-3</v>
      </c>
      <c r="K10" s="34">
        <f>$C78*Rules!$B$5/(9+Rules!$B$5)*((9+Rules!$B$5-1)/(9+Rules!$B$5))</f>
        <v>2.3528587934596133E-2</v>
      </c>
    </row>
    <row r="11" spans="1:13" x14ac:dyDescent="0.2">
      <c r="A11" s="32">
        <v>13</v>
      </c>
      <c r="B11" s="34">
        <f>$C79*1/(9+Rules!$B$5)*(9/(9+Rules!$B$5))</f>
        <v>4.4116102377367745E-3</v>
      </c>
      <c r="C11" s="34">
        <f>$C79*1/(9+Rules!$B$5)</f>
        <v>6.3723258989531193E-3</v>
      </c>
      <c r="D11" s="34">
        <f>$C79*1/(9+Rules!$B$5)</f>
        <v>6.3723258989531193E-3</v>
      </c>
      <c r="E11" s="34">
        <f>$C79*1/(9+Rules!$B$5)</f>
        <v>6.3723258989531193E-3</v>
      </c>
      <c r="F11" s="34">
        <f>$C79*1/(9+Rules!$B$5)</f>
        <v>6.3723258989531193E-3</v>
      </c>
      <c r="G11" s="34">
        <f>$C79*1/(9+Rules!$B$5)</f>
        <v>6.3723258989531193E-3</v>
      </c>
      <c r="H11" s="34">
        <f>$C79*1/(9+Rules!$B$5)</f>
        <v>6.3723258989531193E-3</v>
      </c>
      <c r="I11" s="34">
        <f>$C79*1/(9+Rules!$B$5)</f>
        <v>6.3723258989531193E-3</v>
      </c>
      <c r="J11" s="34">
        <f>$C79*1/(9+Rules!$B$5)</f>
        <v>6.3723258989531193E-3</v>
      </c>
      <c r="K11" s="34">
        <f>$C79*Rules!$B$5/(9+Rules!$B$5)*((9+Rules!$B$5-1)/(9+Rules!$B$5))</f>
        <v>2.3528587934596133E-2</v>
      </c>
    </row>
    <row r="12" spans="1:13" x14ac:dyDescent="0.2">
      <c r="A12" s="32">
        <v>14</v>
      </c>
      <c r="B12" s="34">
        <f>$C80*1/(9+Rules!$B$5)*(9/(9+Rules!$B$5))</f>
        <v>3.781380203774378E-3</v>
      </c>
      <c r="C12" s="34">
        <f>$C80*1/(9+Rules!$B$5)</f>
        <v>5.461993627674102E-3</v>
      </c>
      <c r="D12" s="34">
        <f>$C80*1/(9+Rules!$B$5)</f>
        <v>5.461993627674102E-3</v>
      </c>
      <c r="E12" s="34">
        <f>$C80*1/(9+Rules!$B$5)</f>
        <v>5.461993627674102E-3</v>
      </c>
      <c r="F12" s="34">
        <f>$C80*1/(9+Rules!$B$5)</f>
        <v>5.461993627674102E-3</v>
      </c>
      <c r="G12" s="34">
        <f>$C80*1/(9+Rules!$B$5)</f>
        <v>5.461993627674102E-3</v>
      </c>
      <c r="H12" s="34">
        <f>$C80*1/(9+Rules!$B$5)</f>
        <v>5.461993627674102E-3</v>
      </c>
      <c r="I12" s="34">
        <f>$C80*1/(9+Rules!$B$5)</f>
        <v>5.461993627674102E-3</v>
      </c>
      <c r="J12" s="34">
        <f>$C80*1/(9+Rules!$B$5)</f>
        <v>5.461993627674102E-3</v>
      </c>
      <c r="K12" s="34">
        <f>$C80*Rules!$B$5/(9+Rules!$B$5)*((9+Rules!$B$5-1)/(9+Rules!$B$5))</f>
        <v>2.0167361086796686E-2</v>
      </c>
    </row>
    <row r="13" spans="1:13" x14ac:dyDescent="0.2">
      <c r="A13" s="32">
        <v>15</v>
      </c>
      <c r="B13" s="34">
        <f>$C81*1/(9+Rules!$B$5)*(9/(9+Rules!$B$5))</f>
        <v>3.781380203774378E-3</v>
      </c>
      <c r="C13" s="34">
        <f>$C81*1/(9+Rules!$B$5)</f>
        <v>5.461993627674102E-3</v>
      </c>
      <c r="D13" s="34">
        <f>$C81*1/(9+Rules!$B$5)</f>
        <v>5.461993627674102E-3</v>
      </c>
      <c r="E13" s="34">
        <f>$C81*1/(9+Rules!$B$5)</f>
        <v>5.461993627674102E-3</v>
      </c>
      <c r="F13" s="34">
        <f>$C81*1/(9+Rules!$B$5)</f>
        <v>5.461993627674102E-3</v>
      </c>
      <c r="G13" s="34">
        <f>$C81*1/(9+Rules!$B$5)</f>
        <v>5.461993627674102E-3</v>
      </c>
      <c r="H13" s="34">
        <f>$C81*1/(9+Rules!$B$5)</f>
        <v>5.461993627674102E-3</v>
      </c>
      <c r="I13" s="34">
        <f>$C81*1/(9+Rules!$B$5)</f>
        <v>5.461993627674102E-3</v>
      </c>
      <c r="J13" s="34">
        <f>$C81*1/(9+Rules!$B$5)</f>
        <v>5.461993627674102E-3</v>
      </c>
      <c r="K13" s="34">
        <f>$C81*Rules!$B$5/(9+Rules!$B$5)*((9+Rules!$B$5-1)/(9+Rules!$B$5))</f>
        <v>2.0167361086796686E-2</v>
      </c>
    </row>
    <row r="14" spans="1:13" x14ac:dyDescent="0.2">
      <c r="A14" s="32">
        <v>16</v>
      </c>
      <c r="B14" s="34">
        <f>$C82*1/(9+Rules!$B$5)*(9/(9+Rules!$B$5))</f>
        <v>3.1511501698119814E-3</v>
      </c>
      <c r="C14" s="34">
        <f>$C82*1/(9+Rules!$B$5)</f>
        <v>4.5516613563950847E-3</v>
      </c>
      <c r="D14" s="34">
        <f>$C82*1/(9+Rules!$B$5)</f>
        <v>4.5516613563950847E-3</v>
      </c>
      <c r="E14" s="34">
        <f>$C82*1/(9+Rules!$B$5)</f>
        <v>4.5516613563950847E-3</v>
      </c>
      <c r="F14" s="34">
        <f>$C82*1/(9+Rules!$B$5)</f>
        <v>4.5516613563950847E-3</v>
      </c>
      <c r="G14" s="34">
        <f>$C82*1/(9+Rules!$B$5)</f>
        <v>4.5516613563950847E-3</v>
      </c>
      <c r="H14" s="34">
        <f>$C82*1/(9+Rules!$B$5)</f>
        <v>4.5516613563950847E-3</v>
      </c>
      <c r="I14" s="34">
        <f>$C82*1/(9+Rules!$B$5)</f>
        <v>4.5516613563950847E-3</v>
      </c>
      <c r="J14" s="34">
        <f>$C82*1/(9+Rules!$B$5)</f>
        <v>4.5516613563950847E-3</v>
      </c>
      <c r="K14" s="34">
        <f>$C82*Rules!$B$5/(9+Rules!$B$5)*((9+Rules!$B$5-1)/(9+Rules!$B$5))</f>
        <v>1.6806134238997236E-2</v>
      </c>
      <c r="M14" s="137"/>
    </row>
    <row r="15" spans="1:13" x14ac:dyDescent="0.2">
      <c r="A15" s="32">
        <v>17</v>
      </c>
      <c r="B15" s="34">
        <f>$C83*1/(9+Rules!$B$5)*(9/(9+Rules!$B$5))</f>
        <v>3.1511501698119814E-3</v>
      </c>
      <c r="C15" s="34">
        <f>$C83*1/(9+Rules!$B$5)</f>
        <v>4.5516613563950847E-3</v>
      </c>
      <c r="D15" s="34">
        <f>$C83*1/(9+Rules!$B$5)</f>
        <v>4.5516613563950847E-3</v>
      </c>
      <c r="E15" s="34">
        <f>$C83*1/(9+Rules!$B$5)</f>
        <v>4.5516613563950847E-3</v>
      </c>
      <c r="F15" s="34">
        <f>$C83*1/(9+Rules!$B$5)</f>
        <v>4.5516613563950847E-3</v>
      </c>
      <c r="G15" s="34">
        <f>$C83*1/(9+Rules!$B$5)</f>
        <v>4.5516613563950847E-3</v>
      </c>
      <c r="H15" s="34">
        <f>$C83*1/(9+Rules!$B$5)</f>
        <v>4.5516613563950847E-3</v>
      </c>
      <c r="I15" s="34">
        <f>$C83*1/(9+Rules!$B$5)</f>
        <v>4.5516613563950847E-3</v>
      </c>
      <c r="J15" s="34">
        <f>$C83*1/(9+Rules!$B$5)</f>
        <v>4.5516613563950847E-3</v>
      </c>
      <c r="K15" s="34">
        <f>$C83*Rules!$B$5/(9+Rules!$B$5)*((9+Rules!$B$5-1)/(9+Rules!$B$5))</f>
        <v>1.6806134238997236E-2</v>
      </c>
    </row>
    <row r="16" spans="1:13" x14ac:dyDescent="0.2">
      <c r="A16" s="32">
        <v>18</v>
      </c>
      <c r="B16" s="34">
        <f>$C84*1/(9+Rules!$B$5)*(9/(9+Rules!$B$5))</f>
        <v>2.5209201358495853E-3</v>
      </c>
      <c r="C16" s="34">
        <f>$C84*1/(9+Rules!$B$5)</f>
        <v>3.6413290851160678E-3</v>
      </c>
      <c r="D16" s="34">
        <f>$C84*1/(9+Rules!$B$5)</f>
        <v>3.6413290851160678E-3</v>
      </c>
      <c r="E16" s="34">
        <f>$C84*1/(9+Rules!$B$5)</f>
        <v>3.6413290851160678E-3</v>
      </c>
      <c r="F16" s="34">
        <f>$C84*1/(9+Rules!$B$5)</f>
        <v>3.6413290851160678E-3</v>
      </c>
      <c r="G16" s="34">
        <f>$C84*1/(9+Rules!$B$5)</f>
        <v>3.6413290851160678E-3</v>
      </c>
      <c r="H16" s="34">
        <f>$C84*1/(9+Rules!$B$5)</f>
        <v>3.6413290851160678E-3</v>
      </c>
      <c r="I16" s="34">
        <f>$C84*1/(9+Rules!$B$5)</f>
        <v>3.6413290851160678E-3</v>
      </c>
      <c r="J16" s="34">
        <f>$C84*1/(9+Rules!$B$5)</f>
        <v>3.6413290851160678E-3</v>
      </c>
      <c r="K16" s="34">
        <f>$C84*Rules!$B$5/(9+Rules!$B$5)*((9+Rules!$B$5-1)/(9+Rules!$B$5))</f>
        <v>1.344490739119779E-2</v>
      </c>
    </row>
    <row r="17" spans="1:13" x14ac:dyDescent="0.2">
      <c r="A17" s="32">
        <v>19</v>
      </c>
      <c r="B17" s="34">
        <f>$C85*1/(9+Rules!$B$5)*(9/(9+Rules!$B$5))</f>
        <v>2.5209201358495853E-3</v>
      </c>
      <c r="C17" s="34">
        <f>$C85*1/(9+Rules!$B$5)</f>
        <v>3.6413290851160678E-3</v>
      </c>
      <c r="D17" s="34">
        <f>$C85*1/(9+Rules!$B$5)</f>
        <v>3.6413290851160678E-3</v>
      </c>
      <c r="E17" s="34">
        <f>$C85*1/(9+Rules!$B$5)</f>
        <v>3.6413290851160678E-3</v>
      </c>
      <c r="F17" s="34">
        <f>$C85*1/(9+Rules!$B$5)</f>
        <v>3.6413290851160678E-3</v>
      </c>
      <c r="G17" s="34">
        <f>$C85*1/(9+Rules!$B$5)</f>
        <v>3.6413290851160678E-3</v>
      </c>
      <c r="H17" s="34">
        <f>$C85*1/(9+Rules!$B$5)</f>
        <v>3.6413290851160678E-3</v>
      </c>
      <c r="I17" s="34">
        <f>$C85*1/(9+Rules!$B$5)</f>
        <v>3.6413290851160678E-3</v>
      </c>
      <c r="J17" s="34">
        <f>$C85*1/(9+Rules!$B$5)</f>
        <v>3.6413290851160678E-3</v>
      </c>
      <c r="K17" s="34">
        <f>$C85*Rules!$B$5/(9+Rules!$B$5)*((9+Rules!$B$5-1)/(9+Rules!$B$5))</f>
        <v>1.344490739119779E-2</v>
      </c>
      <c r="M17" s="33">
        <f>SUM(B3:K17)</f>
        <v>0.67644690311963807</v>
      </c>
    </row>
    <row r="18" spans="1:13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3" x14ac:dyDescent="0.2">
      <c r="A19" s="32">
        <v>13</v>
      </c>
      <c r="B19" s="34">
        <f>2*(1/(9+Rules!$B$5))^3*(9/(9+Rules!$B$5))</f>
        <v>6.3023003396239633E-4</v>
      </c>
      <c r="C19" s="34">
        <f>2*(1/(9+Rules!$B$5))^3</f>
        <v>9.1033227127901696E-4</v>
      </c>
      <c r="D19" s="34">
        <f>2*(1/(9+Rules!$B$5))^3</f>
        <v>9.1033227127901696E-4</v>
      </c>
      <c r="E19" s="34">
        <f>2*(1/(9+Rules!$B$5))^3</f>
        <v>9.1033227127901696E-4</v>
      </c>
      <c r="F19" s="34">
        <f>2*(1/(9+Rules!$B$5))^3</f>
        <v>9.1033227127901696E-4</v>
      </c>
      <c r="G19" s="34">
        <f>2*(1/(9+Rules!$B$5))^3</f>
        <v>9.1033227127901696E-4</v>
      </c>
      <c r="H19" s="34">
        <f>2*(1/(9+Rules!$B$5))^3</f>
        <v>9.1033227127901696E-4</v>
      </c>
      <c r="I19" s="34">
        <f>2*(1/(9+Rules!$B$5))^3</f>
        <v>9.1033227127901696E-4</v>
      </c>
      <c r="J19" s="34">
        <f>2*(1/(9+Rules!$B$5))^3</f>
        <v>9.1033227127901696E-4</v>
      </c>
      <c r="K19" s="34">
        <f>2*(1/(9+Rules!$B$5))^2*(Rules!$B$5/(9+Rules!$B$5))*((9+Rules!$B$5-1)/(9+Rules!$B$5))</f>
        <v>3.3612268477994475E-3</v>
      </c>
    </row>
    <row r="20" spans="1:13" x14ac:dyDescent="0.2">
      <c r="A20" s="32">
        <v>14</v>
      </c>
      <c r="B20" s="34">
        <f>2*(1/(9+Rules!$B$5))^3*(9/(9+Rules!$B$5))</f>
        <v>6.3023003396239633E-4</v>
      </c>
      <c r="C20" s="34">
        <f>2*(1/(9+Rules!$B$5))^3</f>
        <v>9.1033227127901696E-4</v>
      </c>
      <c r="D20" s="34">
        <f>2*(1/(9+Rules!$B$5))^3</f>
        <v>9.1033227127901696E-4</v>
      </c>
      <c r="E20" s="34">
        <f>2*(1/(9+Rules!$B$5))^3</f>
        <v>9.1033227127901696E-4</v>
      </c>
      <c r="F20" s="34">
        <f>2*(1/(9+Rules!$B$5))^3</f>
        <v>9.1033227127901696E-4</v>
      </c>
      <c r="G20" s="34">
        <f>2*(1/(9+Rules!$B$5))^3</f>
        <v>9.1033227127901696E-4</v>
      </c>
      <c r="H20" s="34">
        <f>2*(1/(9+Rules!$B$5))^3</f>
        <v>9.1033227127901696E-4</v>
      </c>
      <c r="I20" s="34">
        <f>2*(1/(9+Rules!$B$5))^3</f>
        <v>9.1033227127901696E-4</v>
      </c>
      <c r="J20" s="34">
        <f>2*(1/(9+Rules!$B$5))^3</f>
        <v>9.1033227127901696E-4</v>
      </c>
      <c r="K20" s="34">
        <f>2*(1/(9+Rules!$B$5))^2*(Rules!$B$5/(9+Rules!$B$5))*((9+Rules!$B$5-1)/(9+Rules!$B$5))</f>
        <v>3.3612268477994475E-3</v>
      </c>
    </row>
    <row r="21" spans="1:13" x14ac:dyDescent="0.2">
      <c r="A21" s="32">
        <v>15</v>
      </c>
      <c r="B21" s="34">
        <f>2*(1/(9+Rules!$B$5))^3*(9/(9+Rules!$B$5))</f>
        <v>6.3023003396239633E-4</v>
      </c>
      <c r="C21" s="34">
        <f>2*(1/(9+Rules!$B$5))^3</f>
        <v>9.1033227127901696E-4</v>
      </c>
      <c r="D21" s="34">
        <f>2*(1/(9+Rules!$B$5))^3</f>
        <v>9.1033227127901696E-4</v>
      </c>
      <c r="E21" s="34">
        <f>2*(1/(9+Rules!$B$5))^3</f>
        <v>9.1033227127901696E-4</v>
      </c>
      <c r="F21" s="34">
        <f>2*(1/(9+Rules!$B$5))^3</f>
        <v>9.1033227127901696E-4</v>
      </c>
      <c r="G21" s="34">
        <f>2*(1/(9+Rules!$B$5))^3</f>
        <v>9.1033227127901696E-4</v>
      </c>
      <c r="H21" s="34">
        <f>2*(1/(9+Rules!$B$5))^3</f>
        <v>9.1033227127901696E-4</v>
      </c>
      <c r="I21" s="34">
        <f>2*(1/(9+Rules!$B$5))^3</f>
        <v>9.1033227127901696E-4</v>
      </c>
      <c r="J21" s="34">
        <f>2*(1/(9+Rules!$B$5))^3</f>
        <v>9.1033227127901696E-4</v>
      </c>
      <c r="K21" s="34">
        <f>2*(1/(9+Rules!$B$5))^2*(Rules!$B$5/(9+Rules!$B$5))*((9+Rules!$B$5-1)/(9+Rules!$B$5))</f>
        <v>3.3612268477994475E-3</v>
      </c>
    </row>
    <row r="22" spans="1:13" x14ac:dyDescent="0.2">
      <c r="A22" s="32">
        <v>16</v>
      </c>
      <c r="B22" s="34">
        <f>2*(1/(9+Rules!$B$5))^3*(9/(9+Rules!$B$5))</f>
        <v>6.3023003396239633E-4</v>
      </c>
      <c r="C22" s="34">
        <f>2*(1/(9+Rules!$B$5))^3</f>
        <v>9.1033227127901696E-4</v>
      </c>
      <c r="D22" s="34">
        <f>2*(1/(9+Rules!$B$5))^3</f>
        <v>9.1033227127901696E-4</v>
      </c>
      <c r="E22" s="34">
        <f>2*(1/(9+Rules!$B$5))^3</f>
        <v>9.1033227127901696E-4</v>
      </c>
      <c r="F22" s="34">
        <f>2*(1/(9+Rules!$B$5))^3</f>
        <v>9.1033227127901696E-4</v>
      </c>
      <c r="G22" s="34">
        <f>2*(1/(9+Rules!$B$5))^3</f>
        <v>9.1033227127901696E-4</v>
      </c>
      <c r="H22" s="34">
        <f>2*(1/(9+Rules!$B$5))^3</f>
        <v>9.1033227127901696E-4</v>
      </c>
      <c r="I22" s="34">
        <f>2*(1/(9+Rules!$B$5))^3</f>
        <v>9.1033227127901696E-4</v>
      </c>
      <c r="J22" s="34">
        <f>2*(1/(9+Rules!$B$5))^3</f>
        <v>9.1033227127901696E-4</v>
      </c>
      <c r="K22" s="34">
        <f>2*(1/(9+Rules!$B$5))^2*(Rules!$B$5/(9+Rules!$B$5))*((9+Rules!$B$5-1)/(9+Rules!$B$5))</f>
        <v>3.3612268477994475E-3</v>
      </c>
    </row>
    <row r="23" spans="1:13" x14ac:dyDescent="0.2">
      <c r="A23" s="32">
        <v>17</v>
      </c>
      <c r="B23" s="34">
        <f>2*(1/(9+Rules!$B$5))^3*(9/(9+Rules!$B$5))</f>
        <v>6.3023003396239633E-4</v>
      </c>
      <c r="C23" s="34">
        <f>2*(1/(9+Rules!$B$5))^3</f>
        <v>9.1033227127901696E-4</v>
      </c>
      <c r="D23" s="34">
        <f>2*(1/(9+Rules!$B$5))^3</f>
        <v>9.1033227127901696E-4</v>
      </c>
      <c r="E23" s="34">
        <f>2*(1/(9+Rules!$B$5))^3</f>
        <v>9.1033227127901696E-4</v>
      </c>
      <c r="F23" s="34">
        <f>2*(1/(9+Rules!$B$5))^3</f>
        <v>9.1033227127901696E-4</v>
      </c>
      <c r="G23" s="34">
        <f>2*(1/(9+Rules!$B$5))^3</f>
        <v>9.1033227127901696E-4</v>
      </c>
      <c r="H23" s="34">
        <f>2*(1/(9+Rules!$B$5))^3</f>
        <v>9.1033227127901696E-4</v>
      </c>
      <c r="I23" s="34">
        <f>2*(1/(9+Rules!$B$5))^3</f>
        <v>9.1033227127901696E-4</v>
      </c>
      <c r="J23" s="34">
        <f>2*(1/(9+Rules!$B$5))^3</f>
        <v>9.1033227127901696E-4</v>
      </c>
      <c r="K23" s="34">
        <f>2*(1/(9+Rules!$B$5))^2*(Rules!$B$5/(9+Rules!$B$5))*((9+Rules!$B$5-1)/(9+Rules!$B$5))</f>
        <v>3.3612268477994475E-3</v>
      </c>
    </row>
    <row r="24" spans="1:13" x14ac:dyDescent="0.2">
      <c r="A24" s="32">
        <v>18</v>
      </c>
      <c r="B24" s="34">
        <f>2*(1/(9+Rules!$B$5))^3*(9/(9+Rules!$B$5))</f>
        <v>6.3023003396239633E-4</v>
      </c>
      <c r="C24" s="34">
        <f>2*(1/(9+Rules!$B$5))^3</f>
        <v>9.1033227127901696E-4</v>
      </c>
      <c r="D24" s="34">
        <f>2*(1/(9+Rules!$B$5))^3</f>
        <v>9.1033227127901696E-4</v>
      </c>
      <c r="E24" s="34">
        <f>2*(1/(9+Rules!$B$5))^3</f>
        <v>9.1033227127901696E-4</v>
      </c>
      <c r="F24" s="34">
        <f>2*(1/(9+Rules!$B$5))^3</f>
        <v>9.1033227127901696E-4</v>
      </c>
      <c r="G24" s="34">
        <f>2*(1/(9+Rules!$B$5))^3</f>
        <v>9.1033227127901696E-4</v>
      </c>
      <c r="H24" s="34">
        <f>2*(1/(9+Rules!$B$5))^3</f>
        <v>9.1033227127901696E-4</v>
      </c>
      <c r="I24" s="34">
        <f>2*(1/(9+Rules!$B$5))^3</f>
        <v>9.1033227127901696E-4</v>
      </c>
      <c r="J24" s="34">
        <f>2*(1/(9+Rules!$B$5))^3</f>
        <v>9.1033227127901696E-4</v>
      </c>
      <c r="K24" s="34">
        <f>2*(1/(9+Rules!$B$5))^2*(Rules!$B$5/(9+Rules!$B$5))*((9+Rules!$B$5-1)/(9+Rules!$B$5))</f>
        <v>3.3612268477994475E-3</v>
      </c>
    </row>
    <row r="25" spans="1:13" x14ac:dyDescent="0.2">
      <c r="A25" s="32">
        <v>19</v>
      </c>
      <c r="B25" s="34">
        <f>2*(1/(9+Rules!$B$5))^3*(9/(9+Rules!$B$5))</f>
        <v>6.3023003396239633E-4</v>
      </c>
      <c r="C25" s="34">
        <f>2*(1/(9+Rules!$B$5))^3</f>
        <v>9.1033227127901696E-4</v>
      </c>
      <c r="D25" s="34">
        <f>2*(1/(9+Rules!$B$5))^3</f>
        <v>9.1033227127901696E-4</v>
      </c>
      <c r="E25" s="34">
        <f>2*(1/(9+Rules!$B$5))^3</f>
        <v>9.1033227127901696E-4</v>
      </c>
      <c r="F25" s="34">
        <f>2*(1/(9+Rules!$B$5))^3</f>
        <v>9.1033227127901696E-4</v>
      </c>
      <c r="G25" s="34">
        <f>2*(1/(9+Rules!$B$5))^3</f>
        <v>9.1033227127901696E-4</v>
      </c>
      <c r="H25" s="34">
        <f>2*(1/(9+Rules!$B$5))^3</f>
        <v>9.1033227127901696E-4</v>
      </c>
      <c r="I25" s="34">
        <f>2*(1/(9+Rules!$B$5))^3</f>
        <v>9.1033227127901696E-4</v>
      </c>
      <c r="J25" s="34">
        <f>2*(1/(9+Rules!$B$5))^3</f>
        <v>9.1033227127901696E-4</v>
      </c>
      <c r="K25" s="34">
        <f>2*(1/(9+Rules!$B$5))^2*(Rules!$B$5/(9+Rules!$B$5))*((9+Rules!$B$5-1)/(9+Rules!$B$5))</f>
        <v>3.3612268477994475E-3</v>
      </c>
    </row>
    <row r="26" spans="1:13" x14ac:dyDescent="0.2">
      <c r="A26" s="32">
        <v>20</v>
      </c>
      <c r="B26" s="34">
        <f>2*(1/(9+Rules!$B$5))^3*(9/(9+Rules!$B$5))</f>
        <v>6.3023003396239633E-4</v>
      </c>
      <c r="C26" s="34">
        <f>2*(1/(9+Rules!$B$5))^3</f>
        <v>9.1033227127901696E-4</v>
      </c>
      <c r="D26" s="34">
        <f>2*(1/(9+Rules!$B$5))^3</f>
        <v>9.1033227127901696E-4</v>
      </c>
      <c r="E26" s="34">
        <f>2*(1/(9+Rules!$B$5))^3</f>
        <v>9.1033227127901696E-4</v>
      </c>
      <c r="F26" s="34">
        <f>2*(1/(9+Rules!$B$5))^3</f>
        <v>9.1033227127901696E-4</v>
      </c>
      <c r="G26" s="34">
        <f>2*(1/(9+Rules!$B$5))^3</f>
        <v>9.1033227127901696E-4</v>
      </c>
      <c r="H26" s="34">
        <f>2*(1/(9+Rules!$B$5))^3</f>
        <v>9.1033227127901696E-4</v>
      </c>
      <c r="I26" s="34">
        <f>2*(1/(9+Rules!$B$5))^3</f>
        <v>9.1033227127901696E-4</v>
      </c>
      <c r="J26" s="34">
        <f>2*(1/(9+Rules!$B$5))^3</f>
        <v>9.1033227127901696E-4</v>
      </c>
      <c r="K26" s="34">
        <f>2*(1/(9+Rules!$B$5))^2*(Rules!$B$5/(9+Rules!$B$5))*((9+Rules!$B$5-1)/(9+Rules!$B$5))</f>
        <v>3.3612268477994475E-3</v>
      </c>
    </row>
    <row r="27" spans="1:13" x14ac:dyDescent="0.2">
      <c r="A27" s="32">
        <v>21</v>
      </c>
      <c r="B27" s="34">
        <f>2*(1/(9+Rules!$B$5))^2*(Rules!$B$5/(9+Rules!$B$5))*(9/(9+Rules!$B$5))</f>
        <v>2.5209201358495853E-3</v>
      </c>
      <c r="C27" s="34">
        <f>2*(1/(9+Rules!$B$5))^2*(Rules!$B$5/(9+Rules!$B$5))</f>
        <v>3.6413290851160678E-3</v>
      </c>
      <c r="D27" s="34">
        <f>2*(1/(9+Rules!$B$5))^2*(Rules!$B$5/(9+Rules!$B$5))</f>
        <v>3.6413290851160678E-3</v>
      </c>
      <c r="E27" s="34">
        <f>2*(1/(9+Rules!$B$5))^2*(Rules!$B$5/(9+Rules!$B$5))</f>
        <v>3.6413290851160678E-3</v>
      </c>
      <c r="F27" s="34">
        <f>2*(1/(9+Rules!$B$5))^2*(Rules!$B$5/(9+Rules!$B$5))</f>
        <v>3.6413290851160678E-3</v>
      </c>
      <c r="G27" s="34">
        <f>2*(1/(9+Rules!$B$5))^2*(Rules!$B$5/(9+Rules!$B$5))</f>
        <v>3.6413290851160678E-3</v>
      </c>
      <c r="H27" s="34">
        <f>2*(1/(9+Rules!$B$5))^2*(Rules!$B$5/(9+Rules!$B$5))</f>
        <v>3.6413290851160678E-3</v>
      </c>
      <c r="I27" s="34">
        <f>2*(1/(9+Rules!$B$5))^2*(Rules!$B$5/(9+Rules!$B$5))</f>
        <v>3.6413290851160678E-3</v>
      </c>
      <c r="J27" s="34">
        <f>2*(1/(9+Rules!$B$5))^2*(Rules!$B$5/(9+Rules!$B$5))</f>
        <v>3.6413290851160678E-3</v>
      </c>
      <c r="K27" s="34">
        <f>2*(Rules!$B$5/(9+Rules!$B$5))^2*(1/(9+Rules!$B$5))*((9+Rules!$B$5-1)/(9+Rules!$B$5))</f>
        <v>1.344490739119779E-2</v>
      </c>
      <c r="M27" s="33">
        <f>SUM(B19:K27)</f>
        <v>0.13528938062392776</v>
      </c>
    </row>
    <row r="28" spans="1:13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3" x14ac:dyDescent="0.2">
      <c r="A29" s="32" t="s">
        <v>1</v>
      </c>
      <c r="B29" s="34">
        <f>(1/(9+Rules!$B$5))^3*(9/(9+Rules!$B$5))</f>
        <v>3.1511501698119817E-4</v>
      </c>
      <c r="C29" s="34">
        <f>(1/(9+Rules!$B$5))^3</f>
        <v>4.5516613563950848E-4</v>
      </c>
      <c r="D29" s="34">
        <f>(1/(9+Rules!$B$5))^3</f>
        <v>4.5516613563950848E-4</v>
      </c>
      <c r="E29" s="34">
        <f>(1/(9+Rules!$B$5))^3</f>
        <v>4.5516613563950848E-4</v>
      </c>
      <c r="F29" s="34">
        <f>(1/(9+Rules!$B$5))^3</f>
        <v>4.5516613563950848E-4</v>
      </c>
      <c r="G29" s="34">
        <f>(1/(9+Rules!$B$5))^3</f>
        <v>4.5516613563950848E-4</v>
      </c>
      <c r="H29" s="34">
        <f>(1/(9+Rules!$B$5))^3</f>
        <v>4.5516613563950848E-4</v>
      </c>
      <c r="I29" s="34">
        <f>(1/(9+Rules!$B$5))^3</f>
        <v>4.5516613563950848E-4</v>
      </c>
      <c r="J29" s="34">
        <f>(1/(9+Rules!$B$5))^3</f>
        <v>4.5516613563950848E-4</v>
      </c>
      <c r="K29" s="34">
        <f>(1/(9+Rules!$B$5))^2*(Rules!$B$5/(9+Rules!$B$5))*((9+Rules!$B$5-1)/(9+Rules!$B$5))</f>
        <v>1.6806134238997238E-3</v>
      </c>
    </row>
    <row r="30" spans="1:13" x14ac:dyDescent="0.2">
      <c r="A30" s="32">
        <v>2</v>
      </c>
      <c r="B30" s="34">
        <f>(1/(9+Rules!$B$5))^3*(9/(9+Rules!$B$5))</f>
        <v>3.1511501698119817E-4</v>
      </c>
      <c r="C30" s="34">
        <f>(1/(9+Rules!$B$5))^3</f>
        <v>4.5516613563950848E-4</v>
      </c>
      <c r="D30" s="34">
        <f>(1/(9+Rules!$B$5))^3</f>
        <v>4.5516613563950848E-4</v>
      </c>
      <c r="E30" s="34">
        <f>(1/(9+Rules!$B$5))^3</f>
        <v>4.5516613563950848E-4</v>
      </c>
      <c r="F30" s="34">
        <f>(1/(9+Rules!$B$5))^3</f>
        <v>4.5516613563950848E-4</v>
      </c>
      <c r="G30" s="34">
        <f>(1/(9+Rules!$B$5))^3</f>
        <v>4.5516613563950848E-4</v>
      </c>
      <c r="H30" s="34">
        <f>(1/(9+Rules!$B$5))^3</f>
        <v>4.5516613563950848E-4</v>
      </c>
      <c r="I30" s="34">
        <f>(1/(9+Rules!$B$5))^3</f>
        <v>4.5516613563950848E-4</v>
      </c>
      <c r="J30" s="34">
        <f>(1/(9+Rules!$B$5))^3</f>
        <v>4.5516613563950848E-4</v>
      </c>
      <c r="K30" s="34">
        <f>(1/(9+Rules!$B$5))^2*(Rules!$B$5/(9+Rules!$B$5))*((9+Rules!$B$5-1)/(9+Rules!$B$5))</f>
        <v>1.6806134238997238E-3</v>
      </c>
    </row>
    <row r="31" spans="1:13" x14ac:dyDescent="0.2">
      <c r="A31" s="32">
        <v>3</v>
      </c>
      <c r="B31" s="34">
        <f>(1/(9+Rules!$B$5))^3*(9/(9+Rules!$B$5))</f>
        <v>3.1511501698119817E-4</v>
      </c>
      <c r="C31" s="34">
        <f>(1/(9+Rules!$B$5))^3</f>
        <v>4.5516613563950848E-4</v>
      </c>
      <c r="D31" s="34">
        <f>(1/(9+Rules!$B$5))^3</f>
        <v>4.5516613563950848E-4</v>
      </c>
      <c r="E31" s="34">
        <f>(1/(9+Rules!$B$5))^3</f>
        <v>4.5516613563950848E-4</v>
      </c>
      <c r="F31" s="34">
        <f>(1/(9+Rules!$B$5))^3</f>
        <v>4.5516613563950848E-4</v>
      </c>
      <c r="G31" s="34">
        <f>(1/(9+Rules!$B$5))^3</f>
        <v>4.5516613563950848E-4</v>
      </c>
      <c r="H31" s="34">
        <f>(1/(9+Rules!$B$5))^3</f>
        <v>4.5516613563950848E-4</v>
      </c>
      <c r="I31" s="34">
        <f>(1/(9+Rules!$B$5))^3</f>
        <v>4.5516613563950848E-4</v>
      </c>
      <c r="J31" s="34">
        <f>(1/(9+Rules!$B$5))^3</f>
        <v>4.5516613563950848E-4</v>
      </c>
      <c r="K31" s="34">
        <f>(1/(9+Rules!$B$5))^2*(Rules!$B$5/(9+Rules!$B$5))*((9+Rules!$B$5-1)/(9+Rules!$B$5))</f>
        <v>1.6806134238997238E-3</v>
      </c>
    </row>
    <row r="32" spans="1:13" x14ac:dyDescent="0.2">
      <c r="A32" s="32">
        <v>4</v>
      </c>
      <c r="B32" s="34">
        <f>(1/(9+Rules!$B$5))^3*(9/(9+Rules!$B$5))</f>
        <v>3.1511501698119817E-4</v>
      </c>
      <c r="C32" s="34">
        <f>(1/(9+Rules!$B$5))^3</f>
        <v>4.5516613563950848E-4</v>
      </c>
      <c r="D32" s="34">
        <f>(1/(9+Rules!$B$5))^3</f>
        <v>4.5516613563950848E-4</v>
      </c>
      <c r="E32" s="34">
        <f>(1/(9+Rules!$B$5))^3</f>
        <v>4.5516613563950848E-4</v>
      </c>
      <c r="F32" s="34">
        <f>(1/(9+Rules!$B$5))^3</f>
        <v>4.5516613563950848E-4</v>
      </c>
      <c r="G32" s="34">
        <f>(1/(9+Rules!$B$5))^3</f>
        <v>4.5516613563950848E-4</v>
      </c>
      <c r="H32" s="34">
        <f>(1/(9+Rules!$B$5))^3</f>
        <v>4.5516613563950848E-4</v>
      </c>
      <c r="I32" s="34">
        <f>(1/(9+Rules!$B$5))^3</f>
        <v>4.5516613563950848E-4</v>
      </c>
      <c r="J32" s="34">
        <f>(1/(9+Rules!$B$5))^3</f>
        <v>4.5516613563950848E-4</v>
      </c>
      <c r="K32" s="34">
        <f>(1/(9+Rules!$B$5))^2*(Rules!$B$5/(9+Rules!$B$5))*((9+Rules!$B$5-1)/(9+Rules!$B$5))</f>
        <v>1.6806134238997238E-3</v>
      </c>
    </row>
    <row r="33" spans="1:13" x14ac:dyDescent="0.2">
      <c r="A33" s="32">
        <v>5</v>
      </c>
      <c r="B33" s="34">
        <f>(1/(9+Rules!$B$5))^3*(9/(9+Rules!$B$5))</f>
        <v>3.1511501698119817E-4</v>
      </c>
      <c r="C33" s="34">
        <f>(1/(9+Rules!$B$5))^3</f>
        <v>4.5516613563950848E-4</v>
      </c>
      <c r="D33" s="34">
        <f>(1/(9+Rules!$B$5))^3</f>
        <v>4.5516613563950848E-4</v>
      </c>
      <c r="E33" s="34">
        <f>(1/(9+Rules!$B$5))^3</f>
        <v>4.5516613563950848E-4</v>
      </c>
      <c r="F33" s="34">
        <f>(1/(9+Rules!$B$5))^3</f>
        <v>4.5516613563950848E-4</v>
      </c>
      <c r="G33" s="34">
        <f>(1/(9+Rules!$B$5))^3</f>
        <v>4.5516613563950848E-4</v>
      </c>
      <c r="H33" s="34">
        <f>(1/(9+Rules!$B$5))^3</f>
        <v>4.5516613563950848E-4</v>
      </c>
      <c r="I33" s="34">
        <f>(1/(9+Rules!$B$5))^3</f>
        <v>4.5516613563950848E-4</v>
      </c>
      <c r="J33" s="34">
        <f>(1/(9+Rules!$B$5))^3</f>
        <v>4.5516613563950848E-4</v>
      </c>
      <c r="K33" s="34">
        <f>(1/(9+Rules!$B$5))^2*(Rules!$B$5/(9+Rules!$B$5))*((9+Rules!$B$5-1)/(9+Rules!$B$5))</f>
        <v>1.6806134238997238E-3</v>
      </c>
    </row>
    <row r="34" spans="1:13" x14ac:dyDescent="0.2">
      <c r="A34" s="32">
        <v>6</v>
      </c>
      <c r="B34" s="34">
        <f>(1/(9+Rules!$B$5))^3*(9/(9+Rules!$B$5))</f>
        <v>3.1511501698119817E-4</v>
      </c>
      <c r="C34" s="34">
        <f>(1/(9+Rules!$B$5))^3</f>
        <v>4.5516613563950848E-4</v>
      </c>
      <c r="D34" s="34">
        <f>(1/(9+Rules!$B$5))^3</f>
        <v>4.5516613563950848E-4</v>
      </c>
      <c r="E34" s="34">
        <f>(1/(9+Rules!$B$5))^3</f>
        <v>4.5516613563950848E-4</v>
      </c>
      <c r="F34" s="34">
        <f>(1/(9+Rules!$B$5))^3</f>
        <v>4.5516613563950848E-4</v>
      </c>
      <c r="G34" s="34">
        <f>(1/(9+Rules!$B$5))^3</f>
        <v>4.5516613563950848E-4</v>
      </c>
      <c r="H34" s="34">
        <f>(1/(9+Rules!$B$5))^3</f>
        <v>4.5516613563950848E-4</v>
      </c>
      <c r="I34" s="34">
        <f>(1/(9+Rules!$B$5))^3</f>
        <v>4.5516613563950848E-4</v>
      </c>
      <c r="J34" s="34">
        <f>(1/(9+Rules!$B$5))^3</f>
        <v>4.5516613563950848E-4</v>
      </c>
      <c r="K34" s="34">
        <f>(1/(9+Rules!$B$5))^2*(Rules!$B$5/(9+Rules!$B$5))*((9+Rules!$B$5-1)/(9+Rules!$B$5))</f>
        <v>1.6806134238997238E-3</v>
      </c>
    </row>
    <row r="35" spans="1:13" x14ac:dyDescent="0.2">
      <c r="A35" s="32">
        <v>7</v>
      </c>
      <c r="B35" s="34">
        <f>(1/(9+Rules!$B$5))^3*(9/(9+Rules!$B$5))</f>
        <v>3.1511501698119817E-4</v>
      </c>
      <c r="C35" s="34">
        <f>(1/(9+Rules!$B$5))^3</f>
        <v>4.5516613563950848E-4</v>
      </c>
      <c r="D35" s="34">
        <f>(1/(9+Rules!$B$5))^3</f>
        <v>4.5516613563950848E-4</v>
      </c>
      <c r="E35" s="34">
        <f>(1/(9+Rules!$B$5))^3</f>
        <v>4.5516613563950848E-4</v>
      </c>
      <c r="F35" s="34">
        <f>(1/(9+Rules!$B$5))^3</f>
        <v>4.5516613563950848E-4</v>
      </c>
      <c r="G35" s="34">
        <f>(1/(9+Rules!$B$5))^3</f>
        <v>4.5516613563950848E-4</v>
      </c>
      <c r="H35" s="34">
        <f>(1/(9+Rules!$B$5))^3</f>
        <v>4.5516613563950848E-4</v>
      </c>
      <c r="I35" s="34">
        <f>(1/(9+Rules!$B$5))^3</f>
        <v>4.5516613563950848E-4</v>
      </c>
      <c r="J35" s="34">
        <f>(1/(9+Rules!$B$5))^3</f>
        <v>4.5516613563950848E-4</v>
      </c>
      <c r="K35" s="34">
        <f>(1/(9+Rules!$B$5))^2*(Rules!$B$5/(9+Rules!$B$5))*((9+Rules!$B$5-1)/(9+Rules!$B$5))</f>
        <v>1.6806134238997238E-3</v>
      </c>
    </row>
    <row r="36" spans="1:13" x14ac:dyDescent="0.2">
      <c r="A36" s="32">
        <v>8</v>
      </c>
      <c r="B36" s="34">
        <f>(1/(9+Rules!$B$5))^3*(9/(9+Rules!$B$5))</f>
        <v>3.1511501698119817E-4</v>
      </c>
      <c r="C36" s="34">
        <f>(1/(9+Rules!$B$5))^3</f>
        <v>4.5516613563950848E-4</v>
      </c>
      <c r="D36" s="34">
        <f>(1/(9+Rules!$B$5))^3</f>
        <v>4.5516613563950848E-4</v>
      </c>
      <c r="E36" s="34">
        <f>(1/(9+Rules!$B$5))^3</f>
        <v>4.5516613563950848E-4</v>
      </c>
      <c r="F36" s="34">
        <f>(1/(9+Rules!$B$5))^3</f>
        <v>4.5516613563950848E-4</v>
      </c>
      <c r="G36" s="34">
        <f>(1/(9+Rules!$B$5))^3</f>
        <v>4.5516613563950848E-4</v>
      </c>
      <c r="H36" s="34">
        <f>(1/(9+Rules!$B$5))^3</f>
        <v>4.5516613563950848E-4</v>
      </c>
      <c r="I36" s="34">
        <f>(1/(9+Rules!$B$5))^3</f>
        <v>4.5516613563950848E-4</v>
      </c>
      <c r="J36" s="34">
        <f>(1/(9+Rules!$B$5))^3</f>
        <v>4.5516613563950848E-4</v>
      </c>
      <c r="K36" s="34">
        <f>(1/(9+Rules!$B$5))^2*(Rules!$B$5/(9+Rules!$B$5))*((9+Rules!$B$5-1)/(9+Rules!$B$5))</f>
        <v>1.6806134238997238E-3</v>
      </c>
    </row>
    <row r="37" spans="1:13" x14ac:dyDescent="0.2">
      <c r="A37" s="32">
        <v>9</v>
      </c>
      <c r="B37" s="34">
        <f>(1/(9+Rules!$B$5))^3*(9/(9+Rules!$B$5))</f>
        <v>3.1511501698119817E-4</v>
      </c>
      <c r="C37" s="34">
        <f>(1/(9+Rules!$B$5))^3</f>
        <v>4.5516613563950848E-4</v>
      </c>
      <c r="D37" s="34">
        <f>(1/(9+Rules!$B$5))^3</f>
        <v>4.5516613563950848E-4</v>
      </c>
      <c r="E37" s="34">
        <f>(1/(9+Rules!$B$5))^3</f>
        <v>4.5516613563950848E-4</v>
      </c>
      <c r="F37" s="34">
        <f>(1/(9+Rules!$B$5))^3</f>
        <v>4.5516613563950848E-4</v>
      </c>
      <c r="G37" s="34">
        <f>(1/(9+Rules!$B$5))^3</f>
        <v>4.5516613563950848E-4</v>
      </c>
      <c r="H37" s="34">
        <f>(1/(9+Rules!$B$5))^3</f>
        <v>4.5516613563950848E-4</v>
      </c>
      <c r="I37" s="34">
        <f>(1/(9+Rules!$B$5))^3</f>
        <v>4.5516613563950848E-4</v>
      </c>
      <c r="J37" s="34">
        <f>(1/(9+Rules!$B$5))^3</f>
        <v>4.5516613563950848E-4</v>
      </c>
      <c r="K37" s="34">
        <f>(1/(9+Rules!$B$5))^2*(Rules!$B$5/(9+Rules!$B$5))*((9+Rules!$B$5-1)/(9+Rules!$B$5))</f>
        <v>1.6806134238997238E-3</v>
      </c>
    </row>
    <row r="38" spans="1:13" x14ac:dyDescent="0.2">
      <c r="A38" s="32">
        <v>10</v>
      </c>
      <c r="B38" s="34">
        <f>(Rules!$B$5/(9+Rules!$B$5))^2*(1/(9+Rules!$B$5))*(9/(9+Rules!$B$5))</f>
        <v>5.0418402716991707E-3</v>
      </c>
      <c r="C38" s="34">
        <f>(Rules!$B$5/(9+Rules!$B$5))^2*(1/(9+Rules!$B$5))</f>
        <v>7.2826581702321357E-3</v>
      </c>
      <c r="D38" s="34">
        <f>(Rules!$B$5/(9+Rules!$B$5))^2*(1/(9+Rules!$B$5))</f>
        <v>7.2826581702321357E-3</v>
      </c>
      <c r="E38" s="34">
        <f>(Rules!$B$5/(9+Rules!$B$5))^2*(1/(9+Rules!$B$5))</f>
        <v>7.2826581702321357E-3</v>
      </c>
      <c r="F38" s="34">
        <f>(Rules!$B$5/(9+Rules!$B$5))^2*(1/(9+Rules!$B$5))</f>
        <v>7.2826581702321357E-3</v>
      </c>
      <c r="G38" s="34">
        <f>(Rules!$B$5/(9+Rules!$B$5))^2*(1/(9+Rules!$B$5))</f>
        <v>7.2826581702321357E-3</v>
      </c>
      <c r="H38" s="34">
        <f>(Rules!$B$5/(9+Rules!$B$5))^2*(1/(9+Rules!$B$5))</f>
        <v>7.2826581702321357E-3</v>
      </c>
      <c r="I38" s="34">
        <f>(Rules!$B$5/(9+Rules!$B$5))^2*(1/(9+Rules!$B$5))</f>
        <v>7.2826581702321357E-3</v>
      </c>
      <c r="J38" s="34">
        <f>(Rules!$B$5/(9+Rules!$B$5))^2*(1/(9+Rules!$B$5))</f>
        <v>7.2826581702321357E-3</v>
      </c>
      <c r="K38" s="34">
        <f>(Rules!$B$5/(9+Rules!$B$5))^3*((9+Rules!$B$5-1)/(9+Rules!$B$5))</f>
        <v>2.688981478239558E-2</v>
      </c>
      <c r="M38" s="33">
        <f>SUM(B29:K38)</f>
        <v>0.1409264381499247</v>
      </c>
    </row>
    <row r="39" spans="1:13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3" x14ac:dyDescent="0.2">
      <c r="A40" s="37" t="s">
        <v>11</v>
      </c>
      <c r="B40" s="38"/>
      <c r="C40" s="39">
        <f>2*(1/(9+Rules!$B$5))*(Rules!$B$5/(9+Rules!$B$5))</f>
        <v>4.7337278106508882E-2</v>
      </c>
      <c r="M40" s="33">
        <f>SUM(B3:K17,B19:K27,B29:K38)</f>
        <v>0.95266272189349366</v>
      </c>
    </row>
    <row r="41" spans="1:13" x14ac:dyDescent="0.2">
      <c r="M41" s="33">
        <f>M40+C40</f>
        <v>1.0000000000000024</v>
      </c>
    </row>
    <row r="43" spans="1:13" x14ac:dyDescent="0.2">
      <c r="C43" s="36" t="s">
        <v>12</v>
      </c>
    </row>
    <row r="44" spans="1:13" x14ac:dyDescent="0.2">
      <c r="A44" s="40" t="s">
        <v>13</v>
      </c>
      <c r="B44" s="40"/>
      <c r="C44" s="40">
        <v>2</v>
      </c>
      <c r="D44" s="40">
        <v>3</v>
      </c>
      <c r="E44" s="40">
        <v>4</v>
      </c>
      <c r="F44" s="40">
        <v>5</v>
      </c>
      <c r="G44" s="40">
        <v>6</v>
      </c>
      <c r="H44" s="40">
        <v>7</v>
      </c>
      <c r="I44" s="40">
        <v>8</v>
      </c>
      <c r="J44" s="40">
        <v>9</v>
      </c>
      <c r="K44" s="40">
        <v>10</v>
      </c>
    </row>
    <row r="45" spans="1:13" x14ac:dyDescent="0.2">
      <c r="A45" s="40">
        <v>2</v>
      </c>
      <c r="B45" s="40"/>
      <c r="D45" s="33">
        <f t="shared" ref="D45:K47" si="0">SUM(D$44,$A45)</f>
        <v>5</v>
      </c>
      <c r="E45" s="33">
        <f t="shared" si="0"/>
        <v>6</v>
      </c>
      <c r="F45" s="33">
        <f t="shared" si="0"/>
        <v>7</v>
      </c>
      <c r="G45" s="33">
        <f t="shared" si="0"/>
        <v>8</v>
      </c>
      <c r="H45" s="33">
        <f t="shared" si="0"/>
        <v>9</v>
      </c>
      <c r="I45" s="33">
        <f t="shared" si="0"/>
        <v>10</v>
      </c>
      <c r="J45" s="33">
        <f t="shared" si="0"/>
        <v>11</v>
      </c>
      <c r="K45" s="33">
        <f t="shared" si="0"/>
        <v>12</v>
      </c>
    </row>
    <row r="46" spans="1:13" x14ac:dyDescent="0.2">
      <c r="A46" s="40">
        <v>3</v>
      </c>
      <c r="B46" s="40"/>
      <c r="C46" s="33">
        <f t="shared" ref="C46:E53" si="1">SUM(C$44,$A46)</f>
        <v>5</v>
      </c>
      <c r="E46" s="33">
        <f t="shared" si="0"/>
        <v>7</v>
      </c>
      <c r="F46" s="33">
        <f t="shared" si="0"/>
        <v>8</v>
      </c>
      <c r="G46" s="33">
        <f t="shared" si="0"/>
        <v>9</v>
      </c>
      <c r="H46" s="33">
        <f t="shared" si="0"/>
        <v>10</v>
      </c>
      <c r="I46" s="33">
        <f t="shared" si="0"/>
        <v>11</v>
      </c>
      <c r="J46" s="33">
        <f t="shared" si="0"/>
        <v>12</v>
      </c>
      <c r="K46" s="33">
        <f t="shared" si="0"/>
        <v>13</v>
      </c>
    </row>
    <row r="47" spans="1:13" x14ac:dyDescent="0.2">
      <c r="A47" s="40">
        <v>4</v>
      </c>
      <c r="B47" s="40"/>
      <c r="C47" s="33">
        <f t="shared" si="1"/>
        <v>6</v>
      </c>
      <c r="D47" s="33">
        <f t="shared" si="1"/>
        <v>7</v>
      </c>
      <c r="F47" s="33">
        <f t="shared" si="0"/>
        <v>9</v>
      </c>
      <c r="G47" s="33">
        <f t="shared" si="0"/>
        <v>10</v>
      </c>
      <c r="H47" s="33">
        <f t="shared" si="0"/>
        <v>11</v>
      </c>
      <c r="I47" s="33">
        <f t="shared" si="0"/>
        <v>12</v>
      </c>
      <c r="J47" s="33">
        <f t="shared" si="0"/>
        <v>13</v>
      </c>
      <c r="K47" s="33">
        <f t="shared" si="0"/>
        <v>14</v>
      </c>
    </row>
    <row r="48" spans="1:13" x14ac:dyDescent="0.2">
      <c r="A48" s="40">
        <v>5</v>
      </c>
      <c r="B48" s="40"/>
      <c r="C48" s="33">
        <f t="shared" si="1"/>
        <v>7</v>
      </c>
      <c r="D48" s="33">
        <f t="shared" si="1"/>
        <v>8</v>
      </c>
      <c r="E48" s="33">
        <f t="shared" si="1"/>
        <v>9</v>
      </c>
      <c r="G48" s="33">
        <f>SUM(G$44,$A48)</f>
        <v>11</v>
      </c>
      <c r="H48" s="33">
        <f>SUM(H$44,$A48)</f>
        <v>12</v>
      </c>
      <c r="I48" s="33">
        <f>SUM(I$44,$A48)</f>
        <v>13</v>
      </c>
      <c r="J48" s="33">
        <f>SUM(J$44,$A48)</f>
        <v>14</v>
      </c>
      <c r="K48" s="33">
        <f>SUM(K$44,$A48)</f>
        <v>15</v>
      </c>
    </row>
    <row r="49" spans="1:11" x14ac:dyDescent="0.2">
      <c r="A49" s="40">
        <v>6</v>
      </c>
      <c r="B49" s="40"/>
      <c r="C49" s="33">
        <f t="shared" si="1"/>
        <v>8</v>
      </c>
      <c r="D49" s="33">
        <f t="shared" si="1"/>
        <v>9</v>
      </c>
      <c r="E49" s="33">
        <f t="shared" si="1"/>
        <v>10</v>
      </c>
      <c r="F49" s="33">
        <f>SUM(F$44,$A49)</f>
        <v>11</v>
      </c>
      <c r="H49" s="33">
        <f>SUM(H$44,$A49)</f>
        <v>13</v>
      </c>
      <c r="I49" s="33">
        <f>SUM(I$44,$A49)</f>
        <v>14</v>
      </c>
      <c r="J49" s="33">
        <f>SUM(J$44,$A49)</f>
        <v>15</v>
      </c>
      <c r="K49" s="33">
        <f>SUM(K$44,$A49)</f>
        <v>16</v>
      </c>
    </row>
    <row r="50" spans="1:11" x14ac:dyDescent="0.2">
      <c r="A50" s="40">
        <v>7</v>
      </c>
      <c r="B50" s="40"/>
      <c r="C50" s="33">
        <f t="shared" si="1"/>
        <v>9</v>
      </c>
      <c r="D50" s="33">
        <f t="shared" si="1"/>
        <v>10</v>
      </c>
      <c r="E50" s="33">
        <f t="shared" si="1"/>
        <v>11</v>
      </c>
      <c r="F50" s="33">
        <f>SUM(F$44,$A50)</f>
        <v>12</v>
      </c>
      <c r="G50" s="33">
        <f>SUM(G$44,$A50)</f>
        <v>13</v>
      </c>
      <c r="I50" s="33">
        <f>SUM(I$44,$A50)</f>
        <v>15</v>
      </c>
      <c r="J50" s="33">
        <f>SUM(J$44,$A50)</f>
        <v>16</v>
      </c>
      <c r="K50" s="33">
        <f>SUM(K$44,$A50)</f>
        <v>17</v>
      </c>
    </row>
    <row r="51" spans="1:11" x14ac:dyDescent="0.2">
      <c r="A51" s="40">
        <v>8</v>
      </c>
      <c r="B51" s="40"/>
      <c r="C51" s="33">
        <f t="shared" si="1"/>
        <v>10</v>
      </c>
      <c r="D51" s="33">
        <f t="shared" si="1"/>
        <v>11</v>
      </c>
      <c r="E51" s="33">
        <f t="shared" si="1"/>
        <v>12</v>
      </c>
      <c r="F51" s="33">
        <f>SUM(F$44,$A51)</f>
        <v>13</v>
      </c>
      <c r="G51" s="33">
        <f>SUM(G$44,$A51)</f>
        <v>14</v>
      </c>
      <c r="H51" s="33">
        <f>SUM(H$44,$A51)</f>
        <v>15</v>
      </c>
      <c r="J51" s="33">
        <f>SUM(J$44,$A51)</f>
        <v>17</v>
      </c>
      <c r="K51" s="33">
        <f>SUM(K$44,$A51)</f>
        <v>18</v>
      </c>
    </row>
    <row r="52" spans="1:11" x14ac:dyDescent="0.2">
      <c r="A52" s="40">
        <v>9</v>
      </c>
      <c r="B52" s="40"/>
      <c r="C52" s="33">
        <f t="shared" si="1"/>
        <v>11</v>
      </c>
      <c r="D52" s="33">
        <f t="shared" si="1"/>
        <v>12</v>
      </c>
      <c r="E52" s="33">
        <f t="shared" si="1"/>
        <v>13</v>
      </c>
      <c r="F52" s="33">
        <f>SUM(F$44,$A52)</f>
        <v>14</v>
      </c>
      <c r="G52" s="33">
        <f>SUM(G$44,$A52)</f>
        <v>15</v>
      </c>
      <c r="H52" s="33">
        <f>SUM(H$44,$A52)</f>
        <v>16</v>
      </c>
      <c r="I52" s="33">
        <f>SUM(I$44,$A52)</f>
        <v>17</v>
      </c>
      <c r="K52" s="33">
        <f>SUM(K$44,$A52)</f>
        <v>19</v>
      </c>
    </row>
    <row r="53" spans="1:11" x14ac:dyDescent="0.2">
      <c r="A53" s="40">
        <v>10</v>
      </c>
      <c r="B53" s="40"/>
      <c r="C53" s="33">
        <f t="shared" si="1"/>
        <v>12</v>
      </c>
      <c r="D53" s="33">
        <f t="shared" si="1"/>
        <v>13</v>
      </c>
      <c r="E53" s="33">
        <f t="shared" si="1"/>
        <v>14</v>
      </c>
      <c r="F53" s="33">
        <f>SUM(F$44,$A53)</f>
        <v>15</v>
      </c>
      <c r="G53" s="33">
        <f>SUM(G$44,$A53)</f>
        <v>16</v>
      </c>
      <c r="H53" s="33">
        <f>SUM(H$44,$A53)</f>
        <v>17</v>
      </c>
      <c r="I53" s="33">
        <f>SUM(I$44,$A53)</f>
        <v>18</v>
      </c>
      <c r="J53" s="33">
        <f>SUM(J$44,$A53)</f>
        <v>19</v>
      </c>
    </row>
    <row r="54" spans="1:11" x14ac:dyDescent="0.2">
      <c r="A54" s="40" t="s">
        <v>1</v>
      </c>
      <c r="B54" s="40"/>
    </row>
    <row r="56" spans="1:11" x14ac:dyDescent="0.2">
      <c r="C56" s="36" t="s">
        <v>12</v>
      </c>
    </row>
    <row r="57" spans="1:11" x14ac:dyDescent="0.2">
      <c r="A57" s="40" t="s">
        <v>13</v>
      </c>
      <c r="B57" s="40"/>
      <c r="C57" s="40">
        <v>2</v>
      </c>
      <c r="D57" s="40">
        <v>3</v>
      </c>
      <c r="E57" s="40">
        <v>4</v>
      </c>
      <c r="F57" s="40">
        <v>5</v>
      </c>
      <c r="G57" s="40">
        <v>6</v>
      </c>
      <c r="H57" s="40">
        <v>7</v>
      </c>
      <c r="I57" s="40">
        <v>8</v>
      </c>
      <c r="J57" s="40">
        <v>9</v>
      </c>
      <c r="K57" s="40">
        <v>10</v>
      </c>
    </row>
    <row r="58" spans="1:11" x14ac:dyDescent="0.2">
      <c r="A58" s="40">
        <v>2</v>
      </c>
      <c r="B58" s="40"/>
      <c r="D58" s="33">
        <f>(1/(9+Rules!$B$5))^2</f>
        <v>5.9171597633136102E-3</v>
      </c>
      <c r="E58" s="33">
        <f>(1/(9+Rules!$B$5))^2</f>
        <v>5.9171597633136102E-3</v>
      </c>
      <c r="F58" s="33">
        <f>(1/(9+Rules!$B$5))^2</f>
        <v>5.9171597633136102E-3</v>
      </c>
      <c r="G58" s="33">
        <f>(1/(9+Rules!$B$5))^2</f>
        <v>5.9171597633136102E-3</v>
      </c>
      <c r="H58" s="33">
        <f>(1/(9+Rules!$B$5))^2</f>
        <v>5.9171597633136102E-3</v>
      </c>
      <c r="I58" s="33">
        <f>(1/(9+Rules!$B$5))^2</f>
        <v>5.9171597633136102E-3</v>
      </c>
      <c r="J58" s="33">
        <f>(1/(9+Rules!$B$5))^2</f>
        <v>5.9171597633136102E-3</v>
      </c>
      <c r="K58" s="33">
        <f>(1/(9+Rules!$B$5))*(Rules!$B$5/(9+Rules!$B$5))</f>
        <v>2.3668639053254441E-2</v>
      </c>
    </row>
    <row r="59" spans="1:11" x14ac:dyDescent="0.2">
      <c r="A59" s="40">
        <v>3</v>
      </c>
      <c r="B59" s="40"/>
      <c r="C59" s="33">
        <f>(1/(9+Rules!$B$5))^2</f>
        <v>5.9171597633136102E-3</v>
      </c>
      <c r="E59" s="33">
        <f>(1/(9+Rules!$B$5))^2</f>
        <v>5.9171597633136102E-3</v>
      </c>
      <c r="F59" s="33">
        <f>(1/(9+Rules!$B$5))^2</f>
        <v>5.9171597633136102E-3</v>
      </c>
      <c r="G59" s="33">
        <f>(1/(9+Rules!$B$5))^2</f>
        <v>5.9171597633136102E-3</v>
      </c>
      <c r="H59" s="33">
        <f>(1/(9+Rules!$B$5))^2</f>
        <v>5.9171597633136102E-3</v>
      </c>
      <c r="I59" s="33">
        <f>(1/(9+Rules!$B$5))^2</f>
        <v>5.9171597633136102E-3</v>
      </c>
      <c r="J59" s="33">
        <f>(1/(9+Rules!$B$5))^2</f>
        <v>5.9171597633136102E-3</v>
      </c>
      <c r="K59" s="33">
        <f>(1/(9+Rules!$B$5))*(Rules!$B$5/(9+Rules!$B$5))</f>
        <v>2.3668639053254441E-2</v>
      </c>
    </row>
    <row r="60" spans="1:11" x14ac:dyDescent="0.2">
      <c r="A60" s="40">
        <v>4</v>
      </c>
      <c r="B60" s="40"/>
      <c r="C60" s="33">
        <f>(1/(9+Rules!$B$5))^2</f>
        <v>5.9171597633136102E-3</v>
      </c>
      <c r="D60" s="33">
        <f>(1/(9+Rules!$B$5))^2</f>
        <v>5.9171597633136102E-3</v>
      </c>
      <c r="F60" s="33">
        <f>(1/(9+Rules!$B$5))^2</f>
        <v>5.9171597633136102E-3</v>
      </c>
      <c r="G60" s="33">
        <f>(1/(9+Rules!$B$5))^2</f>
        <v>5.9171597633136102E-3</v>
      </c>
      <c r="H60" s="33">
        <f>(1/(9+Rules!$B$5))^2</f>
        <v>5.9171597633136102E-3</v>
      </c>
      <c r="I60" s="33">
        <f>(1/(9+Rules!$B$5))^2</f>
        <v>5.9171597633136102E-3</v>
      </c>
      <c r="J60" s="33">
        <f>(1/(9+Rules!$B$5))^2</f>
        <v>5.9171597633136102E-3</v>
      </c>
      <c r="K60" s="33">
        <f>(1/(9+Rules!$B$5))*(Rules!$B$5/(9+Rules!$B$5))</f>
        <v>2.3668639053254441E-2</v>
      </c>
    </row>
    <row r="61" spans="1:11" x14ac:dyDescent="0.2">
      <c r="A61" s="40">
        <v>5</v>
      </c>
      <c r="B61" s="40"/>
      <c r="C61" s="33">
        <f>(1/(9+Rules!$B$5))^2</f>
        <v>5.9171597633136102E-3</v>
      </c>
      <c r="D61" s="33">
        <f>(1/(9+Rules!$B$5))^2</f>
        <v>5.9171597633136102E-3</v>
      </c>
      <c r="E61" s="33">
        <f>(1/(9+Rules!$B$5))^2</f>
        <v>5.9171597633136102E-3</v>
      </c>
      <c r="G61" s="33">
        <f>(1/(9+Rules!$B$5))^2</f>
        <v>5.9171597633136102E-3</v>
      </c>
      <c r="H61" s="33">
        <f>(1/(9+Rules!$B$5))^2</f>
        <v>5.9171597633136102E-3</v>
      </c>
      <c r="I61" s="33">
        <f>(1/(9+Rules!$B$5))^2</f>
        <v>5.9171597633136102E-3</v>
      </c>
      <c r="J61" s="33">
        <f>(1/(9+Rules!$B$5))^2</f>
        <v>5.9171597633136102E-3</v>
      </c>
      <c r="K61" s="33">
        <f>(1/(9+Rules!$B$5))*(Rules!$B$5/(9+Rules!$B$5))</f>
        <v>2.3668639053254441E-2</v>
      </c>
    </row>
    <row r="62" spans="1:11" x14ac:dyDescent="0.2">
      <c r="A62" s="40">
        <v>6</v>
      </c>
      <c r="B62" s="40"/>
      <c r="C62" s="33">
        <f>(1/(9+Rules!$B$5))^2</f>
        <v>5.9171597633136102E-3</v>
      </c>
      <c r="D62" s="33">
        <f>(1/(9+Rules!$B$5))^2</f>
        <v>5.9171597633136102E-3</v>
      </c>
      <c r="E62" s="33">
        <f>(1/(9+Rules!$B$5))^2</f>
        <v>5.9171597633136102E-3</v>
      </c>
      <c r="F62" s="33">
        <f>(1/(9+Rules!$B$5))^2</f>
        <v>5.9171597633136102E-3</v>
      </c>
      <c r="H62" s="33">
        <f>(1/(9+Rules!$B$5))^2</f>
        <v>5.9171597633136102E-3</v>
      </c>
      <c r="I62" s="33">
        <f>(1/(9+Rules!$B$5))^2</f>
        <v>5.9171597633136102E-3</v>
      </c>
      <c r="J62" s="33">
        <f>(1/(9+Rules!$B$5))^2</f>
        <v>5.9171597633136102E-3</v>
      </c>
      <c r="K62" s="33">
        <f>(1/(9+Rules!$B$5))*(Rules!$B$5/(9+Rules!$B$5))</f>
        <v>2.3668639053254441E-2</v>
      </c>
    </row>
    <row r="63" spans="1:11" x14ac:dyDescent="0.2">
      <c r="A63" s="40">
        <v>7</v>
      </c>
      <c r="B63" s="40"/>
      <c r="C63" s="33">
        <f>(1/(9+Rules!$B$5))^2</f>
        <v>5.9171597633136102E-3</v>
      </c>
      <c r="D63" s="33">
        <f>(1/(9+Rules!$B$5))^2</f>
        <v>5.9171597633136102E-3</v>
      </c>
      <c r="E63" s="33">
        <f>(1/(9+Rules!$B$5))^2</f>
        <v>5.9171597633136102E-3</v>
      </c>
      <c r="F63" s="33">
        <f>(1/(9+Rules!$B$5))^2</f>
        <v>5.9171597633136102E-3</v>
      </c>
      <c r="G63" s="33">
        <f>(1/(9+Rules!$B$5))^2</f>
        <v>5.9171597633136102E-3</v>
      </c>
      <c r="I63" s="33">
        <f>(1/(9+Rules!$B$5))^2</f>
        <v>5.9171597633136102E-3</v>
      </c>
      <c r="J63" s="33">
        <f>(1/(9+Rules!$B$5))^2</f>
        <v>5.9171597633136102E-3</v>
      </c>
      <c r="K63" s="33">
        <f>(1/(9+Rules!$B$5))*(Rules!$B$5/(9+Rules!$B$5))</f>
        <v>2.3668639053254441E-2</v>
      </c>
    </row>
    <row r="64" spans="1:11" x14ac:dyDescent="0.2">
      <c r="A64" s="40">
        <v>8</v>
      </c>
      <c r="B64" s="40"/>
      <c r="C64" s="33">
        <f>(1/(9+Rules!$B$5))^2</f>
        <v>5.9171597633136102E-3</v>
      </c>
      <c r="D64" s="33">
        <f>(1/(9+Rules!$B$5))^2</f>
        <v>5.9171597633136102E-3</v>
      </c>
      <c r="E64" s="33">
        <f>(1/(9+Rules!$B$5))^2</f>
        <v>5.9171597633136102E-3</v>
      </c>
      <c r="F64" s="33">
        <f>(1/(9+Rules!$B$5))^2</f>
        <v>5.9171597633136102E-3</v>
      </c>
      <c r="G64" s="33">
        <f>(1/(9+Rules!$B$5))^2</f>
        <v>5.9171597633136102E-3</v>
      </c>
      <c r="H64" s="33">
        <f>(1/(9+Rules!$B$5))^2</f>
        <v>5.9171597633136102E-3</v>
      </c>
      <c r="J64" s="33">
        <f>(1/(9+Rules!$B$5))^2</f>
        <v>5.9171597633136102E-3</v>
      </c>
      <c r="K64" s="33">
        <f>(1/(9+Rules!$B$5))*(Rules!$B$5/(9+Rules!$B$5))</f>
        <v>2.3668639053254441E-2</v>
      </c>
    </row>
    <row r="65" spans="1:11" x14ac:dyDescent="0.2">
      <c r="A65" s="40">
        <v>9</v>
      </c>
      <c r="B65" s="40"/>
      <c r="C65" s="33">
        <f>(1/(9+Rules!$B$5))^2</f>
        <v>5.9171597633136102E-3</v>
      </c>
      <c r="D65" s="33">
        <f>(1/(9+Rules!$B$5))^2</f>
        <v>5.9171597633136102E-3</v>
      </c>
      <c r="E65" s="33">
        <f>(1/(9+Rules!$B$5))^2</f>
        <v>5.9171597633136102E-3</v>
      </c>
      <c r="F65" s="33">
        <f>(1/(9+Rules!$B$5))^2</f>
        <v>5.9171597633136102E-3</v>
      </c>
      <c r="G65" s="33">
        <f>(1/(9+Rules!$B$5))^2</f>
        <v>5.9171597633136102E-3</v>
      </c>
      <c r="H65" s="33">
        <f>(1/(9+Rules!$B$5))^2</f>
        <v>5.9171597633136102E-3</v>
      </c>
      <c r="I65" s="33">
        <f>(1/(9+Rules!$B$5))^2</f>
        <v>5.9171597633136102E-3</v>
      </c>
      <c r="K65" s="33">
        <f>(1/(9+Rules!$B$5))*(Rules!$B$5/(9+Rules!$B$5))</f>
        <v>2.3668639053254441E-2</v>
      </c>
    </row>
    <row r="66" spans="1:11" x14ac:dyDescent="0.2">
      <c r="A66" s="40">
        <v>10</v>
      </c>
      <c r="B66" s="40"/>
      <c r="C66" s="33">
        <f>(1/(9+Rules!$B$5))*(Rules!$B$5/(9+Rules!$B$5))</f>
        <v>2.3668639053254441E-2</v>
      </c>
      <c r="D66" s="33">
        <f>(1/(9+Rules!$B$5))*(Rules!$B$5/(9+Rules!$B$5))</f>
        <v>2.3668639053254441E-2</v>
      </c>
      <c r="E66" s="33">
        <f>(1/(9+Rules!$B$5))*(Rules!$B$5/(9+Rules!$B$5))</f>
        <v>2.3668639053254441E-2</v>
      </c>
      <c r="F66" s="33">
        <f>(1/(9+Rules!$B$5))*(Rules!$B$5/(9+Rules!$B$5))</f>
        <v>2.3668639053254441E-2</v>
      </c>
      <c r="G66" s="33">
        <f>(1/(9+Rules!$B$5))*(Rules!$B$5/(9+Rules!$B$5))</f>
        <v>2.3668639053254441E-2</v>
      </c>
      <c r="H66" s="33">
        <f>(1/(9+Rules!$B$5))*(Rules!$B$5/(9+Rules!$B$5))</f>
        <v>2.3668639053254441E-2</v>
      </c>
      <c r="I66" s="33">
        <f>(1/(9+Rules!$B$5))*(Rules!$B$5/(9+Rules!$B$5))</f>
        <v>2.3668639053254441E-2</v>
      </c>
      <c r="J66" s="33">
        <f>(1/(9+Rules!$B$5))*(Rules!$B$5/(9+Rules!$B$5))</f>
        <v>2.3668639053254441E-2</v>
      </c>
    </row>
    <row r="67" spans="1:11" x14ac:dyDescent="0.2">
      <c r="A67" s="40" t="s">
        <v>1</v>
      </c>
      <c r="B67" s="40"/>
    </row>
    <row r="69" spans="1:11" x14ac:dyDescent="0.2">
      <c r="A69" s="40"/>
      <c r="B69" s="40"/>
    </row>
    <row r="70" spans="1:11" x14ac:dyDescent="0.2">
      <c r="A70" s="33" t="s">
        <v>9</v>
      </c>
      <c r="C70" s="33" t="s">
        <v>14</v>
      </c>
      <c r="E70" s="33" t="s">
        <v>15</v>
      </c>
    </row>
    <row r="71" spans="1:11" ht="16" x14ac:dyDescent="0.2">
      <c r="A71" s="33">
        <v>5</v>
      </c>
      <c r="C71" s="33">
        <f t="shared" ref="C71:C85" si="2">SUMIF($C$45:$K$53,A71,$C$58:$K$66)</f>
        <v>1.183431952662722E-2</v>
      </c>
      <c r="E71" s="41">
        <f>C71</f>
        <v>1.183431952662722E-2</v>
      </c>
    </row>
    <row r="72" spans="1:11" ht="16" x14ac:dyDescent="0.2">
      <c r="A72" s="33">
        <v>6</v>
      </c>
      <c r="C72" s="33">
        <f t="shared" si="2"/>
        <v>1.183431952662722E-2</v>
      </c>
      <c r="E72" s="41">
        <f t="shared" ref="E72:E85" si="3">C72</f>
        <v>1.183431952662722E-2</v>
      </c>
    </row>
    <row r="73" spans="1:11" ht="16" x14ac:dyDescent="0.2">
      <c r="A73" s="33">
        <v>7</v>
      </c>
      <c r="C73" s="33">
        <f t="shared" si="2"/>
        <v>2.3668639053254441E-2</v>
      </c>
      <c r="E73" s="41">
        <f t="shared" si="3"/>
        <v>2.3668639053254441E-2</v>
      </c>
    </row>
    <row r="74" spans="1:11" ht="16" x14ac:dyDescent="0.2">
      <c r="A74" s="33">
        <v>8</v>
      </c>
      <c r="C74" s="33">
        <f t="shared" si="2"/>
        <v>2.3668639053254441E-2</v>
      </c>
      <c r="E74" s="41">
        <f t="shared" si="3"/>
        <v>2.3668639053254441E-2</v>
      </c>
    </row>
    <row r="75" spans="1:11" ht="16" x14ac:dyDescent="0.2">
      <c r="A75" s="33">
        <v>9</v>
      </c>
      <c r="C75" s="33">
        <f t="shared" si="2"/>
        <v>3.5502958579881665E-2</v>
      </c>
      <c r="E75" s="41">
        <f t="shared" si="3"/>
        <v>3.5502958579881665E-2</v>
      </c>
    </row>
    <row r="76" spans="1:11" ht="16" x14ac:dyDescent="0.2">
      <c r="A76" s="33">
        <v>10</v>
      </c>
      <c r="C76" s="33">
        <f t="shared" si="2"/>
        <v>3.5502958579881665E-2</v>
      </c>
      <c r="E76" s="41">
        <f t="shared" si="3"/>
        <v>3.5502958579881665E-2</v>
      </c>
    </row>
    <row r="77" spans="1:11" ht="16" x14ac:dyDescent="0.2">
      <c r="A77" s="33">
        <v>11</v>
      </c>
      <c r="C77" s="33">
        <f t="shared" si="2"/>
        <v>4.7337278106508889E-2</v>
      </c>
      <c r="E77" s="41">
        <f t="shared" si="3"/>
        <v>4.7337278106508889E-2</v>
      </c>
    </row>
    <row r="78" spans="1:11" ht="16" x14ac:dyDescent="0.2">
      <c r="A78" s="33">
        <v>12</v>
      </c>
      <c r="C78" s="33">
        <f t="shared" si="2"/>
        <v>8.2840236686390553E-2</v>
      </c>
      <c r="E78" s="41">
        <f t="shared" si="3"/>
        <v>8.2840236686390553E-2</v>
      </c>
    </row>
    <row r="79" spans="1:11" ht="16" x14ac:dyDescent="0.2">
      <c r="A79" s="33">
        <v>13</v>
      </c>
      <c r="C79" s="33">
        <f t="shared" si="2"/>
        <v>8.2840236686390553E-2</v>
      </c>
      <c r="E79" s="41">
        <f t="shared" si="3"/>
        <v>8.2840236686390553E-2</v>
      </c>
    </row>
    <row r="80" spans="1:11" ht="16" x14ac:dyDescent="0.2">
      <c r="A80" s="33">
        <v>14</v>
      </c>
      <c r="C80" s="33">
        <f t="shared" si="2"/>
        <v>7.1005917159763329E-2</v>
      </c>
      <c r="E80" s="41">
        <f t="shared" si="3"/>
        <v>7.1005917159763329E-2</v>
      </c>
    </row>
    <row r="81" spans="1:5" ht="16" x14ac:dyDescent="0.2">
      <c r="A81" s="33">
        <v>15</v>
      </c>
      <c r="C81" s="33">
        <f t="shared" si="2"/>
        <v>7.1005917159763329E-2</v>
      </c>
      <c r="E81" s="41">
        <f t="shared" si="3"/>
        <v>7.1005917159763329E-2</v>
      </c>
    </row>
    <row r="82" spans="1:5" ht="16" x14ac:dyDescent="0.2">
      <c r="A82" s="33">
        <v>16</v>
      </c>
      <c r="C82" s="33">
        <f t="shared" si="2"/>
        <v>5.9171597633136105E-2</v>
      </c>
      <c r="E82" s="41">
        <f t="shared" si="3"/>
        <v>5.9171597633136105E-2</v>
      </c>
    </row>
    <row r="83" spans="1:5" ht="16" x14ac:dyDescent="0.2">
      <c r="A83" s="33">
        <v>17</v>
      </c>
      <c r="C83" s="33">
        <f t="shared" si="2"/>
        <v>5.9171597633136105E-2</v>
      </c>
      <c r="E83" s="41">
        <f t="shared" si="3"/>
        <v>5.9171597633136105E-2</v>
      </c>
    </row>
    <row r="84" spans="1:5" ht="16" x14ac:dyDescent="0.2">
      <c r="A84" s="33">
        <v>18</v>
      </c>
      <c r="C84" s="33">
        <f t="shared" si="2"/>
        <v>4.7337278106508882E-2</v>
      </c>
      <c r="E84" s="41">
        <f t="shared" si="3"/>
        <v>4.7337278106508882E-2</v>
      </c>
    </row>
    <row r="85" spans="1:5" ht="16" x14ac:dyDescent="0.2">
      <c r="A85" s="33">
        <v>19</v>
      </c>
      <c r="C85" s="33">
        <f t="shared" si="2"/>
        <v>4.7337278106508882E-2</v>
      </c>
      <c r="E85" s="41">
        <f t="shared" si="3"/>
        <v>4.7337278106508882E-2</v>
      </c>
    </row>
    <row r="87" spans="1:5" x14ac:dyDescent="0.2">
      <c r="C87" s="33">
        <f>SUM(C71:C86)</f>
        <v>0.71005917159763332</v>
      </c>
    </row>
  </sheetData>
  <sheetProtection sheet="1" objects="1" scenarios="1"/>
  <mergeCells count="1">
    <mergeCell ref="A1:K1"/>
  </mergeCells>
  <phoneticPr fontId="16" type="noConversion"/>
  <conditionalFormatting sqref="B19:K27 B29:K39 B3:K17">
    <cfRule type="containsText" dxfId="845" priority="15" operator="containsText" text="R">
      <formula>NOT(ISERROR(SEARCH("R",B3)))</formula>
    </cfRule>
    <cfRule type="containsText" dxfId="844" priority="16" operator="containsText" text="D">
      <formula>NOT(ISERROR(SEARCH("D",B3)))</formula>
    </cfRule>
    <cfRule type="containsText" dxfId="843" priority="17" operator="containsText" text="S">
      <formula>NOT(ISERROR(SEARCH("S",B3)))</formula>
    </cfRule>
    <cfRule type="containsText" dxfId="842" priority="18" operator="containsText" text="H">
      <formula>NOT(ISERROR(SEARCH("H",B3)))</formula>
    </cfRule>
  </conditionalFormatting>
  <conditionalFormatting sqref="B19:K27 B29:K39 B3:K17">
    <cfRule type="containsText" dxfId="841" priority="14" operator="containsText" text="P">
      <formula>NOT(ISERROR(SEARCH("P",B3)))</formula>
    </cfRule>
  </conditionalFormatting>
  <conditionalFormatting sqref="C43">
    <cfRule type="containsText" dxfId="840" priority="10" operator="containsText" text="R">
      <formula>NOT(ISERROR(SEARCH("R",C43)))</formula>
    </cfRule>
    <cfRule type="containsText" dxfId="839" priority="11" operator="containsText" text="D">
      <formula>NOT(ISERROR(SEARCH("D",C43)))</formula>
    </cfRule>
    <cfRule type="containsText" dxfId="838" priority="12" operator="containsText" text="S">
      <formula>NOT(ISERROR(SEARCH("S",C43)))</formula>
    </cfRule>
    <cfRule type="containsText" dxfId="837" priority="13" operator="containsText" text="H">
      <formula>NOT(ISERROR(SEARCH("H",C43)))</formula>
    </cfRule>
  </conditionalFormatting>
  <conditionalFormatting sqref="C43">
    <cfRule type="containsText" dxfId="836" priority="9" operator="containsText" text="P">
      <formula>NOT(ISERROR(SEARCH("P",C43)))</formula>
    </cfRule>
  </conditionalFormatting>
  <conditionalFormatting sqref="C56">
    <cfRule type="containsText" dxfId="835" priority="5" operator="containsText" text="R">
      <formula>NOT(ISERROR(SEARCH("R",C56)))</formula>
    </cfRule>
    <cfRule type="containsText" dxfId="834" priority="6" operator="containsText" text="D">
      <formula>NOT(ISERROR(SEARCH("D",C56)))</formula>
    </cfRule>
    <cfRule type="containsText" dxfId="833" priority="7" operator="containsText" text="S">
      <formula>NOT(ISERROR(SEARCH("S",C56)))</formula>
    </cfRule>
    <cfRule type="containsText" dxfId="832" priority="8" operator="containsText" text="H">
      <formula>NOT(ISERROR(SEARCH("H",C56)))</formula>
    </cfRule>
  </conditionalFormatting>
  <conditionalFormatting sqref="C56">
    <cfRule type="containsText" dxfId="831" priority="4" operator="containsText" text="P">
      <formula>NOT(ISERROR(SEARCH("P",C56)))</formula>
    </cfRule>
  </conditionalFormatting>
  <conditionalFormatting sqref="B3:K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K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K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000000000000011" bottom="0.75000000000000011" header="0.30000000000000004" footer="0.30000000000000004"/>
  <pageSetup paperSize="9" scale="3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2:AF122"/>
  <sheetViews>
    <sheetView topLeftCell="A105" zoomScale="85" workbookViewId="0">
      <selection activeCell="C17" sqref="C17"/>
    </sheetView>
  </sheetViews>
  <sheetFormatPr baseColWidth="10" defaultColWidth="11" defaultRowHeight="16" x14ac:dyDescent="0.2"/>
  <cols>
    <col min="2" max="3" width="12" bestFit="1" customWidth="1"/>
  </cols>
  <sheetData>
    <row r="2" spans="1:18" x14ac:dyDescent="0.2">
      <c r="A2" s="33"/>
      <c r="B2" s="33"/>
      <c r="C2" s="36" t="s">
        <v>12</v>
      </c>
      <c r="D2" s="33"/>
      <c r="E2" s="33"/>
      <c r="F2" s="33"/>
      <c r="G2" s="33"/>
      <c r="H2" s="33"/>
      <c r="I2" s="33"/>
      <c r="J2" s="33"/>
      <c r="K2" s="33"/>
      <c r="N2" t="s">
        <v>91</v>
      </c>
      <c r="O2" t="s">
        <v>14</v>
      </c>
      <c r="Q2" t="s">
        <v>92</v>
      </c>
      <c r="R2" t="s">
        <v>14</v>
      </c>
    </row>
    <row r="3" spans="1:18" x14ac:dyDescent="0.2">
      <c r="A3" s="40" t="s">
        <v>13</v>
      </c>
      <c r="B3" s="40"/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</v>
      </c>
      <c r="N3" s="33">
        <v>4</v>
      </c>
      <c r="O3">
        <f>SUMIF($C$4:$K$12,N3,$C$17:$K$25)</f>
        <v>5.9171597633136093E-3</v>
      </c>
      <c r="Q3">
        <v>12</v>
      </c>
      <c r="R3">
        <f>SUMIF($L$4:$L$13,Q3,$L$17:$L$26)+SUMIF($C$13:$K$13,Q3,$C$26:$K$26)</f>
        <v>5.9171597633136093E-3</v>
      </c>
    </row>
    <row r="4" spans="1:18" x14ac:dyDescent="0.2">
      <c r="A4" s="40">
        <v>2</v>
      </c>
      <c r="B4" s="40"/>
      <c r="C4" s="33">
        <f>SUM(C$3,$A4)</f>
        <v>4</v>
      </c>
      <c r="D4" s="33">
        <f t="shared" ref="D4:K4" si="0">SUM(D$3,$A4)</f>
        <v>5</v>
      </c>
      <c r="E4" s="33">
        <f t="shared" si="0"/>
        <v>6</v>
      </c>
      <c r="F4" s="33">
        <f t="shared" si="0"/>
        <v>7</v>
      </c>
      <c r="G4" s="33">
        <f t="shared" si="0"/>
        <v>8</v>
      </c>
      <c r="H4" s="33">
        <f t="shared" si="0"/>
        <v>9</v>
      </c>
      <c r="I4" s="33">
        <f t="shared" si="0"/>
        <v>10</v>
      </c>
      <c r="J4" s="33">
        <f t="shared" si="0"/>
        <v>11</v>
      </c>
      <c r="K4" s="33">
        <f t="shared" si="0"/>
        <v>12</v>
      </c>
      <c r="L4" s="33">
        <f>SUM(L$3,$A4)+10</f>
        <v>13</v>
      </c>
      <c r="N4">
        <v>5</v>
      </c>
      <c r="O4">
        <f t="shared" ref="O4:O19" si="1">SUMIF($C$4:$K$12,N4,$C$17:$K$25)</f>
        <v>1.183431952662722E-2</v>
      </c>
      <c r="Q4">
        <v>13</v>
      </c>
      <c r="R4">
        <f>SUMIF($L$4:$L$13,Q4,$L$17:$L$26)+SUMIF($C$13:$K$13,Q4,$C$26:$K$26)</f>
        <v>1.183431952662722E-2</v>
      </c>
    </row>
    <row r="5" spans="1:18" x14ac:dyDescent="0.2">
      <c r="A5" s="40">
        <v>3</v>
      </c>
      <c r="B5" s="40"/>
      <c r="C5" s="33">
        <f t="shared" ref="C5:K12" si="2">SUM(C$3,$A5)</f>
        <v>5</v>
      </c>
      <c r="D5" s="33">
        <f t="shared" si="2"/>
        <v>6</v>
      </c>
      <c r="E5" s="33">
        <f t="shared" si="2"/>
        <v>7</v>
      </c>
      <c r="F5" s="33">
        <f t="shared" si="2"/>
        <v>8</v>
      </c>
      <c r="G5" s="33">
        <f t="shared" si="2"/>
        <v>9</v>
      </c>
      <c r="H5" s="33">
        <f t="shared" si="2"/>
        <v>10</v>
      </c>
      <c r="I5" s="33">
        <f t="shared" si="2"/>
        <v>11</v>
      </c>
      <c r="J5" s="33">
        <f t="shared" si="2"/>
        <v>12</v>
      </c>
      <c r="K5" s="33">
        <f t="shared" si="2"/>
        <v>13</v>
      </c>
      <c r="L5" s="33">
        <f t="shared" ref="L5:L13" si="3">SUM(L$3,$A5)+10</f>
        <v>14</v>
      </c>
      <c r="N5" s="33">
        <v>6</v>
      </c>
      <c r="O5">
        <f t="shared" si="1"/>
        <v>1.7751479289940829E-2</v>
      </c>
      <c r="Q5">
        <v>14</v>
      </c>
      <c r="R5">
        <f t="shared" ref="R5:R12" si="4">SUMIF($L$4:$L$13,Q5,$L$17:$L$26)+SUMIF($C$13:$K$13,Q5,$C$26:$K$26)</f>
        <v>1.183431952662722E-2</v>
      </c>
    </row>
    <row r="6" spans="1:18" x14ac:dyDescent="0.2">
      <c r="A6" s="40">
        <v>4</v>
      </c>
      <c r="B6" s="40"/>
      <c r="C6" s="33">
        <f t="shared" si="2"/>
        <v>6</v>
      </c>
      <c r="D6" s="33">
        <f t="shared" si="2"/>
        <v>7</v>
      </c>
      <c r="E6" s="33">
        <f t="shared" si="2"/>
        <v>8</v>
      </c>
      <c r="F6" s="33">
        <f t="shared" si="2"/>
        <v>9</v>
      </c>
      <c r="G6" s="33">
        <f t="shared" si="2"/>
        <v>10</v>
      </c>
      <c r="H6" s="33">
        <f t="shared" si="2"/>
        <v>11</v>
      </c>
      <c r="I6" s="33">
        <f t="shared" si="2"/>
        <v>12</v>
      </c>
      <c r="J6" s="33">
        <f t="shared" si="2"/>
        <v>13</v>
      </c>
      <c r="K6" s="33">
        <f t="shared" si="2"/>
        <v>14</v>
      </c>
      <c r="L6" s="33">
        <f t="shared" si="3"/>
        <v>15</v>
      </c>
      <c r="N6">
        <v>7</v>
      </c>
      <c r="O6">
        <f t="shared" si="1"/>
        <v>2.3668639053254441E-2</v>
      </c>
      <c r="Q6">
        <v>15</v>
      </c>
      <c r="R6">
        <f t="shared" si="4"/>
        <v>1.183431952662722E-2</v>
      </c>
    </row>
    <row r="7" spans="1:18" x14ac:dyDescent="0.2">
      <c r="A7" s="40">
        <v>5</v>
      </c>
      <c r="B7" s="40"/>
      <c r="C7" s="33">
        <f t="shared" si="2"/>
        <v>7</v>
      </c>
      <c r="D7" s="33">
        <f t="shared" si="2"/>
        <v>8</v>
      </c>
      <c r="E7" s="33">
        <f t="shared" si="2"/>
        <v>9</v>
      </c>
      <c r="F7" s="33">
        <f t="shared" si="2"/>
        <v>10</v>
      </c>
      <c r="G7" s="33">
        <f t="shared" si="2"/>
        <v>11</v>
      </c>
      <c r="H7" s="33">
        <f t="shared" si="2"/>
        <v>12</v>
      </c>
      <c r="I7" s="33">
        <f t="shared" si="2"/>
        <v>13</v>
      </c>
      <c r="J7" s="33">
        <f t="shared" si="2"/>
        <v>14</v>
      </c>
      <c r="K7" s="33">
        <f t="shared" si="2"/>
        <v>15</v>
      </c>
      <c r="L7" s="33">
        <f t="shared" si="3"/>
        <v>16</v>
      </c>
      <c r="N7" s="33">
        <v>8</v>
      </c>
      <c r="O7">
        <f t="shared" si="1"/>
        <v>2.9585798816568053E-2</v>
      </c>
      <c r="Q7">
        <v>16</v>
      </c>
      <c r="R7">
        <f t="shared" si="4"/>
        <v>1.183431952662722E-2</v>
      </c>
    </row>
    <row r="8" spans="1:18" x14ac:dyDescent="0.2">
      <c r="A8" s="40">
        <v>6</v>
      </c>
      <c r="B8" s="40"/>
      <c r="C8" s="33">
        <f t="shared" si="2"/>
        <v>8</v>
      </c>
      <c r="D8" s="33">
        <f t="shared" si="2"/>
        <v>9</v>
      </c>
      <c r="E8" s="33">
        <f t="shared" si="2"/>
        <v>10</v>
      </c>
      <c r="F8" s="33">
        <f t="shared" si="2"/>
        <v>11</v>
      </c>
      <c r="G8" s="33">
        <f t="shared" si="2"/>
        <v>12</v>
      </c>
      <c r="H8" s="33">
        <f t="shared" si="2"/>
        <v>13</v>
      </c>
      <c r="I8" s="33">
        <f t="shared" si="2"/>
        <v>14</v>
      </c>
      <c r="J8" s="33">
        <f t="shared" si="2"/>
        <v>15</v>
      </c>
      <c r="K8" s="33">
        <f t="shared" si="2"/>
        <v>16</v>
      </c>
      <c r="L8" s="33">
        <f t="shared" si="3"/>
        <v>17</v>
      </c>
      <c r="N8">
        <v>9</v>
      </c>
      <c r="O8">
        <f t="shared" si="1"/>
        <v>3.5502958579881665E-2</v>
      </c>
      <c r="Q8">
        <v>17</v>
      </c>
      <c r="R8">
        <f t="shared" si="4"/>
        <v>1.183431952662722E-2</v>
      </c>
    </row>
    <row r="9" spans="1:18" x14ac:dyDescent="0.2">
      <c r="A9" s="40">
        <v>7</v>
      </c>
      <c r="B9" s="40"/>
      <c r="C9" s="33">
        <f t="shared" si="2"/>
        <v>9</v>
      </c>
      <c r="D9" s="33">
        <f t="shared" si="2"/>
        <v>10</v>
      </c>
      <c r="E9" s="33">
        <f t="shared" si="2"/>
        <v>11</v>
      </c>
      <c r="F9" s="33">
        <f t="shared" si="2"/>
        <v>12</v>
      </c>
      <c r="G9" s="33">
        <f t="shared" si="2"/>
        <v>13</v>
      </c>
      <c r="H9" s="33">
        <f t="shared" si="2"/>
        <v>14</v>
      </c>
      <c r="I9" s="33">
        <f t="shared" si="2"/>
        <v>15</v>
      </c>
      <c r="J9" s="33">
        <f t="shared" si="2"/>
        <v>16</v>
      </c>
      <c r="K9" s="33">
        <f t="shared" si="2"/>
        <v>17</v>
      </c>
      <c r="L9" s="33">
        <f t="shared" si="3"/>
        <v>18</v>
      </c>
      <c r="N9" s="33">
        <v>10</v>
      </c>
      <c r="O9">
        <f t="shared" si="1"/>
        <v>4.142011834319527E-2</v>
      </c>
      <c r="Q9">
        <v>18</v>
      </c>
      <c r="R9">
        <f t="shared" si="4"/>
        <v>1.183431952662722E-2</v>
      </c>
    </row>
    <row r="10" spans="1:18" x14ac:dyDescent="0.2">
      <c r="A10" s="40">
        <v>8</v>
      </c>
      <c r="B10" s="40"/>
      <c r="C10" s="33">
        <f t="shared" si="2"/>
        <v>10</v>
      </c>
      <c r="D10" s="33">
        <f t="shared" si="2"/>
        <v>11</v>
      </c>
      <c r="E10" s="33">
        <f t="shared" si="2"/>
        <v>12</v>
      </c>
      <c r="F10" s="33">
        <f t="shared" si="2"/>
        <v>13</v>
      </c>
      <c r="G10" s="33">
        <f t="shared" si="2"/>
        <v>14</v>
      </c>
      <c r="H10" s="33">
        <f t="shared" si="2"/>
        <v>15</v>
      </c>
      <c r="I10" s="33">
        <f t="shared" si="2"/>
        <v>16</v>
      </c>
      <c r="J10" s="33">
        <f t="shared" si="2"/>
        <v>17</v>
      </c>
      <c r="K10" s="33">
        <f t="shared" si="2"/>
        <v>18</v>
      </c>
      <c r="L10" s="33">
        <f t="shared" si="3"/>
        <v>19</v>
      </c>
      <c r="N10">
        <v>11</v>
      </c>
      <c r="O10">
        <f t="shared" si="1"/>
        <v>4.7337278106508889E-2</v>
      </c>
      <c r="Q10">
        <v>19</v>
      </c>
      <c r="R10">
        <f t="shared" si="4"/>
        <v>1.183431952662722E-2</v>
      </c>
    </row>
    <row r="11" spans="1:18" x14ac:dyDescent="0.2">
      <c r="A11" s="40">
        <v>9</v>
      </c>
      <c r="B11" s="40"/>
      <c r="C11" s="33">
        <f t="shared" si="2"/>
        <v>11</v>
      </c>
      <c r="D11" s="33">
        <f t="shared" si="2"/>
        <v>12</v>
      </c>
      <c r="E11" s="33">
        <f t="shared" si="2"/>
        <v>13</v>
      </c>
      <c r="F11" s="33">
        <f t="shared" si="2"/>
        <v>14</v>
      </c>
      <c r="G11" s="33">
        <f t="shared" si="2"/>
        <v>15</v>
      </c>
      <c r="H11" s="33">
        <f t="shared" si="2"/>
        <v>16</v>
      </c>
      <c r="I11" s="33">
        <f t="shared" si="2"/>
        <v>17</v>
      </c>
      <c r="J11" s="33">
        <f t="shared" si="2"/>
        <v>18</v>
      </c>
      <c r="K11" s="33">
        <f t="shared" si="2"/>
        <v>19</v>
      </c>
      <c r="L11" s="33">
        <f t="shared" si="3"/>
        <v>20</v>
      </c>
      <c r="N11" s="33">
        <v>12</v>
      </c>
      <c r="O11">
        <f t="shared" si="1"/>
        <v>8.8757396449704151E-2</v>
      </c>
      <c r="Q11">
        <v>20</v>
      </c>
      <c r="R11">
        <f t="shared" si="4"/>
        <v>1.183431952662722E-2</v>
      </c>
    </row>
    <row r="12" spans="1:18" x14ac:dyDescent="0.2">
      <c r="A12" s="40">
        <v>10</v>
      </c>
      <c r="B12" s="40"/>
      <c r="C12" s="33">
        <f t="shared" si="2"/>
        <v>12</v>
      </c>
      <c r="D12" s="33">
        <f t="shared" si="2"/>
        <v>13</v>
      </c>
      <c r="E12" s="33">
        <f t="shared" si="2"/>
        <v>14</v>
      </c>
      <c r="F12" s="33">
        <f t="shared" si="2"/>
        <v>15</v>
      </c>
      <c r="G12" s="33">
        <f t="shared" si="2"/>
        <v>16</v>
      </c>
      <c r="H12" s="33">
        <f t="shared" si="2"/>
        <v>17</v>
      </c>
      <c r="I12" s="33">
        <f t="shared" si="2"/>
        <v>18</v>
      </c>
      <c r="J12" s="33">
        <f t="shared" si="2"/>
        <v>19</v>
      </c>
      <c r="K12" s="33">
        <f t="shared" si="2"/>
        <v>20</v>
      </c>
      <c r="L12" s="33">
        <f t="shared" si="3"/>
        <v>21</v>
      </c>
      <c r="N12">
        <v>13</v>
      </c>
      <c r="O12">
        <f t="shared" si="1"/>
        <v>8.2840236686390553E-2</v>
      </c>
      <c r="Q12">
        <v>21</v>
      </c>
      <c r="R12">
        <f t="shared" si="4"/>
        <v>4.7337278106508882E-2</v>
      </c>
    </row>
    <row r="13" spans="1:18" x14ac:dyDescent="0.2">
      <c r="A13" s="40">
        <v>1</v>
      </c>
      <c r="B13" s="40"/>
      <c r="C13" s="33">
        <f t="shared" ref="C13:K13" si="5">SUM(C$3,$A13)+10</f>
        <v>13</v>
      </c>
      <c r="D13" s="33">
        <f t="shared" si="5"/>
        <v>14</v>
      </c>
      <c r="E13" s="33">
        <f t="shared" si="5"/>
        <v>15</v>
      </c>
      <c r="F13" s="33">
        <f t="shared" si="5"/>
        <v>16</v>
      </c>
      <c r="G13" s="33">
        <f t="shared" si="5"/>
        <v>17</v>
      </c>
      <c r="H13" s="33">
        <f t="shared" si="5"/>
        <v>18</v>
      </c>
      <c r="I13" s="33">
        <f t="shared" si="5"/>
        <v>19</v>
      </c>
      <c r="J13" s="33">
        <f t="shared" si="5"/>
        <v>20</v>
      </c>
      <c r="K13" s="33">
        <f t="shared" si="5"/>
        <v>21</v>
      </c>
      <c r="L13" s="33">
        <f t="shared" si="3"/>
        <v>12</v>
      </c>
      <c r="N13" s="33">
        <v>14</v>
      </c>
      <c r="O13">
        <f t="shared" si="1"/>
        <v>7.6923076923076941E-2</v>
      </c>
    </row>
    <row r="14" spans="1:18" x14ac:dyDescent="0.2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N14">
        <v>15</v>
      </c>
      <c r="O14">
        <f t="shared" si="1"/>
        <v>7.1005917159763329E-2</v>
      </c>
      <c r="R14">
        <f>SUM(R3:R13)</f>
        <v>0.14792899408284027</v>
      </c>
    </row>
    <row r="15" spans="1:18" x14ac:dyDescent="0.2">
      <c r="A15" s="33"/>
      <c r="B15" s="33"/>
      <c r="C15" s="36" t="s">
        <v>12</v>
      </c>
      <c r="D15" s="33"/>
      <c r="E15" s="33"/>
      <c r="F15" s="33"/>
      <c r="G15" s="33"/>
      <c r="H15" s="33"/>
      <c r="I15" s="33"/>
      <c r="J15" s="33"/>
      <c r="K15" s="33"/>
      <c r="N15" s="33">
        <v>16</v>
      </c>
      <c r="O15">
        <f t="shared" si="1"/>
        <v>6.5088757396449717E-2</v>
      </c>
      <c r="R15">
        <f>R14+O23</f>
        <v>1.0000000000000002</v>
      </c>
    </row>
    <row r="16" spans="1:18" x14ac:dyDescent="0.2">
      <c r="A16" s="40" t="s">
        <v>13</v>
      </c>
      <c r="B16" s="40"/>
      <c r="C16" s="40">
        <v>2</v>
      </c>
      <c r="D16" s="40">
        <v>3</v>
      </c>
      <c r="E16" s="40">
        <v>4</v>
      </c>
      <c r="F16" s="40">
        <v>5</v>
      </c>
      <c r="G16" s="40">
        <v>6</v>
      </c>
      <c r="H16" s="40">
        <v>7</v>
      </c>
      <c r="I16" s="40">
        <v>8</v>
      </c>
      <c r="J16" s="40">
        <v>9</v>
      </c>
      <c r="K16" s="40">
        <v>10</v>
      </c>
      <c r="L16" s="40">
        <v>1</v>
      </c>
      <c r="N16">
        <v>17</v>
      </c>
      <c r="O16">
        <f t="shared" si="1"/>
        <v>5.9171597633136105E-2</v>
      </c>
    </row>
    <row r="17" spans="1:32" x14ac:dyDescent="0.2">
      <c r="A17" s="40">
        <v>2</v>
      </c>
      <c r="B17" s="40"/>
      <c r="C17" s="33">
        <f>1/(9+Rules!$B$5)^2</f>
        <v>5.9171597633136093E-3</v>
      </c>
      <c r="D17" s="33">
        <f>(1/(9+Rules!$B$5))^2</f>
        <v>5.9171597633136102E-3</v>
      </c>
      <c r="E17" s="33">
        <f>(1/(9+Rules!$B$5))^2</f>
        <v>5.9171597633136102E-3</v>
      </c>
      <c r="F17" s="33">
        <f>(1/(9+Rules!$B$5))^2</f>
        <v>5.9171597633136102E-3</v>
      </c>
      <c r="G17" s="33">
        <f>(1/(9+Rules!$B$5))^2</f>
        <v>5.9171597633136102E-3</v>
      </c>
      <c r="H17" s="33">
        <f>(1/(9+Rules!$B$5))^2</f>
        <v>5.9171597633136102E-3</v>
      </c>
      <c r="I17" s="33">
        <f>(1/(9+Rules!$B$5))^2</f>
        <v>5.9171597633136102E-3</v>
      </c>
      <c r="J17" s="33">
        <f>(1/(9+Rules!$B$5))^2</f>
        <v>5.9171597633136102E-3</v>
      </c>
      <c r="K17" s="33">
        <f>(1/(9+Rules!$B$5))*(Rules!$B$5/(9+Rules!$B$5))</f>
        <v>2.3668639053254441E-2</v>
      </c>
      <c r="L17" s="33">
        <f>(1/(9+Rules!$B$5))^2</f>
        <v>5.9171597633136102E-3</v>
      </c>
      <c r="N17" s="33">
        <v>18</v>
      </c>
      <c r="O17">
        <f t="shared" si="1"/>
        <v>5.3254437869822494E-2</v>
      </c>
    </row>
    <row r="18" spans="1:32" x14ac:dyDescent="0.2">
      <c r="A18" s="40">
        <v>3</v>
      </c>
      <c r="B18" s="40"/>
      <c r="C18" s="33">
        <f>(1/(9+Rules!$B$5))^2</f>
        <v>5.9171597633136102E-3</v>
      </c>
      <c r="D18" s="33">
        <f>1/(9+Rules!$B$5)^2</f>
        <v>5.9171597633136093E-3</v>
      </c>
      <c r="E18" s="33">
        <f>(1/(9+Rules!$B$5))^2</f>
        <v>5.9171597633136102E-3</v>
      </c>
      <c r="F18" s="33">
        <f>(1/(9+Rules!$B$5))^2</f>
        <v>5.9171597633136102E-3</v>
      </c>
      <c r="G18" s="33">
        <f>(1/(9+Rules!$B$5))^2</f>
        <v>5.9171597633136102E-3</v>
      </c>
      <c r="H18" s="33">
        <f>(1/(9+Rules!$B$5))^2</f>
        <v>5.9171597633136102E-3</v>
      </c>
      <c r="I18" s="33">
        <f>(1/(9+Rules!$B$5))^2</f>
        <v>5.9171597633136102E-3</v>
      </c>
      <c r="J18" s="33">
        <f>(1/(9+Rules!$B$5))^2</f>
        <v>5.9171597633136102E-3</v>
      </c>
      <c r="K18" s="33">
        <f>(1/(9+Rules!$B$5))*(Rules!$B$5/(9+Rules!$B$5))</f>
        <v>2.3668639053254441E-2</v>
      </c>
      <c r="L18" s="33">
        <f>(1/(9+Rules!$B$5))^2</f>
        <v>5.9171597633136102E-3</v>
      </c>
      <c r="N18">
        <v>19</v>
      </c>
      <c r="O18">
        <f t="shared" si="1"/>
        <v>4.7337278106508882E-2</v>
      </c>
    </row>
    <row r="19" spans="1:32" x14ac:dyDescent="0.2">
      <c r="A19" s="40">
        <v>4</v>
      </c>
      <c r="B19" s="40"/>
      <c r="C19" s="33">
        <f>(1/(9+Rules!$B$5))^2</f>
        <v>5.9171597633136102E-3</v>
      </c>
      <c r="D19" s="33">
        <f>(1/(9+Rules!$B$5))^2</f>
        <v>5.9171597633136102E-3</v>
      </c>
      <c r="E19" s="33">
        <f>1/(9+Rules!$B$5)^2</f>
        <v>5.9171597633136093E-3</v>
      </c>
      <c r="F19" s="33">
        <f>(1/(9+Rules!$B$5))^2</f>
        <v>5.9171597633136102E-3</v>
      </c>
      <c r="G19" s="33">
        <f>(1/(9+Rules!$B$5))^2</f>
        <v>5.9171597633136102E-3</v>
      </c>
      <c r="H19" s="33">
        <f>(1/(9+Rules!$B$5))^2</f>
        <v>5.9171597633136102E-3</v>
      </c>
      <c r="I19" s="33">
        <f>(1/(9+Rules!$B$5))^2</f>
        <v>5.9171597633136102E-3</v>
      </c>
      <c r="J19" s="33">
        <f>(1/(9+Rules!$B$5))^2</f>
        <v>5.9171597633136102E-3</v>
      </c>
      <c r="K19" s="33">
        <f>(1/(9+Rules!$B$5))*(Rules!$B$5/(9+Rules!$B$5))</f>
        <v>2.3668639053254441E-2</v>
      </c>
      <c r="L19" s="33">
        <f>(1/(9+Rules!$B$5))^2</f>
        <v>5.9171597633136102E-3</v>
      </c>
      <c r="N19" s="33">
        <v>20</v>
      </c>
      <c r="O19">
        <f t="shared" si="1"/>
        <v>9.4674556213017763E-2</v>
      </c>
    </row>
    <row r="20" spans="1:32" x14ac:dyDescent="0.2">
      <c r="A20" s="40">
        <v>5</v>
      </c>
      <c r="B20" s="40"/>
      <c r="C20" s="33">
        <f>(1/(9+Rules!$B$5))^2</f>
        <v>5.9171597633136102E-3</v>
      </c>
      <c r="D20" s="33">
        <f>(1/(9+Rules!$B$5))^2</f>
        <v>5.9171597633136102E-3</v>
      </c>
      <c r="E20" s="33">
        <f>(1/(9+Rules!$B$5))^2</f>
        <v>5.9171597633136102E-3</v>
      </c>
      <c r="F20" s="33">
        <f>1/(9+Rules!$B$5)^2</f>
        <v>5.9171597633136093E-3</v>
      </c>
      <c r="G20" s="33">
        <f>(1/(9+Rules!$B$5))^2</f>
        <v>5.9171597633136102E-3</v>
      </c>
      <c r="H20" s="33">
        <f>(1/(9+Rules!$B$5))^2</f>
        <v>5.9171597633136102E-3</v>
      </c>
      <c r="I20" s="33">
        <f>(1/(9+Rules!$B$5))^2</f>
        <v>5.9171597633136102E-3</v>
      </c>
      <c r="J20" s="33">
        <f>(1/(9+Rules!$B$5))^2</f>
        <v>5.9171597633136102E-3</v>
      </c>
      <c r="K20" s="33">
        <f>(1/(9+Rules!$B$5))*(Rules!$B$5/(9+Rules!$B$5))</f>
        <v>2.3668639053254441E-2</v>
      </c>
      <c r="L20" s="33">
        <f>(1/(9+Rules!$B$5))^2</f>
        <v>5.9171597633136102E-3</v>
      </c>
    </row>
    <row r="21" spans="1:32" x14ac:dyDescent="0.2">
      <c r="A21" s="40">
        <v>6</v>
      </c>
      <c r="B21" s="40"/>
      <c r="C21" s="33">
        <f>(1/(9+Rules!$B$5))^2</f>
        <v>5.9171597633136102E-3</v>
      </c>
      <c r="D21" s="33">
        <f>(1/(9+Rules!$B$5))^2</f>
        <v>5.9171597633136102E-3</v>
      </c>
      <c r="E21" s="33">
        <f>(1/(9+Rules!$B$5))^2</f>
        <v>5.9171597633136102E-3</v>
      </c>
      <c r="F21" s="33">
        <f>(1/(9+Rules!$B$5))^2</f>
        <v>5.9171597633136102E-3</v>
      </c>
      <c r="G21" s="33">
        <f>1/(9+Rules!$B$5)^2</f>
        <v>5.9171597633136093E-3</v>
      </c>
      <c r="H21" s="33">
        <f>(1/(9+Rules!$B$5))^2</f>
        <v>5.9171597633136102E-3</v>
      </c>
      <c r="I21" s="33">
        <f>(1/(9+Rules!$B$5))^2</f>
        <v>5.9171597633136102E-3</v>
      </c>
      <c r="J21" s="33">
        <f>(1/(9+Rules!$B$5))^2</f>
        <v>5.9171597633136102E-3</v>
      </c>
      <c r="K21" s="33">
        <f>(1/(9+Rules!$B$5))*(Rules!$B$5/(9+Rules!$B$5))</f>
        <v>2.3668639053254441E-2</v>
      </c>
      <c r="L21" s="33">
        <f>(1/(9+Rules!$B$5))^2</f>
        <v>5.9171597633136102E-3</v>
      </c>
    </row>
    <row r="22" spans="1:32" x14ac:dyDescent="0.2">
      <c r="A22" s="40">
        <v>7</v>
      </c>
      <c r="B22" s="40"/>
      <c r="C22" s="33">
        <f>(1/(9+Rules!$B$5))^2</f>
        <v>5.9171597633136102E-3</v>
      </c>
      <c r="D22" s="33">
        <f>(1/(9+Rules!$B$5))^2</f>
        <v>5.9171597633136102E-3</v>
      </c>
      <c r="E22" s="33">
        <f>(1/(9+Rules!$B$5))^2</f>
        <v>5.9171597633136102E-3</v>
      </c>
      <c r="F22" s="33">
        <f>(1/(9+Rules!$B$5))^2</f>
        <v>5.9171597633136102E-3</v>
      </c>
      <c r="G22" s="33">
        <f>(1/(9+Rules!$B$5))^2</f>
        <v>5.9171597633136102E-3</v>
      </c>
      <c r="H22" s="33">
        <f>1/(9+Rules!$B$5)^2</f>
        <v>5.9171597633136093E-3</v>
      </c>
      <c r="I22" s="33">
        <f>(1/(9+Rules!$B$5))^2</f>
        <v>5.9171597633136102E-3</v>
      </c>
      <c r="J22" s="33">
        <f>(1/(9+Rules!$B$5))^2</f>
        <v>5.9171597633136102E-3</v>
      </c>
      <c r="K22" s="33">
        <f>(1/(9+Rules!$B$5))*(Rules!$B$5/(9+Rules!$B$5))</f>
        <v>2.3668639053254441E-2</v>
      </c>
      <c r="L22" s="33">
        <f>(1/(9+Rules!$B$5))^2</f>
        <v>5.9171597633136102E-3</v>
      </c>
    </row>
    <row r="23" spans="1:32" x14ac:dyDescent="0.2">
      <c r="A23" s="40">
        <v>8</v>
      </c>
      <c r="B23" s="40"/>
      <c r="C23" s="33">
        <f>(1/(9+Rules!$B$5))^2</f>
        <v>5.9171597633136102E-3</v>
      </c>
      <c r="D23" s="33">
        <f>(1/(9+Rules!$B$5))^2</f>
        <v>5.9171597633136102E-3</v>
      </c>
      <c r="E23" s="33">
        <f>(1/(9+Rules!$B$5))^2</f>
        <v>5.9171597633136102E-3</v>
      </c>
      <c r="F23" s="33">
        <f>(1/(9+Rules!$B$5))^2</f>
        <v>5.9171597633136102E-3</v>
      </c>
      <c r="G23" s="33">
        <f>(1/(9+Rules!$B$5))^2</f>
        <v>5.9171597633136102E-3</v>
      </c>
      <c r="H23" s="33">
        <f>(1/(9+Rules!$B$5))^2</f>
        <v>5.9171597633136102E-3</v>
      </c>
      <c r="I23" s="33">
        <f>1/(9+Rules!$B$5)^2</f>
        <v>5.9171597633136093E-3</v>
      </c>
      <c r="J23" s="33">
        <f>(1/(9+Rules!$B$5))^2</f>
        <v>5.9171597633136102E-3</v>
      </c>
      <c r="K23" s="33">
        <f>(1/(9+Rules!$B$5))*(Rules!$B$5/(9+Rules!$B$5))</f>
        <v>2.3668639053254441E-2</v>
      </c>
      <c r="L23" s="33">
        <f>(1/(9+Rules!$B$5))^2</f>
        <v>5.9171597633136102E-3</v>
      </c>
      <c r="O23">
        <f>SUM(O3:O22)</f>
        <v>0.8520710059171599</v>
      </c>
      <c r="S23" t="s">
        <v>98</v>
      </c>
      <c r="T23">
        <f>SUM(O16:O19,R10:R12)</f>
        <v>0.32544378698224863</v>
      </c>
    </row>
    <row r="24" spans="1:32" x14ac:dyDescent="0.2">
      <c r="A24" s="40">
        <v>9</v>
      </c>
      <c r="B24" s="40"/>
      <c r="C24" s="33">
        <f>(1/(9+Rules!$B$5))^2</f>
        <v>5.9171597633136102E-3</v>
      </c>
      <c r="D24" s="33">
        <f>(1/(9+Rules!$B$5))^2</f>
        <v>5.9171597633136102E-3</v>
      </c>
      <c r="E24" s="33">
        <f>(1/(9+Rules!$B$5))^2</f>
        <v>5.9171597633136102E-3</v>
      </c>
      <c r="F24" s="33">
        <f>(1/(9+Rules!$B$5))^2</f>
        <v>5.9171597633136102E-3</v>
      </c>
      <c r="G24" s="33">
        <f>(1/(9+Rules!$B$5))^2</f>
        <v>5.9171597633136102E-3</v>
      </c>
      <c r="H24" s="33">
        <f>(1/(9+Rules!$B$5))^2</f>
        <v>5.9171597633136102E-3</v>
      </c>
      <c r="I24" s="33">
        <f>(1/(9+Rules!$B$5))^2</f>
        <v>5.9171597633136102E-3</v>
      </c>
      <c r="J24" s="33">
        <f>1/(9+Rules!$B$5)^2</f>
        <v>5.9171597633136093E-3</v>
      </c>
      <c r="K24" s="33">
        <f>(1/(9+Rules!$B$5))*(Rules!$B$5/(9+Rules!$B$5))</f>
        <v>2.3668639053254441E-2</v>
      </c>
      <c r="L24" s="33">
        <f>(1/(9+Rules!$B$5))^2</f>
        <v>5.9171597633136102E-3</v>
      </c>
    </row>
    <row r="25" spans="1:32" x14ac:dyDescent="0.2">
      <c r="A25" s="40">
        <v>10</v>
      </c>
      <c r="B25" s="40"/>
      <c r="C25" s="33">
        <f>(1/(9+Rules!$B$5))*(Rules!$B$5/(9+Rules!$B$5))</f>
        <v>2.3668639053254441E-2</v>
      </c>
      <c r="D25" s="33">
        <f>(1/(9+Rules!$B$5))*(Rules!$B$5/(9+Rules!$B$5))</f>
        <v>2.3668639053254441E-2</v>
      </c>
      <c r="E25" s="33">
        <f>(1/(9+Rules!$B$5))*(Rules!$B$5/(9+Rules!$B$5))</f>
        <v>2.3668639053254441E-2</v>
      </c>
      <c r="F25" s="33">
        <f>(1/(9+Rules!$B$5))*(Rules!$B$5/(9+Rules!$B$5))</f>
        <v>2.3668639053254441E-2</v>
      </c>
      <c r="G25" s="33">
        <f>(1/(9+Rules!$B$5))*(Rules!$B$5/(9+Rules!$B$5))</f>
        <v>2.3668639053254441E-2</v>
      </c>
      <c r="H25" s="33">
        <f>(1/(9+Rules!$B$5))*(Rules!$B$5/(9+Rules!$B$5))</f>
        <v>2.3668639053254441E-2</v>
      </c>
      <c r="I25" s="33">
        <f>(1/(9+Rules!$B$5))*(Rules!$B$5/(9+Rules!$B$5))</f>
        <v>2.3668639053254441E-2</v>
      </c>
      <c r="J25" s="33">
        <f>(1/(9+Rules!$B$5))*(Rules!$B$5/(9+Rules!$B$5))</f>
        <v>2.3668639053254441E-2</v>
      </c>
      <c r="K25" s="33">
        <f>(Rules!$B$5/(9+Rules!$B$5))^2</f>
        <v>9.4674556213017763E-2</v>
      </c>
      <c r="L25" s="33">
        <f>(1/(9+Rules!$B$5))*(Rules!$B$5/(9+Rules!$B$5))</f>
        <v>2.3668639053254441E-2</v>
      </c>
    </row>
    <row r="26" spans="1:32" x14ac:dyDescent="0.2">
      <c r="A26" s="40">
        <v>1</v>
      </c>
      <c r="C26" s="33">
        <f>(1/(9+Rules!$B$5))^2</f>
        <v>5.9171597633136102E-3</v>
      </c>
      <c r="D26" s="33">
        <f>(1/(9+Rules!$B$5))^2</f>
        <v>5.9171597633136102E-3</v>
      </c>
      <c r="E26" s="33">
        <f>(1/(9+Rules!$B$5))^2</f>
        <v>5.9171597633136102E-3</v>
      </c>
      <c r="F26" s="33">
        <f>(1/(9+Rules!$B$5))^2</f>
        <v>5.9171597633136102E-3</v>
      </c>
      <c r="G26" s="33">
        <f>(1/(9+Rules!$B$5))^2</f>
        <v>5.9171597633136102E-3</v>
      </c>
      <c r="H26" s="33">
        <f>(1/(9+Rules!$B$5))^2</f>
        <v>5.9171597633136102E-3</v>
      </c>
      <c r="I26" s="33">
        <f>(1/(9+Rules!$B$5))^2</f>
        <v>5.9171597633136102E-3</v>
      </c>
      <c r="J26" s="33">
        <f>(1/(9+Rules!$B$5))^2</f>
        <v>5.9171597633136102E-3</v>
      </c>
      <c r="K26" s="33">
        <f>(1/(9+Rules!$B$5))*(Rules!$B$5/(9+Rules!$B$5))</f>
        <v>2.3668639053254441E-2</v>
      </c>
      <c r="L26" s="33">
        <f>1/(9+Rules!$B$5)^2</f>
        <v>5.9171597633136093E-3</v>
      </c>
    </row>
    <row r="29" spans="1:32" x14ac:dyDescent="0.2">
      <c r="B29" t="s">
        <v>14</v>
      </c>
      <c r="C29">
        <v>5</v>
      </c>
      <c r="D29">
        <v>6</v>
      </c>
      <c r="E29">
        <v>7</v>
      </c>
      <c r="F29">
        <v>8</v>
      </c>
      <c r="G29">
        <v>9</v>
      </c>
      <c r="H29">
        <v>10</v>
      </c>
      <c r="I29">
        <v>11</v>
      </c>
      <c r="J29">
        <v>12</v>
      </c>
      <c r="K29">
        <v>13</v>
      </c>
      <c r="L29">
        <v>14</v>
      </c>
      <c r="M29">
        <v>15</v>
      </c>
      <c r="N29">
        <v>16</v>
      </c>
      <c r="O29">
        <v>17</v>
      </c>
      <c r="P29">
        <v>18</v>
      </c>
      <c r="Q29">
        <v>19</v>
      </c>
      <c r="R29">
        <v>20</v>
      </c>
      <c r="S29">
        <v>21</v>
      </c>
      <c r="T29">
        <v>22</v>
      </c>
      <c r="U29">
        <v>23</v>
      </c>
      <c r="V29">
        <v>24</v>
      </c>
      <c r="W29">
        <v>25</v>
      </c>
      <c r="X29">
        <v>26</v>
      </c>
      <c r="Y29">
        <v>27</v>
      </c>
      <c r="Z29">
        <v>28</v>
      </c>
      <c r="AA29">
        <v>29</v>
      </c>
      <c r="AB29">
        <v>30</v>
      </c>
      <c r="AC29">
        <v>31</v>
      </c>
      <c r="AD29">
        <v>32</v>
      </c>
      <c r="AE29">
        <v>33</v>
      </c>
      <c r="AF29">
        <v>34</v>
      </c>
    </row>
    <row r="30" spans="1:32" x14ac:dyDescent="0.2">
      <c r="A30">
        <v>4</v>
      </c>
      <c r="B30">
        <f>O3</f>
        <v>5.9171597633136093E-3</v>
      </c>
      <c r="C30">
        <f>$B30*1/(9+Rules!$B$5)</f>
        <v>4.5516613563950843E-4</v>
      </c>
      <c r="D30">
        <f>$B30*1/(9+Rules!$B$5)</f>
        <v>4.5516613563950843E-4</v>
      </c>
      <c r="E30">
        <f>$B30*1/(9+Rules!$B$5)</f>
        <v>4.5516613563950843E-4</v>
      </c>
      <c r="F30">
        <f>$B30*1/(9+Rules!$B$5)</f>
        <v>4.5516613563950843E-4</v>
      </c>
      <c r="G30">
        <f>$B30*1/(9+Rules!$B$5)</f>
        <v>4.5516613563950843E-4</v>
      </c>
      <c r="H30">
        <f>$B30*1/(9+Rules!$B$5)</f>
        <v>4.5516613563950843E-4</v>
      </c>
      <c r="I30">
        <f>$B30*1/(9+Rules!$B$5)</f>
        <v>4.5516613563950843E-4</v>
      </c>
      <c r="J30">
        <f>$B30*1/(9+Rules!$B$5)</f>
        <v>4.5516613563950843E-4</v>
      </c>
      <c r="K30">
        <f>$B30*1/(9+Rules!$B$5)</f>
        <v>4.5516613563950843E-4</v>
      </c>
      <c r="L30">
        <f>$B30*Rules!$B$5/(9+Rules!$B$5)</f>
        <v>1.8206645425580337E-3</v>
      </c>
    </row>
    <row r="31" spans="1:32" x14ac:dyDescent="0.2">
      <c r="A31">
        <v>5</v>
      </c>
      <c r="B31">
        <f t="shared" ref="B31:B42" si="6">O4</f>
        <v>1.183431952662722E-2</v>
      </c>
      <c r="D31">
        <f>$B31*1/(9+Rules!$B$5)</f>
        <v>9.1033227127901696E-4</v>
      </c>
      <c r="E31">
        <f>$B31*1/(9+Rules!$B$5)</f>
        <v>9.1033227127901696E-4</v>
      </c>
      <c r="F31">
        <f>$B31*1/(9+Rules!$B$5)</f>
        <v>9.1033227127901696E-4</v>
      </c>
      <c r="G31">
        <f>$B31*1/(9+Rules!$B$5)</f>
        <v>9.1033227127901696E-4</v>
      </c>
      <c r="H31">
        <f>$B31*1/(9+Rules!$B$5)</f>
        <v>9.1033227127901696E-4</v>
      </c>
      <c r="I31">
        <f>$B31*1/(9+Rules!$B$5)</f>
        <v>9.1033227127901696E-4</v>
      </c>
      <c r="J31">
        <f>$B31*1/(9+Rules!$B$5)</f>
        <v>9.1033227127901696E-4</v>
      </c>
      <c r="K31">
        <f>$B31*1/(9+Rules!$B$5)</f>
        <v>9.1033227127901696E-4</v>
      </c>
      <c r="L31">
        <f>$B31*1/(9+Rules!$B$5)</f>
        <v>9.1033227127901696E-4</v>
      </c>
      <c r="M31">
        <f>$B31*Rules!$B$5/(9+Rules!$B$5)</f>
        <v>3.6413290851160678E-3</v>
      </c>
    </row>
    <row r="32" spans="1:32" x14ac:dyDescent="0.2">
      <c r="A32">
        <v>6</v>
      </c>
      <c r="B32">
        <f t="shared" si="6"/>
        <v>1.7751479289940829E-2</v>
      </c>
      <c r="E32">
        <f>$B32*1/(9+Rules!$B$5)</f>
        <v>1.3654984069185253E-3</v>
      </c>
      <c r="F32">
        <f>$B$32*1/(9+Rules!$B$5)</f>
        <v>1.3654984069185253E-3</v>
      </c>
      <c r="G32">
        <f>$B$32*1/(9+Rules!$B$5)</f>
        <v>1.3654984069185253E-3</v>
      </c>
      <c r="H32">
        <f>$B$32*1/(9+Rules!$B$5)</f>
        <v>1.3654984069185253E-3</v>
      </c>
      <c r="I32">
        <f>$B$32*1/(9+Rules!$B$5)</f>
        <v>1.3654984069185253E-3</v>
      </c>
      <c r="J32">
        <f>$B$32*1/(9+Rules!$B$5)</f>
        <v>1.3654984069185253E-3</v>
      </c>
      <c r="K32">
        <f>$B$32*1/(9+Rules!$B$5)</f>
        <v>1.3654984069185253E-3</v>
      </c>
      <c r="L32">
        <f>$B$32*1/(9+Rules!$B$5)</f>
        <v>1.3654984069185253E-3</v>
      </c>
      <c r="M32">
        <f>$B$32*1/(9+Rules!$B$5)</f>
        <v>1.3654984069185253E-3</v>
      </c>
      <c r="N32">
        <f>$B32*Rules!$B$5/(9+Rules!$B$5)</f>
        <v>5.4619936276741011E-3</v>
      </c>
    </row>
    <row r="33" spans="1:28" x14ac:dyDescent="0.2">
      <c r="A33">
        <v>7</v>
      </c>
      <c r="B33">
        <f t="shared" si="6"/>
        <v>2.3668639053254441E-2</v>
      </c>
      <c r="F33">
        <f>$B33*1/(9+Rules!$B$5)</f>
        <v>1.8206645425580339E-3</v>
      </c>
      <c r="G33">
        <f>$B33*1/(9+Rules!$B$5)</f>
        <v>1.8206645425580339E-3</v>
      </c>
      <c r="H33">
        <f>$B33*1/(9+Rules!$B$5)</f>
        <v>1.8206645425580339E-3</v>
      </c>
      <c r="I33">
        <f>$B33*1/(9+Rules!$B$5)</f>
        <v>1.8206645425580339E-3</v>
      </c>
      <c r="J33">
        <f>$B33*1/(9+Rules!$B$5)</f>
        <v>1.8206645425580339E-3</v>
      </c>
      <c r="K33">
        <f>$B33*1/(9+Rules!$B$5)</f>
        <v>1.8206645425580339E-3</v>
      </c>
      <c r="L33">
        <f>$B33*1/(9+Rules!$B$5)</f>
        <v>1.8206645425580339E-3</v>
      </c>
      <c r="M33">
        <f>$B33*1/(9+Rules!$B$5)</f>
        <v>1.8206645425580339E-3</v>
      </c>
      <c r="N33">
        <f>$B33*1/(9+Rules!$B$5)</f>
        <v>1.8206645425580339E-3</v>
      </c>
      <c r="O33">
        <f>$B33*Rules!$B$5/(9+Rules!$B$5)</f>
        <v>7.2826581702321357E-3</v>
      </c>
    </row>
    <row r="34" spans="1:28" x14ac:dyDescent="0.2">
      <c r="A34">
        <v>8</v>
      </c>
      <c r="B34">
        <f t="shared" si="6"/>
        <v>2.9585798816568053E-2</v>
      </c>
      <c r="G34">
        <f>$B34*1/(9+Rules!$B$5)</f>
        <v>2.2758306781975423E-3</v>
      </c>
      <c r="H34">
        <f>$B34*1/(9+Rules!$B$5)</f>
        <v>2.2758306781975423E-3</v>
      </c>
      <c r="I34">
        <f>$B34*1/(9+Rules!$B$5)</f>
        <v>2.2758306781975423E-3</v>
      </c>
      <c r="J34">
        <f>$B34*1/(9+Rules!$B$5)</f>
        <v>2.2758306781975423E-3</v>
      </c>
      <c r="K34">
        <f>$B34*1/(9+Rules!$B$5)</f>
        <v>2.2758306781975423E-3</v>
      </c>
      <c r="L34">
        <f>$B34*1/(9+Rules!$B$5)</f>
        <v>2.2758306781975423E-3</v>
      </c>
      <c r="M34">
        <f>$B34*1/(9+Rules!$B$5)</f>
        <v>2.2758306781975423E-3</v>
      </c>
      <c r="N34">
        <f>$B34*1/(9+Rules!$B$5)</f>
        <v>2.2758306781975423E-3</v>
      </c>
      <c r="O34">
        <f>$B34*1/(9+Rules!$B$5)</f>
        <v>2.2758306781975423E-3</v>
      </c>
      <c r="P34">
        <f>$B34*Rules!$B$5/(9+Rules!$B$5)</f>
        <v>9.1033227127901694E-3</v>
      </c>
    </row>
    <row r="35" spans="1:28" x14ac:dyDescent="0.2">
      <c r="A35">
        <v>9</v>
      </c>
      <c r="B35">
        <f t="shared" si="6"/>
        <v>3.5502958579881665E-2</v>
      </c>
      <c r="H35">
        <f>$B35*1/(9+Rules!$B$5)</f>
        <v>2.730996813837051E-3</v>
      </c>
      <c r="I35">
        <f>$B35*1/(9+Rules!$B$5)</f>
        <v>2.730996813837051E-3</v>
      </c>
      <c r="J35">
        <f>$B35*1/(9+Rules!$B$5)</f>
        <v>2.730996813837051E-3</v>
      </c>
      <c r="K35">
        <f>$B35*1/(9+Rules!$B$5)</f>
        <v>2.730996813837051E-3</v>
      </c>
      <c r="L35">
        <f>$B35*1/(9+Rules!$B$5)</f>
        <v>2.730996813837051E-3</v>
      </c>
      <c r="M35">
        <f>$B35*1/(9+Rules!$B$5)</f>
        <v>2.730996813837051E-3</v>
      </c>
      <c r="N35">
        <f>$B35*1/(9+Rules!$B$5)</f>
        <v>2.730996813837051E-3</v>
      </c>
      <c r="O35">
        <f>$B35*1/(9+Rules!$B$5)</f>
        <v>2.730996813837051E-3</v>
      </c>
      <c r="P35">
        <f>$B35*1/(9+Rules!$B$5)</f>
        <v>2.730996813837051E-3</v>
      </c>
      <c r="Q35">
        <f>$B35*Rules!$B$5/(9+Rules!$B$5)</f>
        <v>1.0923987255348204E-2</v>
      </c>
    </row>
    <row r="36" spans="1:28" x14ac:dyDescent="0.2">
      <c r="A36">
        <v>10</v>
      </c>
      <c r="B36">
        <f t="shared" si="6"/>
        <v>4.142011834319527E-2</v>
      </c>
      <c r="I36">
        <f>$B36*1/(9+Rules!$B$5)</f>
        <v>3.1861629494765592E-3</v>
      </c>
      <c r="J36">
        <f>$B36*1/(9+Rules!$B$5)</f>
        <v>3.1861629494765592E-3</v>
      </c>
      <c r="K36">
        <f>$B36*1/(9+Rules!$B$5)</f>
        <v>3.1861629494765592E-3</v>
      </c>
      <c r="L36">
        <f>$B36*1/(9+Rules!$B$5)</f>
        <v>3.1861629494765592E-3</v>
      </c>
      <c r="M36">
        <f>$B36*1/(9+Rules!$B$5)</f>
        <v>3.1861629494765592E-3</v>
      </c>
      <c r="N36">
        <f>$B36*1/(9+Rules!$B$5)</f>
        <v>3.1861629494765592E-3</v>
      </c>
      <c r="O36">
        <f>$B36*1/(9+Rules!$B$5)</f>
        <v>3.1861629494765592E-3</v>
      </c>
      <c r="P36">
        <f>$B36*1/(9+Rules!$B$5)</f>
        <v>3.1861629494765592E-3</v>
      </c>
      <c r="Q36">
        <f>$B36*1/(9+Rules!$B$5)</f>
        <v>3.1861629494765592E-3</v>
      </c>
      <c r="R36">
        <f>$B36*Rules!$B$5/(9+Rules!$B$5)</f>
        <v>1.2744651797906237E-2</v>
      </c>
    </row>
    <row r="37" spans="1:28" x14ac:dyDescent="0.2">
      <c r="A37">
        <v>11</v>
      </c>
      <c r="B37">
        <f t="shared" si="6"/>
        <v>4.7337278106508889E-2</v>
      </c>
      <c r="J37">
        <f>$B37*1/(9+Rules!$B$5)</f>
        <v>3.6413290851160683E-3</v>
      </c>
      <c r="K37">
        <f>$B37*1/(9+Rules!$B$5)</f>
        <v>3.6413290851160683E-3</v>
      </c>
      <c r="L37">
        <f>$B37*1/(9+Rules!$B$5)</f>
        <v>3.6413290851160683E-3</v>
      </c>
      <c r="M37">
        <f>$B37*1/(9+Rules!$B$5)</f>
        <v>3.6413290851160683E-3</v>
      </c>
      <c r="N37">
        <f>$B37*1/(9+Rules!$B$5)</f>
        <v>3.6413290851160683E-3</v>
      </c>
      <c r="O37">
        <f>$B37*1/(9+Rules!$B$5)</f>
        <v>3.6413290851160683E-3</v>
      </c>
      <c r="P37">
        <f>$B37*1/(9+Rules!$B$5)</f>
        <v>3.6413290851160683E-3</v>
      </c>
      <c r="Q37">
        <f>$B37*1/(9+Rules!$B$5)</f>
        <v>3.6413290851160683E-3</v>
      </c>
      <c r="R37">
        <f>$B37*1/(9+Rules!$B$5)</f>
        <v>3.6413290851160683E-3</v>
      </c>
      <c r="S37">
        <f>$B37*Rules!$B$5/(9+Rules!$B$5)</f>
        <v>1.4565316340464273E-2</v>
      </c>
    </row>
    <row r="38" spans="1:28" x14ac:dyDescent="0.2">
      <c r="A38">
        <v>12</v>
      </c>
      <c r="B38">
        <f t="shared" si="6"/>
        <v>8.8757396449704151E-2</v>
      </c>
      <c r="K38">
        <f>$B38*1/(9+Rules!$B$5)</f>
        <v>6.8274920345926266E-3</v>
      </c>
      <c r="L38">
        <f>$B38*1/(9+Rules!$B$5)</f>
        <v>6.8274920345926266E-3</v>
      </c>
      <c r="M38">
        <f>$B38*1/(9+Rules!$B$5)</f>
        <v>6.8274920345926266E-3</v>
      </c>
      <c r="N38">
        <f>$B38*1/(9+Rules!$B$5)</f>
        <v>6.8274920345926266E-3</v>
      </c>
      <c r="O38">
        <f>$B38*1/(9+Rules!$B$5)</f>
        <v>6.8274920345926266E-3</v>
      </c>
      <c r="P38">
        <f>$B38*1/(9+Rules!$B$5)</f>
        <v>6.8274920345926266E-3</v>
      </c>
      <c r="Q38">
        <f>$B38*1/(9+Rules!$B$5)</f>
        <v>6.8274920345926266E-3</v>
      </c>
      <c r="R38">
        <f>$B38*1/(9+Rules!$B$5)</f>
        <v>6.8274920345926266E-3</v>
      </c>
      <c r="S38">
        <f>$B38*1/(9+Rules!$B$5)</f>
        <v>6.8274920345926266E-3</v>
      </c>
      <c r="T38">
        <f>$B38*Rules!$B$5/(9+Rules!$B$5)</f>
        <v>2.7309968138370506E-2</v>
      </c>
    </row>
    <row r="39" spans="1:28" x14ac:dyDescent="0.2">
      <c r="A39">
        <v>13</v>
      </c>
      <c r="B39">
        <f t="shared" si="6"/>
        <v>8.2840236686390553E-2</v>
      </c>
      <c r="L39">
        <f>$B39*1/(9+Rules!$B$5)</f>
        <v>6.3723258989531193E-3</v>
      </c>
      <c r="M39">
        <f>$B39*1/(9+Rules!$B$5)</f>
        <v>6.3723258989531193E-3</v>
      </c>
      <c r="N39">
        <f>$B39*1/(9+Rules!$B$5)</f>
        <v>6.3723258989531193E-3</v>
      </c>
      <c r="O39">
        <f>$B39*1/(9+Rules!$B$5)</f>
        <v>6.3723258989531193E-3</v>
      </c>
      <c r="P39">
        <f>$B39*1/(9+Rules!$B$5)</f>
        <v>6.3723258989531193E-3</v>
      </c>
      <c r="Q39">
        <f>$B39*1/(9+Rules!$B$5)</f>
        <v>6.3723258989531193E-3</v>
      </c>
      <c r="R39">
        <f>$B39*1/(9+Rules!$B$5)</f>
        <v>6.3723258989531193E-3</v>
      </c>
      <c r="S39">
        <f>$B39*1/(9+Rules!$B$5)</f>
        <v>6.3723258989531193E-3</v>
      </c>
      <c r="T39">
        <f>$B39*1/(9+Rules!$B$5)</f>
        <v>6.3723258989531193E-3</v>
      </c>
      <c r="U39">
        <f>$B39*Rules!$B$5/(9+Rules!$B$5)</f>
        <v>2.5489303595812477E-2</v>
      </c>
    </row>
    <row r="40" spans="1:28" x14ac:dyDescent="0.2">
      <c r="A40">
        <v>14</v>
      </c>
      <c r="B40">
        <f t="shared" si="6"/>
        <v>7.6923076923076941E-2</v>
      </c>
      <c r="M40">
        <f>$B40*1/(9+Rules!$B$5)</f>
        <v>5.9171597633136111E-3</v>
      </c>
      <c r="N40">
        <f>$B40*1/(9+Rules!$B$5)</f>
        <v>5.9171597633136111E-3</v>
      </c>
      <c r="O40">
        <f>$B40*1/(9+Rules!$B$5)</f>
        <v>5.9171597633136111E-3</v>
      </c>
      <c r="P40">
        <f>$B40*1/(9+Rules!$B$5)</f>
        <v>5.9171597633136111E-3</v>
      </c>
      <c r="Q40">
        <f>$B40*1/(9+Rules!$B$5)</f>
        <v>5.9171597633136111E-3</v>
      </c>
      <c r="R40">
        <f>$B40*1/(9+Rules!$B$5)</f>
        <v>5.9171597633136111E-3</v>
      </c>
      <c r="S40">
        <f>$B40*1/(9+Rules!$B$5)</f>
        <v>5.9171597633136111E-3</v>
      </c>
      <c r="T40">
        <f>$B40*1/(9+Rules!$B$5)</f>
        <v>5.9171597633136111E-3</v>
      </c>
      <c r="U40">
        <f>$B40*1/(9+Rules!$B$5)</f>
        <v>5.9171597633136111E-3</v>
      </c>
      <c r="V40">
        <f>$B40*Rules!$B$5/(9+Rules!$B$5)</f>
        <v>2.3668639053254444E-2</v>
      </c>
    </row>
    <row r="41" spans="1:28" x14ac:dyDescent="0.2">
      <c r="A41">
        <v>15</v>
      </c>
      <c r="B41">
        <f t="shared" si="6"/>
        <v>7.1005917159763329E-2</v>
      </c>
      <c r="N41">
        <f>$B41*1/(9+Rules!$B$5)</f>
        <v>5.461993627674102E-3</v>
      </c>
      <c r="O41">
        <f>$B41*1/(9+Rules!$B$5)</f>
        <v>5.461993627674102E-3</v>
      </c>
      <c r="P41">
        <f>$B41*1/(9+Rules!$B$5)</f>
        <v>5.461993627674102E-3</v>
      </c>
      <c r="Q41">
        <f>$B41*1/(9+Rules!$B$5)</f>
        <v>5.461993627674102E-3</v>
      </c>
      <c r="R41">
        <f>$B41*1/(9+Rules!$B$5)</f>
        <v>5.461993627674102E-3</v>
      </c>
      <c r="S41">
        <f>$B41*1/(9+Rules!$B$5)</f>
        <v>5.461993627674102E-3</v>
      </c>
      <c r="T41">
        <f>$B41*1/(9+Rules!$B$5)</f>
        <v>5.461993627674102E-3</v>
      </c>
      <c r="U41">
        <f>$B41*1/(9+Rules!$B$5)</f>
        <v>5.461993627674102E-3</v>
      </c>
      <c r="V41">
        <f>$B41*1/(9+Rules!$B$5)</f>
        <v>5.461993627674102E-3</v>
      </c>
      <c r="W41">
        <f>$B41*Rules!$B$5/(9+Rules!$B$5)</f>
        <v>2.1847974510696408E-2</v>
      </c>
    </row>
    <row r="42" spans="1:28" x14ac:dyDescent="0.2">
      <c r="A42">
        <v>16</v>
      </c>
      <c r="B42">
        <f t="shared" si="6"/>
        <v>6.5088757396449717E-2</v>
      </c>
      <c r="O42">
        <f>$B42*1/(9+Rules!$B$5)</f>
        <v>5.0068274920345938E-3</v>
      </c>
      <c r="P42">
        <f>$B42*1/(9+Rules!$B$5)</f>
        <v>5.0068274920345938E-3</v>
      </c>
      <c r="Q42">
        <f>$B42*1/(9+Rules!$B$5)</f>
        <v>5.0068274920345938E-3</v>
      </c>
      <c r="R42">
        <f>$B42*1/(9+Rules!$B$5)</f>
        <v>5.0068274920345938E-3</v>
      </c>
      <c r="S42">
        <f>$B42*1/(9+Rules!$B$5)</f>
        <v>5.0068274920345938E-3</v>
      </c>
      <c r="T42">
        <f>$B42*1/(9+Rules!$B$5)</f>
        <v>5.0068274920345938E-3</v>
      </c>
      <c r="U42">
        <f>$B42*1/(9+Rules!$B$5)</f>
        <v>5.0068274920345938E-3</v>
      </c>
      <c r="V42">
        <f>$B42*1/(9+Rules!$B$5)</f>
        <v>5.0068274920345938E-3</v>
      </c>
      <c r="W42">
        <f>$B42*1/(9+Rules!$B$5)</f>
        <v>5.0068274920345938E-3</v>
      </c>
      <c r="X42">
        <f>$B42*Rules!$B$5/(9+Rules!$B$5)</f>
        <v>2.0027309968138375E-2</v>
      </c>
    </row>
    <row r="43" spans="1:28" x14ac:dyDescent="0.2">
      <c r="B43" t="s">
        <v>2</v>
      </c>
      <c r="C43">
        <f t="shared" ref="C43:AB43" si="7">SUM(C30:C42)</f>
        <v>4.5516613563950843E-4</v>
      </c>
      <c r="D43">
        <f t="shared" si="7"/>
        <v>1.3654984069185255E-3</v>
      </c>
      <c r="E43">
        <f t="shared" si="7"/>
        <v>2.730996813837051E-3</v>
      </c>
      <c r="F43">
        <f t="shared" si="7"/>
        <v>4.5516613563950847E-3</v>
      </c>
      <c r="G43">
        <f t="shared" si="7"/>
        <v>6.8274920345926266E-3</v>
      </c>
      <c r="H43">
        <f t="shared" si="7"/>
        <v>9.5584888484296776E-3</v>
      </c>
      <c r="I43">
        <f t="shared" si="7"/>
        <v>1.2744651797906237E-2</v>
      </c>
      <c r="J43">
        <f t="shared" si="7"/>
        <v>1.6385980883022306E-2</v>
      </c>
      <c r="K43">
        <f t="shared" si="7"/>
        <v>2.3213472917614934E-2</v>
      </c>
      <c r="L43">
        <f t="shared" si="7"/>
        <v>3.0951297223486572E-2</v>
      </c>
      <c r="M43">
        <f t="shared" si="7"/>
        <v>3.7778789258079204E-2</v>
      </c>
      <c r="N43">
        <f t="shared" si="7"/>
        <v>4.3695949021392816E-2</v>
      </c>
      <c r="O43">
        <f t="shared" si="7"/>
        <v>4.8702776513427408E-2</v>
      </c>
      <c r="P43">
        <f t="shared" si="7"/>
        <v>4.8247610377787901E-2</v>
      </c>
      <c r="Q43">
        <f t="shared" si="7"/>
        <v>4.7337278106508889E-2</v>
      </c>
      <c r="R43">
        <f t="shared" si="7"/>
        <v>4.5971779699590355E-2</v>
      </c>
      <c r="S43">
        <f t="shared" si="7"/>
        <v>4.4151115157032329E-2</v>
      </c>
      <c r="T43">
        <f t="shared" si="7"/>
        <v>5.0068274920345927E-2</v>
      </c>
      <c r="U43">
        <f t="shared" si="7"/>
        <v>4.1875284478834783E-2</v>
      </c>
      <c r="V43">
        <f t="shared" si="7"/>
        <v>3.4137460172963138E-2</v>
      </c>
      <c r="W43">
        <f t="shared" si="7"/>
        <v>2.6854802002731E-2</v>
      </c>
      <c r="X43">
        <f t="shared" si="7"/>
        <v>2.0027309968138375E-2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5" spans="1:28" x14ac:dyDescent="0.2">
      <c r="A45" t="s">
        <v>97</v>
      </c>
      <c r="C45">
        <v>13</v>
      </c>
      <c r="D45">
        <v>14</v>
      </c>
      <c r="E45">
        <v>15</v>
      </c>
      <c r="F45">
        <v>16</v>
      </c>
      <c r="G45">
        <v>17</v>
      </c>
      <c r="H45">
        <v>18</v>
      </c>
      <c r="I45">
        <v>19</v>
      </c>
      <c r="J45">
        <v>20</v>
      </c>
      <c r="K45">
        <v>21</v>
      </c>
      <c r="L45">
        <v>22</v>
      </c>
      <c r="M45">
        <v>23</v>
      </c>
      <c r="N45">
        <v>24</v>
      </c>
      <c r="O45">
        <v>25</v>
      </c>
      <c r="P45">
        <v>26</v>
      </c>
      <c r="Q45">
        <v>27</v>
      </c>
      <c r="R45">
        <v>28</v>
      </c>
      <c r="S45">
        <v>29</v>
      </c>
      <c r="T45">
        <v>30</v>
      </c>
      <c r="U45">
        <v>31</v>
      </c>
      <c r="V45">
        <v>32</v>
      </c>
    </row>
    <row r="46" spans="1:28" x14ac:dyDescent="0.2">
      <c r="A46">
        <v>12</v>
      </c>
      <c r="B46">
        <f t="shared" ref="B46:B52" si="8">R3</f>
        <v>5.9171597633136093E-3</v>
      </c>
      <c r="C46">
        <f>$B46*1/(9+Rules!$B$5)</f>
        <v>4.5516613563950843E-4</v>
      </c>
      <c r="D46">
        <f>$B46*1/(9+Rules!$B$5)</f>
        <v>4.5516613563950843E-4</v>
      </c>
      <c r="E46">
        <f>$B46*1/(9+Rules!$B$5)</f>
        <v>4.5516613563950843E-4</v>
      </c>
      <c r="F46">
        <f>$B46*1/(9+Rules!$B$5)</f>
        <v>4.5516613563950843E-4</v>
      </c>
      <c r="G46">
        <f>$B46*1/(9+Rules!$B$5)</f>
        <v>4.5516613563950843E-4</v>
      </c>
      <c r="H46">
        <f>$B46*1/(9+Rules!$B$5)</f>
        <v>4.5516613563950843E-4</v>
      </c>
      <c r="I46">
        <f>$B46*1/(9+Rules!$B$5)</f>
        <v>4.5516613563950843E-4</v>
      </c>
      <c r="J46">
        <f>$B46*1/(9+Rules!$B$5)</f>
        <v>4.5516613563950843E-4</v>
      </c>
      <c r="K46">
        <f>$B46*1/(9+Rules!$B$5)</f>
        <v>4.5516613563950843E-4</v>
      </c>
      <c r="L46">
        <f>$B46*Rules!$B$5/(9+Rules!$B$5)</f>
        <v>1.8206645425580337E-3</v>
      </c>
    </row>
    <row r="47" spans="1:28" x14ac:dyDescent="0.2">
      <c r="A47">
        <v>13</v>
      </c>
      <c r="B47">
        <f t="shared" si="8"/>
        <v>1.183431952662722E-2</v>
      </c>
      <c r="D47">
        <f>$B47*1/(9+Rules!$B$5)</f>
        <v>9.1033227127901696E-4</v>
      </c>
      <c r="E47">
        <f>$B47*1/(9+Rules!$B$5)</f>
        <v>9.1033227127901696E-4</v>
      </c>
      <c r="F47">
        <f>$B47*1/(9+Rules!$B$5)</f>
        <v>9.1033227127901696E-4</v>
      </c>
      <c r="G47">
        <f>$B47*1/(9+Rules!$B$5)</f>
        <v>9.1033227127901696E-4</v>
      </c>
      <c r="H47">
        <f>$B47*1/(9+Rules!$B$5)</f>
        <v>9.1033227127901696E-4</v>
      </c>
      <c r="I47">
        <f>$B47*1/(9+Rules!$B$5)</f>
        <v>9.1033227127901696E-4</v>
      </c>
      <c r="J47">
        <f>$B47*1/(9+Rules!$B$5)</f>
        <v>9.1033227127901696E-4</v>
      </c>
      <c r="K47">
        <f>$B47*1/(9+Rules!$B$5)</f>
        <v>9.1033227127901696E-4</v>
      </c>
      <c r="L47">
        <f>$B47*1/(9+Rules!$B$5)</f>
        <v>9.1033227127901696E-4</v>
      </c>
      <c r="M47">
        <f>$B47*Rules!$B$5/(9+Rules!$B$5)</f>
        <v>3.6413290851160678E-3</v>
      </c>
    </row>
    <row r="48" spans="1:28" x14ac:dyDescent="0.2">
      <c r="A48">
        <v>14</v>
      </c>
      <c r="B48">
        <f t="shared" si="8"/>
        <v>1.183431952662722E-2</v>
      </c>
      <c r="E48">
        <f>$B48*1/(9+Rules!$B$5)</f>
        <v>9.1033227127901696E-4</v>
      </c>
      <c r="F48">
        <f>$B48*1/(9+Rules!$B$5)</f>
        <v>9.1033227127901696E-4</v>
      </c>
      <c r="G48">
        <f>$B48*1/(9+Rules!$B$5)</f>
        <v>9.1033227127901696E-4</v>
      </c>
      <c r="H48">
        <f>$B48*1/(9+Rules!$B$5)</f>
        <v>9.1033227127901696E-4</v>
      </c>
      <c r="I48">
        <f>$B48*1/(9+Rules!$B$5)</f>
        <v>9.1033227127901696E-4</v>
      </c>
      <c r="J48">
        <f>$B48*1/(9+Rules!$B$5)</f>
        <v>9.1033227127901696E-4</v>
      </c>
      <c r="K48">
        <f>$B48*1/(9+Rules!$B$5)</f>
        <v>9.1033227127901696E-4</v>
      </c>
      <c r="L48">
        <f>$B48*1/(9+Rules!$B$5)</f>
        <v>9.1033227127901696E-4</v>
      </c>
      <c r="M48">
        <f>$B48*1/(9+Rules!$B$5)</f>
        <v>9.1033227127901696E-4</v>
      </c>
      <c r="N48">
        <f>$B48*Rules!$B$5/(9+Rules!$B$5)</f>
        <v>3.6413290851160678E-3</v>
      </c>
    </row>
    <row r="49" spans="1:30" x14ac:dyDescent="0.2">
      <c r="A49">
        <v>15</v>
      </c>
      <c r="B49">
        <f t="shared" si="8"/>
        <v>1.183431952662722E-2</v>
      </c>
      <c r="F49">
        <f>$B49*1/(9+Rules!$B$5)</f>
        <v>9.1033227127901696E-4</v>
      </c>
      <c r="G49">
        <f>$B49*1/(9+Rules!$B$5)</f>
        <v>9.1033227127901696E-4</v>
      </c>
      <c r="H49">
        <f>$B49*1/(9+Rules!$B$5)</f>
        <v>9.1033227127901696E-4</v>
      </c>
      <c r="I49">
        <f>$B49*1/(9+Rules!$B$5)</f>
        <v>9.1033227127901696E-4</v>
      </c>
      <c r="J49">
        <f>$B49*1/(9+Rules!$B$5)</f>
        <v>9.1033227127901696E-4</v>
      </c>
      <c r="K49">
        <f>$B49*1/(9+Rules!$B$5)</f>
        <v>9.1033227127901696E-4</v>
      </c>
      <c r="L49">
        <f>$B49*1/(9+Rules!$B$5)</f>
        <v>9.1033227127901696E-4</v>
      </c>
      <c r="M49">
        <f>$B49*1/(9+Rules!$B$5)</f>
        <v>9.1033227127901696E-4</v>
      </c>
      <c r="N49">
        <f>$B49*1/(9+Rules!$B$5)</f>
        <v>9.1033227127901696E-4</v>
      </c>
      <c r="O49">
        <f>$B49*Rules!$B$5/(9+Rules!$B$5)</f>
        <v>3.6413290851160678E-3</v>
      </c>
    </row>
    <row r="50" spans="1:30" x14ac:dyDescent="0.2">
      <c r="A50">
        <v>16</v>
      </c>
      <c r="B50">
        <f t="shared" si="8"/>
        <v>1.183431952662722E-2</v>
      </c>
      <c r="G50">
        <f>$B50*1/(9+Rules!$B$5)</f>
        <v>9.1033227127901696E-4</v>
      </c>
      <c r="H50">
        <f>$B50*1/(9+Rules!$B$5)</f>
        <v>9.1033227127901696E-4</v>
      </c>
      <c r="I50">
        <f>$B50*1/(9+Rules!$B$5)</f>
        <v>9.1033227127901696E-4</v>
      </c>
      <c r="J50">
        <f>$B50*1/(9+Rules!$B$5)</f>
        <v>9.1033227127901696E-4</v>
      </c>
      <c r="K50">
        <f>$B50*1/(9+Rules!$B$5)</f>
        <v>9.1033227127901696E-4</v>
      </c>
      <c r="L50">
        <f>$B50*1/(9+Rules!$B$5)</f>
        <v>9.1033227127901696E-4</v>
      </c>
      <c r="M50">
        <f>$B50*1/(9+Rules!$B$5)</f>
        <v>9.1033227127901696E-4</v>
      </c>
      <c r="N50">
        <f>$B50*1/(9+Rules!$B$5)</f>
        <v>9.1033227127901696E-4</v>
      </c>
      <c r="O50">
        <f>$B50*1/(9+Rules!$B$5)</f>
        <v>9.1033227127901696E-4</v>
      </c>
      <c r="P50">
        <f>$B50*Rules!$B$5/(9+Rules!$B$5)</f>
        <v>3.6413290851160678E-3</v>
      </c>
    </row>
    <row r="51" spans="1:30" x14ac:dyDescent="0.2">
      <c r="A51">
        <v>17</v>
      </c>
      <c r="B51">
        <f t="shared" si="8"/>
        <v>1.183431952662722E-2</v>
      </c>
      <c r="H51">
        <f>$B51*1/(9+Rules!$B$5)</f>
        <v>9.1033227127901696E-4</v>
      </c>
      <c r="I51">
        <f>$B51*1/(9+Rules!$B$5)</f>
        <v>9.1033227127901696E-4</v>
      </c>
      <c r="J51">
        <f>$B51*1/(9+Rules!$B$5)</f>
        <v>9.1033227127901696E-4</v>
      </c>
      <c r="K51">
        <f>$B51*1/(9+Rules!$B$5)</f>
        <v>9.1033227127901696E-4</v>
      </c>
      <c r="L51">
        <f>$B51*1/(9+Rules!$B$5)</f>
        <v>9.1033227127901696E-4</v>
      </c>
      <c r="M51">
        <f>$B51*1/(9+Rules!$B$5)</f>
        <v>9.1033227127901696E-4</v>
      </c>
      <c r="N51">
        <f>$B51*1/(9+Rules!$B$5)</f>
        <v>9.1033227127901696E-4</v>
      </c>
      <c r="O51">
        <f>$B51*1/(9+Rules!$B$5)</f>
        <v>9.1033227127901696E-4</v>
      </c>
      <c r="P51">
        <f>$B51*1/(9+Rules!$B$5)</f>
        <v>9.1033227127901696E-4</v>
      </c>
      <c r="Q51">
        <f>$B51*Rules!$B$5/(9+Rules!$B$5)</f>
        <v>3.6413290851160678E-3</v>
      </c>
    </row>
    <row r="52" spans="1:30" x14ac:dyDescent="0.2">
      <c r="A52">
        <v>18</v>
      </c>
      <c r="B52">
        <f t="shared" si="8"/>
        <v>1.183431952662722E-2</v>
      </c>
      <c r="I52">
        <f>$B52*1/(9+Rules!$B$5)</f>
        <v>9.1033227127901696E-4</v>
      </c>
      <c r="J52">
        <f>$B52*1/(9+Rules!$B$5)</f>
        <v>9.1033227127901696E-4</v>
      </c>
      <c r="K52">
        <f>$B52*1/(9+Rules!$B$5)</f>
        <v>9.1033227127901696E-4</v>
      </c>
      <c r="L52">
        <f>$B52*1/(9+Rules!$B$5)</f>
        <v>9.1033227127901696E-4</v>
      </c>
      <c r="M52">
        <f>$B52*1/(9+Rules!$B$5)</f>
        <v>9.1033227127901696E-4</v>
      </c>
      <c r="N52">
        <f>$B52*1/(9+Rules!$B$5)</f>
        <v>9.1033227127901696E-4</v>
      </c>
      <c r="O52">
        <f>$B52*1/(9+Rules!$B$5)</f>
        <v>9.1033227127901696E-4</v>
      </c>
      <c r="P52">
        <f>$B52*1/(9+Rules!$B$5)</f>
        <v>9.1033227127901696E-4</v>
      </c>
      <c r="Q52">
        <f>$B52*1/(9+Rules!$B$5)</f>
        <v>9.1033227127901696E-4</v>
      </c>
      <c r="R52">
        <f>$B52*Rules!$B$5/(9+Rules!$B$5)</f>
        <v>3.6413290851160678E-3</v>
      </c>
    </row>
    <row r="53" spans="1:30" x14ac:dyDescent="0.2">
      <c r="B53" t="s">
        <v>2</v>
      </c>
      <c r="C53">
        <f t="shared" ref="C53:U53" si="9">SUM(C46:C52)</f>
        <v>4.5516613563950843E-4</v>
      </c>
      <c r="D53">
        <f t="shared" si="9"/>
        <v>1.3654984069185255E-3</v>
      </c>
      <c r="E53">
        <f t="shared" si="9"/>
        <v>2.2758306781975423E-3</v>
      </c>
      <c r="F53">
        <f t="shared" si="9"/>
        <v>3.1861629494765592E-3</v>
      </c>
      <c r="G53">
        <f t="shared" si="9"/>
        <v>4.0964952207555765E-3</v>
      </c>
      <c r="H53">
        <f t="shared" si="9"/>
        <v>5.0068274920345938E-3</v>
      </c>
      <c r="I53">
        <f t="shared" si="9"/>
        <v>5.9171597633136111E-3</v>
      </c>
      <c r="J53">
        <f t="shared" si="9"/>
        <v>5.9171597633136111E-3</v>
      </c>
      <c r="K53">
        <f t="shared" si="9"/>
        <v>5.9171597633136111E-3</v>
      </c>
      <c r="L53">
        <f t="shared" si="9"/>
        <v>7.2826581702321366E-3</v>
      </c>
      <c r="M53">
        <f t="shared" si="9"/>
        <v>8.192990441511153E-3</v>
      </c>
      <c r="N53">
        <f t="shared" si="9"/>
        <v>7.2826581702321366E-3</v>
      </c>
      <c r="O53">
        <f t="shared" si="9"/>
        <v>6.3723258989531193E-3</v>
      </c>
      <c r="P53">
        <f t="shared" si="9"/>
        <v>5.461993627674102E-3</v>
      </c>
      <c r="Q53">
        <f t="shared" si="9"/>
        <v>4.5516613563950847E-3</v>
      </c>
      <c r="R53">
        <f t="shared" si="9"/>
        <v>3.6413290851160678E-3</v>
      </c>
      <c r="S53">
        <f t="shared" si="9"/>
        <v>0</v>
      </c>
      <c r="T53">
        <f t="shared" si="9"/>
        <v>0</v>
      </c>
      <c r="U53">
        <f t="shared" si="9"/>
        <v>0</v>
      </c>
    </row>
    <row r="55" spans="1:30" x14ac:dyDescent="0.2">
      <c r="B55" t="s">
        <v>93</v>
      </c>
      <c r="C55">
        <v>5</v>
      </c>
      <c r="D55">
        <v>6</v>
      </c>
      <c r="E55">
        <v>7</v>
      </c>
      <c r="F55">
        <v>8</v>
      </c>
      <c r="G55">
        <v>9</v>
      </c>
      <c r="H55">
        <v>10</v>
      </c>
      <c r="I55">
        <v>11</v>
      </c>
      <c r="J55">
        <v>12</v>
      </c>
      <c r="K55">
        <v>13</v>
      </c>
      <c r="L55">
        <v>14</v>
      </c>
      <c r="M55">
        <v>15</v>
      </c>
      <c r="N55">
        <v>16</v>
      </c>
      <c r="O55">
        <v>17</v>
      </c>
      <c r="P55">
        <v>18</v>
      </c>
      <c r="Q55">
        <v>19</v>
      </c>
      <c r="R55">
        <v>20</v>
      </c>
      <c r="S55">
        <v>21</v>
      </c>
      <c r="T55" t="s">
        <v>89</v>
      </c>
      <c r="U55" t="s">
        <v>2</v>
      </c>
      <c r="V55" t="s">
        <v>98</v>
      </c>
      <c r="W55" t="s">
        <v>111</v>
      </c>
    </row>
    <row r="56" spans="1:30" x14ac:dyDescent="0.2">
      <c r="B56" t="s">
        <v>99</v>
      </c>
      <c r="C56">
        <f t="shared" ref="C56:S56" ca="1" si="10">SUMIF($C$29:$AF$29,C55,$C$43:$AB$43)+SUMIF($L$45:$V$45,C55+10,$L$53:$V$53)</f>
        <v>4.5516613563950843E-4</v>
      </c>
      <c r="D56">
        <f t="shared" ca="1" si="10"/>
        <v>1.3654984069185255E-3</v>
      </c>
      <c r="E56">
        <f t="shared" ca="1" si="10"/>
        <v>2.730996813837051E-3</v>
      </c>
      <c r="F56">
        <f t="shared" ca="1" si="10"/>
        <v>4.5516613563950847E-3</v>
      </c>
      <c r="G56">
        <f t="shared" ca="1" si="10"/>
        <v>6.8274920345926266E-3</v>
      </c>
      <c r="H56">
        <f t="shared" ca="1" si="10"/>
        <v>9.5584888484296776E-3</v>
      </c>
      <c r="I56">
        <f t="shared" ca="1" si="10"/>
        <v>1.2744651797906237E-2</v>
      </c>
      <c r="J56">
        <f t="shared" ca="1" si="10"/>
        <v>2.3668639053254441E-2</v>
      </c>
      <c r="K56">
        <f t="shared" ca="1" si="10"/>
        <v>3.1406463359126086E-2</v>
      </c>
      <c r="L56">
        <f t="shared" ca="1" si="10"/>
        <v>3.823395539371871E-2</v>
      </c>
      <c r="M56">
        <f t="shared" ca="1" si="10"/>
        <v>4.4151115157032322E-2</v>
      </c>
      <c r="N56">
        <f t="shared" ca="1" si="10"/>
        <v>4.9157942649066921E-2</v>
      </c>
      <c r="O56">
        <f t="shared" ca="1" si="10"/>
        <v>5.3254437869822494E-2</v>
      </c>
      <c r="P56">
        <f t="shared" ca="1" si="10"/>
        <v>5.1888939462903967E-2</v>
      </c>
      <c r="Q56">
        <f t="shared" ca="1" si="10"/>
        <v>4.7337278106508889E-2</v>
      </c>
      <c r="R56">
        <f t="shared" ca="1" si="10"/>
        <v>4.5971779699590355E-2</v>
      </c>
      <c r="S56">
        <f t="shared" ca="1" si="10"/>
        <v>4.4151115157032329E-2</v>
      </c>
      <c r="T56">
        <f ca="1">SUMIF($C$29:$AF$29,"&gt;21",$C$43:$AB$43)</f>
        <v>0.17296313154301321</v>
      </c>
      <c r="U56">
        <f ca="1">SUM(C56:T56)</f>
        <v>0.64041875284478844</v>
      </c>
      <c r="V56">
        <f ca="1">T56+SUM(O56:S56,Q57:S57)</f>
        <v>0.43331816112881205</v>
      </c>
      <c r="W56">
        <f>T23</f>
        <v>0.32544378698224863</v>
      </c>
    </row>
    <row r="57" spans="1:30" x14ac:dyDescent="0.2">
      <c r="B57" t="s">
        <v>100</v>
      </c>
      <c r="C57">
        <f t="shared" ref="C57:S57" si="11">SUMIF($C$45:$K$45,C55,$C$53:$K$53)</f>
        <v>0</v>
      </c>
      <c r="D57">
        <f t="shared" si="11"/>
        <v>0</v>
      </c>
      <c r="E57">
        <f t="shared" si="11"/>
        <v>0</v>
      </c>
      <c r="F57">
        <f t="shared" si="11"/>
        <v>0</v>
      </c>
      <c r="G57">
        <f t="shared" si="11"/>
        <v>0</v>
      </c>
      <c r="H57">
        <f t="shared" si="11"/>
        <v>0</v>
      </c>
      <c r="I57">
        <f t="shared" si="11"/>
        <v>0</v>
      </c>
      <c r="J57">
        <f t="shared" si="11"/>
        <v>0</v>
      </c>
      <c r="K57">
        <f t="shared" si="11"/>
        <v>4.5516613563950843E-4</v>
      </c>
      <c r="L57">
        <f t="shared" si="11"/>
        <v>1.3654984069185255E-3</v>
      </c>
      <c r="M57">
        <f t="shared" si="11"/>
        <v>2.2758306781975423E-3</v>
      </c>
      <c r="N57">
        <f t="shared" si="11"/>
        <v>3.1861629494765592E-3</v>
      </c>
      <c r="O57">
        <f t="shared" si="11"/>
        <v>4.0964952207555765E-3</v>
      </c>
      <c r="P57">
        <f t="shared" si="11"/>
        <v>5.0068274920345938E-3</v>
      </c>
      <c r="Q57">
        <f t="shared" si="11"/>
        <v>5.9171597633136111E-3</v>
      </c>
      <c r="R57">
        <f t="shared" si="11"/>
        <v>5.9171597633136111E-3</v>
      </c>
      <c r="S57">
        <f t="shared" si="11"/>
        <v>5.9171597633136111E-3</v>
      </c>
      <c r="U57">
        <f>SUM(C57:S57)</f>
        <v>3.4137460172963138E-2</v>
      </c>
    </row>
    <row r="58" spans="1:30" x14ac:dyDescent="0.2">
      <c r="U58">
        <f ca="1">SUM(U56:U57)+W56</f>
        <v>1.0000000000000002</v>
      </c>
    </row>
    <row r="60" spans="1:30" x14ac:dyDescent="0.2">
      <c r="B60" t="s">
        <v>14</v>
      </c>
      <c r="C60">
        <v>6</v>
      </c>
      <c r="D60">
        <v>7</v>
      </c>
      <c r="E60">
        <v>8</v>
      </c>
      <c r="F60">
        <v>9</v>
      </c>
      <c r="G60">
        <v>10</v>
      </c>
      <c r="H60">
        <v>11</v>
      </c>
      <c r="I60">
        <v>12</v>
      </c>
      <c r="J60">
        <v>13</v>
      </c>
      <c r="K60">
        <v>14</v>
      </c>
      <c r="L60">
        <v>15</v>
      </c>
      <c r="M60">
        <v>16</v>
      </c>
      <c r="N60">
        <v>17</v>
      </c>
      <c r="O60">
        <v>18</v>
      </c>
      <c r="P60">
        <v>19</v>
      </c>
      <c r="Q60">
        <v>20</v>
      </c>
      <c r="R60">
        <v>21</v>
      </c>
      <c r="S60">
        <v>22</v>
      </c>
      <c r="T60">
        <v>23</v>
      </c>
      <c r="U60">
        <v>24</v>
      </c>
      <c r="V60">
        <v>25</v>
      </c>
      <c r="W60">
        <v>26</v>
      </c>
      <c r="X60">
        <v>27</v>
      </c>
      <c r="Y60">
        <v>28</v>
      </c>
      <c r="Z60">
        <v>29</v>
      </c>
      <c r="AA60">
        <v>30</v>
      </c>
      <c r="AB60">
        <v>31</v>
      </c>
      <c r="AC60">
        <v>32</v>
      </c>
      <c r="AD60">
        <v>33</v>
      </c>
    </row>
    <row r="61" spans="1:30" x14ac:dyDescent="0.2">
      <c r="A61">
        <v>5</v>
      </c>
      <c r="B61">
        <f ca="1">C56</f>
        <v>4.5516613563950843E-4</v>
      </c>
      <c r="C61">
        <f ca="1">$B61*1/(9+Rules!$B$5)</f>
        <v>3.5012779664577572E-5</v>
      </c>
      <c r="D61">
        <f ca="1">$B61*1/(9+Rules!$B$5)</f>
        <v>3.5012779664577572E-5</v>
      </c>
      <c r="E61">
        <f ca="1">$B61*1/(9+Rules!$B$5)</f>
        <v>3.5012779664577572E-5</v>
      </c>
      <c r="F61">
        <f ca="1">$B61*1/(9+Rules!$B$5)</f>
        <v>3.5012779664577572E-5</v>
      </c>
      <c r="G61">
        <f ca="1">$B61*1/(9+Rules!$B$5)</f>
        <v>3.5012779664577572E-5</v>
      </c>
      <c r="H61">
        <f ca="1">$B61*1/(9+Rules!$B$5)</f>
        <v>3.5012779664577572E-5</v>
      </c>
      <c r="I61">
        <f ca="1">$B61*1/(9+Rules!$B$5)</f>
        <v>3.5012779664577572E-5</v>
      </c>
      <c r="J61">
        <f ca="1">$B61*1/(9+Rules!$B$5)</f>
        <v>3.5012779664577572E-5</v>
      </c>
      <c r="K61">
        <f ca="1">$B61*1/(9+Rules!$B$5)</f>
        <v>3.5012779664577572E-5</v>
      </c>
      <c r="L61">
        <f ca="1">$B61*Rules!$B$5/(9+Rules!$B$5)</f>
        <v>1.4005111865831029E-4</v>
      </c>
    </row>
    <row r="62" spans="1:30" x14ac:dyDescent="0.2">
      <c r="A62">
        <v>6</v>
      </c>
      <c r="B62">
        <f ca="1">D56</f>
        <v>1.3654984069185255E-3</v>
      </c>
      <c r="D62">
        <f ca="1">$B62*1/(9+Rules!$B$5)</f>
        <v>1.0503833899373274E-4</v>
      </c>
      <c r="E62">
        <f ca="1">$B62*1/(9+Rules!$B$5)</f>
        <v>1.0503833899373274E-4</v>
      </c>
      <c r="F62">
        <f ca="1">$B62*1/(9+Rules!$B$5)</f>
        <v>1.0503833899373274E-4</v>
      </c>
      <c r="G62">
        <f ca="1">$B62*1/(9+Rules!$B$5)</f>
        <v>1.0503833899373274E-4</v>
      </c>
      <c r="H62">
        <f ca="1">$B62*1/(9+Rules!$B$5)</f>
        <v>1.0503833899373274E-4</v>
      </c>
      <c r="I62">
        <f ca="1">$B62*1/(9+Rules!$B$5)</f>
        <v>1.0503833899373274E-4</v>
      </c>
      <c r="J62">
        <f ca="1">$B62*1/(9+Rules!$B$5)</f>
        <v>1.0503833899373274E-4</v>
      </c>
      <c r="K62">
        <f ca="1">$B62*1/(9+Rules!$B$5)</f>
        <v>1.0503833899373274E-4</v>
      </c>
      <c r="L62">
        <f ca="1">$B62*1/(9+Rules!$B$5)</f>
        <v>1.0503833899373274E-4</v>
      </c>
      <c r="M62">
        <f ca="1">$B62*Rules!$B$5/(9+Rules!$B$5)</f>
        <v>4.2015335597493094E-4</v>
      </c>
    </row>
    <row r="63" spans="1:30" x14ac:dyDescent="0.2">
      <c r="A63">
        <v>7</v>
      </c>
      <c r="B63">
        <f ca="1">E56</f>
        <v>2.730996813837051E-3</v>
      </c>
      <c r="E63">
        <f ca="1">$B63*1/(9+Rules!$B$5)</f>
        <v>2.1007667798746547E-4</v>
      </c>
      <c r="F63">
        <f ca="1">$B63*1/(9+Rules!$B$5)</f>
        <v>2.1007667798746547E-4</v>
      </c>
      <c r="G63">
        <f ca="1">$B63*1/(9+Rules!$B$5)</f>
        <v>2.1007667798746547E-4</v>
      </c>
      <c r="H63">
        <f ca="1">$B63*1/(9+Rules!$B$5)</f>
        <v>2.1007667798746547E-4</v>
      </c>
      <c r="I63">
        <f ca="1">$B63*1/(9+Rules!$B$5)</f>
        <v>2.1007667798746547E-4</v>
      </c>
      <c r="J63">
        <f ca="1">$B63*1/(9+Rules!$B$5)</f>
        <v>2.1007667798746547E-4</v>
      </c>
      <c r="K63">
        <f ca="1">$B63*1/(9+Rules!$B$5)</f>
        <v>2.1007667798746547E-4</v>
      </c>
      <c r="L63">
        <f ca="1">$B63*1/(9+Rules!$B$5)</f>
        <v>2.1007667798746547E-4</v>
      </c>
      <c r="M63">
        <f ca="1">$B63*1/(9+Rules!$B$5)</f>
        <v>2.1007667798746547E-4</v>
      </c>
      <c r="N63">
        <f ca="1">$B63*Rules!$B$5/(9+Rules!$B$5)</f>
        <v>8.4030671194986189E-4</v>
      </c>
    </row>
    <row r="64" spans="1:30" x14ac:dyDescent="0.2">
      <c r="A64">
        <v>8</v>
      </c>
      <c r="B64">
        <f ca="1">F56</f>
        <v>4.5516613563950847E-3</v>
      </c>
      <c r="F64">
        <f ca="1">$B64*1/(9+Rules!$B$5)</f>
        <v>3.5012779664577576E-4</v>
      </c>
      <c r="G64">
        <f ca="1">$B64*1/(9+Rules!$B$5)</f>
        <v>3.5012779664577576E-4</v>
      </c>
      <c r="H64">
        <f ca="1">$B64*1/(9+Rules!$B$5)</f>
        <v>3.5012779664577576E-4</v>
      </c>
      <c r="I64">
        <f ca="1">$B64*1/(9+Rules!$B$5)</f>
        <v>3.5012779664577576E-4</v>
      </c>
      <c r="J64">
        <f ca="1">$B64*1/(9+Rules!$B$5)</f>
        <v>3.5012779664577576E-4</v>
      </c>
      <c r="K64">
        <f ca="1">$B64*1/(9+Rules!$B$5)</f>
        <v>3.5012779664577576E-4</v>
      </c>
      <c r="L64">
        <f ca="1">$B64*1/(9+Rules!$B$5)</f>
        <v>3.5012779664577576E-4</v>
      </c>
      <c r="M64">
        <f ca="1">$B64*1/(9+Rules!$B$5)</f>
        <v>3.5012779664577576E-4</v>
      </c>
      <c r="N64">
        <f ca="1">$B64*1/(9+Rules!$B$5)</f>
        <v>3.5012779664577576E-4</v>
      </c>
      <c r="O64">
        <f ca="1">$B64*Rules!$B$5/(9+Rules!$B$5)</f>
        <v>1.400511186583103E-3</v>
      </c>
    </row>
    <row r="65" spans="1:28" x14ac:dyDescent="0.2">
      <c r="A65">
        <v>9</v>
      </c>
      <c r="B65">
        <f ca="1">G56</f>
        <v>6.8274920345926266E-3</v>
      </c>
      <c r="G65">
        <f ca="1">$B65*1/(9+Rules!$B$5)</f>
        <v>5.2519169496866361E-4</v>
      </c>
      <c r="H65">
        <f ca="1">$B65*1/(9+Rules!$B$5)</f>
        <v>5.2519169496866361E-4</v>
      </c>
      <c r="I65">
        <f ca="1">$B65*1/(9+Rules!$B$5)</f>
        <v>5.2519169496866361E-4</v>
      </c>
      <c r="J65">
        <f ca="1">$B65*1/(9+Rules!$B$5)</f>
        <v>5.2519169496866361E-4</v>
      </c>
      <c r="K65">
        <f ca="1">$B65*1/(9+Rules!$B$5)</f>
        <v>5.2519169496866361E-4</v>
      </c>
      <c r="L65">
        <f ca="1">$B65*1/(9+Rules!$B$5)</f>
        <v>5.2519169496866361E-4</v>
      </c>
      <c r="M65">
        <f ca="1">$B65*1/(9+Rules!$B$5)</f>
        <v>5.2519169496866361E-4</v>
      </c>
      <c r="N65">
        <f ca="1">$B65*1/(9+Rules!$B$5)</f>
        <v>5.2519169496866361E-4</v>
      </c>
      <c r="O65">
        <f ca="1">$B65*1/(9+Rules!$B$5)</f>
        <v>5.2519169496866361E-4</v>
      </c>
      <c r="P65">
        <f ca="1">$B65*Rules!$B$5/(9+Rules!$B$5)</f>
        <v>2.1007667798746544E-3</v>
      </c>
    </row>
    <row r="66" spans="1:28" x14ac:dyDescent="0.2">
      <c r="A66">
        <v>10</v>
      </c>
      <c r="B66">
        <f ca="1">H56</f>
        <v>9.5584888484296776E-3</v>
      </c>
      <c r="H66">
        <f ca="1">$B66*1/(9+Rules!$B$5)</f>
        <v>7.3526837295612906E-4</v>
      </c>
      <c r="I66">
        <f ca="1">$B66*1/(9+Rules!$B$5)</f>
        <v>7.3526837295612906E-4</v>
      </c>
      <c r="J66">
        <f ca="1">$B66*1/(9+Rules!$B$5)</f>
        <v>7.3526837295612906E-4</v>
      </c>
      <c r="K66">
        <f ca="1">$B66*1/(9+Rules!$B$5)</f>
        <v>7.3526837295612906E-4</v>
      </c>
      <c r="L66">
        <f ca="1">$B66*1/(9+Rules!$B$5)</f>
        <v>7.3526837295612906E-4</v>
      </c>
      <c r="M66">
        <f ca="1">$B66*1/(9+Rules!$B$5)</f>
        <v>7.3526837295612906E-4</v>
      </c>
      <c r="N66">
        <f ca="1">$B66*1/(9+Rules!$B$5)</f>
        <v>7.3526837295612906E-4</v>
      </c>
      <c r="O66">
        <f ca="1">$B66*1/(9+Rules!$B$5)</f>
        <v>7.3526837295612906E-4</v>
      </c>
      <c r="P66">
        <f ca="1">$B66*1/(9+Rules!$B$5)</f>
        <v>7.3526837295612906E-4</v>
      </c>
      <c r="Q66">
        <f ca="1">$B66*Rules!$B$5/(9+Rules!$B$5)</f>
        <v>2.9410734918245162E-3</v>
      </c>
    </row>
    <row r="67" spans="1:28" x14ac:dyDescent="0.2">
      <c r="A67">
        <v>11</v>
      </c>
      <c r="B67">
        <f ca="1">I56</f>
        <v>1.2744651797906237E-2</v>
      </c>
      <c r="I67">
        <f ca="1">$B67*1/(9+Rules!$B$5)</f>
        <v>9.8035783060817215E-4</v>
      </c>
      <c r="J67">
        <f ca="1">$B67*1/(9+Rules!$B$5)</f>
        <v>9.8035783060817215E-4</v>
      </c>
      <c r="K67">
        <f ca="1">$B67*1/(9+Rules!$B$5)</f>
        <v>9.8035783060817215E-4</v>
      </c>
      <c r="L67">
        <f ca="1">$B67*1/(9+Rules!$B$5)</f>
        <v>9.8035783060817215E-4</v>
      </c>
      <c r="M67">
        <f ca="1">$B67*1/(9+Rules!$B$5)</f>
        <v>9.8035783060817215E-4</v>
      </c>
      <c r="N67">
        <f ca="1">$B67*1/(9+Rules!$B$5)</f>
        <v>9.8035783060817215E-4</v>
      </c>
      <c r="O67">
        <f ca="1">$B67*1/(9+Rules!$B$5)</f>
        <v>9.8035783060817215E-4</v>
      </c>
      <c r="P67">
        <f ca="1">$B67*1/(9+Rules!$B$5)</f>
        <v>9.8035783060817215E-4</v>
      </c>
      <c r="Q67">
        <f ca="1">$B67*1/(9+Rules!$B$5)</f>
        <v>9.8035783060817215E-4</v>
      </c>
      <c r="R67">
        <f ca="1">$B67*Rules!$B$5/(9+Rules!$B$5)</f>
        <v>3.9214313224326886E-3</v>
      </c>
    </row>
    <row r="68" spans="1:28" x14ac:dyDescent="0.2">
      <c r="A68">
        <v>12</v>
      </c>
      <c r="B68">
        <f ca="1">J56</f>
        <v>2.3668639053254441E-2</v>
      </c>
      <c r="J68">
        <f ca="1">$B68*1/(9+Rules!$B$5)</f>
        <v>1.8206645425580339E-3</v>
      </c>
      <c r="K68">
        <f ca="1">$B68*1/(9+Rules!$B$5)</f>
        <v>1.8206645425580339E-3</v>
      </c>
      <c r="L68">
        <f ca="1">$B68*1/(9+Rules!$B$5)</f>
        <v>1.8206645425580339E-3</v>
      </c>
      <c r="M68">
        <f ca="1">$B68*1/(9+Rules!$B$5)</f>
        <v>1.8206645425580339E-3</v>
      </c>
      <c r="N68">
        <f ca="1">$B68*1/(9+Rules!$B$5)</f>
        <v>1.8206645425580339E-3</v>
      </c>
      <c r="O68">
        <f ca="1">$B68*1/(9+Rules!$B$5)</f>
        <v>1.8206645425580339E-3</v>
      </c>
      <c r="P68">
        <f ca="1">$B68*1/(9+Rules!$B$5)</f>
        <v>1.8206645425580339E-3</v>
      </c>
      <c r="Q68">
        <f ca="1">$B68*1/(9+Rules!$B$5)</f>
        <v>1.8206645425580339E-3</v>
      </c>
      <c r="R68">
        <f ca="1">$B68*1/(9+Rules!$B$5)</f>
        <v>1.8206645425580339E-3</v>
      </c>
      <c r="S68">
        <f ca="1">$B68*Rules!$B$5/(9+Rules!$B$5)</f>
        <v>7.2826581702321357E-3</v>
      </c>
    </row>
    <row r="69" spans="1:28" x14ac:dyDescent="0.2">
      <c r="A69">
        <v>13</v>
      </c>
      <c r="B69">
        <f ca="1">K56</f>
        <v>3.1406463359126086E-2</v>
      </c>
      <c r="K69">
        <f ca="1">$B69*1/(9+Rules!$B$5)</f>
        <v>2.4158817968558529E-3</v>
      </c>
      <c r="L69">
        <f ca="1">$B69*1/(9+Rules!$B$5)</f>
        <v>2.4158817968558529E-3</v>
      </c>
      <c r="M69">
        <f ca="1">$B69*1/(9+Rules!$B$5)</f>
        <v>2.4158817968558529E-3</v>
      </c>
      <c r="N69">
        <f ca="1">$B69*1/(9+Rules!$B$5)</f>
        <v>2.4158817968558529E-3</v>
      </c>
      <c r="O69">
        <f ca="1">$B69*1/(9+Rules!$B$5)</f>
        <v>2.4158817968558529E-3</v>
      </c>
      <c r="P69">
        <f ca="1">$B69*1/(9+Rules!$B$5)</f>
        <v>2.4158817968558529E-3</v>
      </c>
      <c r="Q69">
        <f ca="1">$B69*1/(9+Rules!$B$5)</f>
        <v>2.4158817968558529E-3</v>
      </c>
      <c r="R69">
        <f ca="1">$B69*1/(9+Rules!$B$5)</f>
        <v>2.4158817968558529E-3</v>
      </c>
      <c r="S69">
        <f ca="1">$B69*1/(9+Rules!$B$5)</f>
        <v>2.4158817968558529E-3</v>
      </c>
      <c r="T69">
        <f ca="1">$B69*Rules!$B$5/(9+Rules!$B$5)</f>
        <v>9.6635271874234117E-3</v>
      </c>
    </row>
    <row r="70" spans="1:28" x14ac:dyDescent="0.2">
      <c r="A70">
        <v>14</v>
      </c>
      <c r="B70">
        <f ca="1">L56</f>
        <v>3.823395539371871E-2</v>
      </c>
      <c r="L70">
        <f ca="1">$B70*1/(9+Rules!$B$5)</f>
        <v>2.9410734918245162E-3</v>
      </c>
      <c r="M70">
        <f ca="1">$B70*1/(9+Rules!$B$5)</f>
        <v>2.9410734918245162E-3</v>
      </c>
      <c r="N70">
        <f ca="1">$B70*1/(9+Rules!$B$5)</f>
        <v>2.9410734918245162E-3</v>
      </c>
      <c r="O70">
        <f ca="1">$B70*1/(9+Rules!$B$5)</f>
        <v>2.9410734918245162E-3</v>
      </c>
      <c r="P70">
        <f ca="1">$B70*1/(9+Rules!$B$5)</f>
        <v>2.9410734918245162E-3</v>
      </c>
      <c r="Q70">
        <f ca="1">$B70*1/(9+Rules!$B$5)</f>
        <v>2.9410734918245162E-3</v>
      </c>
      <c r="R70">
        <f ca="1">$B70*1/(9+Rules!$B$5)</f>
        <v>2.9410734918245162E-3</v>
      </c>
      <c r="S70">
        <f ca="1">$B70*1/(9+Rules!$B$5)</f>
        <v>2.9410734918245162E-3</v>
      </c>
      <c r="T70">
        <f ca="1">$B70*1/(9+Rules!$B$5)</f>
        <v>2.9410734918245162E-3</v>
      </c>
      <c r="U70">
        <f ca="1">$B70*Rules!$B$5/(9+Rules!$B$5)</f>
        <v>1.1764293967298065E-2</v>
      </c>
    </row>
    <row r="71" spans="1:28" x14ac:dyDescent="0.2">
      <c r="A71">
        <v>15</v>
      </c>
      <c r="B71">
        <f ca="1">M56</f>
        <v>4.4151115157032322E-2</v>
      </c>
      <c r="M71">
        <f ca="1">$B71*1/(9+Rules!$B$5)</f>
        <v>3.3962396274640249E-3</v>
      </c>
      <c r="N71">
        <f ca="1">$B71*1/(9+Rules!$B$5)</f>
        <v>3.3962396274640249E-3</v>
      </c>
      <c r="O71">
        <f ca="1">$B71*1/(9+Rules!$B$5)</f>
        <v>3.3962396274640249E-3</v>
      </c>
      <c r="P71">
        <f ca="1">$B71*1/(9+Rules!$B$5)</f>
        <v>3.3962396274640249E-3</v>
      </c>
      <c r="Q71">
        <f ca="1">$B71*1/(9+Rules!$B$5)</f>
        <v>3.3962396274640249E-3</v>
      </c>
      <c r="R71">
        <f ca="1">$B71*1/(9+Rules!$B$5)</f>
        <v>3.3962396274640249E-3</v>
      </c>
      <c r="S71">
        <f ca="1">$B71*1/(9+Rules!$B$5)</f>
        <v>3.3962396274640249E-3</v>
      </c>
      <c r="T71">
        <f ca="1">$B71*1/(9+Rules!$B$5)</f>
        <v>3.3962396274640249E-3</v>
      </c>
      <c r="U71">
        <f ca="1">$B71*1/(9+Rules!$B$5)</f>
        <v>3.3962396274640249E-3</v>
      </c>
      <c r="V71">
        <f ca="1">$B71*Rules!$B$5/(9+Rules!$B$5)</f>
        <v>1.3584958509856099E-2</v>
      </c>
    </row>
    <row r="72" spans="1:28" x14ac:dyDescent="0.2">
      <c r="A72">
        <v>16</v>
      </c>
      <c r="B72">
        <f ca="1">N56</f>
        <v>4.9157942649066921E-2</v>
      </c>
      <c r="N72">
        <f ca="1">$B72*1/(9+Rules!$B$5)</f>
        <v>3.7813802037743784E-3</v>
      </c>
      <c r="O72">
        <f ca="1">$B72*1/(9+Rules!$B$5)</f>
        <v>3.7813802037743784E-3</v>
      </c>
      <c r="P72">
        <f ca="1">$B72*1/(9+Rules!$B$5)</f>
        <v>3.7813802037743784E-3</v>
      </c>
      <c r="Q72">
        <f ca="1">$B72*1/(9+Rules!$B$5)</f>
        <v>3.7813802037743784E-3</v>
      </c>
      <c r="R72">
        <f ca="1">$B72*1/(9+Rules!$B$5)</f>
        <v>3.7813802037743784E-3</v>
      </c>
      <c r="S72">
        <f ca="1">$B72*1/(9+Rules!$B$5)</f>
        <v>3.7813802037743784E-3</v>
      </c>
      <c r="T72">
        <f ca="1">$B72*1/(9+Rules!$B$5)</f>
        <v>3.7813802037743784E-3</v>
      </c>
      <c r="U72">
        <f ca="1">$B72*1/(9+Rules!$B$5)</f>
        <v>3.7813802037743784E-3</v>
      </c>
      <c r="V72">
        <f ca="1">$B72*1/(9+Rules!$B$5)</f>
        <v>3.7813802037743784E-3</v>
      </c>
      <c r="W72">
        <f ca="1">$B72*Rules!$B$5/(9+Rules!$B$5)</f>
        <v>1.5125520815097514E-2</v>
      </c>
    </row>
    <row r="73" spans="1:28" x14ac:dyDescent="0.2">
      <c r="B73" t="s">
        <v>2</v>
      </c>
      <c r="C73">
        <f t="shared" ref="C73:AB73" ca="1" si="12">SUM(C61:C72)</f>
        <v>3.5012779664577572E-5</v>
      </c>
      <c r="D73">
        <f t="shared" ca="1" si="12"/>
        <v>1.4005111865831031E-4</v>
      </c>
      <c r="E73">
        <f t="shared" ca="1" si="12"/>
        <v>3.5012779664577581E-4</v>
      </c>
      <c r="F73">
        <f t="shared" ca="1" si="12"/>
        <v>7.0025559329155163E-4</v>
      </c>
      <c r="G73">
        <f t="shared" ca="1" si="12"/>
        <v>1.2254472882602153E-3</v>
      </c>
      <c r="H73">
        <f t="shared" ca="1" si="12"/>
        <v>1.9607156612163443E-3</v>
      </c>
      <c r="I73">
        <f t="shared" ca="1" si="12"/>
        <v>2.9410734918245167E-3</v>
      </c>
      <c r="J73">
        <f t="shared" ca="1" si="12"/>
        <v>4.7617380343825504E-3</v>
      </c>
      <c r="K73">
        <f t="shared" ca="1" si="12"/>
        <v>7.1776198312384033E-3</v>
      </c>
      <c r="L73">
        <f t="shared" ca="1" si="12"/>
        <v>1.0223731662056652E-2</v>
      </c>
      <c r="M73">
        <f t="shared" ca="1" si="12"/>
        <v>1.3795035187843564E-2</v>
      </c>
      <c r="N73">
        <f t="shared" ca="1" si="12"/>
        <v>1.7786492069605406E-2</v>
      </c>
      <c r="O73">
        <f t="shared" ca="1" si="12"/>
        <v>1.7996568747592874E-2</v>
      </c>
      <c r="P73">
        <f t="shared" ca="1" si="12"/>
        <v>1.8171632645915758E-2</v>
      </c>
      <c r="Q73">
        <f t="shared" ca="1" si="12"/>
        <v>1.8276670984909496E-2</v>
      </c>
      <c r="R73">
        <f t="shared" ca="1" si="12"/>
        <v>1.8276670984909496E-2</v>
      </c>
      <c r="S73">
        <f t="shared" ca="1" si="12"/>
        <v>1.9817233290150907E-2</v>
      </c>
      <c r="T73">
        <f t="shared" ca="1" si="12"/>
        <v>1.978222051048633E-2</v>
      </c>
      <c r="U73">
        <f t="shared" ca="1" si="12"/>
        <v>1.8941913798536471E-2</v>
      </c>
      <c r="V73">
        <f t="shared" ca="1" si="12"/>
        <v>1.7366338713630476E-2</v>
      </c>
      <c r="W73">
        <f t="shared" ca="1" si="12"/>
        <v>1.5125520815097514E-2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  <c r="AB73">
        <f t="shared" si="12"/>
        <v>0</v>
      </c>
    </row>
    <row r="75" spans="1:28" x14ac:dyDescent="0.2">
      <c r="A75" t="s">
        <v>96</v>
      </c>
      <c r="C75">
        <v>14</v>
      </c>
      <c r="D75">
        <v>15</v>
      </c>
      <c r="E75">
        <v>16</v>
      </c>
      <c r="F75">
        <v>17</v>
      </c>
      <c r="G75">
        <v>18</v>
      </c>
      <c r="H75">
        <v>19</v>
      </c>
      <c r="I75">
        <v>20</v>
      </c>
      <c r="J75">
        <v>21</v>
      </c>
      <c r="K75">
        <v>22</v>
      </c>
      <c r="L75">
        <v>23</v>
      </c>
      <c r="M75">
        <v>24</v>
      </c>
      <c r="N75">
        <v>25</v>
      </c>
      <c r="O75">
        <v>26</v>
      </c>
      <c r="P75">
        <v>27</v>
      </c>
      <c r="Q75">
        <v>28</v>
      </c>
      <c r="R75">
        <v>29</v>
      </c>
      <c r="S75">
        <v>30</v>
      </c>
      <c r="T75">
        <v>31</v>
      </c>
      <c r="U75">
        <v>32</v>
      </c>
    </row>
    <row r="76" spans="1:28" x14ac:dyDescent="0.2">
      <c r="A76">
        <v>13</v>
      </c>
      <c r="B76">
        <f>K57</f>
        <v>4.5516613563950843E-4</v>
      </c>
      <c r="C76">
        <f>$B76*1/(9+Rules!$B$5)</f>
        <v>3.5012779664577572E-5</v>
      </c>
      <c r="D76">
        <f>$B76*1/(9+Rules!$B$5)</f>
        <v>3.5012779664577572E-5</v>
      </c>
      <c r="E76">
        <f>$B76*1/(9+Rules!$B$5)</f>
        <v>3.5012779664577572E-5</v>
      </c>
      <c r="F76">
        <f>$B76*1/(9+Rules!$B$5)</f>
        <v>3.5012779664577572E-5</v>
      </c>
      <c r="G76">
        <f>$B76*1/(9+Rules!$B$5)</f>
        <v>3.5012779664577572E-5</v>
      </c>
      <c r="H76">
        <f>$B76*1/(9+Rules!$B$5)</f>
        <v>3.5012779664577572E-5</v>
      </c>
      <c r="I76">
        <f>$B76*1/(9+Rules!$B$5)</f>
        <v>3.5012779664577572E-5</v>
      </c>
      <c r="J76">
        <f>$B76*1/(9+Rules!$B$5)</f>
        <v>3.5012779664577572E-5</v>
      </c>
      <c r="K76">
        <f>$B76*1/(9+Rules!$B$5)</f>
        <v>3.5012779664577572E-5</v>
      </c>
      <c r="L76">
        <f>$B76*Rules!$B$5/(9+Rules!$B$5)</f>
        <v>1.4005111865831029E-4</v>
      </c>
    </row>
    <row r="77" spans="1:28" x14ac:dyDescent="0.2">
      <c r="A77">
        <v>14</v>
      </c>
      <c r="B77">
        <f>L57</f>
        <v>1.3654984069185255E-3</v>
      </c>
      <c r="D77">
        <f>$B77*1/(9+Rules!$B$5)</f>
        <v>1.0503833899373274E-4</v>
      </c>
      <c r="E77">
        <f>$B77*1/(9+Rules!$B$5)</f>
        <v>1.0503833899373274E-4</v>
      </c>
      <c r="F77">
        <f>$B77*1/(9+Rules!$B$5)</f>
        <v>1.0503833899373274E-4</v>
      </c>
      <c r="G77">
        <f>$B77*1/(9+Rules!$B$5)</f>
        <v>1.0503833899373274E-4</v>
      </c>
      <c r="H77">
        <f>$B77*1/(9+Rules!$B$5)</f>
        <v>1.0503833899373274E-4</v>
      </c>
      <c r="I77">
        <f>$B77*1/(9+Rules!$B$5)</f>
        <v>1.0503833899373274E-4</v>
      </c>
      <c r="J77">
        <f>$B77*1/(9+Rules!$B$5)</f>
        <v>1.0503833899373274E-4</v>
      </c>
      <c r="K77">
        <f>$B77*1/(9+Rules!$B$5)</f>
        <v>1.0503833899373274E-4</v>
      </c>
      <c r="L77">
        <f>$B77*1/(9+Rules!$B$5)</f>
        <v>1.0503833899373274E-4</v>
      </c>
      <c r="M77">
        <f>$B77*Rules!$B$5/(9+Rules!$B$5)</f>
        <v>4.2015335597493094E-4</v>
      </c>
    </row>
    <row r="78" spans="1:28" x14ac:dyDescent="0.2">
      <c r="A78">
        <v>15</v>
      </c>
      <c r="B78">
        <f>M57</f>
        <v>2.2758306781975423E-3</v>
      </c>
      <c r="E78">
        <f>$B78*1/(9+Rules!$B$5)</f>
        <v>1.7506389832288788E-4</v>
      </c>
      <c r="F78">
        <f>$B78*1/(9+Rules!$B$5)</f>
        <v>1.7506389832288788E-4</v>
      </c>
      <c r="G78">
        <f>$B78*1/(9+Rules!$B$5)</f>
        <v>1.7506389832288788E-4</v>
      </c>
      <c r="H78">
        <f>$B78*1/(9+Rules!$B$5)</f>
        <v>1.7506389832288788E-4</v>
      </c>
      <c r="I78">
        <f>$B78*1/(9+Rules!$B$5)</f>
        <v>1.7506389832288788E-4</v>
      </c>
      <c r="J78">
        <f>$B78*1/(9+Rules!$B$5)</f>
        <v>1.7506389832288788E-4</v>
      </c>
      <c r="K78">
        <f>$B78*1/(9+Rules!$B$5)</f>
        <v>1.7506389832288788E-4</v>
      </c>
      <c r="L78">
        <f>$B78*1/(9+Rules!$B$5)</f>
        <v>1.7506389832288788E-4</v>
      </c>
      <c r="M78">
        <f>$B78*1/(9+Rules!$B$5)</f>
        <v>1.7506389832288788E-4</v>
      </c>
      <c r="N78">
        <f>$B78*Rules!$B$5/(9+Rules!$B$5)</f>
        <v>7.0025559329155152E-4</v>
      </c>
    </row>
    <row r="79" spans="1:28" x14ac:dyDescent="0.2">
      <c r="A79">
        <v>16</v>
      </c>
      <c r="B79">
        <f>N57</f>
        <v>3.1861629494765592E-3</v>
      </c>
      <c r="F79">
        <f>$B79*1/(9+Rules!$B$5)</f>
        <v>2.4508945765204304E-4</v>
      </c>
      <c r="G79">
        <f>$B79*1/(9+Rules!$B$5)</f>
        <v>2.4508945765204304E-4</v>
      </c>
      <c r="H79">
        <f>$B79*1/(9+Rules!$B$5)</f>
        <v>2.4508945765204304E-4</v>
      </c>
      <c r="I79">
        <f>$B79*1/(9+Rules!$B$5)</f>
        <v>2.4508945765204304E-4</v>
      </c>
      <c r="J79">
        <f>$B79*1/(9+Rules!$B$5)</f>
        <v>2.4508945765204304E-4</v>
      </c>
      <c r="K79">
        <f>$B79*1/(9+Rules!$B$5)</f>
        <v>2.4508945765204304E-4</v>
      </c>
      <c r="L79">
        <f>$B79*1/(9+Rules!$B$5)</f>
        <v>2.4508945765204304E-4</v>
      </c>
      <c r="M79">
        <f>$B79*1/(9+Rules!$B$5)</f>
        <v>2.4508945765204304E-4</v>
      </c>
      <c r="N79">
        <f>$B79*1/(9+Rules!$B$5)</f>
        <v>2.4508945765204304E-4</v>
      </c>
      <c r="O79">
        <f>$B79*Rules!$B$5/(9+Rules!$B$5)</f>
        <v>9.8035783060817215E-4</v>
      </c>
    </row>
    <row r="80" spans="1:28" x14ac:dyDescent="0.2">
      <c r="A80">
        <v>17</v>
      </c>
      <c r="B80">
        <f>O57</f>
        <v>4.0964952207555765E-3</v>
      </c>
      <c r="G80">
        <f>$B80*1/(9+Rules!$B$5)</f>
        <v>3.1511501698119817E-4</v>
      </c>
      <c r="H80">
        <f>$B80*1/(9+Rules!$B$5)</f>
        <v>3.1511501698119817E-4</v>
      </c>
      <c r="I80">
        <f>$B80*1/(9+Rules!$B$5)</f>
        <v>3.1511501698119817E-4</v>
      </c>
      <c r="J80">
        <f>$B80*1/(9+Rules!$B$5)</f>
        <v>3.1511501698119817E-4</v>
      </c>
      <c r="K80">
        <f>$B80*1/(9+Rules!$B$5)</f>
        <v>3.1511501698119817E-4</v>
      </c>
      <c r="L80">
        <f>$B80*1/(9+Rules!$B$5)</f>
        <v>3.1511501698119817E-4</v>
      </c>
      <c r="M80">
        <f>$B80*1/(9+Rules!$B$5)</f>
        <v>3.1511501698119817E-4</v>
      </c>
      <c r="N80">
        <f>$B80*1/(9+Rules!$B$5)</f>
        <v>3.1511501698119817E-4</v>
      </c>
      <c r="O80">
        <f>$B80*1/(9+Rules!$B$5)</f>
        <v>3.1511501698119817E-4</v>
      </c>
      <c r="P80">
        <f>$B80*Rules!$B$5/(9+Rules!$B$5)</f>
        <v>1.2604600679247927E-3</v>
      </c>
    </row>
    <row r="81" spans="1:30" x14ac:dyDescent="0.2">
      <c r="A81">
        <v>18</v>
      </c>
      <c r="B81">
        <f>P57</f>
        <v>5.0068274920345938E-3</v>
      </c>
      <c r="H81">
        <f>$B81*1/(9+Rules!$B$5)</f>
        <v>3.8514057631035335E-4</v>
      </c>
      <c r="I81">
        <f>$B81*1/(9+Rules!$B$5)</f>
        <v>3.8514057631035335E-4</v>
      </c>
      <c r="J81">
        <f>$B81*1/(9+Rules!$B$5)</f>
        <v>3.8514057631035335E-4</v>
      </c>
      <c r="K81">
        <f>$B81*1/(9+Rules!$B$5)</f>
        <v>3.8514057631035335E-4</v>
      </c>
      <c r="L81">
        <f>$B81*1/(9+Rules!$B$5)</f>
        <v>3.8514057631035335E-4</v>
      </c>
      <c r="M81">
        <f>$B81*1/(9+Rules!$B$5)</f>
        <v>3.8514057631035335E-4</v>
      </c>
      <c r="N81">
        <f>$B81*1/(9+Rules!$B$5)</f>
        <v>3.8514057631035335E-4</v>
      </c>
      <c r="O81">
        <f>$B81*1/(9+Rules!$B$5)</f>
        <v>3.8514057631035335E-4</v>
      </c>
      <c r="P81">
        <f>$B81*1/(9+Rules!$B$5)</f>
        <v>3.8514057631035335E-4</v>
      </c>
      <c r="Q81">
        <f>$B81*Rules!$B$5/(9+Rules!$B$5)</f>
        <v>1.5405623052414134E-3</v>
      </c>
    </row>
    <row r="82" spans="1:30" x14ac:dyDescent="0.2">
      <c r="B82" t="s">
        <v>2</v>
      </c>
      <c r="C82">
        <f t="shared" ref="C82:T82" si="13">SUM(C76:C81)</f>
        <v>3.5012779664577572E-5</v>
      </c>
      <c r="D82">
        <f t="shared" si="13"/>
        <v>1.4005111865831031E-4</v>
      </c>
      <c r="E82">
        <f t="shared" si="13"/>
        <v>3.1511501698119817E-4</v>
      </c>
      <c r="F82">
        <f t="shared" si="13"/>
        <v>5.6020447463324126E-4</v>
      </c>
      <c r="G82">
        <f t="shared" si="13"/>
        <v>8.7531949161443942E-4</v>
      </c>
      <c r="H82">
        <f t="shared" si="13"/>
        <v>1.2604600679247927E-3</v>
      </c>
      <c r="I82">
        <f t="shared" si="13"/>
        <v>1.2604600679247927E-3</v>
      </c>
      <c r="J82">
        <f t="shared" si="13"/>
        <v>1.2604600679247927E-3</v>
      </c>
      <c r="K82">
        <f t="shared" si="13"/>
        <v>1.2604600679247927E-3</v>
      </c>
      <c r="L82">
        <f t="shared" si="13"/>
        <v>1.3654984069185253E-3</v>
      </c>
      <c r="M82">
        <f t="shared" si="13"/>
        <v>1.5405623052414132E-3</v>
      </c>
      <c r="N82">
        <f t="shared" si="13"/>
        <v>1.645600644235146E-3</v>
      </c>
      <c r="O82">
        <f t="shared" si="13"/>
        <v>1.6806134238997238E-3</v>
      </c>
      <c r="P82">
        <f t="shared" si="13"/>
        <v>1.645600644235146E-3</v>
      </c>
      <c r="Q82">
        <f t="shared" si="13"/>
        <v>1.5405623052414134E-3</v>
      </c>
      <c r="R82">
        <f t="shared" si="13"/>
        <v>0</v>
      </c>
      <c r="S82">
        <f t="shared" si="13"/>
        <v>0</v>
      </c>
      <c r="T82">
        <f t="shared" si="13"/>
        <v>0</v>
      </c>
    </row>
    <row r="84" spans="1:30" x14ac:dyDescent="0.2">
      <c r="B84" t="s">
        <v>94</v>
      </c>
      <c r="C84">
        <v>6</v>
      </c>
      <c r="D84">
        <v>7</v>
      </c>
      <c r="E84">
        <v>8</v>
      </c>
      <c r="F84">
        <v>9</v>
      </c>
      <c r="G84">
        <v>10</v>
      </c>
      <c r="H84">
        <v>11</v>
      </c>
      <c r="I84">
        <v>12</v>
      </c>
      <c r="J84">
        <v>13</v>
      </c>
      <c r="K84">
        <v>14</v>
      </c>
      <c r="L84">
        <v>15</v>
      </c>
      <c r="M84">
        <v>16</v>
      </c>
      <c r="N84">
        <v>17</v>
      </c>
      <c r="O84">
        <v>18</v>
      </c>
      <c r="P84">
        <v>19</v>
      </c>
      <c r="Q84">
        <v>20</v>
      </c>
      <c r="R84">
        <v>21</v>
      </c>
      <c r="S84" t="s">
        <v>89</v>
      </c>
      <c r="T84" t="s">
        <v>2</v>
      </c>
      <c r="U84" t="s">
        <v>98</v>
      </c>
      <c r="V84" t="s">
        <v>111</v>
      </c>
      <c r="W84" t="s">
        <v>101</v>
      </c>
    </row>
    <row r="85" spans="1:30" x14ac:dyDescent="0.2">
      <c r="B85" t="s">
        <v>99</v>
      </c>
      <c r="C85">
        <f t="shared" ref="C85:R85" ca="1" si="14">SUMIF($C$60:$AD$60,C84,$C$73:$AD$73)+SUMIF($K$75:$U$75,C84+10,$K$82:$U$82)</f>
        <v>3.5012779664577572E-5</v>
      </c>
      <c r="D85">
        <f t="shared" ca="1" si="14"/>
        <v>1.4005111865831031E-4</v>
      </c>
      <c r="E85">
        <f t="shared" ca="1" si="14"/>
        <v>3.5012779664577581E-4</v>
      </c>
      <c r="F85">
        <f t="shared" ca="1" si="14"/>
        <v>7.0025559329155163E-4</v>
      </c>
      <c r="G85">
        <f t="shared" ca="1" si="14"/>
        <v>1.2254472882602153E-3</v>
      </c>
      <c r="H85">
        <f t="shared" ca="1" si="14"/>
        <v>1.9607156612163443E-3</v>
      </c>
      <c r="I85">
        <f t="shared" ca="1" si="14"/>
        <v>4.2015335597493098E-3</v>
      </c>
      <c r="J85">
        <f t="shared" ca="1" si="14"/>
        <v>6.1272364413010759E-3</v>
      </c>
      <c r="K85">
        <f t="shared" ca="1" si="14"/>
        <v>8.7181821364798167E-3</v>
      </c>
      <c r="L85">
        <f t="shared" ca="1" si="14"/>
        <v>1.1869332306291799E-2</v>
      </c>
      <c r="M85">
        <f t="shared" ca="1" si="14"/>
        <v>1.5475648611743288E-2</v>
      </c>
      <c r="N85">
        <f t="shared" ca="1" si="14"/>
        <v>1.9432092713840551E-2</v>
      </c>
      <c r="O85">
        <f t="shared" ca="1" si="14"/>
        <v>1.9537131052834288E-2</v>
      </c>
      <c r="P85">
        <f t="shared" ca="1" si="14"/>
        <v>1.8171632645915758E-2</v>
      </c>
      <c r="Q85">
        <f t="shared" ca="1" si="14"/>
        <v>1.8276670984909496E-2</v>
      </c>
      <c r="R85">
        <f t="shared" ca="1" si="14"/>
        <v>1.8276670984909496E-2</v>
      </c>
      <c r="S85">
        <f ca="1">SUMIF($C$60:$AD$60,"&gt;21",$C$73:$AD$73)</f>
        <v>9.1033227127901711E-2</v>
      </c>
      <c r="T85">
        <f ca="1">SUM(C85:S85)</f>
        <v>0.23553096880361338</v>
      </c>
      <c r="U85">
        <f ca="1">S85+SUM(N85:R85,P86:R86)</f>
        <v>0.18850880571408568</v>
      </c>
      <c r="V85">
        <f>W56</f>
        <v>0.32544378698224863</v>
      </c>
      <c r="W85">
        <f ca="1">V56</f>
        <v>0.43331816112881205</v>
      </c>
    </row>
    <row r="86" spans="1:30" x14ac:dyDescent="0.2">
      <c r="B86" t="s">
        <v>100</v>
      </c>
      <c r="C86">
        <f t="shared" ref="C86:R86" si="15">SUMIF($C$75:$J$75,C84,$C$82:$J$82)</f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  <c r="H86">
        <f t="shared" si="15"/>
        <v>0</v>
      </c>
      <c r="I86">
        <f t="shared" si="15"/>
        <v>0</v>
      </c>
      <c r="J86">
        <f t="shared" si="15"/>
        <v>0</v>
      </c>
      <c r="K86">
        <f t="shared" si="15"/>
        <v>3.5012779664577572E-5</v>
      </c>
      <c r="L86">
        <f t="shared" si="15"/>
        <v>1.4005111865831031E-4</v>
      </c>
      <c r="M86">
        <f t="shared" si="15"/>
        <v>3.1511501698119817E-4</v>
      </c>
      <c r="N86">
        <f t="shared" si="15"/>
        <v>5.6020447463324126E-4</v>
      </c>
      <c r="O86">
        <f t="shared" si="15"/>
        <v>8.7531949161443942E-4</v>
      </c>
      <c r="P86">
        <f t="shared" si="15"/>
        <v>1.2604600679247927E-3</v>
      </c>
      <c r="Q86">
        <f t="shared" si="15"/>
        <v>1.2604600679247927E-3</v>
      </c>
      <c r="R86">
        <f t="shared" si="15"/>
        <v>1.2604600679247927E-3</v>
      </c>
      <c r="S86">
        <f>SUMIF($C$60:$AD$60,S84,$C$73:$AD$73)+SUMIF($C$75:$J$75,S84,$C$82:$J$82)+SUMIF($K$75:$U$75,S84+10,$K$82:$U$82)</f>
        <v>0</v>
      </c>
      <c r="T86">
        <f>SUM(C86:S86)</f>
        <v>5.7070830853261454E-3</v>
      </c>
      <c r="W86" t="s">
        <v>95</v>
      </c>
    </row>
    <row r="87" spans="1:30" x14ac:dyDescent="0.2">
      <c r="S87" t="s">
        <v>2</v>
      </c>
      <c r="T87">
        <f ca="1">SUM(T85:T86)</f>
        <v>0.24123805188893951</v>
      </c>
      <c r="W87">
        <f ca="1">T87+W85+V85</f>
        <v>1.0000000000000002</v>
      </c>
    </row>
    <row r="90" spans="1:30" x14ac:dyDescent="0.2">
      <c r="B90" t="s">
        <v>14</v>
      </c>
      <c r="C90">
        <v>7</v>
      </c>
      <c r="D90">
        <v>8</v>
      </c>
      <c r="E90">
        <v>9</v>
      </c>
      <c r="F90">
        <v>10</v>
      </c>
      <c r="G90">
        <v>11</v>
      </c>
      <c r="H90">
        <v>12</v>
      </c>
      <c r="I90">
        <v>13</v>
      </c>
      <c r="J90">
        <v>14</v>
      </c>
      <c r="K90">
        <v>15</v>
      </c>
      <c r="L90">
        <v>16</v>
      </c>
      <c r="M90">
        <v>17</v>
      </c>
      <c r="N90">
        <v>18</v>
      </c>
      <c r="O90">
        <v>19</v>
      </c>
      <c r="P90">
        <v>20</v>
      </c>
      <c r="Q90">
        <v>21</v>
      </c>
      <c r="R90">
        <v>22</v>
      </c>
      <c r="S90">
        <v>23</v>
      </c>
      <c r="T90">
        <v>24</v>
      </c>
      <c r="U90">
        <v>25</v>
      </c>
      <c r="V90">
        <v>26</v>
      </c>
      <c r="W90">
        <v>27</v>
      </c>
      <c r="X90">
        <v>28</v>
      </c>
      <c r="Y90">
        <v>29</v>
      </c>
      <c r="Z90">
        <v>30</v>
      </c>
      <c r="AA90">
        <v>31</v>
      </c>
      <c r="AB90">
        <v>32</v>
      </c>
      <c r="AC90">
        <v>33</v>
      </c>
      <c r="AD90">
        <v>34</v>
      </c>
    </row>
    <row r="91" spans="1:30" x14ac:dyDescent="0.2">
      <c r="A91">
        <v>6</v>
      </c>
      <c r="B91">
        <f ca="1">C85</f>
        <v>3.5012779664577572E-5</v>
      </c>
      <c r="C91">
        <f ca="1">$B91*1/(9+Rules!$B$5)</f>
        <v>2.6932907434290439E-6</v>
      </c>
      <c r="D91">
        <f ca="1">$B91*1/(9+Rules!$B$5)</f>
        <v>2.6932907434290439E-6</v>
      </c>
      <c r="E91">
        <f ca="1">$B91*1/(9+Rules!$B$5)</f>
        <v>2.6932907434290439E-6</v>
      </c>
      <c r="F91">
        <f ca="1">$B91*1/(9+Rules!$B$5)</f>
        <v>2.6932907434290439E-6</v>
      </c>
      <c r="G91">
        <f ca="1">$B91*1/(9+Rules!$B$5)</f>
        <v>2.6932907434290439E-6</v>
      </c>
      <c r="H91">
        <f ca="1">$B91*1/(9+Rules!$B$5)</f>
        <v>2.6932907434290439E-6</v>
      </c>
      <c r="I91">
        <f ca="1">$B91*1/(9+Rules!$B$5)</f>
        <v>2.6932907434290439E-6</v>
      </c>
      <c r="J91">
        <f ca="1">$B91*1/(9+Rules!$B$5)</f>
        <v>2.6932907434290439E-6</v>
      </c>
      <c r="K91">
        <f ca="1">$B91*1/(9+Rules!$B$5)</f>
        <v>2.6932907434290439E-6</v>
      </c>
      <c r="L91">
        <f ca="1">$B91*Rules!$B$5/(9+Rules!$B$5)</f>
        <v>1.0773162973716176E-5</v>
      </c>
    </row>
    <row r="92" spans="1:30" x14ac:dyDescent="0.2">
      <c r="A92">
        <v>7</v>
      </c>
      <c r="B92">
        <f ca="1">D85</f>
        <v>1.4005111865831031E-4</v>
      </c>
      <c r="D92">
        <f ca="1">$B92*1/(9+Rules!$B$5)</f>
        <v>1.0773162973716177E-5</v>
      </c>
      <c r="E92">
        <f ca="1">$B92*1/(9+Rules!$B$5)</f>
        <v>1.0773162973716177E-5</v>
      </c>
      <c r="F92">
        <f ca="1">$B92*1/(9+Rules!$B$5)</f>
        <v>1.0773162973716177E-5</v>
      </c>
      <c r="G92">
        <f ca="1">$B92*1/(9+Rules!$B$5)</f>
        <v>1.0773162973716177E-5</v>
      </c>
      <c r="H92">
        <f ca="1">$B92*1/(9+Rules!$B$5)</f>
        <v>1.0773162973716177E-5</v>
      </c>
      <c r="I92">
        <f ca="1">$B92*1/(9+Rules!$B$5)</f>
        <v>1.0773162973716177E-5</v>
      </c>
      <c r="J92">
        <f ca="1">$B92*1/(9+Rules!$B$5)</f>
        <v>1.0773162973716177E-5</v>
      </c>
      <c r="K92">
        <f ca="1">$B92*1/(9+Rules!$B$5)</f>
        <v>1.0773162973716177E-5</v>
      </c>
      <c r="L92">
        <f ca="1">$B92*1/(9+Rules!$B$5)</f>
        <v>1.0773162973716177E-5</v>
      </c>
      <c r="M92">
        <f ca="1">$B92*Rules!$B$5/(9+Rules!$B$5)</f>
        <v>4.3092651894864709E-5</v>
      </c>
    </row>
    <row r="93" spans="1:30" x14ac:dyDescent="0.2">
      <c r="A93">
        <v>8</v>
      </c>
      <c r="B93">
        <f ca="1">E85</f>
        <v>3.5012779664577581E-4</v>
      </c>
      <c r="E93">
        <f ca="1">$B93*1/(9+Rules!$B$5)</f>
        <v>2.6932907434290448E-5</v>
      </c>
      <c r="F93">
        <f ca="1">$B93*1/(9+Rules!$B$5)</f>
        <v>2.6932907434290448E-5</v>
      </c>
      <c r="G93">
        <f ca="1">$B93*1/(9+Rules!$B$5)</f>
        <v>2.6932907434290448E-5</v>
      </c>
      <c r="H93">
        <f ca="1">$B93*1/(9+Rules!$B$5)</f>
        <v>2.6932907434290448E-5</v>
      </c>
      <c r="I93">
        <f ca="1">$B93*1/(9+Rules!$B$5)</f>
        <v>2.6932907434290448E-5</v>
      </c>
      <c r="J93">
        <f ca="1">$B93*1/(9+Rules!$B$5)</f>
        <v>2.6932907434290448E-5</v>
      </c>
      <c r="K93">
        <f ca="1">$B93*1/(9+Rules!$B$5)</f>
        <v>2.6932907434290448E-5</v>
      </c>
      <c r="L93">
        <f ca="1">$B93*1/(9+Rules!$B$5)</f>
        <v>2.6932907434290448E-5</v>
      </c>
      <c r="M93">
        <f ca="1">$B93*1/(9+Rules!$B$5)</f>
        <v>2.6932907434290448E-5</v>
      </c>
      <c r="N93">
        <f ca="1">$B93*Rules!$B$5/(9+Rules!$B$5)</f>
        <v>1.0773162973716179E-4</v>
      </c>
    </row>
    <row r="94" spans="1:30" x14ac:dyDescent="0.2">
      <c r="A94">
        <v>9</v>
      </c>
      <c r="B94">
        <f ca="1">F$85</f>
        <v>7.0025559329155163E-4</v>
      </c>
      <c r="F94">
        <f ca="1">$B94*1/(9+Rules!$B$5)</f>
        <v>5.3865814868580896E-5</v>
      </c>
      <c r="G94">
        <f ca="1">$B94*1/(9+Rules!$B$5)</f>
        <v>5.3865814868580896E-5</v>
      </c>
      <c r="H94">
        <f ca="1">$B94*1/(9+Rules!$B$5)</f>
        <v>5.3865814868580896E-5</v>
      </c>
      <c r="I94">
        <f ca="1">$B94*1/(9+Rules!$B$5)</f>
        <v>5.3865814868580896E-5</v>
      </c>
      <c r="J94">
        <f ca="1">$B94*1/(9+Rules!$B$5)</f>
        <v>5.3865814868580896E-5</v>
      </c>
      <c r="K94">
        <f ca="1">$B94*1/(9+Rules!$B$5)</f>
        <v>5.3865814868580896E-5</v>
      </c>
      <c r="L94">
        <f ca="1">$B94*1/(9+Rules!$B$5)</f>
        <v>5.3865814868580896E-5</v>
      </c>
      <c r="M94">
        <f ca="1">$B94*1/(9+Rules!$B$5)</f>
        <v>5.3865814868580896E-5</v>
      </c>
      <c r="N94">
        <f ca="1">$B94*1/(9+Rules!$B$5)</f>
        <v>5.3865814868580896E-5</v>
      </c>
      <c r="O94">
        <f ca="1">$B94*Rules!$B$5/(9+Rules!$B$5)</f>
        <v>2.1546325947432359E-4</v>
      </c>
    </row>
    <row r="95" spans="1:30" x14ac:dyDescent="0.2">
      <c r="A95">
        <v>10</v>
      </c>
      <c r="B95">
        <f ca="1">G$85</f>
        <v>1.2254472882602153E-3</v>
      </c>
      <c r="G95">
        <f ca="1">$B95*1/(9+Rules!$B$5)</f>
        <v>9.4265176020016562E-5</v>
      </c>
      <c r="H95">
        <f ca="1">$B95*1/(9+Rules!$B$5)</f>
        <v>9.4265176020016562E-5</v>
      </c>
      <c r="I95">
        <f ca="1">$B95*1/(9+Rules!$B$5)</f>
        <v>9.4265176020016562E-5</v>
      </c>
      <c r="J95">
        <f ca="1">$B95*1/(9+Rules!$B$5)</f>
        <v>9.4265176020016562E-5</v>
      </c>
      <c r="K95">
        <f ca="1">$B95*1/(9+Rules!$B$5)</f>
        <v>9.4265176020016562E-5</v>
      </c>
      <c r="L95">
        <f ca="1">$B95*1/(9+Rules!$B$5)</f>
        <v>9.4265176020016562E-5</v>
      </c>
      <c r="M95">
        <f ca="1">$B95*1/(9+Rules!$B$5)</f>
        <v>9.4265176020016562E-5</v>
      </c>
      <c r="N95">
        <f ca="1">$B95*1/(9+Rules!$B$5)</f>
        <v>9.4265176020016562E-5</v>
      </c>
      <c r="O95">
        <f ca="1">$B95*1/(9+Rules!$B$5)</f>
        <v>9.4265176020016562E-5</v>
      </c>
      <c r="P95">
        <f ca="1">$B95*Rules!$B$5/(9+Rules!$B$5)</f>
        <v>3.7706070408006625E-4</v>
      </c>
    </row>
    <row r="96" spans="1:30" x14ac:dyDescent="0.2">
      <c r="A96">
        <v>11</v>
      </c>
      <c r="B96">
        <f ca="1">H$85</f>
        <v>1.9607156612163443E-3</v>
      </c>
      <c r="H96">
        <f ca="1">$B96*1/(9+Rules!$B$5)</f>
        <v>1.5082428163202649E-4</v>
      </c>
      <c r="I96">
        <f ca="1">$B96*1/(9+Rules!$B$5)</f>
        <v>1.5082428163202649E-4</v>
      </c>
      <c r="J96">
        <f ca="1">$B96*1/(9+Rules!$B$5)</f>
        <v>1.5082428163202649E-4</v>
      </c>
      <c r="K96">
        <f ca="1">$B96*1/(9+Rules!$B$5)</f>
        <v>1.5082428163202649E-4</v>
      </c>
      <c r="L96">
        <f ca="1">$B96*1/(9+Rules!$B$5)</f>
        <v>1.5082428163202649E-4</v>
      </c>
      <c r="M96">
        <f ca="1">$B96*1/(9+Rules!$B$5)</f>
        <v>1.5082428163202649E-4</v>
      </c>
      <c r="N96">
        <f ca="1">$B96*1/(9+Rules!$B$5)</f>
        <v>1.5082428163202649E-4</v>
      </c>
      <c r="O96">
        <f ca="1">$B96*1/(9+Rules!$B$5)</f>
        <v>1.5082428163202649E-4</v>
      </c>
      <c r="P96">
        <f ca="1">$B96*1/(9+Rules!$B$5)</f>
        <v>1.5082428163202649E-4</v>
      </c>
      <c r="Q96">
        <f ca="1">$B96*Rules!$B$5/(9+Rules!$B$5)</f>
        <v>6.0329712652810595E-4</v>
      </c>
    </row>
    <row r="97" spans="1:28" x14ac:dyDescent="0.2">
      <c r="A97">
        <v>12</v>
      </c>
      <c r="B97">
        <f ca="1">I$85</f>
        <v>4.2015335597493098E-3</v>
      </c>
      <c r="I97">
        <f ca="1">$B97*1/(9+Rules!$B$5)</f>
        <v>3.2319488921148538E-4</v>
      </c>
      <c r="J97">
        <f ca="1">$B97*1/(9+Rules!$B$5)</f>
        <v>3.2319488921148538E-4</v>
      </c>
      <c r="K97">
        <f ca="1">$B97*1/(9+Rules!$B$5)</f>
        <v>3.2319488921148538E-4</v>
      </c>
      <c r="L97">
        <f ca="1">$B97*1/(9+Rules!$B$5)</f>
        <v>3.2319488921148538E-4</v>
      </c>
      <c r="M97">
        <f ca="1">$B97*1/(9+Rules!$B$5)</f>
        <v>3.2319488921148538E-4</v>
      </c>
      <c r="N97">
        <f ca="1">$B97*1/(9+Rules!$B$5)</f>
        <v>3.2319488921148538E-4</v>
      </c>
      <c r="O97">
        <f ca="1">$B97*1/(9+Rules!$B$5)</f>
        <v>3.2319488921148538E-4</v>
      </c>
      <c r="P97">
        <f ca="1">$B97*1/(9+Rules!$B$5)</f>
        <v>3.2319488921148538E-4</v>
      </c>
      <c r="Q97">
        <f ca="1">$B97*1/(9+Rules!$B$5)</f>
        <v>3.2319488921148538E-4</v>
      </c>
      <c r="R97">
        <f ca="1">$B97*Rules!$B$5/(9+Rules!$B$5)</f>
        <v>1.2927795568459415E-3</v>
      </c>
    </row>
    <row r="98" spans="1:28" x14ac:dyDescent="0.2">
      <c r="A98">
        <v>13</v>
      </c>
      <c r="B98">
        <f ca="1">J$85</f>
        <v>6.1272364413010759E-3</v>
      </c>
      <c r="J98">
        <f ca="1">$B98*1/(9+Rules!$B$5)</f>
        <v>4.7132588010008274E-4</v>
      </c>
      <c r="K98">
        <f ca="1">$B98*1/(9+Rules!$B$5)</f>
        <v>4.7132588010008274E-4</v>
      </c>
      <c r="L98">
        <f ca="1">$B98*1/(9+Rules!$B$5)</f>
        <v>4.7132588010008274E-4</v>
      </c>
      <c r="M98">
        <f ca="1">$B98*1/(9+Rules!$B$5)</f>
        <v>4.7132588010008274E-4</v>
      </c>
      <c r="N98">
        <f ca="1">$B98*1/(9+Rules!$B$5)</f>
        <v>4.7132588010008274E-4</v>
      </c>
      <c r="O98">
        <f ca="1">$B98*1/(9+Rules!$B$5)</f>
        <v>4.7132588010008274E-4</v>
      </c>
      <c r="P98">
        <f ca="1">$B98*1/(9+Rules!$B$5)</f>
        <v>4.7132588010008274E-4</v>
      </c>
      <c r="Q98">
        <f ca="1">$B98*1/(9+Rules!$B$5)</f>
        <v>4.7132588010008274E-4</v>
      </c>
      <c r="R98">
        <f ca="1">$B98*1/(9+Rules!$B$5)</f>
        <v>4.7132588010008274E-4</v>
      </c>
      <c r="S98">
        <f ca="1">$B98*Rules!$B$5/(9+Rules!$B$5)</f>
        <v>1.885303520400331E-3</v>
      </c>
    </row>
    <row r="99" spans="1:28" x14ac:dyDescent="0.2">
      <c r="A99">
        <v>14</v>
      </c>
      <c r="B99">
        <f ca="1">K$85</f>
        <v>8.7181821364798167E-3</v>
      </c>
      <c r="K99">
        <f ca="1">$B99*1/(9+Rules!$B$5)</f>
        <v>6.7062939511383201E-4</v>
      </c>
      <c r="L99">
        <f ca="1">$B99*1/(9+Rules!$B$5)</f>
        <v>6.7062939511383201E-4</v>
      </c>
      <c r="M99">
        <f ca="1">$B99*1/(9+Rules!$B$5)</f>
        <v>6.7062939511383201E-4</v>
      </c>
      <c r="N99">
        <f ca="1">$B99*1/(9+Rules!$B$5)</f>
        <v>6.7062939511383201E-4</v>
      </c>
      <c r="O99">
        <f ca="1">$B99*1/(9+Rules!$B$5)</f>
        <v>6.7062939511383201E-4</v>
      </c>
      <c r="P99">
        <f ca="1">$B99*1/(9+Rules!$B$5)</f>
        <v>6.7062939511383201E-4</v>
      </c>
      <c r="Q99">
        <f ca="1">$B99*1/(9+Rules!$B$5)</f>
        <v>6.7062939511383201E-4</v>
      </c>
      <c r="R99">
        <f ca="1">$B99*1/(9+Rules!$B$5)</f>
        <v>6.7062939511383201E-4</v>
      </c>
      <c r="S99">
        <f ca="1">$B99*1/(9+Rules!$B$5)</f>
        <v>6.7062939511383201E-4</v>
      </c>
      <c r="T99">
        <f ca="1">$B99*Rules!$B$5/(9+Rules!$B$5)</f>
        <v>2.682517580455328E-3</v>
      </c>
    </row>
    <row r="100" spans="1:28" x14ac:dyDescent="0.2">
      <c r="A100">
        <v>15</v>
      </c>
      <c r="B100">
        <f ca="1">L$85</f>
        <v>1.1869332306291799E-2</v>
      </c>
      <c r="L100">
        <f ca="1">$B100*1/(9+Rules!$B$5)</f>
        <v>9.1302556202244609E-4</v>
      </c>
      <c r="M100">
        <f ca="1">$B100*1/(9+Rules!$B$5)</f>
        <v>9.1302556202244609E-4</v>
      </c>
      <c r="N100">
        <f ca="1">$B100*1/(9+Rules!$B$5)</f>
        <v>9.1302556202244609E-4</v>
      </c>
      <c r="O100">
        <f ca="1">$B100*1/(9+Rules!$B$5)</f>
        <v>9.1302556202244609E-4</v>
      </c>
      <c r="P100">
        <f ca="1">$B100*1/(9+Rules!$B$5)</f>
        <v>9.1302556202244609E-4</v>
      </c>
      <c r="Q100">
        <f ca="1">$B100*1/(9+Rules!$B$5)</f>
        <v>9.1302556202244609E-4</v>
      </c>
      <c r="R100">
        <f ca="1">$B100*1/(9+Rules!$B$5)</f>
        <v>9.1302556202244609E-4</v>
      </c>
      <c r="S100">
        <f ca="1">$B100*1/(9+Rules!$B$5)</f>
        <v>9.1302556202244609E-4</v>
      </c>
      <c r="T100">
        <f ca="1">$B100*1/(9+Rules!$B$5)</f>
        <v>9.1302556202244609E-4</v>
      </c>
      <c r="U100">
        <f ca="1">$B100*Rules!$B$5/(9+Rules!$B$5)</f>
        <v>3.6521022480897843E-3</v>
      </c>
    </row>
    <row r="101" spans="1:28" x14ac:dyDescent="0.2">
      <c r="A101">
        <v>16</v>
      </c>
      <c r="B101">
        <f ca="1">M$85</f>
        <v>1.5475648611743288E-2</v>
      </c>
      <c r="M101">
        <f ca="1">$B101*1/(9+Rules!$B$5)</f>
        <v>1.1904345085956376E-3</v>
      </c>
      <c r="N101">
        <f ca="1">$B101*1/(9+Rules!$B$5)</f>
        <v>1.1904345085956376E-3</v>
      </c>
      <c r="O101">
        <f ca="1">$B101*1/(9+Rules!$B$5)</f>
        <v>1.1904345085956376E-3</v>
      </c>
      <c r="P101">
        <f ca="1">$B101*1/(9+Rules!$B$5)</f>
        <v>1.1904345085956376E-3</v>
      </c>
      <c r="Q101">
        <f ca="1">$B101*1/(9+Rules!$B$5)</f>
        <v>1.1904345085956376E-3</v>
      </c>
      <c r="R101">
        <f ca="1">$B101*1/(9+Rules!$B$5)</f>
        <v>1.1904345085956376E-3</v>
      </c>
      <c r="S101">
        <f ca="1">$B101*1/(9+Rules!$B$5)</f>
        <v>1.1904345085956376E-3</v>
      </c>
      <c r="T101">
        <f ca="1">$B101*1/(9+Rules!$B$5)</f>
        <v>1.1904345085956376E-3</v>
      </c>
      <c r="U101">
        <f ca="1">$B101*1/(9+Rules!$B$5)</f>
        <v>1.1904345085956376E-3</v>
      </c>
      <c r="V101">
        <f ca="1">$B101*Rules!$B$5/(9+Rules!$B$5)</f>
        <v>4.7617380343825504E-3</v>
      </c>
    </row>
    <row r="102" spans="1:28" x14ac:dyDescent="0.2">
      <c r="B102" t="s">
        <v>2</v>
      </c>
      <c r="C102">
        <f t="shared" ref="C102:AB102" ca="1" si="16">SUM(C91:C101)</f>
        <v>2.6932907434290439E-6</v>
      </c>
      <c r="D102">
        <f t="shared" ca="1" si="16"/>
        <v>1.3466453717145221E-5</v>
      </c>
      <c r="E102">
        <f t="shared" ca="1" si="16"/>
        <v>4.0399361151435666E-5</v>
      </c>
      <c r="F102">
        <f t="shared" ca="1" si="16"/>
        <v>9.4265176020016562E-5</v>
      </c>
      <c r="G102">
        <f t="shared" ca="1" si="16"/>
        <v>1.8853035204003312E-4</v>
      </c>
      <c r="H102">
        <f t="shared" ca="1" si="16"/>
        <v>3.3935463367205964E-4</v>
      </c>
      <c r="I102">
        <f t="shared" ca="1" si="16"/>
        <v>6.6254952288354496E-4</v>
      </c>
      <c r="J102">
        <f t="shared" ca="1" si="16"/>
        <v>1.1338754029836277E-3</v>
      </c>
      <c r="K102">
        <f t="shared" ca="1" si="16"/>
        <v>1.8045047980974598E-3</v>
      </c>
      <c r="L102">
        <f t="shared" ca="1" si="16"/>
        <v>2.7256102323501927E-3</v>
      </c>
      <c r="M102">
        <f t="shared" ca="1" si="16"/>
        <v>3.9375910668932625E-3</v>
      </c>
      <c r="N102">
        <f t="shared" ca="1" si="16"/>
        <v>3.9752971373012693E-3</v>
      </c>
      <c r="O102">
        <f t="shared" ca="1" si="16"/>
        <v>4.029162952169851E-3</v>
      </c>
      <c r="P102">
        <f t="shared" ca="1" si="16"/>
        <v>4.0964952207555765E-3</v>
      </c>
      <c r="Q102">
        <f t="shared" ca="1" si="16"/>
        <v>4.1719073615715894E-3</v>
      </c>
      <c r="R102">
        <f t="shared" ca="1" si="16"/>
        <v>4.5381949026779399E-3</v>
      </c>
      <c r="S102">
        <f t="shared" ca="1" si="16"/>
        <v>4.6593929861322471E-3</v>
      </c>
      <c r="T102">
        <f t="shared" ca="1" si="16"/>
        <v>4.7859776510734116E-3</v>
      </c>
      <c r="U102">
        <f t="shared" ca="1" si="16"/>
        <v>4.8425367566854224E-3</v>
      </c>
      <c r="V102">
        <f t="shared" ca="1" si="16"/>
        <v>4.7617380343825504E-3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</row>
    <row r="104" spans="1:28" x14ac:dyDescent="0.2">
      <c r="A104" t="s">
        <v>96</v>
      </c>
      <c r="C104">
        <v>15</v>
      </c>
      <c r="D104">
        <v>16</v>
      </c>
      <c r="E104">
        <v>17</v>
      </c>
      <c r="F104">
        <v>18</v>
      </c>
      <c r="G104">
        <v>19</v>
      </c>
      <c r="H104">
        <v>20</v>
      </c>
      <c r="I104">
        <v>21</v>
      </c>
      <c r="J104">
        <v>22</v>
      </c>
      <c r="K104">
        <v>23</v>
      </c>
      <c r="L104">
        <v>24</v>
      </c>
      <c r="M104">
        <v>25</v>
      </c>
      <c r="N104">
        <v>26</v>
      </c>
      <c r="O104">
        <v>27</v>
      </c>
      <c r="P104">
        <v>28</v>
      </c>
      <c r="Q104">
        <v>29</v>
      </c>
      <c r="R104">
        <v>30</v>
      </c>
      <c r="S104">
        <v>31</v>
      </c>
      <c r="T104">
        <v>32</v>
      </c>
      <c r="U104">
        <v>33</v>
      </c>
    </row>
    <row r="105" spans="1:28" x14ac:dyDescent="0.2">
      <c r="A105">
        <v>14</v>
      </c>
      <c r="B105">
        <f>K$86</f>
        <v>3.5012779664577572E-5</v>
      </c>
      <c r="C105">
        <f>$B105*1/(9+Rules!$B$5)</f>
        <v>2.6932907434290439E-6</v>
      </c>
      <c r="D105">
        <f>$B105*1/(9+Rules!$B$5)</f>
        <v>2.6932907434290439E-6</v>
      </c>
      <c r="E105">
        <f>$B105*1/(9+Rules!$B$5)</f>
        <v>2.6932907434290439E-6</v>
      </c>
      <c r="F105">
        <f>$B105*1/(9+Rules!$B$5)</f>
        <v>2.6932907434290439E-6</v>
      </c>
      <c r="G105">
        <f>$B105*1/(9+Rules!$B$5)</f>
        <v>2.6932907434290439E-6</v>
      </c>
      <c r="H105">
        <f>$B105*1/(9+Rules!$B$5)</f>
        <v>2.6932907434290439E-6</v>
      </c>
      <c r="I105">
        <f>$B105*1/(9+Rules!$B$5)</f>
        <v>2.6932907434290439E-6</v>
      </c>
      <c r="J105">
        <f>$B105*1/(9+Rules!$B$5)</f>
        <v>2.6932907434290439E-6</v>
      </c>
      <c r="K105">
        <f>$B105*1/(9+Rules!$B$5)</f>
        <v>2.6932907434290439E-6</v>
      </c>
      <c r="L105">
        <f>$B105*Rules!$B$5/(9+Rules!$B$5)</f>
        <v>1.0773162973716176E-5</v>
      </c>
    </row>
    <row r="106" spans="1:28" x14ac:dyDescent="0.2">
      <c r="A106">
        <v>15</v>
      </c>
      <c r="B106">
        <f>L$86</f>
        <v>1.4005111865831031E-4</v>
      </c>
      <c r="D106">
        <f>$B106*1/(9+Rules!$B$5)</f>
        <v>1.0773162973716177E-5</v>
      </c>
      <c r="E106">
        <f>$B106*1/(9+Rules!$B$5)</f>
        <v>1.0773162973716177E-5</v>
      </c>
      <c r="F106">
        <f>$B106*1/(9+Rules!$B$5)</f>
        <v>1.0773162973716177E-5</v>
      </c>
      <c r="G106">
        <f>$B106*1/(9+Rules!$B$5)</f>
        <v>1.0773162973716177E-5</v>
      </c>
      <c r="H106">
        <f>$B106*1/(9+Rules!$B$5)</f>
        <v>1.0773162973716177E-5</v>
      </c>
      <c r="I106">
        <f>$B106*1/(9+Rules!$B$5)</f>
        <v>1.0773162973716177E-5</v>
      </c>
      <c r="J106">
        <f>$B106*1/(9+Rules!$B$5)</f>
        <v>1.0773162973716177E-5</v>
      </c>
      <c r="K106">
        <f>$B106*1/(9+Rules!$B$5)</f>
        <v>1.0773162973716177E-5</v>
      </c>
      <c r="L106">
        <f>$B106*1/(9+Rules!$B$5)</f>
        <v>1.0773162973716177E-5</v>
      </c>
      <c r="M106">
        <f>$B106*Rules!$B$5/(9+Rules!$B$5)</f>
        <v>4.3092651894864709E-5</v>
      </c>
    </row>
    <row r="107" spans="1:28" x14ac:dyDescent="0.2">
      <c r="A107">
        <v>16</v>
      </c>
      <c r="B107">
        <f>M$86</f>
        <v>3.1511501698119817E-4</v>
      </c>
      <c r="E107">
        <f>$B107*1/(9+Rules!$B$5)</f>
        <v>2.4239616690861398E-5</v>
      </c>
      <c r="F107">
        <f>$B107*1/(9+Rules!$B$5)</f>
        <v>2.4239616690861398E-5</v>
      </c>
      <c r="G107">
        <f>$B107*1/(9+Rules!$B$5)</f>
        <v>2.4239616690861398E-5</v>
      </c>
      <c r="H107">
        <f>$B107*1/(9+Rules!$B$5)</f>
        <v>2.4239616690861398E-5</v>
      </c>
      <c r="I107">
        <f>$B107*1/(9+Rules!$B$5)</f>
        <v>2.4239616690861398E-5</v>
      </c>
      <c r="J107">
        <f>$B107*1/(9+Rules!$B$5)</f>
        <v>2.4239616690861398E-5</v>
      </c>
      <c r="K107">
        <f>$B107*1/(9+Rules!$B$5)</f>
        <v>2.4239616690861398E-5</v>
      </c>
      <c r="L107">
        <f>$B107*1/(9+Rules!$B$5)</f>
        <v>2.4239616690861398E-5</v>
      </c>
      <c r="M107">
        <f>$B107*1/(9+Rules!$B$5)</f>
        <v>2.4239616690861398E-5</v>
      </c>
      <c r="N107">
        <f>$B107*Rules!$B$5/(9+Rules!$B$5)</f>
        <v>9.6958466763445592E-5</v>
      </c>
    </row>
    <row r="108" spans="1:28" x14ac:dyDescent="0.2">
      <c r="A108">
        <v>17</v>
      </c>
      <c r="B108">
        <f>N$86</f>
        <v>5.6020447463324126E-4</v>
      </c>
      <c r="F108">
        <f>$B108*1/(9+Rules!$B$5)</f>
        <v>4.3092651894864709E-5</v>
      </c>
      <c r="G108">
        <f>$B108*1/(9+Rules!$B$5)</f>
        <v>4.3092651894864709E-5</v>
      </c>
      <c r="H108">
        <f>$B108*1/(9+Rules!$B$5)</f>
        <v>4.3092651894864709E-5</v>
      </c>
      <c r="I108">
        <f>$B108*1/(9+Rules!$B$5)</f>
        <v>4.3092651894864709E-5</v>
      </c>
      <c r="J108">
        <f>$B108*1/(9+Rules!$B$5)</f>
        <v>4.3092651894864709E-5</v>
      </c>
      <c r="K108">
        <f>$B108*1/(9+Rules!$B$5)</f>
        <v>4.3092651894864709E-5</v>
      </c>
      <c r="L108">
        <f>$B108*1/(9+Rules!$B$5)</f>
        <v>4.3092651894864709E-5</v>
      </c>
      <c r="M108">
        <f>$B108*1/(9+Rules!$B$5)</f>
        <v>4.3092651894864709E-5</v>
      </c>
      <c r="N108">
        <f>$B108*1/(9+Rules!$B$5)</f>
        <v>4.3092651894864709E-5</v>
      </c>
      <c r="O108">
        <f>$B108*Rules!$B$5/(9+Rules!$B$5)</f>
        <v>1.7237060757945884E-4</v>
      </c>
    </row>
    <row r="109" spans="1:28" x14ac:dyDescent="0.2">
      <c r="A109">
        <v>18</v>
      </c>
      <c r="B109">
        <f>O$86</f>
        <v>8.7531949161443942E-4</v>
      </c>
      <c r="G109">
        <f>$B109*1/(9+Rules!$B$5)</f>
        <v>6.7332268585726114E-5</v>
      </c>
      <c r="H109">
        <f>$B109*1/(9+Rules!$B$5)</f>
        <v>6.7332268585726114E-5</v>
      </c>
      <c r="I109">
        <f>$B109*1/(9+Rules!$B$5)</f>
        <v>6.7332268585726114E-5</v>
      </c>
      <c r="J109">
        <f>$B109*1/(9+Rules!$B$5)</f>
        <v>6.7332268585726114E-5</v>
      </c>
      <c r="K109">
        <f>$B109*1/(9+Rules!$B$5)</f>
        <v>6.7332268585726114E-5</v>
      </c>
      <c r="L109">
        <f>$B109*1/(9+Rules!$B$5)</f>
        <v>6.7332268585726114E-5</v>
      </c>
      <c r="M109">
        <f>$B109*1/(9+Rules!$B$5)</f>
        <v>6.7332268585726114E-5</v>
      </c>
      <c r="N109">
        <f>$B109*1/(9+Rules!$B$5)</f>
        <v>6.7332268585726114E-5</v>
      </c>
      <c r="O109">
        <f>$B109*1/(9+Rules!$B$5)</f>
        <v>6.7332268585726114E-5</v>
      </c>
      <c r="P109">
        <f>$B109*Rules!$B$5/(9+Rules!$B$5)</f>
        <v>2.6932907434290445E-4</v>
      </c>
    </row>
    <row r="110" spans="1:28" x14ac:dyDescent="0.2">
      <c r="B110" t="s">
        <v>2</v>
      </c>
      <c r="C110">
        <f t="shared" ref="C110:T110" si="17">SUM(C105:C109)</f>
        <v>2.6932907434290439E-6</v>
      </c>
      <c r="D110">
        <f t="shared" si="17"/>
        <v>1.3466453717145221E-5</v>
      </c>
      <c r="E110">
        <f t="shared" si="17"/>
        <v>3.7706070408006622E-5</v>
      </c>
      <c r="F110">
        <f t="shared" si="17"/>
        <v>8.0798722302871331E-5</v>
      </c>
      <c r="G110">
        <f t="shared" si="17"/>
        <v>1.4813099088859744E-4</v>
      </c>
      <c r="H110">
        <f t="shared" si="17"/>
        <v>1.4813099088859744E-4</v>
      </c>
      <c r="I110">
        <f t="shared" si="17"/>
        <v>1.4813099088859744E-4</v>
      </c>
      <c r="J110">
        <f t="shared" si="17"/>
        <v>1.4813099088859744E-4</v>
      </c>
      <c r="K110">
        <f t="shared" si="17"/>
        <v>1.4813099088859744E-4</v>
      </c>
      <c r="L110">
        <f t="shared" si="17"/>
        <v>1.5621086311888458E-4</v>
      </c>
      <c r="M110">
        <f t="shared" si="17"/>
        <v>1.7775718906631692E-4</v>
      </c>
      <c r="N110">
        <f t="shared" si="17"/>
        <v>2.0738338724403643E-4</v>
      </c>
      <c r="O110">
        <f t="shared" si="17"/>
        <v>2.3970287616518495E-4</v>
      </c>
      <c r="P110">
        <f t="shared" si="17"/>
        <v>2.6932907434290445E-4</v>
      </c>
      <c r="Q110">
        <f t="shared" si="17"/>
        <v>0</v>
      </c>
      <c r="R110">
        <f t="shared" si="17"/>
        <v>0</v>
      </c>
      <c r="S110">
        <f t="shared" si="17"/>
        <v>0</v>
      </c>
      <c r="T110">
        <f t="shared" si="17"/>
        <v>0</v>
      </c>
    </row>
    <row r="112" spans="1:28" x14ac:dyDescent="0.2">
      <c r="B112" t="s">
        <v>103</v>
      </c>
      <c r="C112">
        <v>7</v>
      </c>
      <c r="D112">
        <v>8</v>
      </c>
      <c r="E112">
        <v>9</v>
      </c>
      <c r="F112">
        <v>10</v>
      </c>
      <c r="G112">
        <v>11</v>
      </c>
      <c r="H112">
        <v>12</v>
      </c>
      <c r="I112">
        <v>13</v>
      </c>
      <c r="J112">
        <v>14</v>
      </c>
      <c r="K112">
        <v>15</v>
      </c>
      <c r="L112">
        <v>16</v>
      </c>
      <c r="M112">
        <v>17</v>
      </c>
      <c r="N112">
        <v>18</v>
      </c>
      <c r="O112">
        <v>19</v>
      </c>
      <c r="P112">
        <v>20</v>
      </c>
      <c r="Q112">
        <v>21</v>
      </c>
      <c r="R112" t="s">
        <v>89</v>
      </c>
      <c r="S112" t="s">
        <v>2</v>
      </c>
      <c r="T112" t="s">
        <v>98</v>
      </c>
      <c r="U112" t="s">
        <v>111</v>
      </c>
      <c r="V112" t="s">
        <v>101</v>
      </c>
      <c r="W112" t="s">
        <v>102</v>
      </c>
    </row>
    <row r="113" spans="2:24" x14ac:dyDescent="0.2">
      <c r="B113" t="s">
        <v>99</v>
      </c>
      <c r="C113">
        <f t="shared" ref="C113:Q113" ca="1" si="18">SUMIF($C$90:$AD$90,C112,$C$102:$AD$102)+SUMIF($J$104:$U$104,C112+10,$J$110:$U$110)</f>
        <v>2.6932907434290439E-6</v>
      </c>
      <c r="D113">
        <f t="shared" ca="1" si="18"/>
        <v>1.3466453717145221E-5</v>
      </c>
      <c r="E113">
        <f t="shared" ca="1" si="18"/>
        <v>4.0399361151435666E-5</v>
      </c>
      <c r="F113">
        <f t="shared" ca="1" si="18"/>
        <v>9.4265176020016562E-5</v>
      </c>
      <c r="G113">
        <f t="shared" ca="1" si="18"/>
        <v>1.8853035204003312E-4</v>
      </c>
      <c r="H113">
        <f t="shared" ca="1" si="18"/>
        <v>4.8748562456065706E-4</v>
      </c>
      <c r="I113">
        <f t="shared" ca="1" si="18"/>
        <v>8.1068051377214238E-4</v>
      </c>
      <c r="J113">
        <f t="shared" ca="1" si="18"/>
        <v>1.2900862661025122E-3</v>
      </c>
      <c r="K113">
        <f t="shared" ca="1" si="18"/>
        <v>1.9822619871637769E-3</v>
      </c>
      <c r="L113">
        <f t="shared" ca="1" si="18"/>
        <v>2.9329936195942293E-3</v>
      </c>
      <c r="M113">
        <f t="shared" ca="1" si="18"/>
        <v>4.1772939430584476E-3</v>
      </c>
      <c r="N113">
        <f t="shared" ca="1" si="18"/>
        <v>4.244626211644174E-3</v>
      </c>
      <c r="O113">
        <f t="shared" ca="1" si="18"/>
        <v>4.029162952169851E-3</v>
      </c>
      <c r="P113">
        <f t="shared" ca="1" si="18"/>
        <v>4.0964952207555765E-3</v>
      </c>
      <c r="Q113">
        <f t="shared" ca="1" si="18"/>
        <v>4.1719073615715894E-3</v>
      </c>
      <c r="R113">
        <f ca="1">SUMIF($C$90:$AD$90,"&gt;21",$C$102:$AD$102)</f>
        <v>2.3587840330951574E-2</v>
      </c>
      <c r="S113">
        <f ca="1">SUM(C113:R113)</f>
        <v>5.2150188665016597E-2</v>
      </c>
      <c r="T113">
        <f ca="1">R113</f>
        <v>2.3587840330951574E-2</v>
      </c>
      <c r="U113">
        <f>V85</f>
        <v>0.32544378698224863</v>
      </c>
      <c r="V113">
        <f ca="1">W85</f>
        <v>0.43331816112881205</v>
      </c>
      <c r="W113">
        <f ca="1">U85</f>
        <v>0.18850880571408568</v>
      </c>
    </row>
    <row r="114" spans="2:24" x14ac:dyDescent="0.2">
      <c r="B114" t="s">
        <v>100</v>
      </c>
      <c r="C114">
        <f t="shared" ref="C114:Q114" si="19">SUMIF($C$104:$I$104,C112,$C$110:$I$110)</f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2.6932907434290439E-6</v>
      </c>
      <c r="L114">
        <f t="shared" si="19"/>
        <v>1.3466453717145221E-5</v>
      </c>
      <c r="M114">
        <f t="shared" si="19"/>
        <v>3.7706070408006622E-5</v>
      </c>
      <c r="N114">
        <f t="shared" si="19"/>
        <v>8.0798722302871331E-5</v>
      </c>
      <c r="O114">
        <f t="shared" si="19"/>
        <v>1.4813099088859744E-4</v>
      </c>
      <c r="P114">
        <f t="shared" si="19"/>
        <v>1.4813099088859744E-4</v>
      </c>
      <c r="Q114">
        <f t="shared" si="19"/>
        <v>1.4813099088859744E-4</v>
      </c>
      <c r="R114">
        <f>SUMIF($C$60:$AD$60,R112,$C$73:$AD$73)+SUMIF($C$75:$J$75,R112,$C$82:$J$82)+SUMIF($K$75:$U$75,R112+10,$K$82:$U$82)</f>
        <v>0</v>
      </c>
      <c r="S114">
        <f>SUM(C114:R114)</f>
        <v>5.7905750983724448E-4</v>
      </c>
      <c r="X114" t="s">
        <v>95</v>
      </c>
    </row>
    <row r="115" spans="2:24" x14ac:dyDescent="0.2">
      <c r="R115" t="s">
        <v>2</v>
      </c>
      <c r="S115">
        <f ca="1">SUM(S113:S114)</f>
        <v>5.272924617485384E-2</v>
      </c>
      <c r="X115">
        <f ca="1">S115+W113+V113+U113</f>
        <v>1.0000000000000002</v>
      </c>
    </row>
    <row r="116" spans="2:24" ht="17" thickBot="1" x14ac:dyDescent="0.25"/>
    <row r="117" spans="2:24" ht="17" thickBot="1" x14ac:dyDescent="0.25">
      <c r="D117" s="104"/>
      <c r="E117" s="21" t="s">
        <v>109</v>
      </c>
      <c r="F117" s="19" t="s">
        <v>108</v>
      </c>
      <c r="G117" s="19" t="s">
        <v>110</v>
      </c>
      <c r="H117" s="20" t="s">
        <v>95</v>
      </c>
    </row>
    <row r="118" spans="2:24" x14ac:dyDescent="0.2">
      <c r="D118" s="96" t="s">
        <v>104</v>
      </c>
      <c r="E118" s="22">
        <f>U113</f>
        <v>0.32544378698224863</v>
      </c>
      <c r="F118" s="2">
        <v>0</v>
      </c>
      <c r="G118" s="2">
        <f>1-E118-F118</f>
        <v>0.67455621301775137</v>
      </c>
      <c r="H118" s="8">
        <f>SUM(E118:G118)</f>
        <v>1</v>
      </c>
    </row>
    <row r="119" spans="2:24" x14ac:dyDescent="0.2">
      <c r="D119" s="97" t="s">
        <v>105</v>
      </c>
      <c r="E119" s="144">
        <f ca="1">V56-T56</f>
        <v>0.26035502958579881</v>
      </c>
      <c r="F119" s="1">
        <f ca="1">T56</f>
        <v>0.17296313154301321</v>
      </c>
      <c r="G119" s="1">
        <f ca="1">G118-F119-E119</f>
        <v>0.24123805188893932</v>
      </c>
      <c r="H119" s="9">
        <f ca="1">SUM(E119:G119)</f>
        <v>0.67455621301775137</v>
      </c>
    </row>
    <row r="120" spans="2:24" x14ac:dyDescent="0.2">
      <c r="D120" s="97" t="s">
        <v>106</v>
      </c>
      <c r="E120" s="144">
        <f ca="1">U85-S85</f>
        <v>9.747557858618397E-2</v>
      </c>
      <c r="F120" s="1">
        <f ca="1">S85</f>
        <v>9.1033227127901711E-2</v>
      </c>
      <c r="G120" s="1">
        <f ca="1">G119-F120-E120</f>
        <v>5.2729246174853639E-2</v>
      </c>
      <c r="H120" s="9">
        <f ca="1">SUM(E120:G120)</f>
        <v>0.24123805188893932</v>
      </c>
    </row>
    <row r="121" spans="2:24" x14ac:dyDescent="0.2">
      <c r="D121" s="97" t="s">
        <v>107</v>
      </c>
      <c r="E121" s="144"/>
      <c r="F121" s="1">
        <f ca="1">R113</f>
        <v>2.3587840330951574E-2</v>
      </c>
      <c r="G121" s="1">
        <f ca="1">G120-F121</f>
        <v>2.9141405843902065E-2</v>
      </c>
      <c r="H121" s="9">
        <f ca="1">SUM(E121:G121)</f>
        <v>5.2729246174853639E-2</v>
      </c>
    </row>
    <row r="122" spans="2:24" ht="17" thickBot="1" x14ac:dyDescent="0.25">
      <c r="D122" s="145" t="s">
        <v>2</v>
      </c>
      <c r="E122" s="146">
        <f ca="1">SUM(E118:E121)</f>
        <v>0.68327439515423138</v>
      </c>
      <c r="F122" s="111">
        <f ca="1">SUM(F118:F121)</f>
        <v>0.28758419900186649</v>
      </c>
      <c r="G122" s="111">
        <f ca="1">G121</f>
        <v>2.9141405843902065E-2</v>
      </c>
      <c r="H122" s="10">
        <f ca="1">SUM(E122:G122)</f>
        <v>0.99999999999999989</v>
      </c>
    </row>
  </sheetData>
  <sheetProtection sheet="1" objects="1" scenarios="1"/>
  <conditionalFormatting sqref="C2">
    <cfRule type="containsText" dxfId="830" priority="7" operator="containsText" text="R">
      <formula>NOT(ISERROR(SEARCH("R",C2)))</formula>
    </cfRule>
    <cfRule type="containsText" dxfId="829" priority="8" operator="containsText" text="D">
      <formula>NOT(ISERROR(SEARCH("D",C2)))</formula>
    </cfRule>
    <cfRule type="containsText" dxfId="828" priority="9" operator="containsText" text="S">
      <formula>NOT(ISERROR(SEARCH("S",C2)))</formula>
    </cfRule>
    <cfRule type="containsText" dxfId="827" priority="10" operator="containsText" text="H">
      <formula>NOT(ISERROR(SEARCH("H",C2)))</formula>
    </cfRule>
  </conditionalFormatting>
  <conditionalFormatting sqref="C2">
    <cfRule type="containsText" dxfId="826" priority="6" operator="containsText" text="P">
      <formula>NOT(ISERROR(SEARCH("P",C2)))</formula>
    </cfRule>
  </conditionalFormatting>
  <conditionalFormatting sqref="C15">
    <cfRule type="containsText" dxfId="825" priority="2" operator="containsText" text="R">
      <formula>NOT(ISERROR(SEARCH("R",C15)))</formula>
    </cfRule>
    <cfRule type="containsText" dxfId="824" priority="3" operator="containsText" text="D">
      <formula>NOT(ISERROR(SEARCH("D",C15)))</formula>
    </cfRule>
    <cfRule type="containsText" dxfId="823" priority="4" operator="containsText" text="S">
      <formula>NOT(ISERROR(SEARCH("S",C15)))</formula>
    </cfRule>
    <cfRule type="containsText" dxfId="822" priority="5" operator="containsText" text="H">
      <formula>NOT(ISERROR(SEARCH("H",C15)))</formula>
    </cfRule>
  </conditionalFormatting>
  <conditionalFormatting sqref="C15">
    <cfRule type="containsText" dxfId="821" priority="1" operator="containsText" text="P">
      <formula>NOT(ISERROR(SEARCH("P",C15)))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2"/>
  <sheetViews>
    <sheetView workbookViewId="0">
      <selection activeCell="D2" sqref="D2"/>
    </sheetView>
  </sheetViews>
  <sheetFormatPr baseColWidth="10" defaultColWidth="11" defaultRowHeight="16" x14ac:dyDescent="0.2"/>
  <cols>
    <col min="1" max="1" width="9.1640625" customWidth="1"/>
  </cols>
  <sheetData>
    <row r="1" spans="1:4" x14ac:dyDescent="0.2">
      <c r="B1" t="s">
        <v>119</v>
      </c>
      <c r="C1" t="s">
        <v>116</v>
      </c>
      <c r="D1" t="s">
        <v>117</v>
      </c>
    </row>
    <row r="2" spans="1:4" x14ac:dyDescent="0.2">
      <c r="A2" t="s">
        <v>118</v>
      </c>
      <c r="B2">
        <f>1/13</f>
        <v>7.6923076923076927E-2</v>
      </c>
      <c r="C2">
        <f>2*B2^2</f>
        <v>1.183431952662722E-2</v>
      </c>
      <c r="D2">
        <f>3*B2^3</f>
        <v>1.3654984069185255E-3</v>
      </c>
    </row>
  </sheetData>
  <sheetProtection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Q40"/>
  <sheetViews>
    <sheetView workbookViewId="0">
      <selection activeCell="N4" sqref="N4"/>
    </sheetView>
  </sheetViews>
  <sheetFormatPr baseColWidth="10" defaultColWidth="8.83203125" defaultRowHeight="15" x14ac:dyDescent="0.2"/>
  <cols>
    <col min="1" max="2" width="8.83203125" style="33"/>
    <col min="3" max="3" width="8" style="33" customWidth="1"/>
    <col min="4" max="16" width="8.83203125" style="33"/>
    <col min="17" max="17" width="10.5" style="33" bestFit="1" customWidth="1"/>
    <col min="18" max="16384" width="8.83203125" style="33"/>
  </cols>
  <sheetData>
    <row r="1" spans="1:17" ht="25" thickBot="1" x14ac:dyDescent="0.35">
      <c r="A1" s="320" t="s">
        <v>133</v>
      </c>
      <c r="B1" s="321"/>
      <c r="C1" s="321"/>
      <c r="D1" s="321"/>
      <c r="E1" s="321"/>
      <c r="F1" s="321"/>
      <c r="G1" s="321"/>
      <c r="H1" s="321"/>
      <c r="I1" s="321"/>
      <c r="J1" s="321"/>
      <c r="K1" s="322"/>
    </row>
    <row r="2" spans="1:17" ht="16" thickBot="1" x14ac:dyDescent="0.25">
      <c r="A2" s="163" t="s">
        <v>9</v>
      </c>
      <c r="B2" s="163" t="s">
        <v>1</v>
      </c>
      <c r="C2" s="163">
        <v>2</v>
      </c>
      <c r="D2" s="163">
        <v>3</v>
      </c>
      <c r="E2" s="163">
        <v>4</v>
      </c>
      <c r="F2" s="163">
        <v>5</v>
      </c>
      <c r="G2" s="163">
        <v>6</v>
      </c>
      <c r="H2" s="163">
        <v>7</v>
      </c>
      <c r="I2" s="163">
        <v>8</v>
      </c>
      <c r="J2" s="163">
        <v>9</v>
      </c>
      <c r="K2" s="163">
        <v>10</v>
      </c>
      <c r="M2" s="219"/>
      <c r="N2" s="228" t="s">
        <v>184</v>
      </c>
      <c r="O2" s="202" t="s">
        <v>38</v>
      </c>
      <c r="P2" s="202" t="s">
        <v>183</v>
      </c>
      <c r="Q2" s="215" t="s">
        <v>37</v>
      </c>
    </row>
    <row r="3" spans="1:17" x14ac:dyDescent="0.2">
      <c r="A3" s="32">
        <v>5</v>
      </c>
      <c r="B3" s="34">
        <f>HSDR!B5</f>
        <v>-0.27857459755181968</v>
      </c>
      <c r="C3" s="34">
        <f>HSDR!C5</f>
        <v>-0.12821556706374745</v>
      </c>
      <c r="D3" s="34">
        <f>HSDR!D5</f>
        <v>-9.5310227261489883E-2</v>
      </c>
      <c r="E3" s="34">
        <f>HSDR!E5</f>
        <v>-6.1479464199694238E-2</v>
      </c>
      <c r="F3" s="34">
        <f>HSDR!F5</f>
        <v>-2.397897039185962E-2</v>
      </c>
      <c r="G3" s="34">
        <f>HSDR!G5</f>
        <v>-1.1863378384401623E-3</v>
      </c>
      <c r="H3" s="34">
        <f>HSDR!H5</f>
        <v>-0.11944744188414852</v>
      </c>
      <c r="I3" s="34">
        <f>HSDR!I5</f>
        <v>-0.18809330390318524</v>
      </c>
      <c r="J3" s="34">
        <f>HSDR!J5</f>
        <v>-0.26661505335795899</v>
      </c>
      <c r="K3" s="34">
        <f>HSDR!K5</f>
        <v>-0.31341164336497107</v>
      </c>
      <c r="M3" s="227" t="s">
        <v>47</v>
      </c>
      <c r="N3" s="217">
        <f>SUM(SUMIF($B$3:$K$17,"&gt;0",B3:K17),SUMIF($B$19:$K$27,"&gt;0",B19:K27),SUMIF($B$29:$K$38,"&gt;0",B29:K38))</f>
        <v>62.077481052812416</v>
      </c>
      <c r="O3" s="199">
        <f>COUNTIF($B$3:$K$17,"&gt;0")+COUNTIF($B$19:$K$27,"&gt;0")+COUNTIF($B$29:$K$38,"&gt;0")</f>
        <v>168</v>
      </c>
      <c r="P3" s="199">
        <f>AVERAGE(AVERAGEIF($B$3:$K$17,"&gt;0"),AVERAGEIF($B$19:$K$27,"&gt;0"),AVERAGEIF($B$29:$K$38,"&gt;0"))</f>
        <v>0.36090036071258025</v>
      </c>
      <c r="Q3" s="200">
        <f>N3/N5</f>
        <v>0.62552209290002103</v>
      </c>
    </row>
    <row r="4" spans="1:17" ht="16" thickBot="1" x14ac:dyDescent="0.25">
      <c r="A4" s="32">
        <v>6</v>
      </c>
      <c r="B4" s="34">
        <f>HSDR!B6</f>
        <v>-0.30414663097569933</v>
      </c>
      <c r="C4" s="34">
        <f>HSDR!C6</f>
        <v>-0.14075911746001987</v>
      </c>
      <c r="D4" s="34">
        <f>HSDR!D6</f>
        <v>-0.10729107800860836</v>
      </c>
      <c r="E4" s="34">
        <f>HSDR!E6</f>
        <v>-7.2917141926387305E-2</v>
      </c>
      <c r="F4" s="34">
        <f>HSDR!F6</f>
        <v>-3.4915973330102178E-2</v>
      </c>
      <c r="G4" s="34">
        <f>HSDR!G6</f>
        <v>-1.3005835529874294E-2</v>
      </c>
      <c r="H4" s="34">
        <f>HSDR!H6</f>
        <v>-0.15193270723669944</v>
      </c>
      <c r="I4" s="34">
        <f>HSDR!I6</f>
        <v>-0.21724188132078476</v>
      </c>
      <c r="J4" s="34">
        <f>HSDR!J6</f>
        <v>-0.29264070019772598</v>
      </c>
      <c r="K4" s="34">
        <f>HSDR!K6</f>
        <v>-0.33774944037840804</v>
      </c>
      <c r="M4" s="226" t="s">
        <v>155</v>
      </c>
      <c r="N4" s="221">
        <f>SUM(SUMIF($B$3:$K$17,"&lt;0"),SUMIF($B$19:$K$27,"&lt;0"),SUMIF($B$29:$K$38,"&lt;0"),C40)</f>
        <v>-37.163587739836025</v>
      </c>
      <c r="O4" s="222">
        <f>COUNTIF($B$3:$K$17,"&lt;0")+COUNTIF($B$19:$K$27,"&lt;0")+COUNTIF($B$29:$K$38,"&lt;0")</f>
        <v>172</v>
      </c>
      <c r="P4" s="222">
        <f>AVERAGE(AVERAGEIF($B$3:$K$17,"&lt;0"),AVERAGEIF($B$19:$K$27,"&lt;0"),AVERAGEIF($B$29:$K$38,"&lt;0"))</f>
        <v>-0.18251180061246983</v>
      </c>
      <c r="Q4" s="72">
        <f>1-Q3</f>
        <v>0.37447790709997897</v>
      </c>
    </row>
    <row r="5" spans="1:17" x14ac:dyDescent="0.2">
      <c r="A5" s="32">
        <v>7</v>
      </c>
      <c r="B5" s="34">
        <f>HSDR!B7</f>
        <v>-0.31007165033163697</v>
      </c>
      <c r="C5" s="34">
        <f>HSDR!C7</f>
        <v>-0.10918342786661633</v>
      </c>
      <c r="D5" s="34">
        <f>HSDR!D7</f>
        <v>-7.658298190446361E-2</v>
      </c>
      <c r="E5" s="34">
        <f>HSDR!E7</f>
        <v>-4.3021794004341876E-2</v>
      </c>
      <c r="F5" s="34">
        <f>HSDR!F7</f>
        <v>-7.2713609029408845E-3</v>
      </c>
      <c r="G5" s="34">
        <f>HSDR!G7</f>
        <v>2.9185342353860864E-2</v>
      </c>
      <c r="H5" s="34">
        <f>HSDR!H7</f>
        <v>-6.8807799580427764E-2</v>
      </c>
      <c r="I5" s="34">
        <f>HSDR!I7</f>
        <v>-0.21060476872434969</v>
      </c>
      <c r="J5" s="34">
        <f>HSDR!J7</f>
        <v>-0.28536544048687656</v>
      </c>
      <c r="K5" s="34">
        <f>HSDR!K7</f>
        <v>-0.31905479139833842</v>
      </c>
      <c r="M5" s="208" t="s">
        <v>46</v>
      </c>
      <c r="N5" s="223">
        <f>N3-N4</f>
        <v>99.241068792648434</v>
      </c>
      <c r="O5" s="213">
        <f>COUNT($B$3:$K$17,$B$19:$K$27,$B$29:$K$38)</f>
        <v>340</v>
      </c>
      <c r="P5" s="213">
        <f>AVERAGE($B$3:$K$17,$B$19:$K$27,$B$29:$K$38)</f>
        <v>7.6217333273459989E-2</v>
      </c>
      <c r="Q5" s="71">
        <f>Q3+Q4</f>
        <v>1</v>
      </c>
    </row>
    <row r="6" spans="1:17" ht="16" thickBot="1" x14ac:dyDescent="0.25">
      <c r="A6" s="32">
        <v>8</v>
      </c>
      <c r="B6" s="34">
        <f>HSDR!B8</f>
        <v>-0.1970288105741636</v>
      </c>
      <c r="C6" s="34">
        <f>HSDR!C8</f>
        <v>-2.1798188008805668E-2</v>
      </c>
      <c r="D6" s="34">
        <f>HSDR!D8</f>
        <v>8.0052625306546825E-3</v>
      </c>
      <c r="E6" s="34">
        <f>HSDR!E8</f>
        <v>3.8784473277208811E-2</v>
      </c>
      <c r="F6" s="34">
        <f>HSDR!F8</f>
        <v>7.0804635983033826E-2</v>
      </c>
      <c r="G6" s="34">
        <f>HSDR!G8</f>
        <v>0.11496015009622321</v>
      </c>
      <c r="H6" s="34">
        <f>HSDR!H8</f>
        <v>8.2207439363742862E-2</v>
      </c>
      <c r="I6" s="34">
        <f>HSDR!I8</f>
        <v>-5.9898275658656304E-2</v>
      </c>
      <c r="J6" s="34">
        <f>HSDR!J8</f>
        <v>-0.21018633199821757</v>
      </c>
      <c r="K6" s="34">
        <f>HSDR!K8</f>
        <v>-0.24937508055334259</v>
      </c>
      <c r="M6" s="220"/>
      <c r="N6" s="218"/>
      <c r="O6" s="198"/>
      <c r="P6" s="198"/>
      <c r="Q6" s="214"/>
    </row>
    <row r="7" spans="1:17" ht="16" thickBot="1" x14ac:dyDescent="0.25">
      <c r="A7" s="32">
        <v>9</v>
      </c>
      <c r="B7" s="34">
        <f>HSDR!B9</f>
        <v>-6.5680778778066204E-2</v>
      </c>
      <c r="C7" s="34">
        <f>HSDR!C9</f>
        <v>7.4446037576340524E-2</v>
      </c>
      <c r="D7" s="34">
        <f>HSDR!D9</f>
        <v>0.12081635332999649</v>
      </c>
      <c r="E7" s="34">
        <f>HSDR!E9</f>
        <v>0.18194893405242166</v>
      </c>
      <c r="F7" s="34">
        <f>HSDR!F9</f>
        <v>0.24305722487303633</v>
      </c>
      <c r="G7" s="34">
        <f>HSDR!G9</f>
        <v>0.31705474570166692</v>
      </c>
      <c r="H7" s="34">
        <f>HSDR!H9</f>
        <v>0.17186785993695267</v>
      </c>
      <c r="I7" s="34">
        <f>HSDR!I9</f>
        <v>9.8376217435392516E-2</v>
      </c>
      <c r="J7" s="34">
        <f>HSDR!J9</f>
        <v>-5.2178053462651669E-2</v>
      </c>
      <c r="K7" s="34">
        <f>HSDR!K9</f>
        <v>-0.15295298487455075</v>
      </c>
    </row>
    <row r="8" spans="1:17" ht="16" thickBot="1" x14ac:dyDescent="0.25">
      <c r="A8" s="32">
        <v>10</v>
      </c>
      <c r="B8" s="34">
        <f>HSDR!B10</f>
        <v>8.1449707945275923E-2</v>
      </c>
      <c r="C8" s="34">
        <f>HSDR!C10</f>
        <v>0.3589394124422991</v>
      </c>
      <c r="D8" s="34">
        <f>HSDR!D10</f>
        <v>0.40932067017593915</v>
      </c>
      <c r="E8" s="34">
        <f>HSDR!E10</f>
        <v>0.460940243794354</v>
      </c>
      <c r="F8" s="34">
        <f>HSDR!F10</f>
        <v>0.51251710900326775</v>
      </c>
      <c r="G8" s="34">
        <f>HSDR!G10</f>
        <v>0.57559016859776857</v>
      </c>
      <c r="H8" s="34">
        <f>HSDR!H10</f>
        <v>0.39241245528243773</v>
      </c>
      <c r="I8" s="34">
        <f>HSDR!I10</f>
        <v>0.28663571688628381</v>
      </c>
      <c r="J8" s="34">
        <f>HSDR!J10</f>
        <v>0.1443283683807712</v>
      </c>
      <c r="K8" s="34">
        <f>HSDR!K10</f>
        <v>2.5308523040868145E-2</v>
      </c>
      <c r="M8" s="219"/>
      <c r="N8" s="228" t="s">
        <v>155</v>
      </c>
      <c r="O8" s="229" t="s">
        <v>47</v>
      </c>
      <c r="P8" s="212" t="s">
        <v>2</v>
      </c>
    </row>
    <row r="9" spans="1:17" x14ac:dyDescent="0.2">
      <c r="A9" s="32">
        <v>11</v>
      </c>
      <c r="B9" s="34">
        <f>HSDR!B11</f>
        <v>0.14300128216153027</v>
      </c>
      <c r="C9" s="34">
        <f>HSDR!C11</f>
        <v>0.47064092333946889</v>
      </c>
      <c r="D9" s="34">
        <f>HSDR!D11</f>
        <v>0.51779525312221675</v>
      </c>
      <c r="E9" s="34">
        <f>HSDR!E11</f>
        <v>0.56604055041797607</v>
      </c>
      <c r="F9" s="34">
        <f>HSDR!F11</f>
        <v>0.61469901790902803</v>
      </c>
      <c r="G9" s="34">
        <f>HSDR!G11</f>
        <v>0.66738009490756944</v>
      </c>
      <c r="H9" s="34">
        <f>HSDR!H11</f>
        <v>0.46288894886429077</v>
      </c>
      <c r="I9" s="34">
        <f>HSDR!I11</f>
        <v>0.35069259087031501</v>
      </c>
      <c r="J9" s="34">
        <f>HSDR!J11</f>
        <v>0.22778342315245487</v>
      </c>
      <c r="K9" s="34">
        <f>HSDR!K11</f>
        <v>0.1796887274111463</v>
      </c>
      <c r="M9" s="227" t="s">
        <v>9</v>
      </c>
      <c r="N9" s="217">
        <f>SUMIF(B3:K17,"&lt;0",B3:K17)</f>
        <v>-23.652558141761492</v>
      </c>
      <c r="O9" s="204">
        <f>SUMIF(B3:K17,"&gt;0",B3:K17)</f>
        <v>14.433230600733523</v>
      </c>
      <c r="P9" s="211">
        <f>SUM(N9:O9)</f>
        <v>-9.2193275410279689</v>
      </c>
    </row>
    <row r="10" spans="1:17" x14ac:dyDescent="0.2">
      <c r="A10" s="32">
        <v>12</v>
      </c>
      <c r="B10" s="34">
        <f>HSDR!B12</f>
        <v>-0.35054034044008009</v>
      </c>
      <c r="C10" s="34">
        <f>HSDR!C12</f>
        <v>-0.25338998596663809</v>
      </c>
      <c r="D10" s="34">
        <f>HSDR!D12</f>
        <v>-0.2336908997980866</v>
      </c>
      <c r="E10" s="34">
        <f>HSDR!E12</f>
        <v>-0.21106310899491437</v>
      </c>
      <c r="F10" s="34">
        <f>HSDR!F12</f>
        <v>-0.16719266083547524</v>
      </c>
      <c r="G10" s="34">
        <f>HSDR!G12</f>
        <v>-0.1536990158300045</v>
      </c>
      <c r="H10" s="34">
        <f>HSDR!H12</f>
        <v>-0.21284771451731424</v>
      </c>
      <c r="I10" s="34">
        <f>HSDR!I12</f>
        <v>-0.27157480502428616</v>
      </c>
      <c r="J10" s="34">
        <f>HSDR!J12</f>
        <v>-0.3400132806089356</v>
      </c>
      <c r="K10" s="34">
        <f>HSDR!K12</f>
        <v>-0.38104299284808768</v>
      </c>
      <c r="M10" s="209" t="s">
        <v>4</v>
      </c>
      <c r="N10" s="39">
        <f>SUMIF(B19:K27,"&lt;0",B19:K27)</f>
        <v>-2.5030029481493119</v>
      </c>
      <c r="O10" s="205">
        <f>SUMIF(B19:K27,"&gt;0",B19:K27)</f>
        <v>30.300146516164546</v>
      </c>
      <c r="P10" s="207">
        <f>SUM(N10:O10)</f>
        <v>27.797143568015233</v>
      </c>
    </row>
    <row r="11" spans="1:17" ht="16" thickBot="1" x14ac:dyDescent="0.25">
      <c r="A11" s="32">
        <v>13</v>
      </c>
      <c r="B11" s="34">
        <f>HSDR!B13</f>
        <v>-0.3969303161229315</v>
      </c>
      <c r="C11" s="34">
        <f>HSDR!C13</f>
        <v>-0.29278372720927726</v>
      </c>
      <c r="D11" s="34">
        <f>HSDR!D13</f>
        <v>-0.2522502292357135</v>
      </c>
      <c r="E11" s="34">
        <f>HSDR!E13</f>
        <v>-0.21106310899491437</v>
      </c>
      <c r="F11" s="34">
        <f>HSDR!F13</f>
        <v>-0.16719266083547524</v>
      </c>
      <c r="G11" s="34">
        <f>HSDR!G13</f>
        <v>-0.1536990158300045</v>
      </c>
      <c r="H11" s="34">
        <f>HSDR!H13</f>
        <v>-0.26907287776607752</v>
      </c>
      <c r="I11" s="34">
        <f>HSDR!I13</f>
        <v>-0.32360517609397998</v>
      </c>
      <c r="J11" s="34">
        <f>HSDR!J13</f>
        <v>-0.38715518913686875</v>
      </c>
      <c r="K11" s="34">
        <f>HSDR!K13</f>
        <v>-0.42525420764465277</v>
      </c>
      <c r="M11" s="226" t="s">
        <v>10</v>
      </c>
      <c r="N11" s="221">
        <f>SUMIF(B29:K38,"&lt;0",B29:K38)</f>
        <v>-10.008026649925222</v>
      </c>
      <c r="O11" s="230">
        <f>SUMIF(B29:K38,"&gt;0",B29:K38)</f>
        <v>17.344103935914351</v>
      </c>
      <c r="P11" s="210">
        <f>SUM(N11:O11)</f>
        <v>7.3360772859891288</v>
      </c>
    </row>
    <row r="12" spans="1:17" ht="16" thickBot="1" x14ac:dyDescent="0.25">
      <c r="A12" s="32">
        <v>14</v>
      </c>
      <c r="B12" s="34">
        <f>HSDR!B14</f>
        <v>-0.44000672211415065</v>
      </c>
      <c r="C12" s="34">
        <f>HSDR!C14</f>
        <v>-0.29278372720927726</v>
      </c>
      <c r="D12" s="34">
        <f>HSDR!D14</f>
        <v>-0.2522502292357135</v>
      </c>
      <c r="E12" s="34">
        <f>HSDR!E14</f>
        <v>-0.21106310899491437</v>
      </c>
      <c r="F12" s="34">
        <f>HSDR!F14</f>
        <v>-0.16719266083547524</v>
      </c>
      <c r="G12" s="34">
        <f>HSDR!G14</f>
        <v>-0.1536990158300045</v>
      </c>
      <c r="H12" s="34">
        <f>HSDR!H14</f>
        <v>-0.3212819579256434</v>
      </c>
      <c r="I12" s="34">
        <f>HSDR!I14</f>
        <v>-0.37191909208726714</v>
      </c>
      <c r="J12" s="34">
        <f>HSDR!J14</f>
        <v>-0.43092981848423528</v>
      </c>
      <c r="K12" s="34">
        <f>HSDR!K14</f>
        <v>-0.46630747852717758</v>
      </c>
      <c r="M12" s="212" t="s">
        <v>2</v>
      </c>
      <c r="N12" s="216">
        <f>SUM(N9:N11)+C40</f>
        <v>-37.163587739836025</v>
      </c>
      <c r="O12" s="203">
        <f>SUM(O9:O11)</f>
        <v>62.077481052812416</v>
      </c>
      <c r="P12" s="219">
        <f>SUM(P9:P11)</f>
        <v>25.913893312976391</v>
      </c>
    </row>
    <row r="13" spans="1:17" x14ac:dyDescent="0.2">
      <c r="A13" s="32">
        <v>15</v>
      </c>
      <c r="B13" s="34">
        <f>HSDR!B15</f>
        <v>-0.4800062419631399</v>
      </c>
      <c r="C13" s="34">
        <f>HSDR!C15</f>
        <v>-0.29278372720927726</v>
      </c>
      <c r="D13" s="34">
        <f>HSDR!D15</f>
        <v>-0.2522502292357135</v>
      </c>
      <c r="E13" s="34">
        <f>HSDR!E15</f>
        <v>-0.21106310899491437</v>
      </c>
      <c r="F13" s="34">
        <f>HSDR!F15</f>
        <v>-0.16719266083547524</v>
      </c>
      <c r="G13" s="34">
        <f>HSDR!G15</f>
        <v>-0.1536990158300045</v>
      </c>
      <c r="H13" s="34">
        <f>HSDR!H15</f>
        <v>-0.36976181807381175</v>
      </c>
      <c r="I13" s="34">
        <f>HSDR!I15</f>
        <v>-0.41678201408103371</v>
      </c>
      <c r="J13" s="34">
        <f>HSDR!J15</f>
        <v>-0.47157768859250415</v>
      </c>
      <c r="K13" s="34">
        <f>HSDR!K15</f>
        <v>-0.5044283729180935</v>
      </c>
    </row>
    <row r="14" spans="1:17" x14ac:dyDescent="0.2">
      <c r="A14" s="32">
        <v>16</v>
      </c>
      <c r="B14" s="34">
        <f>HSDR!B16</f>
        <v>-0.51714865325148707</v>
      </c>
      <c r="C14" s="34">
        <f>HSDR!C16</f>
        <v>-0.29278372720927726</v>
      </c>
      <c r="D14" s="34">
        <f>HSDR!D16</f>
        <v>-0.2522502292357135</v>
      </c>
      <c r="E14" s="34">
        <f>HSDR!E16</f>
        <v>-0.21106310899491437</v>
      </c>
      <c r="F14" s="34">
        <f>HSDR!F16</f>
        <v>-0.16719266083547524</v>
      </c>
      <c r="G14" s="34">
        <f>HSDR!G16</f>
        <v>-0.1536990158300045</v>
      </c>
      <c r="H14" s="34">
        <f>HSDR!H16</f>
        <v>-0.41477883106853947</v>
      </c>
      <c r="I14" s="34">
        <f>HSDR!I16</f>
        <v>-0.45844044164667419</v>
      </c>
      <c r="J14" s="34">
        <f>HSDR!J16</f>
        <v>-0.50932213940732529</v>
      </c>
      <c r="K14" s="34">
        <f>HSDR!K16</f>
        <v>-0.53982634628108683</v>
      </c>
    </row>
    <row r="15" spans="1:17" x14ac:dyDescent="0.2">
      <c r="A15" s="32">
        <v>17</v>
      </c>
      <c r="B15" s="34">
        <f>HSDR!B17</f>
        <v>-0.47803347499473703</v>
      </c>
      <c r="C15" s="34">
        <f>HSDR!C17</f>
        <v>-0.15297458768154204</v>
      </c>
      <c r="D15" s="34">
        <f>HSDR!D17</f>
        <v>-0.11721624142457365</v>
      </c>
      <c r="E15" s="34">
        <f>HSDR!E17</f>
        <v>-8.0573373145316152E-2</v>
      </c>
      <c r="F15" s="34">
        <f>HSDR!F17</f>
        <v>-4.4941375564924446E-2</v>
      </c>
      <c r="G15" s="34">
        <f>HSDR!G17</f>
        <v>1.1739160673341853E-2</v>
      </c>
      <c r="H15" s="34">
        <f>HSDR!H17</f>
        <v>-0.10680898948269468</v>
      </c>
      <c r="I15" s="34">
        <f>HSDR!I17</f>
        <v>-0.38195097104844711</v>
      </c>
      <c r="J15" s="34">
        <f>HSDR!J17</f>
        <v>-0.42315423964521737</v>
      </c>
      <c r="K15" s="34">
        <f>HSDR!K17</f>
        <v>-0.41972063392881986</v>
      </c>
    </row>
    <row r="16" spans="1:17" x14ac:dyDescent="0.2">
      <c r="A16" s="32">
        <v>18</v>
      </c>
      <c r="B16" s="34">
        <f>HSDR!B18</f>
        <v>-0.10019887561319057</v>
      </c>
      <c r="C16" s="34">
        <f>HSDR!C18</f>
        <v>0.12174190222088771</v>
      </c>
      <c r="D16" s="34">
        <f>HSDR!D18</f>
        <v>0.14830007284131119</v>
      </c>
      <c r="E16" s="34">
        <f>HSDR!E18</f>
        <v>0.17585443719748528</v>
      </c>
      <c r="F16" s="34">
        <f>HSDR!F18</f>
        <v>0.19956119497617719</v>
      </c>
      <c r="G16" s="34">
        <f>HSDR!G18</f>
        <v>0.28344391604689856</v>
      </c>
      <c r="H16" s="34">
        <f>HSDR!H18</f>
        <v>0.3995541673365518</v>
      </c>
      <c r="I16" s="34">
        <f>HSDR!I18</f>
        <v>0.10595134861912359</v>
      </c>
      <c r="J16" s="34">
        <f>HSDR!J18</f>
        <v>-0.18316335667343331</v>
      </c>
      <c r="K16" s="34">
        <f>HSDR!K18</f>
        <v>-0.17830123379648949</v>
      </c>
    </row>
    <row r="17" spans="1:11" x14ac:dyDescent="0.2">
      <c r="A17" s="32">
        <v>19</v>
      </c>
      <c r="B17" s="34">
        <f>HSDR!B19</f>
        <v>0.27763572376835594</v>
      </c>
      <c r="C17" s="34">
        <f>HSDR!C19</f>
        <v>0.38630468602058993</v>
      </c>
      <c r="D17" s="34">
        <f>HSDR!D19</f>
        <v>0.4043629365977599</v>
      </c>
      <c r="E17" s="34">
        <f>HSDR!E19</f>
        <v>0.42317892482749653</v>
      </c>
      <c r="F17" s="34">
        <f>HSDR!F19</f>
        <v>0.43951210416088371</v>
      </c>
      <c r="G17" s="34">
        <f>HSDR!G19</f>
        <v>0.49597707378731914</v>
      </c>
      <c r="H17" s="34">
        <f>HSDR!H19</f>
        <v>0.6159764957534315</v>
      </c>
      <c r="I17" s="34">
        <f>HSDR!I19</f>
        <v>0.59385366828669439</v>
      </c>
      <c r="J17" s="34">
        <f>HSDR!J19</f>
        <v>0.28759675706758148</v>
      </c>
      <c r="K17" s="34">
        <f>HSDR!K19</f>
        <v>6.3118166335840831E-2</v>
      </c>
    </row>
    <row r="18" spans="1:11" x14ac:dyDescent="0.2">
      <c r="A18" s="32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35">
        <v>10</v>
      </c>
    </row>
    <row r="19" spans="1:11" x14ac:dyDescent="0.2">
      <c r="A19" s="32">
        <v>13</v>
      </c>
      <c r="B19" s="34">
        <f>HSDR!B36</f>
        <v>-5.7308046666810254E-2</v>
      </c>
      <c r="C19" s="34">
        <f>HSDR!C36</f>
        <v>4.6636132695309578E-2</v>
      </c>
      <c r="D19" s="34">
        <f>HSDR!D36</f>
        <v>7.4118813392744051E-2</v>
      </c>
      <c r="E19" s="34">
        <f>HSDR!E36</f>
        <v>0.10247714687203523</v>
      </c>
      <c r="F19" s="34">
        <f>HSDR!F36</f>
        <v>0.13336273848321728</v>
      </c>
      <c r="G19" s="34">
        <f>HSDR!G36</f>
        <v>0.17974820582791512</v>
      </c>
      <c r="H19" s="34">
        <f>HSDR!H36</f>
        <v>0.12238569517899196</v>
      </c>
      <c r="I19" s="34">
        <f>HSDR!I36</f>
        <v>5.4057070196311299E-2</v>
      </c>
      <c r="J19" s="34">
        <f>HSDR!J36</f>
        <v>-3.7694688127479885E-2</v>
      </c>
      <c r="K19" s="34">
        <f>HSDR!K36</f>
        <v>-0.10485135840627779</v>
      </c>
    </row>
    <row r="20" spans="1:11" x14ac:dyDescent="0.2">
      <c r="A20" s="32">
        <v>14</v>
      </c>
      <c r="B20" s="34">
        <f>HSDR!B37</f>
        <v>-9.3874324768310105E-2</v>
      </c>
      <c r="C20" s="34">
        <f>HSDR!C37</f>
        <v>2.2391856987839083E-2</v>
      </c>
      <c r="D20" s="34">
        <f>HSDR!D37</f>
        <v>5.0806738919282814E-2</v>
      </c>
      <c r="E20" s="34">
        <f>HSDR!E37</f>
        <v>8.0081414310110233E-2</v>
      </c>
      <c r="F20" s="34">
        <f>HSDR!F37</f>
        <v>0.12595448524867925</v>
      </c>
      <c r="G20" s="34">
        <f>HSDR!G37</f>
        <v>0.17974820582791512</v>
      </c>
      <c r="H20" s="34">
        <f>HSDR!H37</f>
        <v>7.9507488494468148E-2</v>
      </c>
      <c r="I20" s="34">
        <f>HSDR!I37</f>
        <v>1.3277219463208444E-2</v>
      </c>
      <c r="J20" s="34">
        <f>HSDR!J37</f>
        <v>-7.516318944168382E-2</v>
      </c>
      <c r="K20" s="34">
        <f>HSDR!K37</f>
        <v>-0.13946678217545452</v>
      </c>
    </row>
    <row r="21" spans="1:11" x14ac:dyDescent="0.2">
      <c r="A21" s="32">
        <v>15</v>
      </c>
      <c r="B21" s="34">
        <f>HSDR!B38</f>
        <v>-0.13002650167843849</v>
      </c>
      <c r="C21" s="34">
        <f>HSDR!C38</f>
        <v>-1.2068474052636583E-4</v>
      </c>
      <c r="D21" s="34">
        <f>HSDR!D38</f>
        <v>2.9159812622497363E-2</v>
      </c>
      <c r="E21" s="34">
        <f>HSDR!E38</f>
        <v>5.9285376931179926E-2</v>
      </c>
      <c r="F21" s="34">
        <f>HSDR!F38</f>
        <v>0.12595448524867925</v>
      </c>
      <c r="G21" s="34">
        <f>HSDR!G38</f>
        <v>0.17974820582791512</v>
      </c>
      <c r="H21" s="34">
        <f>HSDR!H38</f>
        <v>3.7028282279269235E-2</v>
      </c>
      <c r="I21" s="34">
        <f>HSDR!I38</f>
        <v>-2.7054780502901672E-2</v>
      </c>
      <c r="J21" s="34">
        <f>HSDR!J38</f>
        <v>-0.11218876868994289</v>
      </c>
      <c r="K21" s="34">
        <f>HSDR!K38</f>
        <v>-0.17370423031226784</v>
      </c>
    </row>
    <row r="22" spans="1:11" x14ac:dyDescent="0.2">
      <c r="A22" s="32">
        <v>16</v>
      </c>
      <c r="B22" s="34">
        <f>HSDR!B39</f>
        <v>-0.16563717206687348</v>
      </c>
      <c r="C22" s="34">
        <f>HSDR!C39</f>
        <v>-2.1025187774008566E-2</v>
      </c>
      <c r="D22" s="34">
        <f>HSDR!D39</f>
        <v>9.0590953469108244E-3</v>
      </c>
      <c r="E22" s="34">
        <f>HSDR!E39</f>
        <v>5.8426518743744951E-2</v>
      </c>
      <c r="F22" s="34">
        <f>HSDR!F39</f>
        <v>0.12595448524867925</v>
      </c>
      <c r="G22" s="34">
        <f>HSDR!G39</f>
        <v>0.17974820582791512</v>
      </c>
      <c r="H22" s="34">
        <f>HSDR!H39</f>
        <v>-4.8901571730158942E-3</v>
      </c>
      <c r="I22" s="34">
        <f>HSDR!I39</f>
        <v>-6.6794847920094103E-2</v>
      </c>
      <c r="J22" s="34">
        <f>HSDR!J39</f>
        <v>-0.14864353463007471</v>
      </c>
      <c r="K22" s="34">
        <f>HSDR!K39</f>
        <v>-0.20744109003068206</v>
      </c>
    </row>
    <row r="23" spans="1:11" x14ac:dyDescent="0.2">
      <c r="A23" s="32">
        <v>17</v>
      </c>
      <c r="B23" s="34">
        <f>HSDR!B40</f>
        <v>-0.17956936979241733</v>
      </c>
      <c r="C23" s="34">
        <f>HSDR!C40</f>
        <v>-4.9104358288912882E-4</v>
      </c>
      <c r="D23" s="34">
        <f>HSDR!D40</f>
        <v>5.5095284479298338E-2</v>
      </c>
      <c r="E23" s="34">
        <f>HSDR!E40</f>
        <v>0.11865255067432869</v>
      </c>
      <c r="F23" s="34">
        <f>HSDR!F40</f>
        <v>0.18237815537354879</v>
      </c>
      <c r="G23" s="34">
        <f>HSDR!G40</f>
        <v>0.2561042872909981</v>
      </c>
      <c r="H23" s="34">
        <f>HSDR!H40</f>
        <v>5.3823463716116654E-2</v>
      </c>
      <c r="I23" s="34">
        <f>HSDR!I40</f>
        <v>-7.2915398729642075E-2</v>
      </c>
      <c r="J23" s="34">
        <f>HSDR!J40</f>
        <v>-0.1497868921821332</v>
      </c>
      <c r="K23" s="34">
        <f>HSDR!K40</f>
        <v>-0.19686697623363469</v>
      </c>
    </row>
    <row r="24" spans="1:11" x14ac:dyDescent="0.2">
      <c r="A24" s="32">
        <v>18</v>
      </c>
      <c r="B24" s="34">
        <f>HSDR!B41</f>
        <v>-9.2935491769284034E-2</v>
      </c>
      <c r="C24" s="34">
        <f>HSDR!C41</f>
        <v>0.12174190222088771</v>
      </c>
      <c r="D24" s="34">
        <f>HSDR!D41</f>
        <v>0.17764127567893753</v>
      </c>
      <c r="E24" s="34">
        <f>HSDR!E41</f>
        <v>0.23700384775562167</v>
      </c>
      <c r="F24" s="34">
        <f>HSDR!F41</f>
        <v>0.29522549562328804</v>
      </c>
      <c r="G24" s="34">
        <f>HSDR!G41</f>
        <v>0.38150648207879345</v>
      </c>
      <c r="H24" s="34">
        <f>HSDR!H41</f>
        <v>0.3995541673365518</v>
      </c>
      <c r="I24" s="34">
        <f>HSDR!I41</f>
        <v>0.10595134861912359</v>
      </c>
      <c r="J24" s="34">
        <f>HSDR!J41</f>
        <v>-0.10074430758041522</v>
      </c>
      <c r="K24" s="34">
        <f>HSDR!K41</f>
        <v>-0.14380812317405353</v>
      </c>
    </row>
    <row r="25" spans="1:11" x14ac:dyDescent="0.2">
      <c r="A25" s="32">
        <v>19</v>
      </c>
      <c r="B25" s="34">
        <f>HSDR!B42</f>
        <v>0.27763572376835594</v>
      </c>
      <c r="C25" s="34">
        <f>HSDR!C42</f>
        <v>0.38630468602058993</v>
      </c>
      <c r="D25" s="34">
        <f>HSDR!D42</f>
        <v>0.4043629365977599</v>
      </c>
      <c r="E25" s="34">
        <f>HSDR!E42</f>
        <v>0.42317892482749653</v>
      </c>
      <c r="F25" s="34">
        <f>HSDR!F42</f>
        <v>0.43951210416088371</v>
      </c>
      <c r="G25" s="34">
        <f>HSDR!G42</f>
        <v>0.49597707378731914</v>
      </c>
      <c r="H25" s="34">
        <f>HSDR!H42</f>
        <v>0.6159764957534315</v>
      </c>
      <c r="I25" s="34">
        <f>HSDR!I42</f>
        <v>0.59385366828669439</v>
      </c>
      <c r="J25" s="34">
        <f>HSDR!J42</f>
        <v>0.28759675706758148</v>
      </c>
      <c r="K25" s="34">
        <f>HSDR!K42</f>
        <v>6.3118166335840831E-2</v>
      </c>
    </row>
    <row r="26" spans="1:11" x14ac:dyDescent="0.2">
      <c r="A26" s="32">
        <v>20</v>
      </c>
      <c r="B26" s="34">
        <f>HSDR!B43</f>
        <v>0.65547032314990239</v>
      </c>
      <c r="C26" s="34">
        <f>HSDR!C43</f>
        <v>0.63998657521683877</v>
      </c>
      <c r="D26" s="34">
        <f>HSDR!D43</f>
        <v>0.65027209425148136</v>
      </c>
      <c r="E26" s="34">
        <f>HSDR!E43</f>
        <v>0.66104996194807186</v>
      </c>
      <c r="F26" s="34">
        <f>HSDR!F43</f>
        <v>0.67035969063279999</v>
      </c>
      <c r="G26" s="34">
        <f>HSDR!G43</f>
        <v>0.70395857017134467</v>
      </c>
      <c r="H26" s="34">
        <f>HSDR!H43</f>
        <v>0.77322722653717491</v>
      </c>
      <c r="I26" s="34">
        <f>HSDR!I43</f>
        <v>0.79181515955189841</v>
      </c>
      <c r="J26" s="34">
        <f>HSDR!J43</f>
        <v>0.75835687080859626</v>
      </c>
      <c r="K26" s="34">
        <f>HSDR!K43</f>
        <v>0.55453756646817121</v>
      </c>
    </row>
    <row r="27" spans="1:11" x14ac:dyDescent="0.2">
      <c r="A27" s="32">
        <v>21</v>
      </c>
      <c r="B27" s="34">
        <f>IF(Rules!$B$3=Rules!$E$3,1.5,IF(Rules!$B$3=Rules!$F$3,1.2,1))</f>
        <v>1.5</v>
      </c>
      <c r="C27" s="34">
        <f>IF(Rules!$B$3=Rules!$E$3,1.5,IF(Rules!$B$3=Rules!$F$3,1.2,1))</f>
        <v>1.5</v>
      </c>
      <c r="D27" s="34">
        <f>IF(Rules!$B$3=Rules!$E$3,1.5,IF(Rules!$B$3=Rules!$F$3,1.2,1))</f>
        <v>1.5</v>
      </c>
      <c r="E27" s="34">
        <f>IF(Rules!$B$3=Rules!$E$3,1.5,IF(Rules!$B$3=Rules!$F$3,1.2,1))</f>
        <v>1.5</v>
      </c>
      <c r="F27" s="34">
        <f>IF(Rules!$B$3=Rules!$E$3,1.5,IF(Rules!$B$3=Rules!$F$3,1.2,1))</f>
        <v>1.5</v>
      </c>
      <c r="G27" s="34">
        <f>IF(Rules!$B$3=Rules!$E$3,1.5,IF(Rules!$B$3=Rules!$F$3,1.2,1))</f>
        <v>1.5</v>
      </c>
      <c r="H27" s="34">
        <f>IF(Rules!$B$3=Rules!$E$3,1.5,IF(Rules!$B$3=Rules!$F$3,1.2,1))</f>
        <v>1.5</v>
      </c>
      <c r="I27" s="34">
        <f>IF(Rules!$B$3=Rules!$E$3,1.5,IF(Rules!$B$3=Rules!$F$3,1.2,1))</f>
        <v>1.5</v>
      </c>
      <c r="J27" s="34">
        <f>IF(Rules!$B$3=Rules!$E$3,1.5,IF(Rules!$B$3=Rules!$F$3,1.2,1))</f>
        <v>1.5</v>
      </c>
      <c r="K27" s="34">
        <f>IF(Rules!$B$3=Rules!$E$3,1.5,IF(Rules!$B$3=Rules!$F$3,1.2,1))</f>
        <v>1.5</v>
      </c>
    </row>
    <row r="28" spans="1:11" x14ac:dyDescent="0.2">
      <c r="A28" s="32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35">
        <v>10</v>
      </c>
    </row>
    <row r="29" spans="1:11" x14ac:dyDescent="0.2">
      <c r="A29" s="32" t="s">
        <v>1</v>
      </c>
      <c r="B29" s="34">
        <f>Pair!B54</f>
        <v>0.10906077977909699</v>
      </c>
      <c r="C29" s="34">
        <f>Pair!C54</f>
        <v>0.47064092333946894</v>
      </c>
      <c r="D29" s="34">
        <f>Pair!D54</f>
        <v>0.51779525312221664</v>
      </c>
      <c r="E29" s="34">
        <f>Pair!E54</f>
        <v>0.56604055041797596</v>
      </c>
      <c r="F29" s="34">
        <f>Pair!F54</f>
        <v>0.61469901790902803</v>
      </c>
      <c r="G29" s="34">
        <f>Pair!G54</f>
        <v>0.66738009490756944</v>
      </c>
      <c r="H29" s="34">
        <f>Pair!H54</f>
        <v>0.46288894886429088</v>
      </c>
      <c r="I29" s="34">
        <f>Pair!I54</f>
        <v>0.35069259087031512</v>
      </c>
      <c r="J29" s="34">
        <f>Pair!J54</f>
        <v>0.22778342315245487</v>
      </c>
      <c r="K29" s="34">
        <f>Pair!K54</f>
        <v>0.17968872741114625</v>
      </c>
    </row>
    <row r="30" spans="1:11" x14ac:dyDescent="0.2">
      <c r="A30" s="32">
        <v>2</v>
      </c>
      <c r="B30" s="34">
        <f>Pair!B55</f>
        <v>-0.25307699440390863</v>
      </c>
      <c r="C30" s="34">
        <f>Pair!C55</f>
        <v>-0.11491332761892134</v>
      </c>
      <c r="D30" s="34">
        <f>Pair!D55</f>
        <v>-8.2613314299744361E-2</v>
      </c>
      <c r="E30" s="34">
        <f>Pair!E55</f>
        <v>-4.4200824271668777E-2</v>
      </c>
      <c r="F30" s="34">
        <f>Pair!F55</f>
        <v>2.7460064569567143E-2</v>
      </c>
      <c r="G30" s="34">
        <f>Pair!G55</f>
        <v>7.7766823892602463E-2</v>
      </c>
      <c r="H30" s="34">
        <f>Pair!H55</f>
        <v>-5.4514042751724494E-2</v>
      </c>
      <c r="I30" s="34">
        <f>Pair!I55</f>
        <v>-0.15933415266020512</v>
      </c>
      <c r="J30" s="34">
        <f>Pair!J55</f>
        <v>-0.24066617915336547</v>
      </c>
      <c r="K30" s="34">
        <f>Pair!K55</f>
        <v>-0.28919791448567511</v>
      </c>
    </row>
    <row r="31" spans="1:11" x14ac:dyDescent="0.2">
      <c r="A31" s="32">
        <v>3</v>
      </c>
      <c r="B31" s="34">
        <f>Pair!B56</f>
        <v>-0.30414663097569933</v>
      </c>
      <c r="C31" s="34">
        <f>Pair!C56</f>
        <v>-0.14075911746001987</v>
      </c>
      <c r="D31" s="34">
        <f>Pair!D56</f>
        <v>-0.10729107800860836</v>
      </c>
      <c r="E31" s="34">
        <f>Pair!E56</f>
        <v>-7.2522581417810678E-2</v>
      </c>
      <c r="F31" s="34">
        <f>Pair!F56</f>
        <v>3.3991424279375615E-4</v>
      </c>
      <c r="G31" s="34">
        <f>Pair!G56</f>
        <v>4.8942606413118719E-2</v>
      </c>
      <c r="H31" s="34">
        <f>Pair!H56</f>
        <v>-0.11487517708071333</v>
      </c>
      <c r="I31" s="34">
        <f>Pair!I56</f>
        <v>-0.21724188132078476</v>
      </c>
      <c r="J31" s="34">
        <f>Pair!J56</f>
        <v>-0.29264070019772598</v>
      </c>
      <c r="K31" s="34">
        <f>Pair!K56</f>
        <v>-0.33774944037840804</v>
      </c>
    </row>
    <row r="32" spans="1:11" x14ac:dyDescent="0.2">
      <c r="A32" s="32">
        <v>4</v>
      </c>
      <c r="B32" s="34">
        <f>Pair!B57</f>
        <v>-0.1970288105741636</v>
      </c>
      <c r="C32" s="34">
        <f>Pair!C57</f>
        <v>-2.1798188008805668E-2</v>
      </c>
      <c r="D32" s="34">
        <f>Pair!D57</f>
        <v>8.0052625306546825E-3</v>
      </c>
      <c r="E32" s="34">
        <f>Pair!E57</f>
        <v>3.8784473277208811E-2</v>
      </c>
      <c r="F32" s="34">
        <f>Pair!F57</f>
        <v>7.0804635983033826E-2</v>
      </c>
      <c r="G32" s="34">
        <f>Pair!G57</f>
        <v>0.11496015009622321</v>
      </c>
      <c r="H32" s="34">
        <f>Pair!H57</f>
        <v>8.2207439363742862E-2</v>
      </c>
      <c r="I32" s="34">
        <f>Pair!I57</f>
        <v>-5.9898275658656304E-2</v>
      </c>
      <c r="J32" s="34">
        <f>Pair!J57</f>
        <v>-0.21018633199821757</v>
      </c>
      <c r="K32" s="34">
        <f>Pair!K57</f>
        <v>-0.24937508055334259</v>
      </c>
    </row>
    <row r="33" spans="1:11" x14ac:dyDescent="0.2">
      <c r="A33" s="32">
        <v>5</v>
      </c>
      <c r="B33" s="34">
        <f>Pair!B58</f>
        <v>8.1449707945275923E-2</v>
      </c>
      <c r="C33" s="34">
        <f>Pair!C58</f>
        <v>0.3589394124422991</v>
      </c>
      <c r="D33" s="34">
        <f>Pair!D58</f>
        <v>0.40932067017593915</v>
      </c>
      <c r="E33" s="34">
        <f>Pair!E58</f>
        <v>0.460940243794354</v>
      </c>
      <c r="F33" s="34">
        <f>Pair!F58</f>
        <v>0.51251710900326775</v>
      </c>
      <c r="G33" s="34">
        <f>Pair!G58</f>
        <v>0.57559016859776857</v>
      </c>
      <c r="H33" s="34">
        <f>Pair!H58</f>
        <v>0.39241245528243773</v>
      </c>
      <c r="I33" s="34">
        <f>Pair!I58</f>
        <v>0.28663571688628381</v>
      </c>
      <c r="J33" s="34">
        <f>Pair!J58</f>
        <v>0.1443283683807712</v>
      </c>
      <c r="K33" s="34">
        <f>Pair!K58</f>
        <v>2.5308523040868145E-2</v>
      </c>
    </row>
    <row r="34" spans="1:11" x14ac:dyDescent="0.2">
      <c r="A34" s="32">
        <v>6</v>
      </c>
      <c r="B34" s="34">
        <f>Pair!B59</f>
        <v>-0.35054034044008009</v>
      </c>
      <c r="C34" s="34">
        <f>Pair!C59</f>
        <v>-0.25338998596663809</v>
      </c>
      <c r="D34" s="34">
        <f>Pair!D59</f>
        <v>-0.21458215601721672</v>
      </c>
      <c r="E34" s="34">
        <f>Pair!E59</f>
        <v>-0.14583428385277461</v>
      </c>
      <c r="F34" s="34">
        <f>Pair!F59</f>
        <v>-6.9831946660204355E-2</v>
      </c>
      <c r="G34" s="34">
        <f>Pair!G59</f>
        <v>-2.6011671059748588E-2</v>
      </c>
      <c r="H34" s="34">
        <f>Pair!H59</f>
        <v>-0.21284771451731424</v>
      </c>
      <c r="I34" s="34">
        <f>Pair!I59</f>
        <v>-0.27157480502428616</v>
      </c>
      <c r="J34" s="34">
        <f>Pair!J59</f>
        <v>-0.3400132806089356</v>
      </c>
      <c r="K34" s="34">
        <f>Pair!K59</f>
        <v>-0.38104299284808768</v>
      </c>
    </row>
    <row r="35" spans="1:11" x14ac:dyDescent="0.2">
      <c r="A35" s="32">
        <v>7</v>
      </c>
      <c r="B35" s="34">
        <f>Pair!B60</f>
        <v>-0.44000672211415065</v>
      </c>
      <c r="C35" s="34">
        <f>Pair!C60</f>
        <v>-0.21836685573323267</v>
      </c>
      <c r="D35" s="34">
        <f>Pair!D60</f>
        <v>-0.15316596380892722</v>
      </c>
      <c r="E35" s="34">
        <f>Pair!E60</f>
        <v>-8.6043588008683752E-2</v>
      </c>
      <c r="F35" s="34">
        <f>Pair!F60</f>
        <v>-1.4542721805881769E-2</v>
      </c>
      <c r="G35" s="34">
        <f>Pair!G60</f>
        <v>5.8370684707721728E-2</v>
      </c>
      <c r="H35" s="34">
        <f>Pair!H60</f>
        <v>-0.13761559916085553</v>
      </c>
      <c r="I35" s="34">
        <f>Pair!I60</f>
        <v>-0.37191909208726714</v>
      </c>
      <c r="J35" s="34">
        <f>Pair!J60</f>
        <v>-0.43092981848423528</v>
      </c>
      <c r="K35" s="34">
        <f>Pair!K60</f>
        <v>-0.46630747852717758</v>
      </c>
    </row>
    <row r="36" spans="1:11" x14ac:dyDescent="0.2">
      <c r="A36" s="32">
        <v>8</v>
      </c>
      <c r="B36" s="34">
        <f>Pair!B61</f>
        <v>-0.39405762114832721</v>
      </c>
      <c r="C36" s="34">
        <f>Pair!C61</f>
        <v>-4.3596376017611335E-2</v>
      </c>
      <c r="D36" s="34">
        <f>Pair!D61</f>
        <v>1.6010525061309365E-2</v>
      </c>
      <c r="E36" s="34">
        <f>Pair!E61</f>
        <v>7.7568946554417623E-2</v>
      </c>
      <c r="F36" s="34">
        <f>Pair!F61</f>
        <v>0.14160927196606765</v>
      </c>
      <c r="G36" s="34">
        <f>Pair!G61</f>
        <v>0.22992030019244641</v>
      </c>
      <c r="H36" s="34">
        <f>Pair!H61</f>
        <v>0.16441487872748572</v>
      </c>
      <c r="I36" s="34">
        <f>Pair!I61</f>
        <v>-0.11979655131731261</v>
      </c>
      <c r="J36" s="34">
        <f>Pair!J61</f>
        <v>-0.42037266399643514</v>
      </c>
      <c r="K36" s="34">
        <f>Pair!K61</f>
        <v>-0.49875016110668519</v>
      </c>
    </row>
    <row r="37" spans="1:11" x14ac:dyDescent="0.2">
      <c r="A37" s="32">
        <v>9</v>
      </c>
      <c r="B37" s="34">
        <f>Pair!B62</f>
        <v>-0.10019887561319057</v>
      </c>
      <c r="C37" s="34">
        <f>Pair!C62</f>
        <v>0.14889207515268105</v>
      </c>
      <c r="D37" s="34">
        <f>Pair!D62</f>
        <v>0.20252940347775347</v>
      </c>
      <c r="E37" s="34">
        <f>Pair!E62</f>
        <v>0.25796176239148355</v>
      </c>
      <c r="F37" s="34">
        <f>Pair!F62</f>
        <v>0.31606371253303472</v>
      </c>
      <c r="G37" s="34">
        <f>Pair!G62</f>
        <v>0.39203767851455756</v>
      </c>
      <c r="H37" s="34">
        <f>Pair!H62</f>
        <v>0.3995541673365518</v>
      </c>
      <c r="I37" s="34">
        <f>Pair!I62</f>
        <v>0.19675243487078503</v>
      </c>
      <c r="J37" s="34">
        <f>Pair!J62</f>
        <v>-0.10435610692530334</v>
      </c>
      <c r="K37" s="34">
        <f>Pair!K62</f>
        <v>-0.17830123379648949</v>
      </c>
    </row>
    <row r="38" spans="1:11" x14ac:dyDescent="0.2">
      <c r="A38" s="32">
        <v>10</v>
      </c>
      <c r="B38" s="34">
        <f>Pair!B63</f>
        <v>0.65547032314990239</v>
      </c>
      <c r="C38" s="34">
        <f>Pair!C63</f>
        <v>0.63998657521683877</v>
      </c>
      <c r="D38" s="34">
        <f>Pair!D63</f>
        <v>0.65027209425148136</v>
      </c>
      <c r="E38" s="34">
        <f>Pair!E63</f>
        <v>0.66104996194807186</v>
      </c>
      <c r="F38" s="34">
        <f>Pair!F63</f>
        <v>0.67035969063279999</v>
      </c>
      <c r="G38" s="34">
        <f>Pair!G63</f>
        <v>0.70395857017134467</v>
      </c>
      <c r="H38" s="34">
        <f>Pair!H63</f>
        <v>0.77322722653717491</v>
      </c>
      <c r="I38" s="34">
        <f>Pair!I63</f>
        <v>0.79181515955189841</v>
      </c>
      <c r="J38" s="34">
        <f>Pair!J63</f>
        <v>0.75835687080859626</v>
      </c>
      <c r="K38" s="34">
        <f>Pair!K63</f>
        <v>0.55453756646817121</v>
      </c>
    </row>
    <row r="39" spans="1:11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</row>
    <row r="40" spans="1:11" x14ac:dyDescent="0.2">
      <c r="A40" s="37" t="s">
        <v>11</v>
      </c>
      <c r="B40" s="38"/>
      <c r="C40" s="39">
        <v>-1</v>
      </c>
    </row>
  </sheetData>
  <sheetProtection sheet="1" objects="1" scenarios="1"/>
  <mergeCells count="1">
    <mergeCell ref="A1:K1"/>
  </mergeCells>
  <phoneticPr fontId="16" type="noConversion"/>
  <conditionalFormatting sqref="B39:K39">
    <cfRule type="containsText" dxfId="820" priority="42" operator="containsText" text="R">
      <formula>NOT(ISERROR(SEARCH("R",B39)))</formula>
    </cfRule>
    <cfRule type="containsText" dxfId="819" priority="43" operator="containsText" text="D">
      <formula>NOT(ISERROR(SEARCH("D",B39)))</formula>
    </cfRule>
    <cfRule type="containsText" dxfId="818" priority="44" operator="containsText" text="S">
      <formula>NOT(ISERROR(SEARCH("S",B39)))</formula>
    </cfRule>
    <cfRule type="containsText" dxfId="817" priority="45" operator="containsText" text="H">
      <formula>NOT(ISERROR(SEARCH("H",B39)))</formula>
    </cfRule>
  </conditionalFormatting>
  <conditionalFormatting sqref="B39:K39">
    <cfRule type="containsText" dxfId="816" priority="41" operator="containsText" text="P">
      <formula>NOT(ISERROR(SEARCH("P",B39)))</formula>
    </cfRule>
  </conditionalFormatting>
  <conditionalFormatting sqref="B3:K17">
    <cfRule type="containsText" dxfId="815" priority="27" operator="containsText" text="R">
      <formula>NOT(ISERROR(SEARCH("R",B3)))</formula>
    </cfRule>
    <cfRule type="containsText" dxfId="814" priority="28" operator="containsText" text="D">
      <formula>NOT(ISERROR(SEARCH("D",B3)))</formula>
    </cfRule>
    <cfRule type="containsText" dxfId="813" priority="29" operator="containsText" text="S">
      <formula>NOT(ISERROR(SEARCH("S",B3)))</formula>
    </cfRule>
    <cfRule type="containsText" dxfId="812" priority="30" operator="containsText" text="H">
      <formula>NOT(ISERROR(SEARCH("H",B3)))</formula>
    </cfRule>
  </conditionalFormatting>
  <conditionalFormatting sqref="B3:K17">
    <cfRule type="containsText" dxfId="811" priority="26" operator="containsText" text="P">
      <formula>NOT(ISERROR(SEARCH("P",B3)))</formula>
    </cfRule>
  </conditionalFormatting>
  <conditionalFormatting sqref="B3:K17">
    <cfRule type="colorScale" priority="25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19:K27">
    <cfRule type="containsText" dxfId="810" priority="9" operator="containsText" text="R">
      <formula>NOT(ISERROR(SEARCH("R",B19)))</formula>
    </cfRule>
    <cfRule type="containsText" dxfId="809" priority="10" operator="containsText" text="D">
      <formula>NOT(ISERROR(SEARCH("D",B19)))</formula>
    </cfRule>
    <cfRule type="containsText" dxfId="808" priority="11" operator="containsText" text="S">
      <formula>NOT(ISERROR(SEARCH("S",B19)))</formula>
    </cfRule>
    <cfRule type="containsText" dxfId="807" priority="12" operator="containsText" text="H">
      <formula>NOT(ISERROR(SEARCH("H",B19)))</formula>
    </cfRule>
  </conditionalFormatting>
  <conditionalFormatting sqref="B19:K27">
    <cfRule type="containsText" dxfId="806" priority="8" operator="containsText" text="P">
      <formula>NOT(ISERROR(SEARCH("P",B19)))</formula>
    </cfRule>
  </conditionalFormatting>
  <conditionalFormatting sqref="B19:K27">
    <cfRule type="colorScale" priority="7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conditionalFormatting sqref="B29:K38">
    <cfRule type="containsText" dxfId="805" priority="3" operator="containsText" text="R">
      <formula>NOT(ISERROR(SEARCH("R",B29)))</formula>
    </cfRule>
    <cfRule type="containsText" dxfId="804" priority="4" operator="containsText" text="D">
      <formula>NOT(ISERROR(SEARCH("D",B29)))</formula>
    </cfRule>
    <cfRule type="containsText" dxfId="803" priority="5" operator="containsText" text="S">
      <formula>NOT(ISERROR(SEARCH("S",B29)))</formula>
    </cfRule>
    <cfRule type="containsText" dxfId="802" priority="6" operator="containsText" text="H">
      <formula>NOT(ISERROR(SEARCH("H",B29)))</formula>
    </cfRule>
  </conditionalFormatting>
  <conditionalFormatting sqref="B29:K38">
    <cfRule type="containsText" dxfId="801" priority="2" operator="containsText" text="P">
      <formula>NOT(ISERROR(SEARCH("P",B29)))</formula>
    </cfRule>
  </conditionalFormatting>
  <conditionalFormatting sqref="B29:K38">
    <cfRule type="colorScale" priority="1">
      <colorScale>
        <cfvo type="num" val="MIN($B$3:$K$17,$B$19:$K$27,$B$29:$K$38)"/>
        <cfvo type="num" val="AVERAGE($B$3:$K$17,$B$19:$K$27,$B$29:$K$38)"/>
        <cfvo type="num" val="MAX($B$3:$K$17,$B$19:$K$27,$B$29:$K$38)"/>
        <color rgb="FFFF0000"/>
        <color rgb="FFFFFF00"/>
        <color rgb="FF00B050"/>
      </colorScale>
    </cfRule>
  </conditionalFormatting>
  <pageMargins left="0.25" right="0.25" top="0.75" bottom="0.75" header="0.3" footer="0.3"/>
  <pageSetup paperSize="9" scale="84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L38"/>
  <sheetViews>
    <sheetView workbookViewId="0">
      <selection activeCell="B32" sqref="B32:L38"/>
    </sheetView>
  </sheetViews>
  <sheetFormatPr baseColWidth="10" defaultColWidth="8.83203125" defaultRowHeight="16" x14ac:dyDescent="0.2"/>
  <cols>
    <col min="2" max="2" width="5.5" style="31" bestFit="1" customWidth="1"/>
    <col min="3" max="12" width="4" style="31" customWidth="1"/>
    <col min="14" max="14" width="24.5" customWidth="1"/>
  </cols>
  <sheetData>
    <row r="1" spans="2:12" ht="21" x14ac:dyDescent="0.25">
      <c r="B1" s="323" t="s">
        <v>23</v>
      </c>
      <c r="C1" s="323"/>
      <c r="D1" s="323"/>
      <c r="E1" s="323"/>
      <c r="F1" s="323"/>
      <c r="G1" s="323"/>
      <c r="H1" s="323"/>
      <c r="I1" s="323"/>
      <c r="J1" s="323"/>
      <c r="K1" s="323"/>
      <c r="L1" s="323"/>
    </row>
    <row r="2" spans="2:12" x14ac:dyDescent="0.2">
      <c r="B2" s="48" t="s">
        <v>9</v>
      </c>
      <c r="C2" s="48" t="s">
        <v>22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8">
        <v>8</v>
      </c>
      <c r="K2" s="48">
        <v>9</v>
      </c>
      <c r="L2" s="48">
        <v>10</v>
      </c>
    </row>
    <row r="3" spans="2:12" x14ac:dyDescent="0.2">
      <c r="B3" s="48" t="s">
        <v>20</v>
      </c>
      <c r="C3" s="49" t="str">
        <f>HSDR!O8</f>
        <v>H</v>
      </c>
      <c r="D3" s="49" t="str">
        <f>HSDR!P8</f>
        <v>H</v>
      </c>
      <c r="E3" s="49" t="str">
        <f>HSDR!Q8</f>
        <v>H</v>
      </c>
      <c r="F3" s="49" t="str">
        <f>HSDR!R8</f>
        <v>H</v>
      </c>
      <c r="G3" s="49" t="str">
        <f>HSDR!S8</f>
        <v>H</v>
      </c>
      <c r="H3" s="49" t="str">
        <f>HSDR!T8</f>
        <v>H</v>
      </c>
      <c r="I3" s="49" t="str">
        <f>HSDR!U8</f>
        <v>H</v>
      </c>
      <c r="J3" s="49" t="str">
        <f>HSDR!V8</f>
        <v>H</v>
      </c>
      <c r="K3" s="49" t="str">
        <f>HSDR!W8</f>
        <v>H</v>
      </c>
      <c r="L3" s="49" t="str">
        <f>HSDR!X8</f>
        <v>H</v>
      </c>
    </row>
    <row r="4" spans="2:12" x14ac:dyDescent="0.2">
      <c r="B4" s="48">
        <v>9</v>
      </c>
      <c r="C4" s="49" t="str">
        <f>HSDR!O9</f>
        <v>H</v>
      </c>
      <c r="D4" s="49" t="str">
        <f>HSDR!P9</f>
        <v>H</v>
      </c>
      <c r="E4" s="49" t="str">
        <f>HSDR!Q9</f>
        <v>D</v>
      </c>
      <c r="F4" s="49" t="str">
        <f>HSDR!R9</f>
        <v>D</v>
      </c>
      <c r="G4" s="49" t="str">
        <f>HSDR!S9</f>
        <v>D</v>
      </c>
      <c r="H4" s="49" t="str">
        <f>HSDR!T9</f>
        <v>D</v>
      </c>
      <c r="I4" s="49" t="str">
        <f>HSDR!U9</f>
        <v>H</v>
      </c>
      <c r="J4" s="49" t="str">
        <f>HSDR!V9</f>
        <v>H</v>
      </c>
      <c r="K4" s="49" t="str">
        <f>HSDR!W9</f>
        <v>H</v>
      </c>
      <c r="L4" s="49" t="str">
        <f>HSDR!X9</f>
        <v>H</v>
      </c>
    </row>
    <row r="5" spans="2:12" x14ac:dyDescent="0.2">
      <c r="B5" s="48">
        <v>10</v>
      </c>
      <c r="C5" s="49" t="str">
        <f>HSDR!O10</f>
        <v>H</v>
      </c>
      <c r="D5" s="49" t="str">
        <f>HSDR!P10</f>
        <v>D</v>
      </c>
      <c r="E5" s="49" t="str">
        <f>HSDR!Q10</f>
        <v>D</v>
      </c>
      <c r="F5" s="49" t="str">
        <f>HSDR!R10</f>
        <v>D</v>
      </c>
      <c r="G5" s="49" t="str">
        <f>HSDR!S10</f>
        <v>D</v>
      </c>
      <c r="H5" s="49" t="str">
        <f>HSDR!T10</f>
        <v>D</v>
      </c>
      <c r="I5" s="49" t="str">
        <f>HSDR!U10</f>
        <v>D</v>
      </c>
      <c r="J5" s="49" t="str">
        <f>HSDR!V10</f>
        <v>D</v>
      </c>
      <c r="K5" s="49" t="str">
        <f>HSDR!W10</f>
        <v>D</v>
      </c>
      <c r="L5" s="49" t="str">
        <f>HSDR!X10</f>
        <v>H</v>
      </c>
    </row>
    <row r="6" spans="2:12" x14ac:dyDescent="0.2">
      <c r="B6" s="48">
        <v>11</v>
      </c>
      <c r="C6" s="49" t="str">
        <f>HSDR!O11</f>
        <v>H</v>
      </c>
      <c r="D6" s="49" t="str">
        <f>HSDR!P11</f>
        <v>D</v>
      </c>
      <c r="E6" s="49" t="str">
        <f>HSDR!Q11</f>
        <v>D</v>
      </c>
      <c r="F6" s="49" t="str">
        <f>HSDR!R11</f>
        <v>D</v>
      </c>
      <c r="G6" s="49" t="str">
        <f>HSDR!S11</f>
        <v>D</v>
      </c>
      <c r="H6" s="49" t="str">
        <f>HSDR!T11</f>
        <v>D</v>
      </c>
      <c r="I6" s="49" t="str">
        <f>HSDR!U11</f>
        <v>D</v>
      </c>
      <c r="J6" s="49" t="str">
        <f>HSDR!V11</f>
        <v>D</v>
      </c>
      <c r="K6" s="49" t="str">
        <f>HSDR!W11</f>
        <v>D</v>
      </c>
      <c r="L6" s="49" t="str">
        <f>HSDR!X11</f>
        <v>D</v>
      </c>
    </row>
    <row r="7" spans="2:12" x14ac:dyDescent="0.2">
      <c r="B7" s="48">
        <v>12</v>
      </c>
      <c r="C7" s="49" t="str">
        <f>HSDR!O12</f>
        <v>H</v>
      </c>
      <c r="D7" s="49" t="str">
        <f>HSDR!P12</f>
        <v>H</v>
      </c>
      <c r="E7" s="49" t="str">
        <f>HSDR!Q12</f>
        <v>H</v>
      </c>
      <c r="F7" s="49" t="str">
        <f>HSDR!R12</f>
        <v>S</v>
      </c>
      <c r="G7" s="49" t="str">
        <f>HSDR!S12</f>
        <v>S</v>
      </c>
      <c r="H7" s="49" t="str">
        <f>HSDR!T12</f>
        <v>S</v>
      </c>
      <c r="I7" s="49" t="str">
        <f>HSDR!U12</f>
        <v>H</v>
      </c>
      <c r="J7" s="49" t="str">
        <f>HSDR!V12</f>
        <v>H</v>
      </c>
      <c r="K7" s="49" t="str">
        <f>HSDR!W12</f>
        <v>H</v>
      </c>
      <c r="L7" s="49" t="str">
        <f>HSDR!X12</f>
        <v>H</v>
      </c>
    </row>
    <row r="8" spans="2:12" x14ac:dyDescent="0.2">
      <c r="B8" s="48">
        <v>13</v>
      </c>
      <c r="C8" s="49" t="str">
        <f>HSDR!O13</f>
        <v>H</v>
      </c>
      <c r="D8" s="49" t="str">
        <f>HSDR!P13</f>
        <v>S</v>
      </c>
      <c r="E8" s="49" t="str">
        <f>HSDR!Q13</f>
        <v>S</v>
      </c>
      <c r="F8" s="49" t="str">
        <f>HSDR!R13</f>
        <v>S</v>
      </c>
      <c r="G8" s="49" t="str">
        <f>HSDR!S13</f>
        <v>S</v>
      </c>
      <c r="H8" s="49" t="str">
        <f>HSDR!T13</f>
        <v>S</v>
      </c>
      <c r="I8" s="49" t="str">
        <f>HSDR!U13</f>
        <v>H</v>
      </c>
      <c r="J8" s="49" t="str">
        <f>HSDR!V13</f>
        <v>H</v>
      </c>
      <c r="K8" s="49" t="str">
        <f>HSDR!W13</f>
        <v>H</v>
      </c>
      <c r="L8" s="49" t="str">
        <f>HSDR!X13</f>
        <v>H</v>
      </c>
    </row>
    <row r="9" spans="2:12" x14ac:dyDescent="0.2">
      <c r="B9" s="48">
        <v>14</v>
      </c>
      <c r="C9" s="49" t="str">
        <f>HSDR!O14</f>
        <v>H</v>
      </c>
      <c r="D9" s="49" t="str">
        <f>HSDR!P14</f>
        <v>S</v>
      </c>
      <c r="E9" s="49" t="str">
        <f>HSDR!Q14</f>
        <v>S</v>
      </c>
      <c r="F9" s="49" t="str">
        <f>HSDR!R14</f>
        <v>S</v>
      </c>
      <c r="G9" s="49" t="str">
        <f>HSDR!S14</f>
        <v>S</v>
      </c>
      <c r="H9" s="49" t="str">
        <f>HSDR!T14</f>
        <v>S</v>
      </c>
      <c r="I9" s="49" t="str">
        <f>HSDR!U14</f>
        <v>H</v>
      </c>
      <c r="J9" s="49" t="str">
        <f>HSDR!V14</f>
        <v>H</v>
      </c>
      <c r="K9" s="49" t="str">
        <f>HSDR!W14</f>
        <v>H</v>
      </c>
      <c r="L9" s="49" t="str">
        <f>HSDR!X14</f>
        <v>H</v>
      </c>
    </row>
    <row r="10" spans="2:12" x14ac:dyDescent="0.2">
      <c r="B10" s="48">
        <v>15</v>
      </c>
      <c r="C10" s="49" t="str">
        <f>HSDR!O15</f>
        <v>H</v>
      </c>
      <c r="D10" s="49" t="str">
        <f>HSDR!P15</f>
        <v>S</v>
      </c>
      <c r="E10" s="49" t="str">
        <f>HSDR!Q15</f>
        <v>S</v>
      </c>
      <c r="F10" s="49" t="str">
        <f>HSDR!R15</f>
        <v>S</v>
      </c>
      <c r="G10" s="49" t="str">
        <f>HSDR!S15</f>
        <v>S</v>
      </c>
      <c r="H10" s="49" t="str">
        <f>HSDR!T15</f>
        <v>S</v>
      </c>
      <c r="I10" s="49" t="str">
        <f>HSDR!U15</f>
        <v>H</v>
      </c>
      <c r="J10" s="49" t="str">
        <f>HSDR!V15</f>
        <v>H</v>
      </c>
      <c r="K10" s="49" t="str">
        <f>HSDR!W15</f>
        <v>H</v>
      </c>
      <c r="L10" s="49" t="str">
        <f>HSDR!X15</f>
        <v>H</v>
      </c>
    </row>
    <row r="11" spans="2:12" x14ac:dyDescent="0.2">
      <c r="B11" s="48">
        <v>16</v>
      </c>
      <c r="C11" s="49" t="str">
        <f>HSDR!O16</f>
        <v>H</v>
      </c>
      <c r="D11" s="49" t="str">
        <f>HSDR!P16</f>
        <v>S</v>
      </c>
      <c r="E11" s="49" t="str">
        <f>HSDR!Q16</f>
        <v>S</v>
      </c>
      <c r="F11" s="49" t="str">
        <f>HSDR!R16</f>
        <v>S</v>
      </c>
      <c r="G11" s="49" t="str">
        <f>HSDR!S16</f>
        <v>S</v>
      </c>
      <c r="H11" s="49" t="str">
        <f>HSDR!T16</f>
        <v>S</v>
      </c>
      <c r="I11" s="49" t="str">
        <f>HSDR!U16</f>
        <v>H</v>
      </c>
      <c r="J11" s="49" t="str">
        <f>HSDR!V16</f>
        <v>H</v>
      </c>
      <c r="K11" s="49" t="str">
        <f>HSDR!W16</f>
        <v>H</v>
      </c>
      <c r="L11" s="49" t="str">
        <f>HSDR!X16</f>
        <v>H</v>
      </c>
    </row>
    <row r="12" spans="2:12" x14ac:dyDescent="0.2">
      <c r="B12" s="48" t="s">
        <v>21</v>
      </c>
      <c r="C12" s="49" t="str">
        <f>HSDR!O17</f>
        <v>S</v>
      </c>
      <c r="D12" s="49" t="str">
        <f>HSDR!P17</f>
        <v>S</v>
      </c>
      <c r="E12" s="49" t="str">
        <f>HSDR!Q17</f>
        <v>S</v>
      </c>
      <c r="F12" s="49" t="str">
        <f>HSDR!R17</f>
        <v>S</v>
      </c>
      <c r="G12" s="49" t="str">
        <f>HSDR!S17</f>
        <v>S</v>
      </c>
      <c r="H12" s="49" t="str">
        <f>HSDR!T17</f>
        <v>S</v>
      </c>
      <c r="I12" s="49" t="str">
        <f>HSDR!U17</f>
        <v>S</v>
      </c>
      <c r="J12" s="49" t="str">
        <f>HSDR!V17</f>
        <v>S</v>
      </c>
      <c r="K12" s="49" t="str">
        <f>HSDR!W17</f>
        <v>S</v>
      </c>
      <c r="L12" s="49" t="str">
        <f>HSDR!X17</f>
        <v>S</v>
      </c>
    </row>
    <row r="13" spans="2:12" x14ac:dyDescent="0.2">
      <c r="B13" s="48" t="s">
        <v>4</v>
      </c>
      <c r="C13" s="48" t="s">
        <v>22</v>
      </c>
      <c r="D13" s="48">
        <v>2</v>
      </c>
      <c r="E13" s="48">
        <v>3</v>
      </c>
      <c r="F13" s="48">
        <v>4</v>
      </c>
      <c r="G13" s="48">
        <v>5</v>
      </c>
      <c r="H13" s="48">
        <v>6</v>
      </c>
      <c r="I13" s="48">
        <v>7</v>
      </c>
      <c r="J13" s="48">
        <v>8</v>
      </c>
      <c r="K13" s="48">
        <v>9</v>
      </c>
      <c r="L13" s="48">
        <v>10</v>
      </c>
    </row>
    <row r="14" spans="2:12" x14ac:dyDescent="0.2">
      <c r="B14" s="48">
        <v>13</v>
      </c>
      <c r="C14" s="49" t="str">
        <f>HSDR!O36</f>
        <v>H</v>
      </c>
      <c r="D14" s="49" t="str">
        <f>HSDR!P36</f>
        <v>H</v>
      </c>
      <c r="E14" s="49" t="str">
        <f>HSDR!Q36</f>
        <v>H</v>
      </c>
      <c r="F14" s="49" t="str">
        <f>HSDR!R36</f>
        <v>H</v>
      </c>
      <c r="G14" s="49" t="str">
        <f>HSDR!S36</f>
        <v>H</v>
      </c>
      <c r="H14" s="49" t="str">
        <f>HSDR!T36</f>
        <v>D</v>
      </c>
      <c r="I14" s="49" t="str">
        <f>HSDR!U36</f>
        <v>H</v>
      </c>
      <c r="J14" s="49" t="str">
        <f>HSDR!V36</f>
        <v>H</v>
      </c>
      <c r="K14" s="49" t="str">
        <f>HSDR!W36</f>
        <v>H</v>
      </c>
      <c r="L14" s="49" t="str">
        <f>HSDR!X36</f>
        <v>H</v>
      </c>
    </row>
    <row r="15" spans="2:12" x14ac:dyDescent="0.2">
      <c r="B15" s="48">
        <v>14</v>
      </c>
      <c r="C15" s="49" t="str">
        <f>HSDR!O37</f>
        <v>H</v>
      </c>
      <c r="D15" s="49" t="str">
        <f>HSDR!P37</f>
        <v>H</v>
      </c>
      <c r="E15" s="49" t="str">
        <f>HSDR!Q37</f>
        <v>H</v>
      </c>
      <c r="F15" s="49" t="str">
        <f>HSDR!R37</f>
        <v>H</v>
      </c>
      <c r="G15" s="49" t="str">
        <f>HSDR!S37</f>
        <v>D</v>
      </c>
      <c r="H15" s="49" t="str">
        <f>HSDR!T37</f>
        <v>D</v>
      </c>
      <c r="I15" s="49" t="str">
        <f>HSDR!U37</f>
        <v>H</v>
      </c>
      <c r="J15" s="49" t="str">
        <f>HSDR!V37</f>
        <v>H</v>
      </c>
      <c r="K15" s="49" t="str">
        <f>HSDR!W37</f>
        <v>H</v>
      </c>
      <c r="L15" s="49" t="str">
        <f>HSDR!X37</f>
        <v>H</v>
      </c>
    </row>
    <row r="16" spans="2:12" x14ac:dyDescent="0.2">
      <c r="B16" s="48">
        <v>15</v>
      </c>
      <c r="C16" s="49" t="str">
        <f>HSDR!O38</f>
        <v>H</v>
      </c>
      <c r="D16" s="49" t="str">
        <f>HSDR!P38</f>
        <v>H</v>
      </c>
      <c r="E16" s="49" t="str">
        <f>HSDR!Q38</f>
        <v>H</v>
      </c>
      <c r="F16" s="49" t="str">
        <f>HSDR!R38</f>
        <v>H</v>
      </c>
      <c r="G16" s="49" t="str">
        <f>HSDR!S38</f>
        <v>D</v>
      </c>
      <c r="H16" s="49" t="str">
        <f>HSDR!T38</f>
        <v>D</v>
      </c>
      <c r="I16" s="49" t="str">
        <f>HSDR!U38</f>
        <v>H</v>
      </c>
      <c r="J16" s="49" t="str">
        <f>HSDR!V38</f>
        <v>H</v>
      </c>
      <c r="K16" s="49" t="str">
        <f>HSDR!W38</f>
        <v>H</v>
      </c>
      <c r="L16" s="49" t="str">
        <f>HSDR!X38</f>
        <v>H</v>
      </c>
    </row>
    <row r="17" spans="2:12" x14ac:dyDescent="0.2">
      <c r="B17" s="48">
        <v>16</v>
      </c>
      <c r="C17" s="49" t="str">
        <f>HSDR!O39</f>
        <v>H</v>
      </c>
      <c r="D17" s="49" t="str">
        <f>HSDR!P39</f>
        <v>H</v>
      </c>
      <c r="E17" s="49" t="str">
        <f>HSDR!Q39</f>
        <v>H</v>
      </c>
      <c r="F17" s="49" t="str">
        <f>HSDR!R39</f>
        <v>D</v>
      </c>
      <c r="G17" s="49" t="str">
        <f>HSDR!S39</f>
        <v>D</v>
      </c>
      <c r="H17" s="49" t="str">
        <f>HSDR!T39</f>
        <v>D</v>
      </c>
      <c r="I17" s="49" t="str">
        <f>HSDR!U39</f>
        <v>H</v>
      </c>
      <c r="J17" s="49" t="str">
        <f>HSDR!V39</f>
        <v>H</v>
      </c>
      <c r="K17" s="49" t="str">
        <f>HSDR!W39</f>
        <v>H</v>
      </c>
      <c r="L17" s="49" t="str">
        <f>HSDR!X39</f>
        <v>H</v>
      </c>
    </row>
    <row r="18" spans="2:12" x14ac:dyDescent="0.2">
      <c r="B18" s="48">
        <v>17</v>
      </c>
      <c r="C18" s="49" t="str">
        <f>HSDR!O40</f>
        <v>H</v>
      </c>
      <c r="D18" s="49" t="str">
        <f>HSDR!P40</f>
        <v>H</v>
      </c>
      <c r="E18" s="49" t="str">
        <f>HSDR!Q40</f>
        <v>D</v>
      </c>
      <c r="F18" s="49" t="str">
        <f>HSDR!R40</f>
        <v>D</v>
      </c>
      <c r="G18" s="49" t="str">
        <f>HSDR!S40</f>
        <v>D</v>
      </c>
      <c r="H18" s="49" t="str">
        <f>HSDR!T40</f>
        <v>D</v>
      </c>
      <c r="I18" s="49" t="str">
        <f>HSDR!U40</f>
        <v>H</v>
      </c>
      <c r="J18" s="49" t="str">
        <f>HSDR!V40</f>
        <v>H</v>
      </c>
      <c r="K18" s="49" t="str">
        <f>HSDR!W40</f>
        <v>H</v>
      </c>
      <c r="L18" s="49" t="str">
        <f>HSDR!X40</f>
        <v>H</v>
      </c>
    </row>
    <row r="19" spans="2:12" x14ac:dyDescent="0.2">
      <c r="B19" s="48">
        <v>18</v>
      </c>
      <c r="C19" s="49" t="str">
        <f>HSDR!O41</f>
        <v>H</v>
      </c>
      <c r="D19" s="49" t="str">
        <f>HSDR!P41</f>
        <v>S</v>
      </c>
      <c r="E19" s="49" t="str">
        <f>HSDR!Q41</f>
        <v>D</v>
      </c>
      <c r="F19" s="49" t="str">
        <f>HSDR!R41</f>
        <v>D</v>
      </c>
      <c r="G19" s="49" t="str">
        <f>HSDR!S41</f>
        <v>D</v>
      </c>
      <c r="H19" s="49" t="str">
        <f>HSDR!T41</f>
        <v>D</v>
      </c>
      <c r="I19" s="49" t="str">
        <f>HSDR!U41</f>
        <v>S</v>
      </c>
      <c r="J19" s="49" t="str">
        <f>HSDR!V41</f>
        <v>S</v>
      </c>
      <c r="K19" s="49" t="str">
        <f>HSDR!W41</f>
        <v>H</v>
      </c>
      <c r="L19" s="49" t="str">
        <f>HSDR!X41</f>
        <v>H</v>
      </c>
    </row>
    <row r="20" spans="2:12" x14ac:dyDescent="0.2">
      <c r="B20" s="48">
        <v>19</v>
      </c>
      <c r="C20" s="49" t="str">
        <f>HSDR!O42</f>
        <v>S</v>
      </c>
      <c r="D20" s="49" t="str">
        <f>HSDR!P42</f>
        <v>S</v>
      </c>
      <c r="E20" s="49" t="str">
        <f>HSDR!Q42</f>
        <v>S</v>
      </c>
      <c r="F20" s="49" t="str">
        <f>HSDR!R42</f>
        <v>S</v>
      </c>
      <c r="G20" s="49" t="str">
        <f>HSDR!S42</f>
        <v>S</v>
      </c>
      <c r="H20" s="49" t="str">
        <f>HSDR!T42</f>
        <v>S</v>
      </c>
      <c r="I20" s="49" t="str">
        <f>HSDR!U42</f>
        <v>S</v>
      </c>
      <c r="J20" s="49" t="str">
        <f>HSDR!V42</f>
        <v>S</v>
      </c>
      <c r="K20" s="49" t="str">
        <f>HSDR!W42</f>
        <v>S</v>
      </c>
      <c r="L20" s="49" t="str">
        <f>HSDR!X42</f>
        <v>S</v>
      </c>
    </row>
    <row r="21" spans="2:12" x14ac:dyDescent="0.2">
      <c r="B21" s="48" t="s">
        <v>10</v>
      </c>
      <c r="C21" s="48" t="s">
        <v>22</v>
      </c>
      <c r="D21" s="48">
        <v>2</v>
      </c>
      <c r="E21" s="48">
        <v>3</v>
      </c>
      <c r="F21" s="48">
        <v>4</v>
      </c>
      <c r="G21" s="48">
        <v>5</v>
      </c>
      <c r="H21" s="48">
        <v>6</v>
      </c>
      <c r="I21" s="48">
        <v>7</v>
      </c>
      <c r="J21" s="48">
        <v>8</v>
      </c>
      <c r="K21" s="48">
        <v>9</v>
      </c>
      <c r="L21" s="48">
        <v>10</v>
      </c>
    </row>
    <row r="22" spans="2:12" x14ac:dyDescent="0.2">
      <c r="B22" s="48" t="s">
        <v>22</v>
      </c>
      <c r="C22" s="49" t="str">
        <f>Pair!O2</f>
        <v>P</v>
      </c>
      <c r="D22" s="49" t="str">
        <f>Pair!P2</f>
        <v>P</v>
      </c>
      <c r="E22" s="49" t="str">
        <f>Pair!Q2</f>
        <v>P</v>
      </c>
      <c r="F22" s="49" t="str">
        <f>Pair!R2</f>
        <v>P</v>
      </c>
      <c r="G22" s="49" t="str">
        <f>Pair!S2</f>
        <v>P</v>
      </c>
      <c r="H22" s="49" t="str">
        <f>Pair!T2</f>
        <v>P</v>
      </c>
      <c r="I22" s="49" t="str">
        <f>Pair!U2</f>
        <v>P</v>
      </c>
      <c r="J22" s="49" t="str">
        <f>Pair!V2</f>
        <v>P</v>
      </c>
      <c r="K22" s="49" t="str">
        <f>Pair!W2</f>
        <v>P</v>
      </c>
      <c r="L22" s="49" t="str">
        <f>Pair!X2</f>
        <v>P</v>
      </c>
    </row>
    <row r="23" spans="2:12" x14ac:dyDescent="0.2">
      <c r="B23" s="48">
        <v>2</v>
      </c>
      <c r="C23" s="49" t="str">
        <f>Pair!O3</f>
        <v>H</v>
      </c>
      <c r="D23" s="49" t="str">
        <f>Pair!P3</f>
        <v>H</v>
      </c>
      <c r="E23" s="49" t="str">
        <f>Pair!Q3</f>
        <v>H</v>
      </c>
      <c r="F23" s="49" t="str">
        <f>Pair!R3</f>
        <v>P</v>
      </c>
      <c r="G23" s="49" t="str">
        <f>Pair!S3</f>
        <v>P</v>
      </c>
      <c r="H23" s="49" t="str">
        <f>Pair!T3</f>
        <v>P</v>
      </c>
      <c r="I23" s="49" t="str">
        <f>Pair!U3</f>
        <v>P</v>
      </c>
      <c r="J23" s="49" t="str">
        <f>Pair!V3</f>
        <v>H</v>
      </c>
      <c r="K23" s="49" t="str">
        <f>Pair!W3</f>
        <v>H</v>
      </c>
      <c r="L23" s="49" t="str">
        <f>Pair!X3</f>
        <v>H</v>
      </c>
    </row>
    <row r="24" spans="2:12" x14ac:dyDescent="0.2">
      <c r="B24" s="48">
        <v>3</v>
      </c>
      <c r="C24" s="49" t="str">
        <f>Pair!O4</f>
        <v>H</v>
      </c>
      <c r="D24" s="49" t="str">
        <f>Pair!P4</f>
        <v>H</v>
      </c>
      <c r="E24" s="49" t="str">
        <f>Pair!Q4</f>
        <v>H</v>
      </c>
      <c r="F24" s="49" t="str">
        <f>Pair!R4</f>
        <v>P</v>
      </c>
      <c r="G24" s="49" t="str">
        <f>Pair!S4</f>
        <v>P</v>
      </c>
      <c r="H24" s="49" t="str">
        <f>Pair!T4</f>
        <v>P</v>
      </c>
      <c r="I24" s="49" t="str">
        <f>Pair!U4</f>
        <v>P</v>
      </c>
      <c r="J24" s="49" t="str">
        <f>Pair!V4</f>
        <v>H</v>
      </c>
      <c r="K24" s="49" t="str">
        <f>Pair!W4</f>
        <v>H</v>
      </c>
      <c r="L24" s="49" t="str">
        <f>Pair!X4</f>
        <v>H</v>
      </c>
    </row>
    <row r="25" spans="2:12" x14ac:dyDescent="0.2">
      <c r="B25" s="48">
        <v>4</v>
      </c>
      <c r="C25" s="49" t="str">
        <f>Pair!O5</f>
        <v>H</v>
      </c>
      <c r="D25" s="49" t="str">
        <f>Pair!P5</f>
        <v>H</v>
      </c>
      <c r="E25" s="49" t="str">
        <f>Pair!Q5</f>
        <v>H</v>
      </c>
      <c r="F25" s="49" t="str">
        <f>Pair!R5</f>
        <v>H</v>
      </c>
      <c r="G25" s="49" t="str">
        <f>Pair!S5</f>
        <v>H</v>
      </c>
      <c r="H25" s="49" t="str">
        <f>Pair!T5</f>
        <v>H</v>
      </c>
      <c r="I25" s="49" t="str">
        <f>Pair!U5</f>
        <v>H</v>
      </c>
      <c r="J25" s="49" t="str">
        <f>Pair!V5</f>
        <v>H</v>
      </c>
      <c r="K25" s="49" t="str">
        <f>Pair!W5</f>
        <v>H</v>
      </c>
      <c r="L25" s="49" t="str">
        <f>Pair!X5</f>
        <v>H</v>
      </c>
    </row>
    <row r="26" spans="2:12" x14ac:dyDescent="0.2">
      <c r="B26" s="48">
        <v>5</v>
      </c>
      <c r="C26" s="49" t="str">
        <f>Pair!O6</f>
        <v>H</v>
      </c>
      <c r="D26" s="49" t="str">
        <f>Pair!P6</f>
        <v>D</v>
      </c>
      <c r="E26" s="49" t="str">
        <f>Pair!Q6</f>
        <v>D</v>
      </c>
      <c r="F26" s="49" t="str">
        <f>Pair!R6</f>
        <v>D</v>
      </c>
      <c r="G26" s="49" t="str">
        <f>Pair!S6</f>
        <v>D</v>
      </c>
      <c r="H26" s="49" t="str">
        <f>Pair!T6</f>
        <v>D</v>
      </c>
      <c r="I26" s="49" t="str">
        <f>Pair!U6</f>
        <v>D</v>
      </c>
      <c r="J26" s="49" t="str">
        <f>Pair!V6</f>
        <v>D</v>
      </c>
      <c r="K26" s="49" t="str">
        <f>Pair!W6</f>
        <v>D</v>
      </c>
      <c r="L26" s="49" t="str">
        <f>Pair!X6</f>
        <v>H</v>
      </c>
    </row>
    <row r="27" spans="2:12" x14ac:dyDescent="0.2">
      <c r="B27" s="48">
        <v>6</v>
      </c>
      <c r="C27" s="49" t="str">
        <f>Pair!O7</f>
        <v>H</v>
      </c>
      <c r="D27" s="49" t="str">
        <f>Pair!P7</f>
        <v>H</v>
      </c>
      <c r="E27" s="49" t="str">
        <f>Pair!Q7</f>
        <v>P</v>
      </c>
      <c r="F27" s="49" t="str">
        <f>Pair!R7</f>
        <v>P</v>
      </c>
      <c r="G27" s="49" t="str">
        <f>Pair!S7</f>
        <v>P</v>
      </c>
      <c r="H27" s="49" t="str">
        <f>Pair!T7</f>
        <v>P</v>
      </c>
      <c r="I27" s="49" t="str">
        <f>Pair!U7</f>
        <v>H</v>
      </c>
      <c r="J27" s="49" t="str">
        <f>Pair!V7</f>
        <v>H</v>
      </c>
      <c r="K27" s="49" t="str">
        <f>Pair!W7</f>
        <v>H</v>
      </c>
      <c r="L27" s="49" t="str">
        <f>Pair!X7</f>
        <v>H</v>
      </c>
    </row>
    <row r="28" spans="2:12" x14ac:dyDescent="0.2">
      <c r="B28" s="48">
        <v>7</v>
      </c>
      <c r="C28" s="49" t="str">
        <f>Pair!O8</f>
        <v>H</v>
      </c>
      <c r="D28" s="49" t="str">
        <f>Pair!P8</f>
        <v>P</v>
      </c>
      <c r="E28" s="49" t="str">
        <f>Pair!Q8</f>
        <v>P</v>
      </c>
      <c r="F28" s="49" t="str">
        <f>Pair!R8</f>
        <v>P</v>
      </c>
      <c r="G28" s="49" t="str">
        <f>Pair!S8</f>
        <v>P</v>
      </c>
      <c r="H28" s="49" t="str">
        <f>Pair!T8</f>
        <v>P</v>
      </c>
      <c r="I28" s="49" t="str">
        <f>Pair!U8</f>
        <v>P</v>
      </c>
      <c r="J28" s="49" t="str">
        <f>Pair!V8</f>
        <v>H</v>
      </c>
      <c r="K28" s="49" t="str">
        <f>Pair!W8</f>
        <v>H</v>
      </c>
      <c r="L28" s="49" t="str">
        <f>Pair!X8</f>
        <v>H</v>
      </c>
    </row>
    <row r="29" spans="2:12" x14ac:dyDescent="0.2">
      <c r="B29" s="48">
        <v>8</v>
      </c>
      <c r="C29" s="49" t="str">
        <f>Pair!O9</f>
        <v>P</v>
      </c>
      <c r="D29" s="49" t="str">
        <f>Pair!P9</f>
        <v>P</v>
      </c>
      <c r="E29" s="49" t="str">
        <f>Pair!Q9</f>
        <v>P</v>
      </c>
      <c r="F29" s="49" t="str">
        <f>Pair!R9</f>
        <v>P</v>
      </c>
      <c r="G29" s="49" t="str">
        <f>Pair!S9</f>
        <v>P</v>
      </c>
      <c r="H29" s="49" t="str">
        <f>Pair!T9</f>
        <v>P</v>
      </c>
      <c r="I29" s="49" t="str">
        <f>Pair!U9</f>
        <v>P</v>
      </c>
      <c r="J29" s="49" t="str">
        <f>Pair!V9</f>
        <v>P</v>
      </c>
      <c r="K29" s="49" t="str">
        <f>Pair!W9</f>
        <v>P</v>
      </c>
      <c r="L29" s="49" t="str">
        <f>Pair!X9</f>
        <v>P</v>
      </c>
    </row>
    <row r="30" spans="2:12" x14ac:dyDescent="0.2">
      <c r="B30" s="48">
        <v>9</v>
      </c>
      <c r="C30" s="49" t="str">
        <f>Pair!O10</f>
        <v>S</v>
      </c>
      <c r="D30" s="49" t="str">
        <f>Pair!P10</f>
        <v>P</v>
      </c>
      <c r="E30" s="49" t="str">
        <f>Pair!Q10</f>
        <v>P</v>
      </c>
      <c r="F30" s="49" t="str">
        <f>Pair!R10</f>
        <v>P</v>
      </c>
      <c r="G30" s="49" t="str">
        <f>Pair!S10</f>
        <v>P</v>
      </c>
      <c r="H30" s="49" t="str">
        <f>Pair!T10</f>
        <v>P</v>
      </c>
      <c r="I30" s="49" t="str">
        <f>Pair!U10</f>
        <v>S</v>
      </c>
      <c r="J30" s="49" t="str">
        <f>Pair!V10</f>
        <v>P</v>
      </c>
      <c r="K30" s="49" t="str">
        <f>Pair!W10</f>
        <v>P</v>
      </c>
      <c r="L30" s="49" t="str">
        <f>Pair!X10</f>
        <v>S</v>
      </c>
    </row>
    <row r="31" spans="2:12" x14ac:dyDescent="0.2">
      <c r="B31" s="48">
        <v>10</v>
      </c>
      <c r="C31" s="49" t="str">
        <f>Pair!O11</f>
        <v>S</v>
      </c>
      <c r="D31" s="49" t="str">
        <f>Pair!P11</f>
        <v>S</v>
      </c>
      <c r="E31" s="49" t="str">
        <f>Pair!Q11</f>
        <v>S</v>
      </c>
      <c r="F31" s="49" t="str">
        <f>Pair!R11</f>
        <v>S</v>
      </c>
      <c r="G31" s="49" t="str">
        <f>Pair!S11</f>
        <v>S</v>
      </c>
      <c r="H31" s="49" t="str">
        <f>Pair!T11</f>
        <v>S</v>
      </c>
      <c r="I31" s="49" t="str">
        <f>Pair!U11</f>
        <v>S</v>
      </c>
      <c r="J31" s="49" t="str">
        <f>Pair!V11</f>
        <v>S</v>
      </c>
      <c r="K31" s="49" t="str">
        <f>Pair!W11</f>
        <v>S</v>
      </c>
      <c r="L31" s="49" t="str">
        <f>Pair!X11</f>
        <v>S</v>
      </c>
    </row>
    <row r="32" spans="2:12" x14ac:dyDescent="0.2">
      <c r="B32" s="300" t="str">
        <f>"EV = " &amp; EV!$H$46</f>
        <v>EV = -0.00690236639114027</v>
      </c>
      <c r="C32" s="300"/>
      <c r="D32" s="300"/>
      <c r="E32" s="300"/>
      <c r="F32" s="300"/>
      <c r="G32" s="300"/>
      <c r="H32" s="300"/>
      <c r="I32" s="300"/>
      <c r="J32" s="300"/>
      <c r="K32" s="300"/>
      <c r="L32" s="300"/>
    </row>
    <row r="33" spans="2:12" x14ac:dyDescent="0.2">
      <c r="B33" s="300" t="str">
        <f>"EV = " &amp; EV!H46*100 &amp; " %"</f>
        <v>EV = -0.690236639114027 %</v>
      </c>
      <c r="C33" s="300"/>
      <c r="D33" s="300"/>
      <c r="E33" s="300"/>
      <c r="F33" s="300"/>
      <c r="G33" s="300"/>
      <c r="H33" s="300"/>
      <c r="I33" s="300"/>
      <c r="J33" s="300"/>
      <c r="K33" s="300"/>
      <c r="L33" s="300"/>
    </row>
    <row r="34" spans="2:12" x14ac:dyDescent="0.2">
      <c r="B34" s="304" t="s">
        <v>24</v>
      </c>
      <c r="C34" s="304"/>
      <c r="D34" s="304"/>
      <c r="E34" s="304"/>
      <c r="F34" s="304"/>
      <c r="G34" s="304"/>
      <c r="H34" s="304"/>
      <c r="I34" s="304"/>
      <c r="J34" s="304"/>
      <c r="K34" s="304"/>
      <c r="L34" s="304"/>
    </row>
    <row r="35" spans="2:12" x14ac:dyDescent="0.2">
      <c r="B35" s="305" t="s">
        <v>25</v>
      </c>
      <c r="C35" s="305"/>
      <c r="D35" s="305"/>
      <c r="E35" s="305"/>
      <c r="F35" s="305"/>
      <c r="G35" s="305"/>
      <c r="H35" s="305"/>
      <c r="I35" s="305"/>
      <c r="J35" s="305"/>
      <c r="K35" s="305"/>
      <c r="L35" s="305"/>
    </row>
    <row r="36" spans="2:12" x14ac:dyDescent="0.2">
      <c r="B36" s="301" t="s">
        <v>26</v>
      </c>
      <c r="C36" s="301"/>
      <c r="D36" s="301"/>
      <c r="E36" s="301"/>
      <c r="F36" s="301"/>
      <c r="G36" s="301"/>
      <c r="H36" s="301"/>
      <c r="I36" s="301"/>
      <c r="J36" s="301"/>
      <c r="K36" s="301"/>
      <c r="L36" s="301"/>
    </row>
    <row r="37" spans="2:12" x14ac:dyDescent="0.2">
      <c r="B37" s="302" t="s">
        <v>27</v>
      </c>
      <c r="C37" s="302"/>
      <c r="D37" s="302"/>
      <c r="E37" s="302"/>
      <c r="F37" s="302"/>
      <c r="G37" s="302"/>
      <c r="H37" s="302"/>
      <c r="I37" s="302"/>
      <c r="J37" s="302"/>
      <c r="K37" s="302"/>
      <c r="L37" s="302"/>
    </row>
    <row r="38" spans="2:12" x14ac:dyDescent="0.2">
      <c r="B38" s="300" t="s">
        <v>28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</row>
  </sheetData>
  <sheetProtection sheet="1" objects="1" scenarios="1"/>
  <mergeCells count="8">
    <mergeCell ref="B37:L37"/>
    <mergeCell ref="B38:L38"/>
    <mergeCell ref="B1:L1"/>
    <mergeCell ref="B32:L32"/>
    <mergeCell ref="B34:L34"/>
    <mergeCell ref="B35:L35"/>
    <mergeCell ref="B36:L36"/>
    <mergeCell ref="B33:L33"/>
  </mergeCells>
  <phoneticPr fontId="16" type="noConversion"/>
  <conditionalFormatting sqref="C3:L12 C22:L31 C14:L20">
    <cfRule type="containsText" dxfId="800" priority="4" operator="containsText" text="S">
      <formula>NOT(ISERROR(SEARCH("S",C3)))</formula>
    </cfRule>
    <cfRule type="containsText" dxfId="799" priority="5" operator="containsText" text="H">
      <formula>NOT(ISERROR(SEARCH("H",C3)))</formula>
    </cfRule>
  </conditionalFormatting>
  <conditionalFormatting sqref="C3:L12 C22:L31 C14:L20">
    <cfRule type="containsText" dxfId="798" priority="3" operator="containsText" text="D">
      <formula>NOT(ISERROR(SEARCH("D",C3)))</formula>
    </cfRule>
  </conditionalFormatting>
  <conditionalFormatting sqref="C3:L12 C22:L31 C14:L20">
    <cfRule type="containsText" dxfId="797" priority="2" operator="containsText" text="R">
      <formula>NOT(ISERROR(SEARCH("R",C3)))</formula>
    </cfRule>
  </conditionalFormatting>
  <conditionalFormatting sqref="C3:L12 C22:L31 C14:L20">
    <cfRule type="containsText" dxfId="796" priority="1" operator="containsText" text="P">
      <formula>NOT(ISERROR(SEARCH("P",C3)))</formula>
    </cfRule>
  </conditionalFormatting>
  <pageMargins left="0.25" right="0.25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L47"/>
  <sheetViews>
    <sheetView topLeftCell="A21" workbookViewId="0">
      <selection activeCell="J43" sqref="J43:L45"/>
    </sheetView>
  </sheetViews>
  <sheetFormatPr baseColWidth="10" defaultColWidth="8.83203125" defaultRowHeight="15" x14ac:dyDescent="0.2"/>
  <cols>
    <col min="1" max="1" width="5" style="33" bestFit="1" customWidth="1"/>
    <col min="2" max="12" width="11.6640625" style="33" customWidth="1"/>
    <col min="13" max="16384" width="8.83203125" style="33"/>
  </cols>
  <sheetData>
    <row r="1" spans="1:12" ht="22" thickBot="1" x14ac:dyDescent="0.3">
      <c r="A1" s="324" t="s">
        <v>131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6"/>
    </row>
    <row r="2" spans="1:12" x14ac:dyDescent="0.2">
      <c r="A2" s="42" t="s">
        <v>9</v>
      </c>
      <c r="B2" s="43" t="s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4">
        <v>10</v>
      </c>
      <c r="L2" s="44" t="s">
        <v>2</v>
      </c>
    </row>
    <row r="3" spans="1:12" x14ac:dyDescent="0.2">
      <c r="A3" s="45">
        <v>5</v>
      </c>
      <c r="B3" s="34">
        <f>Prob!B3*ER!B3</f>
        <v>-1.755660780761442E-4</v>
      </c>
      <c r="C3" s="34">
        <f>Prob!C3*ER!C3</f>
        <v>-1.1671876837846834E-4</v>
      </c>
      <c r="D3" s="34">
        <f>Prob!D3*ER!D3</f>
        <v>-8.6763975659071366E-5</v>
      </c>
      <c r="E3" s="34">
        <f>Prob!E3*ER!E3</f>
        <v>-5.5966740281924667E-5</v>
      </c>
      <c r="F3" s="34">
        <f>Prob!F3*ER!F3</f>
        <v>-2.1828830579753868E-5</v>
      </c>
      <c r="G3" s="34">
        <f>Prob!G3*ER!G3</f>
        <v>-1.0799616189714724E-6</v>
      </c>
      <c r="H3" s="34">
        <f>Prob!H3*ER!H3</f>
        <v>-1.0873686106886531E-4</v>
      </c>
      <c r="I3" s="34">
        <f>Prob!I3*ER!I3</f>
        <v>-1.71227404554561E-4</v>
      </c>
      <c r="J3" s="34">
        <f>Prob!J3*ER!J3</f>
        <v>-2.4270828708052711E-4</v>
      </c>
      <c r="K3" s="46">
        <f>Prob!K3*ER!K3</f>
        <v>-1.0534476300912863E-3</v>
      </c>
      <c r="L3" s="46">
        <f>SUM(B3:K3)</f>
        <v>-2.0340445373895734E-3</v>
      </c>
    </row>
    <row r="4" spans="1:12" x14ac:dyDescent="0.2">
      <c r="A4" s="45">
        <v>6</v>
      </c>
      <c r="B4" s="34">
        <f>Prob!B4*ER!B4</f>
        <v>-1.9168234156936341E-4</v>
      </c>
      <c r="C4" s="34">
        <f>Prob!C4*ER!C4</f>
        <v>-1.2813756710060984E-4</v>
      </c>
      <c r="D4" s="34">
        <f>Prob!D4*ER!D4</f>
        <v>-9.7670530731550645E-5</v>
      </c>
      <c r="E4" s="34">
        <f>Prob!E4*ER!E4</f>
        <v>-6.6378827425022589E-5</v>
      </c>
      <c r="F4" s="34">
        <f>Prob!F4*ER!F4</f>
        <v>-3.17851373055095E-5</v>
      </c>
      <c r="G4" s="34">
        <f>Prob!G4*ER!G4</f>
        <v>-1.1839631797791804E-5</v>
      </c>
      <c r="H4" s="34">
        <f>Prob!H4*ER!H4</f>
        <v>-1.3830924646035455E-4</v>
      </c>
      <c r="I4" s="34">
        <f>Prob!I4*ER!I4</f>
        <v>-1.9776229523967663E-4</v>
      </c>
      <c r="J4" s="34">
        <f>Prob!J4*ER!J4</f>
        <v>-2.6640027327967777E-4</v>
      </c>
      <c r="K4" s="46">
        <f>Prob!K4*ER!K4</f>
        <v>-1.1352524868291438E-3</v>
      </c>
      <c r="L4" s="46">
        <f t="shared" ref="L4:L38" si="0">SUM(B4:K4)</f>
        <v>-2.2652183377387006E-3</v>
      </c>
    </row>
    <row r="5" spans="1:12" x14ac:dyDescent="0.2">
      <c r="A5" s="45">
        <v>7</v>
      </c>
      <c r="B5" s="34">
        <f>Prob!B5*ER!B5</f>
        <v>-3.9083293343856768E-4</v>
      </c>
      <c r="C5" s="34">
        <f>Prob!C5*ER!C5</f>
        <v>-1.9878639575169113E-4</v>
      </c>
      <c r="D5" s="34">
        <f>Prob!D5*ER!D5</f>
        <v>-1.3943191971682042E-4</v>
      </c>
      <c r="E5" s="34">
        <f>Prob!E5*ER!E5</f>
        <v>-7.8328254900941066E-5</v>
      </c>
      <c r="F5" s="34">
        <f>Prob!F5*ER!F5</f>
        <v>-1.3238708972127238E-5</v>
      </c>
      <c r="G5" s="34">
        <f>Prob!G5*ER!G5</f>
        <v>5.3136717986091704E-5</v>
      </c>
      <c r="H5" s="34">
        <f>Prob!H5*ER!H5</f>
        <v>-1.252759209475244E-4</v>
      </c>
      <c r="I5" s="34">
        <f>Prob!I5*ER!I5</f>
        <v>-3.8344063491005864E-4</v>
      </c>
      <c r="J5" s="34">
        <f>Prob!J5*ER!J5</f>
        <v>-5.1955473916591097E-4</v>
      </c>
      <c r="K5" s="46">
        <f>Prob!K5*ER!K5</f>
        <v>-2.1448310615342948E-3</v>
      </c>
      <c r="L5" s="46">
        <f t="shared" si="0"/>
        <v>-3.940583851351845E-3</v>
      </c>
    </row>
    <row r="6" spans="1:12" x14ac:dyDescent="0.2">
      <c r="A6" s="45">
        <v>8</v>
      </c>
      <c r="B6" s="34">
        <f>Prob!B6*ER!B6</f>
        <v>-2.4834694795945137E-4</v>
      </c>
      <c r="C6" s="34">
        <f>Prob!C6*ER!C6</f>
        <v>-3.9687187999646193E-5</v>
      </c>
      <c r="D6" s="34">
        <f>Prob!D6*ER!D6</f>
        <v>1.4574897643431377E-5</v>
      </c>
      <c r="E6" s="34">
        <f>Prob!E6*ER!E6</f>
        <v>7.0613515297603669E-5</v>
      </c>
      <c r="F6" s="34">
        <f>Prob!F6*ER!F6</f>
        <v>1.2891149018303839E-4</v>
      </c>
      <c r="G6" s="34">
        <f>Prob!G6*ER!G6</f>
        <v>2.0930386908734315E-4</v>
      </c>
      <c r="H6" s="34">
        <f>Prob!H6*ER!H6</f>
        <v>1.4967216998405621E-4</v>
      </c>
      <c r="I6" s="34">
        <f>Prob!I6*ER!I6</f>
        <v>-1.090546666520825E-4</v>
      </c>
      <c r="J6" s="34">
        <f>Prob!J6*ER!J6</f>
        <v>-3.8267880199948582E-4</v>
      </c>
      <c r="K6" s="46">
        <f>Prob!K6*ER!K6</f>
        <v>-1.6764124318560901E-3</v>
      </c>
      <c r="L6" s="46">
        <f t="shared" si="0"/>
        <v>-1.8831040942712833E-3</v>
      </c>
    </row>
    <row r="7" spans="1:12" x14ac:dyDescent="0.2">
      <c r="A7" s="45">
        <v>9</v>
      </c>
      <c r="B7" s="34">
        <f>Prob!B7*ER!B7</f>
        <v>-1.2418199831993191E-4</v>
      </c>
      <c r="C7" s="34">
        <f>Prob!C7*ER!C7</f>
        <v>2.0331189142377935E-4</v>
      </c>
      <c r="D7" s="34">
        <f>Prob!D7*ER!D7</f>
        <v>3.2994907600363178E-4</v>
      </c>
      <c r="E7" s="34">
        <f>Prob!E7*ER!E7</f>
        <v>4.9690195917821125E-4</v>
      </c>
      <c r="F7" s="34">
        <f>Prob!F7*ER!F7</f>
        <v>6.6378850670833784E-4</v>
      </c>
      <c r="G7" s="34">
        <f>Prob!G7*ER!G7</f>
        <v>8.6587550032316875E-4</v>
      </c>
      <c r="H7" s="34">
        <f>Prob!H7*ER!H7</f>
        <v>4.6937057788881025E-4</v>
      </c>
      <c r="I7" s="34">
        <f>Prob!I7*ER!I7</f>
        <v>2.6866513637339789E-4</v>
      </c>
      <c r="J7" s="34">
        <f>Prob!J7*ER!J7</f>
        <v>-1.42498097758721E-4</v>
      </c>
      <c r="K7" s="46">
        <f>Prob!K7*ER!K7</f>
        <v>-1.5423290376342085E-3</v>
      </c>
      <c r="L7" s="46">
        <f t="shared" si="0"/>
        <v>1.488853514186476E-3</v>
      </c>
    </row>
    <row r="8" spans="1:12" x14ac:dyDescent="0.2">
      <c r="A8" s="45">
        <v>10</v>
      </c>
      <c r="B8" s="34">
        <f>Prob!B8*ER!B8</f>
        <v>1.5399615661373551E-4</v>
      </c>
      <c r="C8" s="34">
        <f>Prob!C8*ER!C8</f>
        <v>9.8026239174046187E-4</v>
      </c>
      <c r="D8" s="34">
        <f>Prob!D8*ER!D8</f>
        <v>1.1178534460881363E-3</v>
      </c>
      <c r="E8" s="34">
        <f>Prob!E8*ER!E8</f>
        <v>1.2588263371716543E-3</v>
      </c>
      <c r="F8" s="34">
        <f>Prob!F8*ER!F8</f>
        <v>1.3996825917249008E-3</v>
      </c>
      <c r="G8" s="34">
        <f>Prob!G8*ER!G8</f>
        <v>1.5719349165164371E-3</v>
      </c>
      <c r="H8" s="34">
        <f>Prob!H8*ER!H8</f>
        <v>1.0716771650863116E-3</v>
      </c>
      <c r="I8" s="34">
        <f>Prob!I8*ER!I8</f>
        <v>7.8280122954834004E-4</v>
      </c>
      <c r="J8" s="34">
        <f>Prob!J8*ER!J8</f>
        <v>3.9416031419418635E-4</v>
      </c>
      <c r="K8" s="46">
        <f>Prob!K8*ER!K8</f>
        <v>2.5520306136935081E-4</v>
      </c>
      <c r="L8" s="46">
        <f t="shared" si="0"/>
        <v>8.9863976100535148E-3</v>
      </c>
    </row>
    <row r="9" spans="1:12" x14ac:dyDescent="0.2">
      <c r="A9" s="45">
        <v>11</v>
      </c>
      <c r="B9" s="34">
        <f>Prob!B9*ER!B9</f>
        <v>3.6049481165330982E-4</v>
      </c>
      <c r="C9" s="34">
        <f>Prob!C9*ER!C9</f>
        <v>1.71375848280189E-3</v>
      </c>
      <c r="D9" s="34">
        <f>Prob!D9*ER!D9</f>
        <v>1.8854629153289646E-3</v>
      </c>
      <c r="E9" s="34">
        <f>Prob!E9*ER!E9</f>
        <v>2.0611399195920844E-3</v>
      </c>
      <c r="F9" s="34">
        <f>Prob!F9*ER!F9</f>
        <v>2.2383214125044266E-3</v>
      </c>
      <c r="G9" s="34">
        <f>Prob!G9*ER!G9</f>
        <v>2.4301505504144547E-3</v>
      </c>
      <c r="H9" s="34">
        <f>Prob!H9*ER!H9</f>
        <v>1.6855309926783464E-3</v>
      </c>
      <c r="I9" s="34">
        <f>Prob!I9*ER!I9</f>
        <v>1.2769871310707877E-3</v>
      </c>
      <c r="J9" s="34">
        <f>Prob!J9*ER!J9</f>
        <v>8.2943440383233475E-4</v>
      </c>
      <c r="K9" s="46">
        <f>Prob!K9*ER!K9</f>
        <v>2.4158982992850461E-3</v>
      </c>
      <c r="L9" s="46">
        <f t="shared" si="0"/>
        <v>1.6897178919161645E-2</v>
      </c>
    </row>
    <row r="10" spans="1:12" x14ac:dyDescent="0.2">
      <c r="A10" s="45">
        <v>12</v>
      </c>
      <c r="B10" s="34">
        <f>Prob!B10*ER!B10</f>
        <v>-1.5464473546251917E-3</v>
      </c>
      <c r="C10" s="34">
        <f>Prob!C10*ER!C10</f>
        <v>-1.6146835701105753E-3</v>
      </c>
      <c r="D10" s="34">
        <f>Prob!D10*ER!D10</f>
        <v>-1.4891545731330056E-3</v>
      </c>
      <c r="E10" s="34">
        <f>Prob!E10*ER!E10</f>
        <v>-1.3449629157618579E-3</v>
      </c>
      <c r="F10" s="34">
        <f>Prob!F10*ER!F10</f>
        <v>-1.0654061227567838E-3</v>
      </c>
      <c r="G10" s="34">
        <f>Prob!G10*ER!G10</f>
        <v>-9.7942021921714308E-4</v>
      </c>
      <c r="H10" s="34">
        <f>Prob!H10*ER!H10</f>
        <v>-1.3563350037516613E-3</v>
      </c>
      <c r="I10" s="34">
        <f>Prob!I10*ER!I10</f>
        <v>-1.7305631635594024E-3</v>
      </c>
      <c r="J10" s="34">
        <f>Prob!J10*ER!J10</f>
        <v>-2.1666754340123346E-3</v>
      </c>
      <c r="K10" s="46">
        <f>Prob!K10*ER!K10</f>
        <v>-8.9654035640879173E-3</v>
      </c>
      <c r="L10" s="46">
        <f t="shared" si="0"/>
        <v>-2.2259051921015873E-2</v>
      </c>
    </row>
    <row r="11" spans="1:12" x14ac:dyDescent="0.2">
      <c r="A11" s="45">
        <v>13</v>
      </c>
      <c r="B11" s="34">
        <f>Prob!B11*ER!B11</f>
        <v>-1.751101846276019E-3</v>
      </c>
      <c r="C11" s="34">
        <f>Prob!C11*ER!C11</f>
        <v>-1.8657133276877025E-3</v>
      </c>
      <c r="D11" s="34">
        <f>Prob!D11*ER!D11</f>
        <v>-1.6074206687755985E-3</v>
      </c>
      <c r="E11" s="34">
        <f>Prob!E11*ER!E11</f>
        <v>-1.3449629157618579E-3</v>
      </c>
      <c r="F11" s="34">
        <f>Prob!F11*ER!F11</f>
        <v>-1.0654061227567838E-3</v>
      </c>
      <c r="G11" s="34">
        <f>Prob!G11*ER!G11</f>
        <v>-9.7942021921714308E-4</v>
      </c>
      <c r="H11" s="34">
        <f>Prob!H11*ER!H11</f>
        <v>-1.7146200676946227E-3</v>
      </c>
      <c r="I11" s="34">
        <f>Prob!I11*ER!I11</f>
        <v>-2.0621176446589534E-3</v>
      </c>
      <c r="J11" s="34">
        <f>Prob!J11*ER!J11</f>
        <v>-2.4670790386509623E-3</v>
      </c>
      <c r="K11" s="46">
        <f>Prob!K11*ER!K11</f>
        <v>-1.0005631019124215E-2</v>
      </c>
      <c r="L11" s="46">
        <f t="shared" si="0"/>
        <v>-2.4863472870603857E-2</v>
      </c>
    </row>
    <row r="12" spans="1:12" x14ac:dyDescent="0.2">
      <c r="A12" s="45">
        <v>14</v>
      </c>
      <c r="B12" s="34">
        <f>Prob!B12*ER!B12</f>
        <v>-1.6638327085301031E-3</v>
      </c>
      <c r="C12" s="34">
        <f>Prob!C12*ER!C12</f>
        <v>-1.5991828523037449E-3</v>
      </c>
      <c r="D12" s="34">
        <f>Prob!D12*ER!D12</f>
        <v>-1.3777891446647985E-3</v>
      </c>
      <c r="E12" s="34">
        <f>Prob!E12*ER!E12</f>
        <v>-1.1528253563673067E-3</v>
      </c>
      <c r="F12" s="34">
        <f>Prob!F12*ER!F12</f>
        <v>-9.1320524807724315E-4</v>
      </c>
      <c r="G12" s="34">
        <f>Prob!G12*ER!G12</f>
        <v>-8.3950304504326557E-4</v>
      </c>
      <c r="H12" s="34">
        <f>Prob!H12*ER!H12</f>
        <v>-1.7548400068765231E-3</v>
      </c>
      <c r="I12" s="34">
        <f>Prob!I12*ER!I12</f>
        <v>-2.0314197109909905E-3</v>
      </c>
      <c r="J12" s="34">
        <f>Prob!J12*ER!J12</f>
        <v>-2.3537359225356508E-3</v>
      </c>
      <c r="K12" s="46">
        <f>Prob!K12*ER!K12</f>
        <v>-9.4041912969312826E-3</v>
      </c>
      <c r="L12" s="46">
        <f t="shared" si="0"/>
        <v>-2.3090525292320911E-2</v>
      </c>
    </row>
    <row r="13" spans="1:12" x14ac:dyDescent="0.2">
      <c r="A13" s="45">
        <v>15</v>
      </c>
      <c r="B13" s="34">
        <f>Prob!B13*ER!B13</f>
        <v>-1.8150861010475514E-3</v>
      </c>
      <c r="C13" s="34">
        <f>Prob!C13*ER!C13</f>
        <v>-1.5991828523037449E-3</v>
      </c>
      <c r="D13" s="34">
        <f>Prob!D13*ER!D13</f>
        <v>-1.3777891446647985E-3</v>
      </c>
      <c r="E13" s="34">
        <f>Prob!E13*ER!E13</f>
        <v>-1.1528253563673067E-3</v>
      </c>
      <c r="F13" s="34">
        <f>Prob!F13*ER!F13</f>
        <v>-9.1320524807724315E-4</v>
      </c>
      <c r="G13" s="34">
        <f>Prob!G13*ER!G13</f>
        <v>-8.3950304504326557E-4</v>
      </c>
      <c r="H13" s="34">
        <f>Prob!H13*ER!H13</f>
        <v>-2.0196366940763502E-3</v>
      </c>
      <c r="I13" s="34">
        <f>Prob!I13*ER!I13</f>
        <v>-2.276460705039784E-3</v>
      </c>
      <c r="J13" s="34">
        <f>Prob!J13*ER!J13</f>
        <v>-2.5757543300455399E-3</v>
      </c>
      <c r="K13" s="46">
        <f>Prob!K13*ER!K13</f>
        <v>-1.0172989139064526E-2</v>
      </c>
      <c r="L13" s="46">
        <f t="shared" si="0"/>
        <v>-2.4742432615730107E-2</v>
      </c>
    </row>
    <row r="14" spans="1:12" x14ac:dyDescent="0.2">
      <c r="A14" s="45">
        <v>16</v>
      </c>
      <c r="B14" s="34">
        <f>Prob!B14*ER!B14</f>
        <v>-1.6296130665114611E-3</v>
      </c>
      <c r="C14" s="34">
        <f>Prob!C14*ER!C14</f>
        <v>-1.3326523769197874E-3</v>
      </c>
      <c r="D14" s="34">
        <f>Prob!D14*ER!D14</f>
        <v>-1.1481576205539987E-3</v>
      </c>
      <c r="E14" s="34">
        <f>Prob!E14*ER!E14</f>
        <v>-9.6068779697275558E-4</v>
      </c>
      <c r="F14" s="34">
        <f>Prob!F14*ER!F14</f>
        <v>-7.6100437339770254E-4</v>
      </c>
      <c r="G14" s="34">
        <f>Prob!G14*ER!G14</f>
        <v>-6.9958587086938785E-4</v>
      </c>
      <c r="H14" s="34">
        <f>Prob!H14*ER!H14</f>
        <v>-1.887932776825396E-3</v>
      </c>
      <c r="I14" s="34">
        <f>Prob!I14*ER!I14</f>
        <v>-2.0866656424518627E-3</v>
      </c>
      <c r="J14" s="34">
        <f>Prob!J14*ER!J14</f>
        <v>-2.3182618998967928E-3</v>
      </c>
      <c r="K14" s="46">
        <f>Prob!K14*ER!K14</f>
        <v>-9.0723940413473519E-3</v>
      </c>
      <c r="L14" s="46">
        <f t="shared" si="0"/>
        <v>-2.1896955465746496E-2</v>
      </c>
    </row>
    <row r="15" spans="1:12" x14ac:dyDescent="0.2">
      <c r="A15" s="45">
        <v>17</v>
      </c>
      <c r="B15" s="34">
        <f>Prob!B15*ER!B15</f>
        <v>-1.5063552659054771E-3</v>
      </c>
      <c r="C15" s="34">
        <f>Prob!C15*ER!C15</f>
        <v>-6.9628851926054644E-4</v>
      </c>
      <c r="D15" s="34">
        <f>Prob!D15*ER!D15</f>
        <v>-5.3352863643410867E-4</v>
      </c>
      <c r="E15" s="34">
        <f>Prob!E15*ER!E15</f>
        <v>-3.66742708899937E-4</v>
      </c>
      <c r="F15" s="34">
        <f>Prob!F15*ER!F15</f>
        <v>-2.0455792246210493E-4</v>
      </c>
      <c r="G15" s="34">
        <f>Prob!G15*ER!G15</f>
        <v>5.3432683993363013E-5</v>
      </c>
      <c r="H15" s="34">
        <f>Prob!H15*ER!H15</f>
        <v>-4.8615834994399044E-4</v>
      </c>
      <c r="I15" s="34">
        <f>Prob!I15*ER!I15</f>
        <v>-1.7385114749587944E-3</v>
      </c>
      <c r="J15" s="34">
        <f>Prob!J15*ER!J15</f>
        <v>-1.9260548003878807E-3</v>
      </c>
      <c r="K15" s="46">
        <f>Prob!K15*ER!K15</f>
        <v>-7.053881316684764E-3</v>
      </c>
      <c r="L15" s="46">
        <f t="shared" si="0"/>
        <v>-1.4458646310944241E-2</v>
      </c>
    </row>
    <row r="16" spans="1:12" x14ac:dyDescent="0.2">
      <c r="A16" s="45">
        <v>18</v>
      </c>
      <c r="B16" s="34">
        <f>Prob!B16*ER!B16</f>
        <v>-2.5259336312278007E-4</v>
      </c>
      <c r="C16" s="34">
        <f>Prob!C16*ER!C16</f>
        <v>4.4330232943427485E-4</v>
      </c>
      <c r="D16" s="34">
        <f>Prob!D16*ER!D16</f>
        <v>5.4000936856189795E-4</v>
      </c>
      <c r="E16" s="34">
        <f>Prob!E16*ER!E16</f>
        <v>6.4034387691392009E-4</v>
      </c>
      <c r="F16" s="34">
        <f>Prob!F16*ER!F16</f>
        <v>7.266679835272725E-4</v>
      </c>
      <c r="G16" s="34">
        <f>Prob!G16*ER!G16</f>
        <v>1.0321125755007687E-3</v>
      </c>
      <c r="H16" s="34">
        <f>Prob!H16*ER!H16</f>
        <v>1.4549082106019185E-3</v>
      </c>
      <c r="I16" s="34">
        <f>Prob!I16*ER!I16</f>
        <v>3.8580372733408683E-4</v>
      </c>
      <c r="J16" s="34">
        <f>Prob!J16*ER!J16</f>
        <v>-6.6695805798246089E-4</v>
      </c>
      <c r="K16" s="46">
        <f>Prob!K16*ER!K16</f>
        <v>-2.3972435761301066E-3</v>
      </c>
      <c r="L16" s="46">
        <f t="shared" si="0"/>
        <v>1.9063530746387921E-3</v>
      </c>
    </row>
    <row r="17" spans="1:12" x14ac:dyDescent="0.2">
      <c r="A17" s="45">
        <v>19</v>
      </c>
      <c r="B17" s="34">
        <f>Prob!B17*ER!B17</f>
        <v>6.9989748647882174E-4</v>
      </c>
      <c r="C17" s="34">
        <f>Prob!C17*ER!C17</f>
        <v>1.4066624889234045E-3</v>
      </c>
      <c r="D17" s="34">
        <f>Prob!D17*ER!D17</f>
        <v>1.4724185219763676E-3</v>
      </c>
      <c r="E17" s="34">
        <f>Prob!E17*ER!E17</f>
        <v>1.5409337271825093E-3</v>
      </c>
      <c r="F17" s="34">
        <f>Prob!F17*ER!F17</f>
        <v>1.6004082081415886E-3</v>
      </c>
      <c r="G17" s="34">
        <f>Prob!G17*ER!G17</f>
        <v>1.8060157443325234E-3</v>
      </c>
      <c r="H17" s="34">
        <f>Prob!H17*ER!H17</f>
        <v>2.2429731297348441E-3</v>
      </c>
      <c r="I17" s="34">
        <f>Prob!I17*ER!I17</f>
        <v>2.1624166346352097E-3</v>
      </c>
      <c r="J17" s="34">
        <f>Prob!J17*ER!J17</f>
        <v>1.0472344362952445E-3</v>
      </c>
      <c r="K17" s="46">
        <f>Prob!K17*ER!K17</f>
        <v>8.4861790108759795E-4</v>
      </c>
      <c r="L17" s="46">
        <f t="shared" si="0"/>
        <v>1.482757827878811E-2</v>
      </c>
    </row>
    <row r="18" spans="1:12" x14ac:dyDescent="0.2">
      <c r="A18" s="45" t="s">
        <v>4</v>
      </c>
      <c r="B18" s="32" t="s">
        <v>1</v>
      </c>
      <c r="C18" s="35">
        <v>2</v>
      </c>
      <c r="D18" s="35">
        <v>3</v>
      </c>
      <c r="E18" s="35">
        <v>4</v>
      </c>
      <c r="F18" s="35">
        <v>5</v>
      </c>
      <c r="G18" s="35">
        <v>6</v>
      </c>
      <c r="H18" s="35">
        <v>7</v>
      </c>
      <c r="I18" s="35">
        <v>8</v>
      </c>
      <c r="J18" s="35">
        <v>9</v>
      </c>
      <c r="K18" s="47">
        <v>10</v>
      </c>
      <c r="L18" s="47" t="s">
        <v>2</v>
      </c>
    </row>
    <row r="19" spans="1:12" x14ac:dyDescent="0.2">
      <c r="A19" s="45">
        <v>13</v>
      </c>
      <c r="B19" s="34">
        <f>Prob!B19*ER!B19</f>
        <v>-3.6117252197142422E-5</v>
      </c>
      <c r="C19" s="34">
        <f>Prob!C19*ER!C19</f>
        <v>4.2454376600190788E-5</v>
      </c>
      <c r="D19" s="34">
        <f>Prob!D19*ER!D19</f>
        <v>6.7472747740322317E-5</v>
      </c>
      <c r="E19" s="34">
        <f>Prob!E19*ER!E19</f>
        <v>9.328825386621324E-5</v>
      </c>
      <c r="F19" s="34">
        <f>Prob!F19*ER!F19</f>
        <v>1.2140440462741674E-4</v>
      </c>
      <c r="G19" s="34">
        <f>Prob!G19*ER!G19</f>
        <v>1.6363059246965421E-4</v>
      </c>
      <c r="H19" s="34">
        <f>Prob!H19*ER!H19</f>
        <v>1.114116478643532E-4</v>
      </c>
      <c r="I19" s="34">
        <f>Prob!I19*ER!I19</f>
        <v>4.9209895490497323E-5</v>
      </c>
      <c r="J19" s="34">
        <f>Prob!J19*ER!J19</f>
        <v>-3.4314691058242955E-5</v>
      </c>
      <c r="K19" s="46">
        <f>Prob!K19*ER!K19</f>
        <v>-3.5242920090342321E-4</v>
      </c>
      <c r="L19" s="46">
        <f t="shared" si="0"/>
        <v>2.2601077449983911E-4</v>
      </c>
    </row>
    <row r="20" spans="1:12" x14ac:dyDescent="0.2">
      <c r="A20" s="45">
        <v>14</v>
      </c>
      <c r="B20" s="34">
        <f>Prob!B20*ER!B20</f>
        <v>-5.9162418886929097E-5</v>
      </c>
      <c r="C20" s="34">
        <f>Prob!C20*ER!C20</f>
        <v>2.0384030029894478E-5</v>
      </c>
      <c r="D20" s="34">
        <f>Prob!D20*ER!D20</f>
        <v>4.6251014036670753E-5</v>
      </c>
      <c r="E20" s="34">
        <f>Prob!E20*ER!E20</f>
        <v>7.2900695776158622E-5</v>
      </c>
      <c r="F20" s="34">
        <f>Prob!F20*ER!F20</f>
        <v>1.1466043263420962E-4</v>
      </c>
      <c r="G20" s="34">
        <f>Prob!G20*ER!G20</f>
        <v>1.6363059246965421E-4</v>
      </c>
      <c r="H20" s="34">
        <f>Prob!H20*ER!H20</f>
        <v>7.2378232584859498E-5</v>
      </c>
      <c r="I20" s="34">
        <f>Prob!I20*ER!I20</f>
        <v>1.2086681350212513E-5</v>
      </c>
      <c r="J20" s="34">
        <f>Prob!J20*ER!J20</f>
        <v>-6.8423476961023064E-5</v>
      </c>
      <c r="K20" s="46">
        <f>Prob!K20*ER!K20</f>
        <v>-4.6877949262433521E-4</v>
      </c>
      <c r="L20" s="46">
        <f t="shared" si="0"/>
        <v>-9.4073709590627758E-5</v>
      </c>
    </row>
    <row r="21" spans="1:12" x14ac:dyDescent="0.2">
      <c r="A21" s="45">
        <v>15</v>
      </c>
      <c r="B21" s="34">
        <f>Prob!B21*ER!B21</f>
        <v>-8.1946606568813872E-5</v>
      </c>
      <c r="C21" s="34">
        <f>Prob!C21*ER!C21</f>
        <v>-1.0986321395208543E-7</v>
      </c>
      <c r="D21" s="34">
        <f>Prob!D21*ER!D21</f>
        <v>2.6545118454708574E-5</v>
      </c>
      <c r="E21" s="34">
        <f>Prob!E21*ER!E21</f>
        <v>5.3969391835393658E-5</v>
      </c>
      <c r="F21" s="34">
        <f>Prob!F21*ER!F21</f>
        <v>1.1466043263420962E-4</v>
      </c>
      <c r="G21" s="34">
        <f>Prob!G21*ER!G21</f>
        <v>1.6363059246965421E-4</v>
      </c>
      <c r="H21" s="34">
        <f>Prob!H21*ER!H21</f>
        <v>3.3708040308847741E-5</v>
      </c>
      <c r="I21" s="34">
        <f>Prob!I21*ER!I21</f>
        <v>-2.4628839784161744E-5</v>
      </c>
      <c r="J21" s="34">
        <f>Prob!J21*ER!J21</f>
        <v>-1.0212905661351197E-4</v>
      </c>
      <c r="K21" s="46">
        <f>Prob!K21*ER!K21</f>
        <v>-5.838593225019333E-4</v>
      </c>
      <c r="L21" s="46">
        <f t="shared" si="0"/>
        <v>-4.0016011297955913E-4</v>
      </c>
    </row>
    <row r="22" spans="1:12" x14ac:dyDescent="0.2">
      <c r="A22" s="45">
        <v>16</v>
      </c>
      <c r="B22" s="34">
        <f>Prob!B22*ER!B22</f>
        <v>-1.0438952057714096E-4</v>
      </c>
      <c r="C22" s="34">
        <f>Prob!C22*ER!C22</f>
        <v>-1.9139906940381036E-5</v>
      </c>
      <c r="D22" s="34">
        <f>Prob!D22*ER!D22</f>
        <v>8.2467868428865046E-6</v>
      </c>
      <c r="E22" s="34">
        <f>Prob!E22*ER!E22</f>
        <v>5.31875455109194E-5</v>
      </c>
      <c r="F22" s="34">
        <f>Prob!F22*ER!F22</f>
        <v>1.1466043263420962E-4</v>
      </c>
      <c r="G22" s="34">
        <f>Prob!G22*ER!G22</f>
        <v>1.6363059246965421E-4</v>
      </c>
      <c r="H22" s="34">
        <f>Prob!H22*ER!H22</f>
        <v>-4.4516678862229355E-6</v>
      </c>
      <c r="I22" s="34">
        <f>Prob!I22*ER!I22</f>
        <v>-6.0805505616835785E-5</v>
      </c>
      <c r="J22" s="34">
        <f>Prob!J22*ER!J22</f>
        <v>-1.3531500649073712E-4</v>
      </c>
      <c r="K22" s="46">
        <f>Prob!K22*ER!K22</f>
        <v>-6.9725656114791085E-4</v>
      </c>
      <c r="L22" s="46">
        <f t="shared" si="0"/>
        <v>-6.8163281120155899E-4</v>
      </c>
    </row>
    <row r="23" spans="1:12" x14ac:dyDescent="0.2">
      <c r="A23" s="45">
        <v>17</v>
      </c>
      <c r="B23" s="34">
        <f>Prob!B23*ER!B23</f>
        <v>-1.1317001002288128E-4</v>
      </c>
      <c r="C23" s="34">
        <f>Prob!C23*ER!C23</f>
        <v>-4.4701282010844689E-7</v>
      </c>
      <c r="D23" s="34">
        <f>Prob!D23*ER!D23</f>
        <v>5.0155015456803226E-5</v>
      </c>
      <c r="E23" s="34">
        <f>Prob!E23*ER!E23</f>
        <v>1.0801324594841029E-4</v>
      </c>
      <c r="F23" s="34">
        <f>Prob!F23*ER!F23</f>
        <v>1.6602472041288012E-4</v>
      </c>
      <c r="G23" s="34">
        <f>Prob!G23*ER!G23</f>
        <v>2.3313999753390817E-4</v>
      </c>
      <c r="H23" s="34">
        <f>Prob!H23*ER!H23</f>
        <v>4.8997235972796233E-5</v>
      </c>
      <c r="I23" s="34">
        <f>Prob!I23*ER!I23</f>
        <v>-6.6377240536770221E-5</v>
      </c>
      <c r="J23" s="34">
        <f>Prob!J23*ER!J23</f>
        <v>-1.3635584176798654E-4</v>
      </c>
      <c r="K23" s="46">
        <f>Prob!K23*ER!K23</f>
        <v>-6.6171456596158867E-4</v>
      </c>
      <c r="L23" s="46">
        <f t="shared" si="0"/>
        <v>-3.7173445578453709E-4</v>
      </c>
    </row>
    <row r="24" spans="1:12" x14ac:dyDescent="0.2">
      <c r="A24" s="45">
        <v>18</v>
      </c>
      <c r="B24" s="34">
        <f>Prob!B24*ER!B24</f>
        <v>-5.8570738134067882E-5</v>
      </c>
      <c r="C24" s="34">
        <f>Prob!C24*ER!C24</f>
        <v>1.1082558235856871E-4</v>
      </c>
      <c r="D24" s="34">
        <f>Prob!D24*ER!D24</f>
        <v>1.6171258596170919E-4</v>
      </c>
      <c r="E24" s="34">
        <f>Prob!E24*ER!E24</f>
        <v>2.1575225102924141E-4</v>
      </c>
      <c r="F24" s="34">
        <f>Prob!F24*ER!F24</f>
        <v>2.6875329597022131E-4</v>
      </c>
      <c r="G24" s="34">
        <f>Prob!G24*ER!G24</f>
        <v>3.4729766233845561E-4</v>
      </c>
      <c r="H24" s="34">
        <f>Prob!H24*ER!H24</f>
        <v>3.6372705265047962E-4</v>
      </c>
      <c r="I24" s="34">
        <f>Prob!I24*ER!I24</f>
        <v>9.6450931833521708E-5</v>
      </c>
      <c r="J24" s="34">
        <f>Prob!J24*ER!J24</f>
        <v>-9.171079433811128E-5</v>
      </c>
      <c r="K24" s="46">
        <f>Prob!K24*ER!K24</f>
        <v>-4.8337172454427865E-4</v>
      </c>
      <c r="L24" s="46">
        <f t="shared" si="0"/>
        <v>9.3086610512573985E-4</v>
      </c>
    </row>
    <row r="25" spans="1:12" x14ac:dyDescent="0.2">
      <c r="A25" s="45">
        <v>19</v>
      </c>
      <c r="B25" s="34">
        <f>Prob!B25*ER!B25</f>
        <v>1.7497437161970544E-4</v>
      </c>
      <c r="C25" s="34">
        <f>Prob!C25*ER!C25</f>
        <v>3.5166562223085113E-4</v>
      </c>
      <c r="D25" s="34">
        <f>Prob!D25*ER!D25</f>
        <v>3.681046304940919E-4</v>
      </c>
      <c r="E25" s="34">
        <f>Prob!E25*ER!E25</f>
        <v>3.8523343179562732E-4</v>
      </c>
      <c r="F25" s="34">
        <f>Prob!F25*ER!F25</f>
        <v>4.0010205203539715E-4</v>
      </c>
      <c r="G25" s="34">
        <f>Prob!G25*ER!G25</f>
        <v>4.5150393608313084E-4</v>
      </c>
      <c r="H25" s="34">
        <f>Prob!H25*ER!H25</f>
        <v>5.6074328243371102E-4</v>
      </c>
      <c r="I25" s="34">
        <f>Prob!I25*ER!I25</f>
        <v>5.4060415865880243E-4</v>
      </c>
      <c r="J25" s="34">
        <f>Prob!J25*ER!J25</f>
        <v>2.6180860907381112E-4</v>
      </c>
      <c r="K25" s="46">
        <f>Prob!K25*ER!K25</f>
        <v>2.1215447527189949E-4</v>
      </c>
      <c r="L25" s="46">
        <f t="shared" si="0"/>
        <v>3.7068945696970275E-3</v>
      </c>
    </row>
    <row r="26" spans="1:12" x14ac:dyDescent="0.2">
      <c r="A26" s="45">
        <v>20</v>
      </c>
      <c r="B26" s="34">
        <f>Prob!B26*ER!B26</f>
        <v>4.1309708402010589E-4</v>
      </c>
      <c r="C26" s="34">
        <f>Prob!C26*ER!C26</f>
        <v>5.8260043260522428E-4</v>
      </c>
      <c r="D26" s="34">
        <f>Prob!D26*ER!D26</f>
        <v>5.9196367250931401E-4</v>
      </c>
      <c r="E26" s="34">
        <f>Prob!E26*ER!E26</f>
        <v>6.0177511328909602E-4</v>
      </c>
      <c r="F26" s="34">
        <f>Prob!F26*ER!F26</f>
        <v>6.1025005974765594E-4</v>
      </c>
      <c r="G26" s="34">
        <f>Prob!G26*ER!G26</f>
        <v>6.4083620407040943E-4</v>
      </c>
      <c r="H26" s="34">
        <f>Prob!H26*ER!H26</f>
        <v>7.0389369734836138E-4</v>
      </c>
      <c r="I26" s="34">
        <f>Prob!I26*ER!I26</f>
        <v>7.2081489262803688E-4</v>
      </c>
      <c r="J26" s="34">
        <f>Prob!J26*ER!J26</f>
        <v>6.9035673264323746E-4</v>
      </c>
      <c r="K26" s="46">
        <f>Prob!K26*ER!K26</f>
        <v>1.8639265565261877E-3</v>
      </c>
      <c r="L26" s="46">
        <f t="shared" si="0"/>
        <v>7.4195144453876281E-3</v>
      </c>
    </row>
    <row r="27" spans="1:12" x14ac:dyDescent="0.2">
      <c r="A27" s="45">
        <v>21</v>
      </c>
      <c r="B27" s="34">
        <f>Prob!B27*ER!B27</f>
        <v>3.781380203774378E-3</v>
      </c>
      <c r="C27" s="34">
        <f>Prob!C27*ER!C27</f>
        <v>5.461993627674102E-3</v>
      </c>
      <c r="D27" s="34">
        <f>Prob!D27*ER!D27</f>
        <v>5.461993627674102E-3</v>
      </c>
      <c r="E27" s="34">
        <f>Prob!E27*ER!E27</f>
        <v>5.461993627674102E-3</v>
      </c>
      <c r="F27" s="34">
        <f>Prob!F27*ER!F27</f>
        <v>5.461993627674102E-3</v>
      </c>
      <c r="G27" s="34">
        <f>Prob!G27*ER!G27</f>
        <v>5.461993627674102E-3</v>
      </c>
      <c r="H27" s="34">
        <f>Prob!H27*ER!H27</f>
        <v>5.461993627674102E-3</v>
      </c>
      <c r="I27" s="34">
        <f>Prob!I27*ER!I27</f>
        <v>5.461993627674102E-3</v>
      </c>
      <c r="J27" s="34">
        <f>Prob!J27*ER!J27</f>
        <v>5.461993627674102E-3</v>
      </c>
      <c r="K27" s="46">
        <f>Prob!K27*ER!K27</f>
        <v>2.0167361086796686E-2</v>
      </c>
      <c r="L27" s="46">
        <f t="shared" si="0"/>
        <v>6.7644690311963893E-2</v>
      </c>
    </row>
    <row r="28" spans="1:12" x14ac:dyDescent="0.2">
      <c r="A28" s="45" t="s">
        <v>10</v>
      </c>
      <c r="B28" s="32" t="s">
        <v>1</v>
      </c>
      <c r="C28" s="35">
        <v>2</v>
      </c>
      <c r="D28" s="35">
        <v>3</v>
      </c>
      <c r="E28" s="35">
        <v>4</v>
      </c>
      <c r="F28" s="35">
        <v>5</v>
      </c>
      <c r="G28" s="35">
        <v>6</v>
      </c>
      <c r="H28" s="35">
        <v>7</v>
      </c>
      <c r="I28" s="35">
        <v>8</v>
      </c>
      <c r="J28" s="35">
        <v>9</v>
      </c>
      <c r="K28" s="47">
        <v>10</v>
      </c>
      <c r="L28" s="47" t="s">
        <v>2</v>
      </c>
    </row>
    <row r="29" spans="1:12" x14ac:dyDescent="0.2">
      <c r="A29" s="45" t="s">
        <v>1</v>
      </c>
      <c r="B29" s="34">
        <f>Prob!B29*ER!B29</f>
        <v>3.4366689472072862E-5</v>
      </c>
      <c r="C29" s="34">
        <f>Prob!C29*ER!C29</f>
        <v>2.1421981035023624E-4</v>
      </c>
      <c r="D29" s="34">
        <f>Prob!D29*ER!D29</f>
        <v>2.3568286441612049E-4</v>
      </c>
      <c r="E29" s="34">
        <f>Prob!E29*ER!E29</f>
        <v>2.5764248994901049E-4</v>
      </c>
      <c r="F29" s="34">
        <f>Prob!F29*ER!F29</f>
        <v>2.7979017656305332E-4</v>
      </c>
      <c r="G29" s="34">
        <f>Prob!G29*ER!G29</f>
        <v>3.0376881880180679E-4</v>
      </c>
      <c r="H29" s="34">
        <f>Prob!H29*ER!H29</f>
        <v>2.1069137408479333E-4</v>
      </c>
      <c r="I29" s="34">
        <f>Prob!I29*ER!I29</f>
        <v>1.5962339138384852E-4</v>
      </c>
      <c r="J29" s="34">
        <f>Prob!J29*ER!J29</f>
        <v>1.0367930047904183E-4</v>
      </c>
      <c r="K29" s="46">
        <f>Prob!K29*ER!K29</f>
        <v>3.0198728741063065E-4</v>
      </c>
      <c r="L29" s="46">
        <f t="shared" si="0"/>
        <v>2.1014522029106147E-3</v>
      </c>
    </row>
    <row r="30" spans="1:12" x14ac:dyDescent="0.2">
      <c r="A30" s="45">
        <v>2</v>
      </c>
      <c r="B30" s="34">
        <f>Prob!B30*ER!B30</f>
        <v>-7.9748361389138256E-5</v>
      </c>
      <c r="C30" s="34">
        <f>Prob!C30*ER!C30</f>
        <v>-5.230465526578123E-5</v>
      </c>
      <c r="D30" s="34">
        <f>Prob!D30*ER!D30</f>
        <v>-3.7602783022186787E-5</v>
      </c>
      <c r="E30" s="34">
        <f>Prob!E30*ER!E30</f>
        <v>-2.0118718375816471E-5</v>
      </c>
      <c r="F30" s="34">
        <f>Prob!F30*ER!F30</f>
        <v>1.2498891474541259E-5</v>
      </c>
      <c r="G30" s="34">
        <f>Prob!G30*ER!G30</f>
        <v>3.5396824712154062E-5</v>
      </c>
      <c r="H30" s="34">
        <f>Prob!H30*ER!H30</f>
        <v>-2.4812946177389394E-5</v>
      </c>
      <c r="I30" s="34">
        <f>Prob!I30*ER!I30</f>
        <v>-7.2523510541741069E-5</v>
      </c>
      <c r="J30" s="34">
        <f>Prob!J30*ER!J30</f>
        <v>-1.0954309474436299E-4</v>
      </c>
      <c r="K30" s="46">
        <f>Prob!K30*ER!K30</f>
        <v>-4.8602989724842998E-4</v>
      </c>
      <c r="L30" s="46">
        <f t="shared" si="0"/>
        <v>-8.3478825057815083E-4</v>
      </c>
    </row>
    <row r="31" spans="1:12" x14ac:dyDescent="0.2">
      <c r="A31" s="45">
        <v>3</v>
      </c>
      <c r="B31" s="34">
        <f>Prob!B31*ER!B31</f>
        <v>-9.5841170784681705E-5</v>
      </c>
      <c r="C31" s="34">
        <f>Prob!C31*ER!C31</f>
        <v>-6.4068783550304918E-5</v>
      </c>
      <c r="D31" s="34">
        <f>Prob!D31*ER!D31</f>
        <v>-4.8835265365775323E-5</v>
      </c>
      <c r="E31" s="34">
        <f>Prob!E31*ER!E31</f>
        <v>-3.3009823130546513E-5</v>
      </c>
      <c r="F31" s="34">
        <f>Prob!F31*ER!F31</f>
        <v>1.5471745234126364E-7</v>
      </c>
      <c r="G31" s="34">
        <f>Prob!G31*ER!G31</f>
        <v>2.2277017029184673E-5</v>
      </c>
      <c r="H31" s="34">
        <f>Prob!H31*ER!H31</f>
        <v>-5.228729043273252E-5</v>
      </c>
      <c r="I31" s="34">
        <f>Prob!I31*ER!I31</f>
        <v>-9.8881147619838314E-5</v>
      </c>
      <c r="J31" s="34">
        <f>Prob!J31*ER!J31</f>
        <v>-1.3320013663983889E-4</v>
      </c>
      <c r="K31" s="46">
        <f>Prob!K31*ER!K31</f>
        <v>-5.6762624341457192E-4</v>
      </c>
      <c r="L31" s="46">
        <f t="shared" si="0"/>
        <v>-1.0713181264567643E-3</v>
      </c>
    </row>
    <row r="32" spans="1:12" x14ac:dyDescent="0.2">
      <c r="A32" s="45">
        <v>4</v>
      </c>
      <c r="B32" s="34">
        <f>Prob!B32*ER!B32</f>
        <v>-6.2086736989862843E-5</v>
      </c>
      <c r="C32" s="34">
        <f>Prob!C32*ER!C32</f>
        <v>-9.9217969999115483E-6</v>
      </c>
      <c r="D32" s="34">
        <f>Prob!D32*ER!D32</f>
        <v>3.6437244108578442E-6</v>
      </c>
      <c r="E32" s="34">
        <f>Prob!E32*ER!E32</f>
        <v>1.7653378824400917E-5</v>
      </c>
      <c r="F32" s="34">
        <f>Prob!F32*ER!F32</f>
        <v>3.2227872545759598E-5</v>
      </c>
      <c r="G32" s="34">
        <f>Prob!G32*ER!G32</f>
        <v>5.2325967271835787E-5</v>
      </c>
      <c r="H32" s="34">
        <f>Prob!H32*ER!H32</f>
        <v>3.7418042496014052E-5</v>
      </c>
      <c r="I32" s="34">
        <f>Prob!I32*ER!I32</f>
        <v>-2.7263666663020625E-5</v>
      </c>
      <c r="J32" s="34">
        <f>Prob!J32*ER!J32</f>
        <v>-9.5669700499871456E-5</v>
      </c>
      <c r="K32" s="46">
        <f>Prob!K32*ER!K32</f>
        <v>-4.1910310796402253E-4</v>
      </c>
      <c r="L32" s="46">
        <f t="shared" si="0"/>
        <v>-4.7077602356782082E-4</v>
      </c>
    </row>
    <row r="33" spans="1:12" x14ac:dyDescent="0.2">
      <c r="A33" s="45">
        <v>5</v>
      </c>
      <c r="B33" s="34">
        <f>Prob!B33*ER!B33</f>
        <v>2.5666026102289253E-5</v>
      </c>
      <c r="C33" s="34">
        <f>Prob!C33*ER!C33</f>
        <v>1.6337706529007698E-4</v>
      </c>
      <c r="D33" s="34">
        <f>Prob!D33*ER!D33</f>
        <v>1.8630890768135604E-4</v>
      </c>
      <c r="E33" s="34">
        <f>Prob!E33*ER!E33</f>
        <v>2.0980438952860903E-4</v>
      </c>
      <c r="F33" s="34">
        <f>Prob!F33*ER!F33</f>
        <v>2.3328043195415012E-4</v>
      </c>
      <c r="G33" s="34">
        <f>Prob!G33*ER!G33</f>
        <v>2.6198915275273951E-4</v>
      </c>
      <c r="H33" s="34">
        <f>Prob!H33*ER!H33</f>
        <v>1.7861286084771861E-4</v>
      </c>
      <c r="I33" s="34">
        <f>Prob!I33*ER!I33</f>
        <v>1.3046687159139E-4</v>
      </c>
      <c r="J33" s="34">
        <f>Prob!J33*ER!J33</f>
        <v>6.5693385699031059E-5</v>
      </c>
      <c r="K33" s="46">
        <f>Prob!K33*ER!K33</f>
        <v>4.2533843561558463E-5</v>
      </c>
      <c r="L33" s="46">
        <f t="shared" si="0"/>
        <v>1.4977329350089193E-3</v>
      </c>
    </row>
    <row r="34" spans="1:12" x14ac:dyDescent="0.2">
      <c r="A34" s="45">
        <v>6</v>
      </c>
      <c r="B34" s="34">
        <f>Prob!B34*ER!B34</f>
        <v>-1.1046052533037082E-4</v>
      </c>
      <c r="C34" s="34">
        <f>Prob!C34*ER!C34</f>
        <v>-1.1533454072218394E-4</v>
      </c>
      <c r="D34" s="34">
        <f>Prob!D34*ER!D34</f>
        <v>-9.7670530731550645E-5</v>
      </c>
      <c r="E34" s="34">
        <f>Prob!E34*ER!E34</f>
        <v>-6.6378827425022589E-5</v>
      </c>
      <c r="F34" s="34">
        <f>Prob!F34*ER!F34</f>
        <v>-3.17851373055095E-5</v>
      </c>
      <c r="G34" s="34">
        <f>Prob!G34*ER!G34</f>
        <v>-1.1839631797791804E-5</v>
      </c>
      <c r="H34" s="34">
        <f>Prob!H34*ER!H34</f>
        <v>-9.6881071696547228E-5</v>
      </c>
      <c r="I34" s="34">
        <f>Prob!I34*ER!I34</f>
        <v>-1.2361165453995732E-4</v>
      </c>
      <c r="J34" s="34">
        <f>Prob!J34*ER!J34</f>
        <v>-1.5476253100088104E-4</v>
      </c>
      <c r="K34" s="46">
        <f>Prob!K34*ER!K34</f>
        <v>-6.4038596886342258E-4</v>
      </c>
      <c r="L34" s="46">
        <f t="shared" si="0"/>
        <v>-1.4491104194132376E-3</v>
      </c>
    </row>
    <row r="35" spans="1:12" x14ac:dyDescent="0.2">
      <c r="A35" s="45">
        <v>7</v>
      </c>
      <c r="B35" s="34">
        <f>Prob!B35*ER!B35</f>
        <v>-1.3865272571084194E-4</v>
      </c>
      <c r="C35" s="34">
        <f>Prob!C35*ER!C35</f>
        <v>-9.9393197875845567E-5</v>
      </c>
      <c r="D35" s="34">
        <f>Prob!D35*ER!D35</f>
        <v>-6.9715959858410208E-5</v>
      </c>
      <c r="E35" s="34">
        <f>Prob!E35*ER!E35</f>
        <v>-3.9164127450470533E-5</v>
      </c>
      <c r="F35" s="34">
        <f>Prob!F35*ER!F35</f>
        <v>-6.6193544860636189E-6</v>
      </c>
      <c r="G35" s="34">
        <f>Prob!G35*ER!G35</f>
        <v>2.6568358993045852E-5</v>
      </c>
      <c r="H35" s="34">
        <f>Prob!H35*ER!H35</f>
        <v>-6.26379604737622E-5</v>
      </c>
      <c r="I35" s="34">
        <f>Prob!I35*ER!I35</f>
        <v>-1.6928497591591588E-4</v>
      </c>
      <c r="J35" s="34">
        <f>Prob!J35*ER!J35</f>
        <v>-1.961446602113042E-4</v>
      </c>
      <c r="K35" s="46">
        <f>Prob!K35*ER!K35</f>
        <v>-7.8368260807760678E-4</v>
      </c>
      <c r="L35" s="46">
        <f t="shared" si="0"/>
        <v>-1.5387272110671752E-3</v>
      </c>
    </row>
    <row r="36" spans="1:12" x14ac:dyDescent="0.2">
      <c r="A36" s="45">
        <v>8</v>
      </c>
      <c r="B36" s="34">
        <f>Prob!B36*ER!B36</f>
        <v>-1.2417347397972569E-4</v>
      </c>
      <c r="C36" s="34">
        <f>Prob!C36*ER!C36</f>
        <v>-1.9843593999823097E-5</v>
      </c>
      <c r="D36" s="34">
        <f>Prob!D36*ER!D36</f>
        <v>7.2874488217156885E-6</v>
      </c>
      <c r="E36" s="34">
        <f>Prob!E36*ER!E36</f>
        <v>3.5306757648801835E-5</v>
      </c>
      <c r="F36" s="34">
        <f>Prob!F36*ER!F36</f>
        <v>6.4455745091519196E-5</v>
      </c>
      <c r="G36" s="34">
        <f>Prob!G36*ER!G36</f>
        <v>1.0465193454367157E-4</v>
      </c>
      <c r="H36" s="34">
        <f>Prob!H36*ER!H36</f>
        <v>7.4836084992028104E-5</v>
      </c>
      <c r="I36" s="34">
        <f>Prob!I36*ER!I36</f>
        <v>-5.4527333326041249E-5</v>
      </c>
      <c r="J36" s="34">
        <f>Prob!J36*ER!J36</f>
        <v>-1.9133940099974291E-4</v>
      </c>
      <c r="K36" s="46">
        <f>Prob!K36*ER!K36</f>
        <v>-8.3820621592804506E-4</v>
      </c>
      <c r="L36" s="46">
        <f t="shared" si="0"/>
        <v>-9.4155204713564165E-4</v>
      </c>
    </row>
    <row r="37" spans="1:12" x14ac:dyDescent="0.2">
      <c r="A37" s="45">
        <v>9</v>
      </c>
      <c r="B37" s="34">
        <f>Prob!B37*ER!B37</f>
        <v>-3.1574170390347508E-5</v>
      </c>
      <c r="C37" s="34">
        <f>Prob!C37*ER!C37</f>
        <v>6.7770630474593116E-5</v>
      </c>
      <c r="D37" s="34">
        <f>Prob!D37*ER!D37</f>
        <v>9.2184525934343884E-5</v>
      </c>
      <c r="E37" s="34">
        <f>Prob!E37*ER!E37</f>
        <v>1.1741545853048866E-4</v>
      </c>
      <c r="F37" s="34">
        <f>Prob!F37*ER!F37</f>
        <v>1.438614986495379E-4</v>
      </c>
      <c r="G37" s="34">
        <f>Prob!G37*ER!G37</f>
        <v>1.7844227515455513E-4</v>
      </c>
      <c r="H37" s="34">
        <f>Prob!H37*ER!H37</f>
        <v>1.8186352632523981E-4</v>
      </c>
      <c r="I37" s="34">
        <f>Prob!I37*ER!I37</f>
        <v>8.9555045457799301E-5</v>
      </c>
      <c r="J37" s="34">
        <f>Prob!J37*ER!J37</f>
        <v>-4.7499365919573668E-5</v>
      </c>
      <c r="K37" s="46">
        <f>Prob!K37*ER!K37</f>
        <v>-2.9965544701626332E-4</v>
      </c>
      <c r="L37" s="46">
        <f t="shared" si="0"/>
        <v>4.9236397720037325E-4</v>
      </c>
    </row>
    <row r="38" spans="1:12" ht="16" thickBot="1" x14ac:dyDescent="0.25">
      <c r="A38" s="67">
        <v>10</v>
      </c>
      <c r="B38" s="68">
        <f>Prob!B38*ER!B38</f>
        <v>3.3047766721608471E-3</v>
      </c>
      <c r="C38" s="68">
        <f>Prob!C38*ER!C38</f>
        <v>4.6608034608417942E-3</v>
      </c>
      <c r="D38" s="68">
        <f>Prob!D38*ER!D38</f>
        <v>4.7357093800745121E-3</v>
      </c>
      <c r="E38" s="68">
        <f>Prob!E38*ER!E38</f>
        <v>4.8142009063127681E-3</v>
      </c>
      <c r="F38" s="68">
        <f>Prob!F38*ER!F38</f>
        <v>4.8820004779812475E-3</v>
      </c>
      <c r="G38" s="68">
        <f>Prob!G38*ER!G38</f>
        <v>5.1266896325632754E-3</v>
      </c>
      <c r="H38" s="68">
        <f>Prob!H38*ER!H38</f>
        <v>5.631149578786891E-3</v>
      </c>
      <c r="I38" s="68">
        <f>Prob!I38*ER!I38</f>
        <v>5.766519141024295E-3</v>
      </c>
      <c r="J38" s="68">
        <f>Prob!J38*ER!J38</f>
        <v>5.5228538611458997E-3</v>
      </c>
      <c r="K38" s="161">
        <f>Prob!K38*ER!K38</f>
        <v>1.4911412452209501E-2</v>
      </c>
      <c r="L38" s="161">
        <f t="shared" si="0"/>
        <v>5.9356115563101025E-2</v>
      </c>
    </row>
    <row r="39" spans="1:12" ht="16" thickBot="1" x14ac:dyDescent="0.25">
      <c r="A39" s="162" t="s">
        <v>2</v>
      </c>
      <c r="B39" s="69">
        <f>SUM(B3:B17,B19:B27,B29:B38)</f>
        <v>-3.4428842144487173E-3</v>
      </c>
      <c r="C39" s="69">
        <f t="shared" ref="C39:K39" si="1">SUM(C3:C17,C19:C27,C29:C38)</f>
        <v>6.8517954535745329E-3</v>
      </c>
      <c r="D39" s="69">
        <f t="shared" si="1"/>
        <v>9.2919995228002705E-3</v>
      </c>
      <c r="E39" s="69">
        <f t="shared" si="1"/>
        <v>1.188454390373446E-2</v>
      </c>
      <c r="F39" s="69">
        <f t="shared" si="1"/>
        <v>1.4750517256695192E-2</v>
      </c>
      <c r="G39" s="69">
        <f t="shared" si="1"/>
        <v>1.7561174712950284E-2</v>
      </c>
      <c r="H39" s="69">
        <f t="shared" si="1"/>
        <v>1.0912640666032539E-2</v>
      </c>
      <c r="I39" s="69">
        <f t="shared" si="1"/>
        <v>4.4188712784938803E-3</v>
      </c>
      <c r="J39" s="69">
        <f t="shared" si="1"/>
        <v>-3.1475527690042445E-3</v>
      </c>
      <c r="K39" s="70">
        <f t="shared" si="1"/>
        <v>-3.0887011993992564E-2</v>
      </c>
      <c r="L39" s="70">
        <f>SUM(L3:L17,L19:L27,L29:L38)</f>
        <v>3.8194093816835681E-2</v>
      </c>
    </row>
    <row r="40" spans="1:12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</row>
    <row r="41" spans="1:12" x14ac:dyDescent="0.2">
      <c r="F41" s="327" t="s">
        <v>11</v>
      </c>
      <c r="G41" s="328"/>
      <c r="H41" s="39">
        <f>Blackjack!C3*ER!C40</f>
        <v>-4.5096460207975919E-2</v>
      </c>
    </row>
    <row r="42" spans="1:12" ht="16" thickBot="1" x14ac:dyDescent="0.25"/>
    <row r="43" spans="1:12" x14ac:dyDescent="0.2">
      <c r="B43" s="332" t="s">
        <v>16</v>
      </c>
      <c r="C43" s="333"/>
      <c r="D43" s="115">
        <f>SUM(B3:K17)</f>
        <v>-9.7327673900284351E-2</v>
      </c>
      <c r="F43" s="158" t="s">
        <v>29</v>
      </c>
      <c r="G43" s="159"/>
      <c r="H43" s="50">
        <f>H41</f>
        <v>-4.5096460207975919E-2</v>
      </c>
      <c r="J43" s="329">
        <f>SUM(D43:D45)</f>
        <v>3.8194093816835653E-2</v>
      </c>
      <c r="K43" s="112" t="s">
        <v>69</v>
      </c>
      <c r="L43" s="115">
        <f>SUMIF($B$3:$K$17,"&gt;0")+SUMIF($B$19:$K$27,"&gt;0")+ SUMIF($B$29:$K$38,"&gt;0")</f>
        <v>0.19709025873502301</v>
      </c>
    </row>
    <row r="44" spans="1:12" ht="16" thickBot="1" x14ac:dyDescent="0.25">
      <c r="B44" s="334" t="s">
        <v>17</v>
      </c>
      <c r="C44" s="335"/>
      <c r="D44" s="160">
        <f>SUM(B19:K27)</f>
        <v>7.8380375117117845E-2</v>
      </c>
      <c r="F44" s="147" t="s">
        <v>115</v>
      </c>
      <c r="G44" s="148"/>
      <c r="H44" s="50">
        <f>IF(Rules!$B$15=Rules!$E$15,'Three 7 Cards'!$D$2,IF(Rules!$B$15=Rules!$F$15,2*'Three 7 Cards'!$D$2,0))</f>
        <v>0</v>
      </c>
      <c r="J44" s="330"/>
      <c r="K44" s="113" t="s">
        <v>70</v>
      </c>
      <c r="L44" s="116">
        <f>SUMIF($B$3:$K$17,"&lt;0")+SUMIF($B$19:$K$27,"&lt;0")+ SUMIF($B$29:$K$38,"&lt;0")+H41</f>
        <v>-0.20399262512616326</v>
      </c>
    </row>
    <row r="45" spans="1:12" ht="16" thickBot="1" x14ac:dyDescent="0.25">
      <c r="B45" s="336" t="s">
        <v>18</v>
      </c>
      <c r="C45" s="337"/>
      <c r="D45" s="116">
        <f>SUM(B29:K38)</f>
        <v>5.7141392600002158E-2</v>
      </c>
      <c r="F45" s="147" t="s">
        <v>112</v>
      </c>
      <c r="G45" s="148"/>
      <c r="H45" s="50">
        <f>IF(Rules!$B$16=Rules!$E$16,'5 Cards'!$G$122,IF(Rules!$B$16=Rules!$F$16,2*'5 Cards'!$G$122,0))</f>
        <v>0</v>
      </c>
      <c r="J45" s="331"/>
      <c r="K45" s="113" t="s">
        <v>2</v>
      </c>
      <c r="L45" s="116">
        <f>L43+L44</f>
        <v>-6.9023663911402522E-3</v>
      </c>
    </row>
    <row r="46" spans="1:12" ht="16" thickBot="1" x14ac:dyDescent="0.25">
      <c r="F46" s="156" t="s">
        <v>19</v>
      </c>
      <c r="G46" s="157"/>
      <c r="H46" s="51">
        <f>SUM(D43:D45,H43:H45)</f>
        <v>-6.9023663911402661E-3</v>
      </c>
    </row>
    <row r="47" spans="1:12" ht="16" thickBot="1" x14ac:dyDescent="0.25">
      <c r="H47" s="92">
        <f>H46</f>
        <v>-6.9023663911402661E-3</v>
      </c>
    </row>
  </sheetData>
  <sheetProtection sheet="1" objects="1" scenarios="1"/>
  <mergeCells count="6">
    <mergeCell ref="A1:L1"/>
    <mergeCell ref="F41:G41"/>
    <mergeCell ref="J43:J45"/>
    <mergeCell ref="B43:C43"/>
    <mergeCell ref="B44:C44"/>
    <mergeCell ref="B45:C45"/>
  </mergeCells>
  <phoneticPr fontId="16" type="noConversion"/>
  <conditionalFormatting sqref="B29:K40 B19:L27 L29:L39 B3:L17">
    <cfRule type="containsText" dxfId="795" priority="15" operator="containsText" text="R">
      <formula>NOT(ISERROR(SEARCH("R",B3)))</formula>
    </cfRule>
    <cfRule type="containsText" dxfId="794" priority="16" operator="containsText" text="D">
      <formula>NOT(ISERROR(SEARCH("D",B3)))</formula>
    </cfRule>
    <cfRule type="containsText" dxfId="793" priority="17" operator="containsText" text="S">
      <formula>NOT(ISERROR(SEARCH("S",B3)))</formula>
    </cfRule>
    <cfRule type="containsText" dxfId="792" priority="18" operator="containsText" text="H">
      <formula>NOT(ISERROR(SEARCH("H",B3)))</formula>
    </cfRule>
  </conditionalFormatting>
  <conditionalFormatting sqref="B29:K40 B19:L27 L29:L39 B3:L17">
    <cfRule type="containsText" dxfId="791" priority="14" operator="containsText" text="P">
      <formula>NOT(ISERROR(SEARCH("P",B3)))</formula>
    </cfRule>
  </conditionalFormatting>
  <conditionalFormatting sqref="B3:L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7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S48"/>
  <sheetViews>
    <sheetView workbookViewId="0">
      <selection activeCell="R15" sqref="R15"/>
    </sheetView>
  </sheetViews>
  <sheetFormatPr baseColWidth="10" defaultColWidth="8.83203125" defaultRowHeight="15" x14ac:dyDescent="0.2"/>
  <cols>
    <col min="1" max="2" width="8.83203125" style="33"/>
    <col min="3" max="3" width="8.83203125" style="33" customWidth="1"/>
    <col min="4" max="15" width="8.83203125" style="33"/>
    <col min="16" max="16" width="9.6640625" style="33" bestFit="1" customWidth="1"/>
    <col min="17" max="17" width="8.6640625" style="33" bestFit="1" customWidth="1"/>
    <col min="18" max="16384" width="8.83203125" style="33"/>
  </cols>
  <sheetData>
    <row r="1" spans="1:19" ht="16" thickBot="1" x14ac:dyDescent="0.25">
      <c r="A1" s="42" t="s">
        <v>9</v>
      </c>
      <c r="B1" s="43" t="s">
        <v>1</v>
      </c>
      <c r="C1" s="43">
        <v>2</v>
      </c>
      <c r="D1" s="43">
        <v>3</v>
      </c>
      <c r="E1" s="43">
        <v>4</v>
      </c>
      <c r="F1" s="43">
        <v>5</v>
      </c>
      <c r="G1" s="43">
        <v>6</v>
      </c>
      <c r="H1" s="43">
        <v>7</v>
      </c>
      <c r="I1" s="43">
        <v>8</v>
      </c>
      <c r="J1" s="43">
        <v>9</v>
      </c>
      <c r="K1" s="44">
        <v>10</v>
      </c>
    </row>
    <row r="2" spans="1:19" ht="16" thickBot="1" x14ac:dyDescent="0.25">
      <c r="A2" s="45">
        <v>5</v>
      </c>
      <c r="B2" s="34">
        <f>IF(EV!B3&lt;0,-Prob!B3,Prob!B3)</f>
        <v>-6.3023003396239633E-4</v>
      </c>
      <c r="C2" s="34">
        <f>IF(EV!C3&lt;0,-Prob!C3,Prob!C3)</f>
        <v>-9.1033227127901696E-4</v>
      </c>
      <c r="D2" s="34">
        <f>IF(EV!D3&lt;0,-Prob!D3,Prob!D3)</f>
        <v>-9.1033227127901696E-4</v>
      </c>
      <c r="E2" s="34">
        <f>IF(EV!E3&lt;0,-Prob!E3,Prob!E3)</f>
        <v>-9.1033227127901696E-4</v>
      </c>
      <c r="F2" s="34">
        <f>IF(EV!F3&lt;0,-Prob!F3,Prob!F3)</f>
        <v>-9.1033227127901696E-4</v>
      </c>
      <c r="G2" s="34">
        <f>IF(EV!G3&lt;0,-Prob!G3,Prob!G3)</f>
        <v>-9.1033227127901696E-4</v>
      </c>
      <c r="H2" s="34">
        <f>IF(EV!H3&lt;0,-Prob!H3,Prob!H3)</f>
        <v>-9.1033227127901696E-4</v>
      </c>
      <c r="I2" s="34">
        <f>IF(EV!I3&lt;0,-Prob!I3,Prob!I3)</f>
        <v>-9.1033227127901696E-4</v>
      </c>
      <c r="J2" s="34">
        <f>IF(EV!J3&lt;0,-Prob!J3,Prob!J3)</f>
        <v>-9.1033227127901696E-4</v>
      </c>
      <c r="K2" s="34">
        <f>IF(EV!K3&lt;0,-Prob!K3,Prob!K3)</f>
        <v>-3.3612268477994475E-3</v>
      </c>
      <c r="M2" s="342" t="s">
        <v>185</v>
      </c>
      <c r="N2" s="343"/>
      <c r="O2" s="343"/>
      <c r="P2" s="343"/>
      <c r="Q2" s="343"/>
      <c r="R2" s="344"/>
    </row>
    <row r="3" spans="1:19" ht="16" customHeight="1" thickBot="1" x14ac:dyDescent="0.25">
      <c r="A3" s="45">
        <v>6</v>
      </c>
      <c r="B3" s="34">
        <f>IF(EV!B4&lt;0,-Prob!B4,Prob!B4)</f>
        <v>-6.3023003396239633E-4</v>
      </c>
      <c r="C3" s="34">
        <f>IF(EV!C4&lt;0,-Prob!C4,Prob!C4)</f>
        <v>-9.1033227127901696E-4</v>
      </c>
      <c r="D3" s="34">
        <f>IF(EV!D4&lt;0,-Prob!D4,Prob!D4)</f>
        <v>-9.1033227127901696E-4</v>
      </c>
      <c r="E3" s="34">
        <f>IF(EV!E4&lt;0,-Prob!E4,Prob!E4)</f>
        <v>-9.1033227127901696E-4</v>
      </c>
      <c r="F3" s="34">
        <f>IF(EV!F4&lt;0,-Prob!F4,Prob!F4)</f>
        <v>-9.1033227127901696E-4</v>
      </c>
      <c r="G3" s="34">
        <f>IF(EV!G4&lt;0,-Prob!G4,Prob!G4)</f>
        <v>-9.1033227127901696E-4</v>
      </c>
      <c r="H3" s="34">
        <f>IF(EV!H4&lt;0,-Prob!H4,Prob!H4)</f>
        <v>-9.1033227127901696E-4</v>
      </c>
      <c r="I3" s="34">
        <f>IF(EV!I4&lt;0,-Prob!I4,Prob!I4)</f>
        <v>-9.1033227127901696E-4</v>
      </c>
      <c r="J3" s="34">
        <f>IF(EV!J4&lt;0,-Prob!J4,Prob!J4)</f>
        <v>-9.1033227127901696E-4</v>
      </c>
      <c r="K3" s="34">
        <f>IF(EV!K4&lt;0,-Prob!K4,Prob!K4)</f>
        <v>-3.3612268477994475E-3</v>
      </c>
      <c r="M3" s="348"/>
      <c r="N3" s="349"/>
      <c r="O3" s="231" t="s">
        <v>8</v>
      </c>
      <c r="P3" s="232" t="s">
        <v>37</v>
      </c>
      <c r="Q3" s="232" t="s">
        <v>36</v>
      </c>
      <c r="R3" s="233" t="s">
        <v>38</v>
      </c>
    </row>
    <row r="4" spans="1:19" x14ac:dyDescent="0.2">
      <c r="A4" s="45">
        <v>7</v>
      </c>
      <c r="B4" s="34">
        <f>IF(EV!B5&lt;0,-Prob!B5,Prob!B5)</f>
        <v>-1.2604600679247927E-3</v>
      </c>
      <c r="C4" s="34">
        <f>IF(EV!C5&lt;0,-Prob!C5,Prob!C5)</f>
        <v>-1.8206645425580339E-3</v>
      </c>
      <c r="D4" s="34">
        <f>IF(EV!D5&lt;0,-Prob!D5,Prob!D5)</f>
        <v>-1.8206645425580339E-3</v>
      </c>
      <c r="E4" s="34">
        <f>IF(EV!E5&lt;0,-Prob!E5,Prob!E5)</f>
        <v>-1.8206645425580339E-3</v>
      </c>
      <c r="F4" s="34">
        <f>IF(EV!F5&lt;0,-Prob!F5,Prob!F5)</f>
        <v>-1.8206645425580339E-3</v>
      </c>
      <c r="G4" s="34">
        <f>IF(EV!G5&lt;0,-Prob!G5,Prob!G5)</f>
        <v>1.8206645425580339E-3</v>
      </c>
      <c r="H4" s="34">
        <f>IF(EV!H5&lt;0,-Prob!H5,Prob!H5)</f>
        <v>-1.8206645425580339E-3</v>
      </c>
      <c r="I4" s="34">
        <f>IF(EV!I5&lt;0,-Prob!I5,Prob!I5)</f>
        <v>-1.8206645425580339E-3</v>
      </c>
      <c r="J4" s="34">
        <f>IF(EV!J5&lt;0,-Prob!J5,Prob!J5)</f>
        <v>-1.8206645425580339E-3</v>
      </c>
      <c r="K4" s="34">
        <f>IF(EV!K5&lt;0,-Prob!K5,Prob!K5)</f>
        <v>-6.7224536955988951E-3</v>
      </c>
      <c r="M4" s="350" t="s">
        <v>35</v>
      </c>
      <c r="N4" s="351"/>
      <c r="O4" s="234">
        <f>-(SUMIF(B2:K16,"&lt;0")+SUMIF(B18:K26,"&lt;0")+SUMIF(B28:K37,"&lt;0")+C46)</f>
        <v>0.60491579426490627</v>
      </c>
      <c r="P4" s="235">
        <f>O4</f>
        <v>0.60491579426490627</v>
      </c>
      <c r="Q4" s="236">
        <f>O4</f>
        <v>0.60491579426490627</v>
      </c>
      <c r="R4" s="237">
        <f>ROUND(Q4*10,0)</f>
        <v>6</v>
      </c>
    </row>
    <row r="5" spans="1:19" ht="16" thickBot="1" x14ac:dyDescent="0.25">
      <c r="A5" s="45">
        <v>8</v>
      </c>
      <c r="B5" s="34">
        <f>IF(EV!B6&lt;0,-Prob!B6,Prob!B6)</f>
        <v>-1.2604600679247927E-3</v>
      </c>
      <c r="C5" s="34">
        <f>IF(EV!C6&lt;0,-Prob!C6,Prob!C6)</f>
        <v>-1.8206645425580339E-3</v>
      </c>
      <c r="D5" s="34">
        <f>IF(EV!D6&lt;0,-Prob!D6,Prob!D6)</f>
        <v>1.8206645425580339E-3</v>
      </c>
      <c r="E5" s="34">
        <f>IF(EV!E6&lt;0,-Prob!E6,Prob!E6)</f>
        <v>1.8206645425580339E-3</v>
      </c>
      <c r="F5" s="34">
        <f>IF(EV!F6&lt;0,-Prob!F6,Prob!F6)</f>
        <v>1.8206645425580339E-3</v>
      </c>
      <c r="G5" s="34">
        <f>IF(EV!G6&lt;0,-Prob!G6,Prob!G6)</f>
        <v>1.8206645425580339E-3</v>
      </c>
      <c r="H5" s="34">
        <f>IF(EV!H6&lt;0,-Prob!H6,Prob!H6)</f>
        <v>1.8206645425580339E-3</v>
      </c>
      <c r="I5" s="34">
        <f>IF(EV!I6&lt;0,-Prob!I6,Prob!I6)</f>
        <v>-1.8206645425580339E-3</v>
      </c>
      <c r="J5" s="34">
        <f>IF(EV!J6&lt;0,-Prob!J6,Prob!J6)</f>
        <v>-1.8206645425580339E-3</v>
      </c>
      <c r="K5" s="34">
        <f>IF(EV!K6&lt;0,-Prob!K6,Prob!K6)</f>
        <v>-6.7224536955988951E-3</v>
      </c>
      <c r="M5" s="352" t="s">
        <v>34</v>
      </c>
      <c r="N5" s="353"/>
      <c r="O5" s="238">
        <f>SUMIF(B2:K16,"&gt;0")+SUMIF(B18:K26,"&gt;0")+SUMIF(B28:K37,"&gt;0")</f>
        <v>0.39508420573509356</v>
      </c>
      <c r="P5" s="239">
        <f>O5</f>
        <v>0.39508420573509356</v>
      </c>
      <c r="Q5" s="240">
        <f>O5</f>
        <v>0.39508420573509356</v>
      </c>
      <c r="R5" s="241">
        <f>ROUND(Q5*10,0)</f>
        <v>4</v>
      </c>
    </row>
    <row r="6" spans="1:19" ht="16" thickBot="1" x14ac:dyDescent="0.25">
      <c r="A6" s="45">
        <v>9</v>
      </c>
      <c r="B6" s="34">
        <f>IF(EV!B7&lt;0,-Prob!B7,Prob!B7)</f>
        <v>-1.890690101887189E-3</v>
      </c>
      <c r="C6" s="34">
        <f>IF(EV!C7&lt;0,-Prob!C7,Prob!C7)</f>
        <v>2.730996813837051E-3</v>
      </c>
      <c r="D6" s="34">
        <f>IF(EV!D7&lt;0,-Prob!D7,Prob!D7)</f>
        <v>2.730996813837051E-3</v>
      </c>
      <c r="E6" s="34">
        <f>IF(EV!E7&lt;0,-Prob!E7,Prob!E7)</f>
        <v>2.730996813837051E-3</v>
      </c>
      <c r="F6" s="34">
        <f>IF(EV!F7&lt;0,-Prob!F7,Prob!F7)</f>
        <v>2.730996813837051E-3</v>
      </c>
      <c r="G6" s="34">
        <f>IF(EV!G7&lt;0,-Prob!G7,Prob!G7)</f>
        <v>2.730996813837051E-3</v>
      </c>
      <c r="H6" s="34">
        <f>IF(EV!H7&lt;0,-Prob!H7,Prob!H7)</f>
        <v>2.730996813837051E-3</v>
      </c>
      <c r="I6" s="34">
        <f>IF(EV!I7&lt;0,-Prob!I7,Prob!I7)</f>
        <v>2.730996813837051E-3</v>
      </c>
      <c r="J6" s="34">
        <f>IF(EV!J7&lt;0,-Prob!J7,Prob!J7)</f>
        <v>-2.730996813837051E-3</v>
      </c>
      <c r="K6" s="34">
        <f>IF(EV!K7&lt;0,-Prob!K7,Prob!K7)</f>
        <v>-1.0083680543398343E-2</v>
      </c>
      <c r="M6" s="338" t="s">
        <v>2</v>
      </c>
      <c r="N6" s="339"/>
      <c r="O6" s="242">
        <f>SUM(O4:O5)</f>
        <v>0.99999999999999978</v>
      </c>
      <c r="P6" s="243">
        <f>O6</f>
        <v>0.99999999999999978</v>
      </c>
      <c r="Q6" s="244">
        <f>O6</f>
        <v>0.99999999999999978</v>
      </c>
      <c r="R6" s="245">
        <f>ROUND(Q6*10,0)</f>
        <v>10</v>
      </c>
    </row>
    <row r="7" spans="1:19" ht="16" thickBot="1" x14ac:dyDescent="0.25">
      <c r="A7" s="45">
        <v>10</v>
      </c>
      <c r="B7" s="34">
        <f>IF(EV!B8&lt;0,-Prob!B8,Prob!B8)</f>
        <v>1.890690101887189E-3</v>
      </c>
      <c r="C7" s="34">
        <f>IF(EV!C8&lt;0,-Prob!C8,Prob!C8)</f>
        <v>2.730996813837051E-3</v>
      </c>
      <c r="D7" s="34">
        <f>IF(EV!D8&lt;0,-Prob!D8,Prob!D8)</f>
        <v>2.730996813837051E-3</v>
      </c>
      <c r="E7" s="34">
        <f>IF(EV!E8&lt;0,-Prob!E8,Prob!E8)</f>
        <v>2.730996813837051E-3</v>
      </c>
      <c r="F7" s="34">
        <f>IF(EV!F8&lt;0,-Prob!F8,Prob!F8)</f>
        <v>2.730996813837051E-3</v>
      </c>
      <c r="G7" s="34">
        <f>IF(EV!G8&lt;0,-Prob!G8,Prob!G8)</f>
        <v>2.730996813837051E-3</v>
      </c>
      <c r="H7" s="34">
        <f>IF(EV!H8&lt;0,-Prob!H8,Prob!H8)</f>
        <v>2.730996813837051E-3</v>
      </c>
      <c r="I7" s="34">
        <f>IF(EV!I8&lt;0,-Prob!I8,Prob!I8)</f>
        <v>2.730996813837051E-3</v>
      </c>
      <c r="J7" s="34">
        <f>IF(EV!J8&lt;0,-Prob!J8,Prob!J8)</f>
        <v>2.730996813837051E-3</v>
      </c>
      <c r="K7" s="34">
        <f>IF(EV!K8&lt;0,-Prob!K8,Prob!K8)</f>
        <v>1.0083680543398343E-2</v>
      </c>
      <c r="M7" s="340" t="s">
        <v>39</v>
      </c>
      <c r="N7" s="341"/>
      <c r="O7" s="246">
        <f>O5-O4</f>
        <v>-0.20983158852981271</v>
      </c>
      <c r="P7" s="247">
        <f>P5-P4</f>
        <v>-0.20983158852981271</v>
      </c>
      <c r="Q7" s="248"/>
      <c r="R7" s="249"/>
    </row>
    <row r="8" spans="1:19" x14ac:dyDescent="0.2">
      <c r="A8" s="45">
        <v>11</v>
      </c>
      <c r="B8" s="34">
        <f>IF(EV!B9&lt;0,-Prob!B9,Prob!B9)</f>
        <v>2.5209201358495858E-3</v>
      </c>
      <c r="C8" s="34">
        <f>IF(EV!C9&lt;0,-Prob!C9,Prob!C9)</f>
        <v>3.6413290851160683E-3</v>
      </c>
      <c r="D8" s="34">
        <f>IF(EV!D9&lt;0,-Prob!D9,Prob!D9)</f>
        <v>3.6413290851160683E-3</v>
      </c>
      <c r="E8" s="34">
        <f>IF(EV!E9&lt;0,-Prob!E9,Prob!E9)</f>
        <v>3.6413290851160683E-3</v>
      </c>
      <c r="F8" s="34">
        <f>IF(EV!F9&lt;0,-Prob!F9,Prob!F9)</f>
        <v>3.6413290851160683E-3</v>
      </c>
      <c r="G8" s="34">
        <f>IF(EV!G9&lt;0,-Prob!G9,Prob!G9)</f>
        <v>3.6413290851160683E-3</v>
      </c>
      <c r="H8" s="34">
        <f>IF(EV!H9&lt;0,-Prob!H9,Prob!H9)</f>
        <v>3.6413290851160683E-3</v>
      </c>
      <c r="I8" s="34">
        <f>IF(EV!I9&lt;0,-Prob!I9,Prob!I9)</f>
        <v>3.6413290851160683E-3</v>
      </c>
      <c r="J8" s="34">
        <f>IF(EV!J9&lt;0,-Prob!J9,Prob!J9)</f>
        <v>3.6413290851160683E-3</v>
      </c>
      <c r="K8" s="34">
        <f>IF(EV!K9&lt;0,-Prob!K9,Prob!K9)</f>
        <v>1.3444907391197792E-2</v>
      </c>
    </row>
    <row r="9" spans="1:19" x14ac:dyDescent="0.2">
      <c r="A9" s="45">
        <v>12</v>
      </c>
      <c r="B9" s="34">
        <f>IF(EV!B10&lt;0,-Prob!B10,Prob!B10)</f>
        <v>-4.4116102377367745E-3</v>
      </c>
      <c r="C9" s="34">
        <f>IF(EV!C10&lt;0,-Prob!C10,Prob!C10)</f>
        <v>-6.3723258989531193E-3</v>
      </c>
      <c r="D9" s="34">
        <f>IF(EV!D10&lt;0,-Prob!D10,Prob!D10)</f>
        <v>-6.3723258989531193E-3</v>
      </c>
      <c r="E9" s="34">
        <f>IF(EV!E10&lt;0,-Prob!E10,Prob!E10)</f>
        <v>-6.3723258989531193E-3</v>
      </c>
      <c r="F9" s="34">
        <f>IF(EV!F10&lt;0,-Prob!F10,Prob!F10)</f>
        <v>-6.3723258989531193E-3</v>
      </c>
      <c r="G9" s="34">
        <f>IF(EV!G10&lt;0,-Prob!G10,Prob!G10)</f>
        <v>-6.3723258989531193E-3</v>
      </c>
      <c r="H9" s="34">
        <f>IF(EV!H10&lt;0,-Prob!H10,Prob!H10)</f>
        <v>-6.3723258989531193E-3</v>
      </c>
      <c r="I9" s="34">
        <f>IF(EV!I10&lt;0,-Prob!I10,Prob!I10)</f>
        <v>-6.3723258989531193E-3</v>
      </c>
      <c r="J9" s="34">
        <f>IF(EV!J10&lt;0,-Prob!J10,Prob!J10)</f>
        <v>-6.3723258989531193E-3</v>
      </c>
      <c r="K9" s="34">
        <f>IF(EV!K10&lt;0,-Prob!K10,Prob!K10)</f>
        <v>-2.3528587934596133E-2</v>
      </c>
    </row>
    <row r="10" spans="1:19" x14ac:dyDescent="0.2">
      <c r="A10" s="45">
        <v>13</v>
      </c>
      <c r="B10" s="34">
        <f>IF(EV!B11&lt;0,-Prob!B11,Prob!B11)</f>
        <v>-4.4116102377367745E-3</v>
      </c>
      <c r="C10" s="34">
        <f>IF(EV!C11&lt;0,-Prob!C11,Prob!C11)</f>
        <v>-6.3723258989531193E-3</v>
      </c>
      <c r="D10" s="34">
        <f>IF(EV!D11&lt;0,-Prob!D11,Prob!D11)</f>
        <v>-6.3723258989531193E-3</v>
      </c>
      <c r="E10" s="34">
        <f>IF(EV!E11&lt;0,-Prob!E11,Prob!E11)</f>
        <v>-6.3723258989531193E-3</v>
      </c>
      <c r="F10" s="34">
        <f>IF(EV!F11&lt;0,-Prob!F11,Prob!F11)</f>
        <v>-6.3723258989531193E-3</v>
      </c>
      <c r="G10" s="34">
        <f>IF(EV!G11&lt;0,-Prob!G11,Prob!G11)</f>
        <v>-6.3723258989531193E-3</v>
      </c>
      <c r="H10" s="34">
        <f>IF(EV!H11&lt;0,-Prob!H11,Prob!H11)</f>
        <v>-6.3723258989531193E-3</v>
      </c>
      <c r="I10" s="34">
        <f>IF(EV!I11&lt;0,-Prob!I11,Prob!I11)</f>
        <v>-6.3723258989531193E-3</v>
      </c>
      <c r="J10" s="34">
        <f>IF(EV!J11&lt;0,-Prob!J11,Prob!J11)</f>
        <v>-6.3723258989531193E-3</v>
      </c>
      <c r="K10" s="34">
        <f>IF(EV!K11&lt;0,-Prob!K11,Prob!K11)</f>
        <v>-2.3528587934596133E-2</v>
      </c>
    </row>
    <row r="11" spans="1:19" ht="16" thickBot="1" x14ac:dyDescent="0.25">
      <c r="A11" s="45">
        <v>14</v>
      </c>
      <c r="B11" s="34">
        <f>IF(EV!B12&lt;0,-Prob!B12,Prob!B12)</f>
        <v>-3.781380203774378E-3</v>
      </c>
      <c r="C11" s="34">
        <f>IF(EV!C12&lt;0,-Prob!C12,Prob!C12)</f>
        <v>-5.461993627674102E-3</v>
      </c>
      <c r="D11" s="34">
        <f>IF(EV!D12&lt;0,-Prob!D12,Prob!D12)</f>
        <v>-5.461993627674102E-3</v>
      </c>
      <c r="E11" s="34">
        <f>IF(EV!E12&lt;0,-Prob!E12,Prob!E12)</f>
        <v>-5.461993627674102E-3</v>
      </c>
      <c r="F11" s="34">
        <f>IF(EV!F12&lt;0,-Prob!F12,Prob!F12)</f>
        <v>-5.461993627674102E-3</v>
      </c>
      <c r="G11" s="34">
        <f>IF(EV!G12&lt;0,-Prob!G12,Prob!G12)</f>
        <v>-5.461993627674102E-3</v>
      </c>
      <c r="H11" s="34">
        <f>IF(EV!H12&lt;0,-Prob!H12,Prob!H12)</f>
        <v>-5.461993627674102E-3</v>
      </c>
      <c r="I11" s="34">
        <f>IF(EV!I12&lt;0,-Prob!I12,Prob!I12)</f>
        <v>-5.461993627674102E-3</v>
      </c>
      <c r="J11" s="34">
        <f>IF(EV!J12&lt;0,-Prob!J12,Prob!J12)</f>
        <v>-5.461993627674102E-3</v>
      </c>
      <c r="K11" s="34">
        <f>IF(EV!K12&lt;0,-Prob!K12,Prob!K12)</f>
        <v>-2.0167361086796686E-2</v>
      </c>
    </row>
    <row r="12" spans="1:19" ht="16.5" customHeight="1" thickBot="1" x14ac:dyDescent="0.25">
      <c r="A12" s="45">
        <v>15</v>
      </c>
      <c r="B12" s="34">
        <f>IF(EV!B13&lt;0,-Prob!B13,Prob!B13)</f>
        <v>-3.781380203774378E-3</v>
      </c>
      <c r="C12" s="34">
        <f>IF(EV!C13&lt;0,-Prob!C13,Prob!C13)</f>
        <v>-5.461993627674102E-3</v>
      </c>
      <c r="D12" s="34">
        <f>IF(EV!D13&lt;0,-Prob!D13,Prob!D13)</f>
        <v>-5.461993627674102E-3</v>
      </c>
      <c r="E12" s="34">
        <f>IF(EV!E13&lt;0,-Prob!E13,Prob!E13)</f>
        <v>-5.461993627674102E-3</v>
      </c>
      <c r="F12" s="34">
        <f>IF(EV!F13&lt;0,-Prob!F13,Prob!F13)</f>
        <v>-5.461993627674102E-3</v>
      </c>
      <c r="G12" s="34">
        <f>IF(EV!G13&lt;0,-Prob!G13,Prob!G13)</f>
        <v>-5.461993627674102E-3</v>
      </c>
      <c r="H12" s="34">
        <f>IF(EV!H13&lt;0,-Prob!H13,Prob!H13)</f>
        <v>-5.461993627674102E-3</v>
      </c>
      <c r="I12" s="34">
        <f>IF(EV!I13&lt;0,-Prob!I13,Prob!I13)</f>
        <v>-5.461993627674102E-3</v>
      </c>
      <c r="J12" s="34">
        <f>IF(EV!J13&lt;0,-Prob!J13,Prob!J13)</f>
        <v>-5.461993627674102E-3</v>
      </c>
      <c r="K12" s="34">
        <f>IF(EV!K13&lt;0,-Prob!K13,Prob!K13)</f>
        <v>-2.0167361086796686E-2</v>
      </c>
      <c r="M12" s="345" t="s">
        <v>181</v>
      </c>
      <c r="N12" s="346"/>
      <c r="O12" s="346"/>
      <c r="P12" s="346"/>
      <c r="Q12" s="346"/>
      <c r="R12" s="346"/>
      <c r="S12" s="347"/>
    </row>
    <row r="13" spans="1:19" ht="16" thickBot="1" x14ac:dyDescent="0.25">
      <c r="A13" s="45">
        <v>16</v>
      </c>
      <c r="B13" s="34">
        <f>IF(EV!B14&lt;0,-Prob!B14,Prob!B14)</f>
        <v>-3.1511501698119814E-3</v>
      </c>
      <c r="C13" s="34">
        <f>IF(EV!C14&lt;0,-Prob!C14,Prob!C14)</f>
        <v>-4.5516613563950847E-3</v>
      </c>
      <c r="D13" s="34">
        <f>IF(EV!D14&lt;0,-Prob!D14,Prob!D14)</f>
        <v>-4.5516613563950847E-3</v>
      </c>
      <c r="E13" s="34">
        <f>IF(EV!E14&lt;0,-Prob!E14,Prob!E14)</f>
        <v>-4.5516613563950847E-3</v>
      </c>
      <c r="F13" s="34">
        <f>IF(EV!F14&lt;0,-Prob!F14,Prob!F14)</f>
        <v>-4.5516613563950847E-3</v>
      </c>
      <c r="G13" s="34">
        <f>IF(EV!G14&lt;0,-Prob!G14,Prob!G14)</f>
        <v>-4.5516613563950847E-3</v>
      </c>
      <c r="H13" s="34">
        <f>IF(EV!H14&lt;0,-Prob!H14,Prob!H14)</f>
        <v>-4.5516613563950847E-3</v>
      </c>
      <c r="I13" s="34">
        <f>IF(EV!I14&lt;0,-Prob!I14,Prob!I14)</f>
        <v>-4.5516613563950847E-3</v>
      </c>
      <c r="J13" s="34">
        <f>IF(EV!J14&lt;0,-Prob!J14,Prob!J14)</f>
        <v>-4.5516613563950847E-3</v>
      </c>
      <c r="K13" s="34">
        <f>IF(EV!K14&lt;0,-Prob!K14,Prob!K14)</f>
        <v>-1.6806134238997236E-2</v>
      </c>
      <c r="M13" s="275" t="s">
        <v>19</v>
      </c>
      <c r="N13" s="203">
        <f>P13+R13</f>
        <v>-6.9023663911402522E-3</v>
      </c>
      <c r="O13" s="271" t="s">
        <v>46</v>
      </c>
      <c r="P13" s="276">
        <f>EV!L43</f>
        <v>0.19709025873502301</v>
      </c>
      <c r="Q13" s="271" t="s">
        <v>182</v>
      </c>
      <c r="R13" s="203">
        <f>EV!L44</f>
        <v>-0.20399262512616326</v>
      </c>
      <c r="S13" s="219"/>
    </row>
    <row r="14" spans="1:19" ht="16" thickBot="1" x14ac:dyDescent="0.25">
      <c r="A14" s="45">
        <v>17</v>
      </c>
      <c r="B14" s="34">
        <f>IF(EV!B15&lt;0,-Prob!B15,Prob!B15)</f>
        <v>-3.1511501698119814E-3</v>
      </c>
      <c r="C14" s="34">
        <f>IF(EV!C15&lt;0,-Prob!C15,Prob!C15)</f>
        <v>-4.5516613563950847E-3</v>
      </c>
      <c r="D14" s="34">
        <f>IF(EV!D15&lt;0,-Prob!D15,Prob!D15)</f>
        <v>-4.5516613563950847E-3</v>
      </c>
      <c r="E14" s="34">
        <f>IF(EV!E15&lt;0,-Prob!E15,Prob!E15)</f>
        <v>-4.5516613563950847E-3</v>
      </c>
      <c r="F14" s="34">
        <f>IF(EV!F15&lt;0,-Prob!F15,Prob!F15)</f>
        <v>-4.5516613563950847E-3</v>
      </c>
      <c r="G14" s="34">
        <f>IF(EV!G15&lt;0,-Prob!G15,Prob!G15)</f>
        <v>4.5516613563950847E-3</v>
      </c>
      <c r="H14" s="34">
        <f>IF(EV!H15&lt;0,-Prob!H15,Prob!H15)</f>
        <v>-4.5516613563950847E-3</v>
      </c>
      <c r="I14" s="34">
        <f>IF(EV!I15&lt;0,-Prob!I15,Prob!I15)</f>
        <v>-4.5516613563950847E-3</v>
      </c>
      <c r="J14" s="34">
        <f>IF(EV!J15&lt;0,-Prob!J15,Prob!J15)</f>
        <v>-4.5516613563950847E-3</v>
      </c>
      <c r="K14" s="34">
        <f>IF(EV!K15&lt;0,-Prob!K15,Prob!K15)</f>
        <v>-1.6806134238997236E-2</v>
      </c>
      <c r="M14" s="201"/>
      <c r="N14" s="204"/>
      <c r="O14" s="273" t="s">
        <v>47</v>
      </c>
      <c r="P14" s="199">
        <f>ER!N3</f>
        <v>62.077481052812416</v>
      </c>
      <c r="Q14" s="273" t="s">
        <v>155</v>
      </c>
      <c r="R14" s="200">
        <f>ER!N4</f>
        <v>-37.163587739836025</v>
      </c>
      <c r="S14" s="274" t="s">
        <v>2</v>
      </c>
    </row>
    <row r="15" spans="1:19" ht="16" thickBot="1" x14ac:dyDescent="0.25">
      <c r="A15" s="45">
        <v>18</v>
      </c>
      <c r="B15" s="34">
        <f>IF(EV!B16&lt;0,-Prob!B16,Prob!B16)</f>
        <v>-2.5209201358495853E-3</v>
      </c>
      <c r="C15" s="34">
        <f>IF(EV!C16&lt;0,-Prob!C16,Prob!C16)</f>
        <v>3.6413290851160678E-3</v>
      </c>
      <c r="D15" s="34">
        <f>IF(EV!D16&lt;0,-Prob!D16,Prob!D16)</f>
        <v>3.6413290851160678E-3</v>
      </c>
      <c r="E15" s="34">
        <f>IF(EV!E16&lt;0,-Prob!E16,Prob!E16)</f>
        <v>3.6413290851160678E-3</v>
      </c>
      <c r="F15" s="34">
        <f>IF(EV!F16&lt;0,-Prob!F16,Prob!F16)</f>
        <v>3.6413290851160678E-3</v>
      </c>
      <c r="G15" s="34">
        <f>IF(EV!G16&lt;0,-Prob!G16,Prob!G16)</f>
        <v>3.6413290851160678E-3</v>
      </c>
      <c r="H15" s="34">
        <f>IF(EV!H16&lt;0,-Prob!H16,Prob!H16)</f>
        <v>3.6413290851160678E-3</v>
      </c>
      <c r="I15" s="34">
        <f>IF(EV!I16&lt;0,-Prob!I16,Prob!I16)</f>
        <v>3.6413290851160678E-3</v>
      </c>
      <c r="J15" s="34">
        <f>IF(EV!J16&lt;0,-Prob!J16,Prob!J16)</f>
        <v>-3.6413290851160678E-3</v>
      </c>
      <c r="K15" s="34">
        <f>IF(EV!K16&lt;0,-Prob!K16,Prob!K16)</f>
        <v>-1.344490739119779E-2</v>
      </c>
      <c r="M15" s="196"/>
      <c r="N15" s="205"/>
      <c r="O15" s="272" t="s">
        <v>41</v>
      </c>
      <c r="P15" s="269">
        <f>(N13-R14)/(P14-R14)</f>
        <v>0.37440835558793756</v>
      </c>
      <c r="Q15" s="272" t="s">
        <v>42</v>
      </c>
      <c r="R15" s="267">
        <f>(N13-P14)/(R14-P14)</f>
        <v>0.6255916444120625</v>
      </c>
      <c r="S15" s="224">
        <f>P15+R15</f>
        <v>1</v>
      </c>
    </row>
    <row r="16" spans="1:19" ht="16" thickBot="1" x14ac:dyDescent="0.25">
      <c r="A16" s="45">
        <v>19</v>
      </c>
      <c r="B16" s="34">
        <f>IF(EV!B17&lt;0,-Prob!B17,Prob!B17)</f>
        <v>2.5209201358495853E-3</v>
      </c>
      <c r="C16" s="34">
        <f>IF(EV!C17&lt;0,-Prob!C17,Prob!C17)</f>
        <v>3.6413290851160678E-3</v>
      </c>
      <c r="D16" s="34">
        <f>IF(EV!D17&lt;0,-Prob!D17,Prob!D17)</f>
        <v>3.6413290851160678E-3</v>
      </c>
      <c r="E16" s="34">
        <f>IF(EV!E17&lt;0,-Prob!E17,Prob!E17)</f>
        <v>3.6413290851160678E-3</v>
      </c>
      <c r="F16" s="34">
        <f>IF(EV!F17&lt;0,-Prob!F17,Prob!F17)</f>
        <v>3.6413290851160678E-3</v>
      </c>
      <c r="G16" s="34">
        <f>IF(EV!G17&lt;0,-Prob!G17,Prob!G17)</f>
        <v>3.6413290851160678E-3</v>
      </c>
      <c r="H16" s="34">
        <f>IF(EV!H17&lt;0,-Prob!H17,Prob!H17)</f>
        <v>3.6413290851160678E-3</v>
      </c>
      <c r="I16" s="34">
        <f>IF(EV!I17&lt;0,-Prob!I17,Prob!I17)</f>
        <v>3.6413290851160678E-3</v>
      </c>
      <c r="J16" s="34">
        <f>IF(EV!J17&lt;0,-Prob!J17,Prob!J17)</f>
        <v>3.6413290851160678E-3</v>
      </c>
      <c r="K16" s="34">
        <f>IF(EV!K17&lt;0,-Prob!K17,Prob!K17)</f>
        <v>1.344490739119779E-2</v>
      </c>
      <c r="M16" s="197"/>
      <c r="N16" s="206"/>
      <c r="O16" s="271" t="s">
        <v>41</v>
      </c>
      <c r="P16" s="270">
        <f>P15</f>
        <v>0.37440835558793756</v>
      </c>
      <c r="Q16" s="271" t="s">
        <v>42</v>
      </c>
      <c r="R16" s="268">
        <f>R15</f>
        <v>0.6255916444120625</v>
      </c>
      <c r="S16" s="225">
        <f>P16+R16</f>
        <v>1</v>
      </c>
    </row>
    <row r="17" spans="1:17" x14ac:dyDescent="0.2">
      <c r="A17" s="45" t="s">
        <v>4</v>
      </c>
      <c r="B17" s="32" t="s">
        <v>1</v>
      </c>
      <c r="C17" s="35">
        <v>2</v>
      </c>
      <c r="D17" s="35">
        <v>3</v>
      </c>
      <c r="E17" s="35">
        <v>4</v>
      </c>
      <c r="F17" s="35">
        <v>5</v>
      </c>
      <c r="G17" s="35">
        <v>6</v>
      </c>
      <c r="H17" s="35">
        <v>7</v>
      </c>
      <c r="I17" s="35">
        <v>8</v>
      </c>
      <c r="J17" s="35">
        <v>9</v>
      </c>
      <c r="K17" s="47">
        <v>10</v>
      </c>
    </row>
    <row r="18" spans="1:17" x14ac:dyDescent="0.2">
      <c r="A18" s="45">
        <v>13</v>
      </c>
      <c r="B18" s="34">
        <f>IF(EV!B19&lt;0,-Prob!B19,Prob!B19)</f>
        <v>-6.3023003396239633E-4</v>
      </c>
      <c r="C18" s="34">
        <f>IF(EV!C19&lt;0,-Prob!C19,Prob!C19)</f>
        <v>9.1033227127901696E-4</v>
      </c>
      <c r="D18" s="34">
        <f>IF(EV!D19&lt;0,-Prob!D19,Prob!D19)</f>
        <v>9.1033227127901696E-4</v>
      </c>
      <c r="E18" s="34">
        <f>IF(EV!E19&lt;0,-Prob!E19,Prob!E19)</f>
        <v>9.1033227127901696E-4</v>
      </c>
      <c r="F18" s="34">
        <f>IF(EV!F19&lt;0,-Prob!F19,Prob!F19)</f>
        <v>9.1033227127901696E-4</v>
      </c>
      <c r="G18" s="34">
        <f>IF(EV!G19&lt;0,-Prob!G19,Prob!G19)</f>
        <v>9.1033227127901696E-4</v>
      </c>
      <c r="H18" s="34">
        <f>IF(EV!H19&lt;0,-Prob!H19,Prob!H19)</f>
        <v>9.1033227127901696E-4</v>
      </c>
      <c r="I18" s="34">
        <f>IF(EV!I19&lt;0,-Prob!I19,Prob!I19)</f>
        <v>9.1033227127901696E-4</v>
      </c>
      <c r="J18" s="34">
        <f>IF(EV!J19&lt;0,-Prob!J19,Prob!J19)</f>
        <v>-9.1033227127901696E-4</v>
      </c>
      <c r="K18" s="34">
        <f>IF(EV!K19&lt;0,-Prob!K19,Prob!K19)</f>
        <v>-3.3612268477994475E-3</v>
      </c>
      <c r="Q18" s="195"/>
    </row>
    <row r="19" spans="1:17" x14ac:dyDescent="0.2">
      <c r="A19" s="45">
        <v>14</v>
      </c>
      <c r="B19" s="34">
        <f>IF(EV!B20&lt;0,-Prob!B20,Prob!B20)</f>
        <v>-6.3023003396239633E-4</v>
      </c>
      <c r="C19" s="34">
        <f>IF(EV!C20&lt;0,-Prob!C20,Prob!C20)</f>
        <v>9.1033227127901696E-4</v>
      </c>
      <c r="D19" s="34">
        <f>IF(EV!D20&lt;0,-Prob!D20,Prob!D20)</f>
        <v>9.1033227127901696E-4</v>
      </c>
      <c r="E19" s="34">
        <f>IF(EV!E20&lt;0,-Prob!E20,Prob!E20)</f>
        <v>9.1033227127901696E-4</v>
      </c>
      <c r="F19" s="34">
        <f>IF(EV!F20&lt;0,-Prob!F20,Prob!F20)</f>
        <v>9.1033227127901696E-4</v>
      </c>
      <c r="G19" s="34">
        <f>IF(EV!G20&lt;0,-Prob!G20,Prob!G20)</f>
        <v>9.1033227127901696E-4</v>
      </c>
      <c r="H19" s="34">
        <f>IF(EV!H20&lt;0,-Prob!H20,Prob!H20)</f>
        <v>9.1033227127901696E-4</v>
      </c>
      <c r="I19" s="34">
        <f>IF(EV!I20&lt;0,-Prob!I20,Prob!I20)</f>
        <v>9.1033227127901696E-4</v>
      </c>
      <c r="J19" s="34">
        <f>IF(EV!J20&lt;0,-Prob!J20,Prob!J20)</f>
        <v>-9.1033227127901696E-4</v>
      </c>
      <c r="K19" s="34">
        <f>IF(EV!K20&lt;0,-Prob!K20,Prob!K20)</f>
        <v>-3.3612268477994475E-3</v>
      </c>
    </row>
    <row r="20" spans="1:17" x14ac:dyDescent="0.2">
      <c r="A20" s="45">
        <v>15</v>
      </c>
      <c r="B20" s="34">
        <f>IF(EV!B21&lt;0,-Prob!B21,Prob!B21)</f>
        <v>-6.3023003396239633E-4</v>
      </c>
      <c r="C20" s="34">
        <f>IF(EV!C21&lt;0,-Prob!C21,Prob!C21)</f>
        <v>-9.1033227127901696E-4</v>
      </c>
      <c r="D20" s="34">
        <f>IF(EV!D21&lt;0,-Prob!D21,Prob!D21)</f>
        <v>9.1033227127901696E-4</v>
      </c>
      <c r="E20" s="34">
        <f>IF(EV!E21&lt;0,-Prob!E21,Prob!E21)</f>
        <v>9.1033227127901696E-4</v>
      </c>
      <c r="F20" s="34">
        <f>IF(EV!F21&lt;0,-Prob!F21,Prob!F21)</f>
        <v>9.1033227127901696E-4</v>
      </c>
      <c r="G20" s="34">
        <f>IF(EV!G21&lt;0,-Prob!G21,Prob!G21)</f>
        <v>9.1033227127901696E-4</v>
      </c>
      <c r="H20" s="34">
        <f>IF(EV!H21&lt;0,-Prob!H21,Prob!H21)</f>
        <v>9.1033227127901696E-4</v>
      </c>
      <c r="I20" s="34">
        <f>IF(EV!I21&lt;0,-Prob!I21,Prob!I21)</f>
        <v>-9.1033227127901696E-4</v>
      </c>
      <c r="J20" s="34">
        <f>IF(EV!J21&lt;0,-Prob!J21,Prob!J21)</f>
        <v>-9.1033227127901696E-4</v>
      </c>
      <c r="K20" s="34">
        <f>IF(EV!K21&lt;0,-Prob!K21,Prob!K21)</f>
        <v>-3.3612268477994475E-3</v>
      </c>
    </row>
    <row r="21" spans="1:17" x14ac:dyDescent="0.2">
      <c r="A21" s="45">
        <v>16</v>
      </c>
      <c r="B21" s="34">
        <f>IF(EV!B22&lt;0,-Prob!B22,Prob!B22)</f>
        <v>-6.3023003396239633E-4</v>
      </c>
      <c r="C21" s="34">
        <f>IF(EV!C22&lt;0,-Prob!C22,Prob!C22)</f>
        <v>-9.1033227127901696E-4</v>
      </c>
      <c r="D21" s="34">
        <f>IF(EV!D22&lt;0,-Prob!D22,Prob!D22)</f>
        <v>9.1033227127901696E-4</v>
      </c>
      <c r="E21" s="34">
        <f>IF(EV!E22&lt;0,-Prob!E22,Prob!E22)</f>
        <v>9.1033227127901696E-4</v>
      </c>
      <c r="F21" s="34">
        <f>IF(EV!F22&lt;0,-Prob!F22,Prob!F22)</f>
        <v>9.1033227127901696E-4</v>
      </c>
      <c r="G21" s="34">
        <f>IF(EV!G22&lt;0,-Prob!G22,Prob!G22)</f>
        <v>9.1033227127901696E-4</v>
      </c>
      <c r="H21" s="34">
        <f>IF(EV!H22&lt;0,-Prob!H22,Prob!H22)</f>
        <v>-9.1033227127901696E-4</v>
      </c>
      <c r="I21" s="34">
        <f>IF(EV!I22&lt;0,-Prob!I22,Prob!I22)</f>
        <v>-9.1033227127901696E-4</v>
      </c>
      <c r="J21" s="34">
        <f>IF(EV!J22&lt;0,-Prob!J22,Prob!J22)</f>
        <v>-9.1033227127901696E-4</v>
      </c>
      <c r="K21" s="34">
        <f>IF(EV!K22&lt;0,-Prob!K22,Prob!K22)</f>
        <v>-3.3612268477994475E-3</v>
      </c>
    </row>
    <row r="22" spans="1:17" x14ac:dyDescent="0.2">
      <c r="A22" s="45">
        <v>17</v>
      </c>
      <c r="B22" s="34">
        <f>IF(EV!B23&lt;0,-Prob!B23,Prob!B23)</f>
        <v>-6.3023003396239633E-4</v>
      </c>
      <c r="C22" s="34">
        <f>IF(EV!C23&lt;0,-Prob!C23,Prob!C23)</f>
        <v>-9.1033227127901696E-4</v>
      </c>
      <c r="D22" s="34">
        <f>IF(EV!D23&lt;0,-Prob!D23,Prob!D23)</f>
        <v>9.1033227127901696E-4</v>
      </c>
      <c r="E22" s="34">
        <f>IF(EV!E23&lt;0,-Prob!E23,Prob!E23)</f>
        <v>9.1033227127901696E-4</v>
      </c>
      <c r="F22" s="34">
        <f>IF(EV!F23&lt;0,-Prob!F23,Prob!F23)</f>
        <v>9.1033227127901696E-4</v>
      </c>
      <c r="G22" s="34">
        <f>IF(EV!G23&lt;0,-Prob!G23,Prob!G23)</f>
        <v>9.1033227127901696E-4</v>
      </c>
      <c r="H22" s="34">
        <f>IF(EV!H23&lt;0,-Prob!H23,Prob!H23)</f>
        <v>9.1033227127901696E-4</v>
      </c>
      <c r="I22" s="34">
        <f>IF(EV!I23&lt;0,-Prob!I23,Prob!I23)</f>
        <v>-9.1033227127901696E-4</v>
      </c>
      <c r="J22" s="34">
        <f>IF(EV!J23&lt;0,-Prob!J23,Prob!J23)</f>
        <v>-9.1033227127901696E-4</v>
      </c>
      <c r="K22" s="34">
        <f>IF(EV!K23&lt;0,-Prob!K23,Prob!K23)</f>
        <v>-3.3612268477994475E-3</v>
      </c>
    </row>
    <row r="23" spans="1:17" x14ac:dyDescent="0.2">
      <c r="A23" s="45">
        <v>18</v>
      </c>
      <c r="B23" s="34">
        <f>IF(EV!B24&lt;0,-Prob!B24,Prob!B24)</f>
        <v>-6.3023003396239633E-4</v>
      </c>
      <c r="C23" s="34">
        <f>IF(EV!C24&lt;0,-Prob!C24,Prob!C24)</f>
        <v>9.1033227127901696E-4</v>
      </c>
      <c r="D23" s="34">
        <f>IF(EV!D24&lt;0,-Prob!D24,Prob!D24)</f>
        <v>9.1033227127901696E-4</v>
      </c>
      <c r="E23" s="34">
        <f>IF(EV!E24&lt;0,-Prob!E24,Prob!E24)</f>
        <v>9.1033227127901696E-4</v>
      </c>
      <c r="F23" s="34">
        <f>IF(EV!F24&lt;0,-Prob!F24,Prob!F24)</f>
        <v>9.1033227127901696E-4</v>
      </c>
      <c r="G23" s="34">
        <f>IF(EV!G24&lt;0,-Prob!G24,Prob!G24)</f>
        <v>9.1033227127901696E-4</v>
      </c>
      <c r="H23" s="34">
        <f>IF(EV!H24&lt;0,-Prob!H24,Prob!H24)</f>
        <v>9.1033227127901696E-4</v>
      </c>
      <c r="I23" s="34">
        <f>IF(EV!I24&lt;0,-Prob!I24,Prob!I24)</f>
        <v>9.1033227127901696E-4</v>
      </c>
      <c r="J23" s="34">
        <f>IF(EV!J24&lt;0,-Prob!J24,Prob!J24)</f>
        <v>-9.1033227127901696E-4</v>
      </c>
      <c r="K23" s="34">
        <f>IF(EV!K24&lt;0,-Prob!K24,Prob!K24)</f>
        <v>-3.3612268477994475E-3</v>
      </c>
    </row>
    <row r="24" spans="1:17" x14ac:dyDescent="0.2">
      <c r="A24" s="45">
        <v>19</v>
      </c>
      <c r="B24" s="34">
        <f>IF(EV!B25&lt;0,-Prob!B25,Prob!B25)</f>
        <v>6.3023003396239633E-4</v>
      </c>
      <c r="C24" s="34">
        <f>IF(EV!C25&lt;0,-Prob!C25,Prob!C25)</f>
        <v>9.1033227127901696E-4</v>
      </c>
      <c r="D24" s="34">
        <f>IF(EV!D25&lt;0,-Prob!D25,Prob!D25)</f>
        <v>9.1033227127901696E-4</v>
      </c>
      <c r="E24" s="34">
        <f>IF(EV!E25&lt;0,-Prob!E25,Prob!E25)</f>
        <v>9.1033227127901696E-4</v>
      </c>
      <c r="F24" s="34">
        <f>IF(EV!F25&lt;0,-Prob!F25,Prob!F25)</f>
        <v>9.1033227127901696E-4</v>
      </c>
      <c r="G24" s="34">
        <f>IF(EV!G25&lt;0,-Prob!G25,Prob!G25)</f>
        <v>9.1033227127901696E-4</v>
      </c>
      <c r="H24" s="34">
        <f>IF(EV!H25&lt;0,-Prob!H25,Prob!H25)</f>
        <v>9.1033227127901696E-4</v>
      </c>
      <c r="I24" s="34">
        <f>IF(EV!I25&lt;0,-Prob!I25,Prob!I25)</f>
        <v>9.1033227127901696E-4</v>
      </c>
      <c r="J24" s="34">
        <f>IF(EV!J25&lt;0,-Prob!J25,Prob!J25)</f>
        <v>9.1033227127901696E-4</v>
      </c>
      <c r="K24" s="34">
        <f>IF(EV!K25&lt;0,-Prob!K25,Prob!K25)</f>
        <v>3.3612268477994475E-3</v>
      </c>
    </row>
    <row r="25" spans="1:17" x14ac:dyDescent="0.2">
      <c r="A25" s="45">
        <v>20</v>
      </c>
      <c r="B25" s="34">
        <f>IF(EV!B26&lt;0,-Prob!B26,Prob!B26)</f>
        <v>6.3023003396239633E-4</v>
      </c>
      <c r="C25" s="34">
        <f>IF(EV!C26&lt;0,-Prob!C26,Prob!C26)</f>
        <v>9.1033227127901696E-4</v>
      </c>
      <c r="D25" s="34">
        <f>IF(EV!D26&lt;0,-Prob!D26,Prob!D26)</f>
        <v>9.1033227127901696E-4</v>
      </c>
      <c r="E25" s="34">
        <f>IF(EV!E26&lt;0,-Prob!E26,Prob!E26)</f>
        <v>9.1033227127901696E-4</v>
      </c>
      <c r="F25" s="34">
        <f>IF(EV!F26&lt;0,-Prob!F26,Prob!F26)</f>
        <v>9.1033227127901696E-4</v>
      </c>
      <c r="G25" s="34">
        <f>IF(EV!G26&lt;0,-Prob!G26,Prob!G26)</f>
        <v>9.1033227127901696E-4</v>
      </c>
      <c r="H25" s="34">
        <f>IF(EV!H26&lt;0,-Prob!H26,Prob!H26)</f>
        <v>9.1033227127901696E-4</v>
      </c>
      <c r="I25" s="34">
        <f>IF(EV!I26&lt;0,-Prob!I26,Prob!I26)</f>
        <v>9.1033227127901696E-4</v>
      </c>
      <c r="J25" s="34">
        <f>IF(EV!J26&lt;0,-Prob!J26,Prob!J26)</f>
        <v>9.1033227127901696E-4</v>
      </c>
      <c r="K25" s="34">
        <f>IF(EV!K26&lt;0,-Prob!K26,Prob!K26)</f>
        <v>3.3612268477994475E-3</v>
      </c>
    </row>
    <row r="26" spans="1:17" x14ac:dyDescent="0.2">
      <c r="A26" s="45">
        <v>21</v>
      </c>
      <c r="B26" s="34">
        <f>IF(EV!B27&lt;0,-Prob!B27,Prob!B27)</f>
        <v>2.5209201358495853E-3</v>
      </c>
      <c r="C26" s="34">
        <f>IF(EV!C27&lt;0,-Prob!C27,Prob!C27)</f>
        <v>3.6413290851160678E-3</v>
      </c>
      <c r="D26" s="34">
        <f>IF(EV!D27&lt;0,-Prob!D27,Prob!D27)</f>
        <v>3.6413290851160678E-3</v>
      </c>
      <c r="E26" s="34">
        <f>IF(EV!E27&lt;0,-Prob!E27,Prob!E27)</f>
        <v>3.6413290851160678E-3</v>
      </c>
      <c r="F26" s="34">
        <f>IF(EV!F27&lt;0,-Prob!F27,Prob!F27)</f>
        <v>3.6413290851160678E-3</v>
      </c>
      <c r="G26" s="34">
        <f>IF(EV!G27&lt;0,-Prob!G27,Prob!G27)</f>
        <v>3.6413290851160678E-3</v>
      </c>
      <c r="H26" s="34">
        <f>IF(EV!H27&lt;0,-Prob!H27,Prob!H27)</f>
        <v>3.6413290851160678E-3</v>
      </c>
      <c r="I26" s="34">
        <f>IF(EV!I27&lt;0,-Prob!I27,Prob!I27)</f>
        <v>3.6413290851160678E-3</v>
      </c>
      <c r="J26" s="34">
        <f>IF(EV!J27&lt;0,-Prob!J27,Prob!J27)</f>
        <v>3.6413290851160678E-3</v>
      </c>
      <c r="K26" s="34">
        <f>IF(EV!K27&lt;0,-Prob!K27,Prob!K27)</f>
        <v>1.344490739119779E-2</v>
      </c>
    </row>
    <row r="27" spans="1:17" x14ac:dyDescent="0.2">
      <c r="A27" s="45" t="s">
        <v>10</v>
      </c>
      <c r="B27" s="32" t="s">
        <v>1</v>
      </c>
      <c r="C27" s="35">
        <v>2</v>
      </c>
      <c r="D27" s="35">
        <v>3</v>
      </c>
      <c r="E27" s="35">
        <v>4</v>
      </c>
      <c r="F27" s="35">
        <v>5</v>
      </c>
      <c r="G27" s="35">
        <v>6</v>
      </c>
      <c r="H27" s="35">
        <v>7</v>
      </c>
      <c r="I27" s="35">
        <v>8</v>
      </c>
      <c r="J27" s="35">
        <v>9</v>
      </c>
      <c r="K27" s="47">
        <v>10</v>
      </c>
    </row>
    <row r="28" spans="1:17" x14ac:dyDescent="0.2">
      <c r="A28" s="45" t="s">
        <v>1</v>
      </c>
      <c r="B28" s="34">
        <f>IF(EV!B29&lt;0,-Prob!B29,Prob!B29)</f>
        <v>3.1511501698119817E-4</v>
      </c>
      <c r="C28" s="34">
        <f>IF(EV!C29&lt;0,-Prob!C29,Prob!C29)</f>
        <v>4.5516613563950848E-4</v>
      </c>
      <c r="D28" s="34">
        <f>IF(EV!D29&lt;0,-Prob!D29,Prob!D29)</f>
        <v>4.5516613563950848E-4</v>
      </c>
      <c r="E28" s="34">
        <f>IF(EV!E29&lt;0,-Prob!E29,Prob!E29)</f>
        <v>4.5516613563950848E-4</v>
      </c>
      <c r="F28" s="34">
        <f>IF(EV!F29&lt;0,-Prob!F29,Prob!F29)</f>
        <v>4.5516613563950848E-4</v>
      </c>
      <c r="G28" s="34">
        <f>IF(EV!G29&lt;0,-Prob!G29,Prob!G29)</f>
        <v>4.5516613563950848E-4</v>
      </c>
      <c r="H28" s="34">
        <f>IF(EV!H29&lt;0,-Prob!H29,Prob!H29)</f>
        <v>4.5516613563950848E-4</v>
      </c>
      <c r="I28" s="34">
        <f>IF(EV!I29&lt;0,-Prob!I29,Prob!I29)</f>
        <v>4.5516613563950848E-4</v>
      </c>
      <c r="J28" s="34">
        <f>IF(EV!J29&lt;0,-Prob!J29,Prob!J29)</f>
        <v>4.5516613563950848E-4</v>
      </c>
      <c r="K28" s="34">
        <f>IF(EV!K29&lt;0,-Prob!K29,Prob!K29)</f>
        <v>1.6806134238997238E-3</v>
      </c>
    </row>
    <row r="29" spans="1:17" x14ac:dyDescent="0.2">
      <c r="A29" s="45">
        <v>2</v>
      </c>
      <c r="B29" s="34">
        <f>IF(EV!B30&lt;0,-Prob!B30,Prob!B30)</f>
        <v>-3.1511501698119817E-4</v>
      </c>
      <c r="C29" s="34">
        <f>IF(EV!C30&lt;0,-Prob!C30,Prob!C30)</f>
        <v>-4.5516613563950848E-4</v>
      </c>
      <c r="D29" s="34">
        <f>IF(EV!D30&lt;0,-Prob!D30,Prob!D30)</f>
        <v>-4.5516613563950848E-4</v>
      </c>
      <c r="E29" s="34">
        <f>IF(EV!E30&lt;0,-Prob!E30,Prob!E30)</f>
        <v>-4.5516613563950848E-4</v>
      </c>
      <c r="F29" s="34">
        <f>IF(EV!F30&lt;0,-Prob!F30,Prob!F30)</f>
        <v>4.5516613563950848E-4</v>
      </c>
      <c r="G29" s="34">
        <f>IF(EV!G30&lt;0,-Prob!G30,Prob!G30)</f>
        <v>4.5516613563950848E-4</v>
      </c>
      <c r="H29" s="34">
        <f>IF(EV!H30&lt;0,-Prob!H30,Prob!H30)</f>
        <v>-4.5516613563950848E-4</v>
      </c>
      <c r="I29" s="34">
        <f>IF(EV!I30&lt;0,-Prob!I30,Prob!I30)</f>
        <v>-4.5516613563950848E-4</v>
      </c>
      <c r="J29" s="34">
        <f>IF(EV!J30&lt;0,-Prob!J30,Prob!J30)</f>
        <v>-4.5516613563950848E-4</v>
      </c>
      <c r="K29" s="34">
        <f>IF(EV!K30&lt;0,-Prob!K30,Prob!K30)</f>
        <v>-1.6806134238997238E-3</v>
      </c>
    </row>
    <row r="30" spans="1:17" x14ac:dyDescent="0.2">
      <c r="A30" s="45">
        <v>3</v>
      </c>
      <c r="B30" s="34">
        <f>IF(EV!B31&lt;0,-Prob!B31,Prob!B31)</f>
        <v>-3.1511501698119817E-4</v>
      </c>
      <c r="C30" s="34">
        <f>IF(EV!C31&lt;0,-Prob!C31,Prob!C31)</f>
        <v>-4.5516613563950848E-4</v>
      </c>
      <c r="D30" s="34">
        <f>IF(EV!D31&lt;0,-Prob!D31,Prob!D31)</f>
        <v>-4.5516613563950848E-4</v>
      </c>
      <c r="E30" s="34">
        <f>IF(EV!E31&lt;0,-Prob!E31,Prob!E31)</f>
        <v>-4.5516613563950848E-4</v>
      </c>
      <c r="F30" s="34">
        <f>IF(EV!F31&lt;0,-Prob!F31,Prob!F31)</f>
        <v>4.5516613563950848E-4</v>
      </c>
      <c r="G30" s="34">
        <f>IF(EV!G31&lt;0,-Prob!G31,Prob!G31)</f>
        <v>4.5516613563950848E-4</v>
      </c>
      <c r="H30" s="34">
        <f>IF(EV!H31&lt;0,-Prob!H31,Prob!H31)</f>
        <v>-4.5516613563950848E-4</v>
      </c>
      <c r="I30" s="34">
        <f>IF(EV!I31&lt;0,-Prob!I31,Prob!I31)</f>
        <v>-4.5516613563950848E-4</v>
      </c>
      <c r="J30" s="34">
        <f>IF(EV!J31&lt;0,-Prob!J31,Prob!J31)</f>
        <v>-4.5516613563950848E-4</v>
      </c>
      <c r="K30" s="34">
        <f>IF(EV!K31&lt;0,-Prob!K31,Prob!K31)</f>
        <v>-1.6806134238997238E-3</v>
      </c>
    </row>
    <row r="31" spans="1:17" x14ac:dyDescent="0.2">
      <c r="A31" s="45">
        <v>4</v>
      </c>
      <c r="B31" s="34">
        <f>IF(EV!B32&lt;0,-Prob!B32,Prob!B32)</f>
        <v>-3.1511501698119817E-4</v>
      </c>
      <c r="C31" s="34">
        <f>IF(EV!C32&lt;0,-Prob!C32,Prob!C32)</f>
        <v>-4.5516613563950848E-4</v>
      </c>
      <c r="D31" s="34">
        <f>IF(EV!D32&lt;0,-Prob!D32,Prob!D32)</f>
        <v>4.5516613563950848E-4</v>
      </c>
      <c r="E31" s="34">
        <f>IF(EV!E32&lt;0,-Prob!E32,Prob!E32)</f>
        <v>4.5516613563950848E-4</v>
      </c>
      <c r="F31" s="34">
        <f>IF(EV!F32&lt;0,-Prob!F32,Prob!F32)</f>
        <v>4.5516613563950848E-4</v>
      </c>
      <c r="G31" s="34">
        <f>IF(EV!G32&lt;0,-Prob!G32,Prob!G32)</f>
        <v>4.5516613563950848E-4</v>
      </c>
      <c r="H31" s="34">
        <f>IF(EV!H32&lt;0,-Prob!H32,Prob!H32)</f>
        <v>4.5516613563950848E-4</v>
      </c>
      <c r="I31" s="34">
        <f>IF(EV!I32&lt;0,-Prob!I32,Prob!I32)</f>
        <v>-4.5516613563950848E-4</v>
      </c>
      <c r="J31" s="34">
        <f>IF(EV!J32&lt;0,-Prob!J32,Prob!J32)</f>
        <v>-4.5516613563950848E-4</v>
      </c>
      <c r="K31" s="34">
        <f>IF(EV!K32&lt;0,-Prob!K32,Prob!K32)</f>
        <v>-1.6806134238997238E-3</v>
      </c>
    </row>
    <row r="32" spans="1:17" x14ac:dyDescent="0.2">
      <c r="A32" s="45">
        <v>5</v>
      </c>
      <c r="B32" s="34">
        <f>IF(EV!B33&lt;0,-Prob!B33,Prob!B33)</f>
        <v>3.1511501698119817E-4</v>
      </c>
      <c r="C32" s="34">
        <f>IF(EV!C33&lt;0,-Prob!C33,Prob!C33)</f>
        <v>4.5516613563950848E-4</v>
      </c>
      <c r="D32" s="34">
        <f>IF(EV!D33&lt;0,-Prob!D33,Prob!D33)</f>
        <v>4.5516613563950848E-4</v>
      </c>
      <c r="E32" s="34">
        <f>IF(EV!E33&lt;0,-Prob!E33,Prob!E33)</f>
        <v>4.5516613563950848E-4</v>
      </c>
      <c r="F32" s="34">
        <f>IF(EV!F33&lt;0,-Prob!F33,Prob!F33)</f>
        <v>4.5516613563950848E-4</v>
      </c>
      <c r="G32" s="34">
        <f>IF(EV!G33&lt;0,-Prob!G33,Prob!G33)</f>
        <v>4.5516613563950848E-4</v>
      </c>
      <c r="H32" s="34">
        <f>IF(EV!H33&lt;0,-Prob!H33,Prob!H33)</f>
        <v>4.5516613563950848E-4</v>
      </c>
      <c r="I32" s="34">
        <f>IF(EV!I33&lt;0,-Prob!I33,Prob!I33)</f>
        <v>4.5516613563950848E-4</v>
      </c>
      <c r="J32" s="34">
        <f>IF(EV!J33&lt;0,-Prob!J33,Prob!J33)</f>
        <v>4.5516613563950848E-4</v>
      </c>
      <c r="K32" s="34">
        <f>IF(EV!K33&lt;0,-Prob!K33,Prob!K33)</f>
        <v>1.6806134238997238E-3</v>
      </c>
    </row>
    <row r="33" spans="1:12" x14ac:dyDescent="0.2">
      <c r="A33" s="45">
        <v>6</v>
      </c>
      <c r="B33" s="34">
        <f>IF(EV!B34&lt;0,-Prob!B34,Prob!B34)</f>
        <v>-3.1511501698119817E-4</v>
      </c>
      <c r="C33" s="34">
        <f>IF(EV!C34&lt;0,-Prob!C34,Prob!C34)</f>
        <v>-4.5516613563950848E-4</v>
      </c>
      <c r="D33" s="34">
        <f>IF(EV!D34&lt;0,-Prob!D34,Prob!D34)</f>
        <v>-4.5516613563950848E-4</v>
      </c>
      <c r="E33" s="34">
        <f>IF(EV!E34&lt;0,-Prob!E34,Prob!E34)</f>
        <v>-4.5516613563950848E-4</v>
      </c>
      <c r="F33" s="34">
        <f>IF(EV!F34&lt;0,-Prob!F34,Prob!F34)</f>
        <v>-4.5516613563950848E-4</v>
      </c>
      <c r="G33" s="34">
        <f>IF(EV!G34&lt;0,-Prob!G34,Prob!G34)</f>
        <v>-4.5516613563950848E-4</v>
      </c>
      <c r="H33" s="34">
        <f>IF(EV!H34&lt;0,-Prob!H34,Prob!H34)</f>
        <v>-4.5516613563950848E-4</v>
      </c>
      <c r="I33" s="34">
        <f>IF(EV!I34&lt;0,-Prob!I34,Prob!I34)</f>
        <v>-4.5516613563950848E-4</v>
      </c>
      <c r="J33" s="34">
        <f>IF(EV!J34&lt;0,-Prob!J34,Prob!J34)</f>
        <v>-4.5516613563950848E-4</v>
      </c>
      <c r="K33" s="34">
        <f>IF(EV!K34&lt;0,-Prob!K34,Prob!K34)</f>
        <v>-1.6806134238997238E-3</v>
      </c>
    </row>
    <row r="34" spans="1:12" x14ac:dyDescent="0.2">
      <c r="A34" s="45">
        <v>7</v>
      </c>
      <c r="B34" s="34">
        <f>IF(EV!B35&lt;0,-Prob!B35,Prob!B35)</f>
        <v>-3.1511501698119817E-4</v>
      </c>
      <c r="C34" s="34">
        <f>IF(EV!C35&lt;0,-Prob!C35,Prob!C35)</f>
        <v>-4.5516613563950848E-4</v>
      </c>
      <c r="D34" s="34">
        <f>IF(EV!D35&lt;0,-Prob!D35,Prob!D35)</f>
        <v>-4.5516613563950848E-4</v>
      </c>
      <c r="E34" s="34">
        <f>IF(EV!E35&lt;0,-Prob!E35,Prob!E35)</f>
        <v>-4.5516613563950848E-4</v>
      </c>
      <c r="F34" s="34">
        <f>IF(EV!F35&lt;0,-Prob!F35,Prob!F35)</f>
        <v>-4.5516613563950848E-4</v>
      </c>
      <c r="G34" s="34">
        <f>IF(EV!G35&lt;0,-Prob!G35,Prob!G35)</f>
        <v>4.5516613563950848E-4</v>
      </c>
      <c r="H34" s="34">
        <f>IF(EV!H35&lt;0,-Prob!H35,Prob!H35)</f>
        <v>-4.5516613563950848E-4</v>
      </c>
      <c r="I34" s="34">
        <f>IF(EV!I35&lt;0,-Prob!I35,Prob!I35)</f>
        <v>-4.5516613563950848E-4</v>
      </c>
      <c r="J34" s="34">
        <f>IF(EV!J35&lt;0,-Prob!J35,Prob!J35)</f>
        <v>-4.5516613563950848E-4</v>
      </c>
      <c r="K34" s="34">
        <f>IF(EV!K35&lt;0,-Prob!K35,Prob!K35)</f>
        <v>-1.6806134238997238E-3</v>
      </c>
    </row>
    <row r="35" spans="1:12" x14ac:dyDescent="0.2">
      <c r="A35" s="45">
        <v>8</v>
      </c>
      <c r="B35" s="34">
        <f>IF(EV!B36&lt;0,-Prob!B36,Prob!B36)</f>
        <v>-3.1511501698119817E-4</v>
      </c>
      <c r="C35" s="34">
        <f>IF(EV!C36&lt;0,-Prob!C36,Prob!C36)</f>
        <v>-4.5516613563950848E-4</v>
      </c>
      <c r="D35" s="34">
        <f>IF(EV!D36&lt;0,-Prob!D36,Prob!D36)</f>
        <v>4.5516613563950848E-4</v>
      </c>
      <c r="E35" s="34">
        <f>IF(EV!E36&lt;0,-Prob!E36,Prob!E36)</f>
        <v>4.5516613563950848E-4</v>
      </c>
      <c r="F35" s="34">
        <f>IF(EV!F36&lt;0,-Prob!F36,Prob!F36)</f>
        <v>4.5516613563950848E-4</v>
      </c>
      <c r="G35" s="34">
        <f>IF(EV!G36&lt;0,-Prob!G36,Prob!G36)</f>
        <v>4.5516613563950848E-4</v>
      </c>
      <c r="H35" s="34">
        <f>IF(EV!H36&lt;0,-Prob!H36,Prob!H36)</f>
        <v>4.5516613563950848E-4</v>
      </c>
      <c r="I35" s="34">
        <f>IF(EV!I36&lt;0,-Prob!I36,Prob!I36)</f>
        <v>-4.5516613563950848E-4</v>
      </c>
      <c r="J35" s="34">
        <f>IF(EV!J36&lt;0,-Prob!J36,Prob!J36)</f>
        <v>-4.5516613563950848E-4</v>
      </c>
      <c r="K35" s="34">
        <f>IF(EV!K36&lt;0,-Prob!K36,Prob!K36)</f>
        <v>-1.6806134238997238E-3</v>
      </c>
    </row>
    <row r="36" spans="1:12" x14ac:dyDescent="0.2">
      <c r="A36" s="45">
        <v>9</v>
      </c>
      <c r="B36" s="34">
        <f>IF(EV!B37&lt;0,-Prob!B37,Prob!B37)</f>
        <v>-3.1511501698119817E-4</v>
      </c>
      <c r="C36" s="34">
        <f>IF(EV!C37&lt;0,-Prob!C37,Prob!C37)</f>
        <v>4.5516613563950848E-4</v>
      </c>
      <c r="D36" s="34">
        <f>IF(EV!D37&lt;0,-Prob!D37,Prob!D37)</f>
        <v>4.5516613563950848E-4</v>
      </c>
      <c r="E36" s="34">
        <f>IF(EV!E37&lt;0,-Prob!E37,Prob!E37)</f>
        <v>4.5516613563950848E-4</v>
      </c>
      <c r="F36" s="34">
        <f>IF(EV!F37&lt;0,-Prob!F37,Prob!F37)</f>
        <v>4.5516613563950848E-4</v>
      </c>
      <c r="G36" s="34">
        <f>IF(EV!G37&lt;0,-Prob!G37,Prob!G37)</f>
        <v>4.5516613563950848E-4</v>
      </c>
      <c r="H36" s="34">
        <f>IF(EV!H37&lt;0,-Prob!H37,Prob!H37)</f>
        <v>4.5516613563950848E-4</v>
      </c>
      <c r="I36" s="34">
        <f>IF(EV!I37&lt;0,-Prob!I37,Prob!I37)</f>
        <v>4.5516613563950848E-4</v>
      </c>
      <c r="J36" s="34">
        <f>IF(EV!J37&lt;0,-Prob!J37,Prob!J37)</f>
        <v>-4.5516613563950848E-4</v>
      </c>
      <c r="K36" s="34">
        <f>IF(EV!K37&lt;0,-Prob!K37,Prob!K37)</f>
        <v>-1.6806134238997238E-3</v>
      </c>
    </row>
    <row r="37" spans="1:12" x14ac:dyDescent="0.2">
      <c r="A37" s="67">
        <v>10</v>
      </c>
      <c r="B37" s="68">
        <f>IF(EV!B38&lt;0,-Prob!B38,Prob!B38)</f>
        <v>5.0418402716991707E-3</v>
      </c>
      <c r="C37" s="68">
        <f>IF(EV!C38&lt;0,-Prob!C38,Prob!C38)</f>
        <v>7.2826581702321357E-3</v>
      </c>
      <c r="D37" s="68">
        <f>IF(EV!D38&lt;0,-Prob!D38,Prob!D38)</f>
        <v>7.2826581702321357E-3</v>
      </c>
      <c r="E37" s="68">
        <f>IF(EV!E38&lt;0,-Prob!E38,Prob!E38)</f>
        <v>7.2826581702321357E-3</v>
      </c>
      <c r="F37" s="68">
        <f>IF(EV!F38&lt;0,-Prob!F38,Prob!F38)</f>
        <v>7.2826581702321357E-3</v>
      </c>
      <c r="G37" s="68">
        <f>IF(EV!G38&lt;0,-Prob!G38,Prob!G38)</f>
        <v>7.2826581702321357E-3</v>
      </c>
      <c r="H37" s="68">
        <f>IF(EV!H38&lt;0,-Prob!H38,Prob!H38)</f>
        <v>7.2826581702321357E-3</v>
      </c>
      <c r="I37" s="68">
        <f>IF(EV!I38&lt;0,-Prob!I38,Prob!I38)</f>
        <v>7.2826581702321357E-3</v>
      </c>
      <c r="J37" s="68">
        <f>IF(EV!J38&lt;0,-Prob!J38,Prob!J38)</f>
        <v>7.2826581702321357E-3</v>
      </c>
      <c r="K37" s="68">
        <f>IF(EV!K38&lt;0,-Prob!K38,Prob!K38)</f>
        <v>2.688981478239558E-2</v>
      </c>
    </row>
    <row r="38" spans="1:12" ht="16" thickBot="1" x14ac:dyDescent="0.25">
      <c r="A38" s="74" t="s">
        <v>40</v>
      </c>
      <c r="B38" s="79" t="s">
        <v>1</v>
      </c>
      <c r="C38" s="80">
        <v>2</v>
      </c>
      <c r="D38" s="80">
        <v>3</v>
      </c>
      <c r="E38" s="80">
        <v>4</v>
      </c>
      <c r="F38" s="80">
        <v>5</v>
      </c>
      <c r="G38" s="80">
        <v>6</v>
      </c>
      <c r="H38" s="80">
        <v>7</v>
      </c>
      <c r="I38" s="80">
        <v>8</v>
      </c>
      <c r="J38" s="80">
        <v>9</v>
      </c>
      <c r="K38" s="81">
        <v>10</v>
      </c>
    </row>
    <row r="39" spans="1:12" x14ac:dyDescent="0.2">
      <c r="A39" s="78" t="s">
        <v>42</v>
      </c>
      <c r="B39" s="82">
        <f>-(SUMIF(B28:B37,"&lt;0")+SUMIF(B18:B26,"&lt;0") +SUMIF(B2:B16,"&lt;0"))</f>
        <v>3.6868456986800184E-2</v>
      </c>
      <c r="C39" s="83">
        <f t="shared" ref="C39:K39" si="0">-(SUMIF(C28:C37,"&lt;0")+SUMIF(C18:C26,"&lt;0") +SUMIF(C2:C16,"&lt;0"))</f>
        <v>4.3695949021392816E-2</v>
      </c>
      <c r="D39" s="83">
        <f t="shared" si="0"/>
        <v>3.823395539371871E-2</v>
      </c>
      <c r="E39" s="83">
        <f t="shared" si="0"/>
        <v>3.823395539371871E-2</v>
      </c>
      <c r="F39" s="83">
        <f t="shared" si="0"/>
        <v>3.7323623122439697E-2</v>
      </c>
      <c r="G39" s="83">
        <f t="shared" si="0"/>
        <v>3.0496131087847073E-2</v>
      </c>
      <c r="H39" s="83">
        <f t="shared" si="0"/>
        <v>3.914428766499773E-2</v>
      </c>
      <c r="I39" s="83">
        <f t="shared" si="0"/>
        <v>4.3695949021392816E-2</v>
      </c>
      <c r="J39" s="83">
        <f t="shared" si="0"/>
        <v>5.3254437869822494E-2</v>
      </c>
      <c r="K39" s="84">
        <f t="shared" si="0"/>
        <v>0.19663177059626771</v>
      </c>
    </row>
    <row r="40" spans="1:12" ht="16" thickBot="1" x14ac:dyDescent="0.25">
      <c r="A40" s="78" t="s">
        <v>43</v>
      </c>
      <c r="B40" s="85">
        <f>B39</f>
        <v>3.6868456986800184E-2</v>
      </c>
      <c r="C40" s="86">
        <f t="shared" ref="C40:K40" si="1">C39</f>
        <v>4.3695949021392816E-2</v>
      </c>
      <c r="D40" s="86">
        <f t="shared" si="1"/>
        <v>3.823395539371871E-2</v>
      </c>
      <c r="E40" s="86">
        <f t="shared" si="1"/>
        <v>3.823395539371871E-2</v>
      </c>
      <c r="F40" s="86">
        <f t="shared" si="1"/>
        <v>3.7323623122439697E-2</v>
      </c>
      <c r="G40" s="86">
        <f t="shared" si="1"/>
        <v>3.0496131087847073E-2</v>
      </c>
      <c r="H40" s="86">
        <f t="shared" si="1"/>
        <v>3.914428766499773E-2</v>
      </c>
      <c r="I40" s="86">
        <f t="shared" si="1"/>
        <v>4.3695949021392816E-2</v>
      </c>
      <c r="J40" s="86">
        <f t="shared" si="1"/>
        <v>5.3254437869822494E-2</v>
      </c>
      <c r="K40" s="87">
        <f t="shared" si="1"/>
        <v>0.19663177059626771</v>
      </c>
    </row>
    <row r="41" spans="1:12" x14ac:dyDescent="0.2">
      <c r="A41" s="78" t="s">
        <v>41</v>
      </c>
      <c r="B41" s="82">
        <f>SUMIF(B28:B37,"&gt;0")+SUMIF(B18:B26,"&gt;0") +SUMIF(B2:B16,"&gt;0")</f>
        <v>1.6385980883022306E-2</v>
      </c>
      <c r="C41" s="83">
        <f t="shared" ref="C41:K41" si="2">SUMIF(C28:C37,"&gt;0")+SUMIF(C18:C26,"&gt;0") +SUMIF(C2:C16,"&gt;0")</f>
        <v>3.3227127901684125E-2</v>
      </c>
      <c r="D41" s="83">
        <f t="shared" si="2"/>
        <v>3.8689121529358217E-2</v>
      </c>
      <c r="E41" s="83">
        <f t="shared" si="2"/>
        <v>3.8689121529358217E-2</v>
      </c>
      <c r="F41" s="83">
        <f t="shared" si="2"/>
        <v>3.9599453800637244E-2</v>
      </c>
      <c r="G41" s="83">
        <f t="shared" si="2"/>
        <v>4.6426945835229869E-2</v>
      </c>
      <c r="H41" s="83">
        <f t="shared" si="2"/>
        <v>3.7778789258079204E-2</v>
      </c>
      <c r="I41" s="83">
        <f t="shared" si="2"/>
        <v>3.3227127901684125E-2</v>
      </c>
      <c r="J41" s="83">
        <f t="shared" si="2"/>
        <v>2.3668639053254441E-2</v>
      </c>
      <c r="K41" s="84">
        <f t="shared" si="2"/>
        <v>8.7391898042785632E-2</v>
      </c>
    </row>
    <row r="42" spans="1:12" ht="16" thickBot="1" x14ac:dyDescent="0.25">
      <c r="A42" s="78" t="s">
        <v>44</v>
      </c>
      <c r="B42" s="85">
        <f>B41</f>
        <v>1.6385980883022306E-2</v>
      </c>
      <c r="C42" s="86">
        <f t="shared" ref="C42:K42" si="3">C41</f>
        <v>3.3227127901684125E-2</v>
      </c>
      <c r="D42" s="86">
        <f t="shared" si="3"/>
        <v>3.8689121529358217E-2</v>
      </c>
      <c r="E42" s="86">
        <f t="shared" si="3"/>
        <v>3.8689121529358217E-2</v>
      </c>
      <c r="F42" s="86">
        <f t="shared" si="3"/>
        <v>3.9599453800637244E-2</v>
      </c>
      <c r="G42" s="86">
        <f t="shared" si="3"/>
        <v>4.6426945835229869E-2</v>
      </c>
      <c r="H42" s="86">
        <f t="shared" si="3"/>
        <v>3.7778789258079204E-2</v>
      </c>
      <c r="I42" s="86">
        <f t="shared" si="3"/>
        <v>3.3227127901684125E-2</v>
      </c>
      <c r="J42" s="86">
        <f t="shared" si="3"/>
        <v>2.3668639053254441E-2</v>
      </c>
      <c r="K42" s="87">
        <f t="shared" si="3"/>
        <v>8.7391898042785632E-2</v>
      </c>
    </row>
    <row r="43" spans="1:12" ht="16" thickBot="1" x14ac:dyDescent="0.25">
      <c r="A43" s="78" t="s">
        <v>2</v>
      </c>
      <c r="B43" s="89">
        <f>B41+B39</f>
        <v>5.3254437869822494E-2</v>
      </c>
      <c r="C43" s="75">
        <f t="shared" ref="C43:K43" si="4">C41+C39</f>
        <v>7.6923076923076941E-2</v>
      </c>
      <c r="D43" s="75">
        <f t="shared" si="4"/>
        <v>7.6923076923076927E-2</v>
      </c>
      <c r="E43" s="75">
        <f t="shared" si="4"/>
        <v>7.6923076923076927E-2</v>
      </c>
      <c r="F43" s="75">
        <f t="shared" si="4"/>
        <v>7.6923076923076941E-2</v>
      </c>
      <c r="G43" s="75">
        <f t="shared" si="4"/>
        <v>7.6923076923076941E-2</v>
      </c>
      <c r="H43" s="75">
        <f t="shared" si="4"/>
        <v>7.6923076923076927E-2</v>
      </c>
      <c r="I43" s="75">
        <f t="shared" si="4"/>
        <v>7.6923076923076941E-2</v>
      </c>
      <c r="J43" s="75">
        <f t="shared" si="4"/>
        <v>7.6923076923076927E-2</v>
      </c>
      <c r="K43" s="90">
        <f t="shared" si="4"/>
        <v>0.28402366863905337</v>
      </c>
      <c r="L43" s="76">
        <f>SUM(B43:K43)-C46</f>
        <v>1.0000000000000002</v>
      </c>
    </row>
    <row r="44" spans="1:12" ht="16" thickBot="1" x14ac:dyDescent="0.25">
      <c r="A44" s="88" t="s">
        <v>45</v>
      </c>
      <c r="B44" s="91">
        <f>B41-B39</f>
        <v>-2.0482476103777878E-2</v>
      </c>
      <c r="C44" s="69">
        <f t="shared" ref="C44:K44" si="5">C41-C39</f>
        <v>-1.0468821119708691E-2</v>
      </c>
      <c r="D44" s="69">
        <f t="shared" si="5"/>
        <v>4.5516613563950648E-4</v>
      </c>
      <c r="E44" s="69">
        <f t="shared" si="5"/>
        <v>4.5516613563950648E-4</v>
      </c>
      <c r="F44" s="69">
        <f t="shared" si="5"/>
        <v>2.2758306781975463E-3</v>
      </c>
      <c r="G44" s="69">
        <f t="shared" si="5"/>
        <v>1.5930814747382796E-2</v>
      </c>
      <c r="H44" s="69">
        <f t="shared" si="5"/>
        <v>-1.3654984069185264E-3</v>
      </c>
      <c r="I44" s="69">
        <f t="shared" si="5"/>
        <v>-1.0468821119708691E-2</v>
      </c>
      <c r="J44" s="69">
        <f t="shared" si="5"/>
        <v>-2.9585798816568053E-2</v>
      </c>
      <c r="K44" s="70">
        <f t="shared" si="5"/>
        <v>-0.10923987255348208</v>
      </c>
      <c r="L44" s="77">
        <f>SUM(B44:K44)</f>
        <v>-0.16249431042330456</v>
      </c>
    </row>
    <row r="45" spans="1:12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</row>
    <row r="46" spans="1:12" x14ac:dyDescent="0.2">
      <c r="A46" s="327" t="s">
        <v>11</v>
      </c>
      <c r="B46" s="328"/>
      <c r="C46" s="34">
        <f>IF(EV!H41&lt;0,-Prob!C40,Prob!C40)</f>
        <v>-4.7337278106508882E-2</v>
      </c>
    </row>
    <row r="47" spans="1:12" x14ac:dyDescent="0.2">
      <c r="C47" s="73">
        <f>SUM(B44:K44)</f>
        <v>-0.16249431042330456</v>
      </c>
    </row>
    <row r="48" spans="1:12" x14ac:dyDescent="0.2">
      <c r="B48" s="40" t="s">
        <v>2</v>
      </c>
      <c r="C48" s="73">
        <f>C47+C46</f>
        <v>-0.20983158852981343</v>
      </c>
    </row>
  </sheetData>
  <sheetProtection sheet="1" objects="1" scenarios="1"/>
  <mergeCells count="8">
    <mergeCell ref="A46:B46"/>
    <mergeCell ref="M6:N6"/>
    <mergeCell ref="M7:N7"/>
    <mergeCell ref="M2:R2"/>
    <mergeCell ref="M12:S12"/>
    <mergeCell ref="M3:N3"/>
    <mergeCell ref="M4:N4"/>
    <mergeCell ref="M5:N5"/>
  </mergeCells>
  <phoneticPr fontId="16" type="noConversion"/>
  <conditionalFormatting sqref="B2:K16 B18:K26 B28:K37 B39:K45">
    <cfRule type="containsText" dxfId="790" priority="19" operator="containsText" text="R">
      <formula>NOT(ISERROR(SEARCH("R",B2)))</formula>
    </cfRule>
    <cfRule type="containsText" dxfId="789" priority="20" operator="containsText" text="D">
      <formula>NOT(ISERROR(SEARCH("D",B2)))</formula>
    </cfRule>
    <cfRule type="containsText" dxfId="788" priority="21" operator="containsText" text="S">
      <formula>NOT(ISERROR(SEARCH("S",B2)))</formula>
    </cfRule>
    <cfRule type="containsText" dxfId="787" priority="22" operator="containsText" text="H">
      <formula>NOT(ISERROR(SEARCH("H",B2)))</formula>
    </cfRule>
  </conditionalFormatting>
  <conditionalFormatting sqref="B2:K16 B18:K26 B28:K37 B39:K45">
    <cfRule type="containsText" dxfId="786" priority="18" operator="containsText" text="P">
      <formula>NOT(ISERROR(SEARCH("P",B2)))</formula>
    </cfRule>
  </conditionalFormatting>
  <conditionalFormatting sqref="B2:K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 B39:K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K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K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785" priority="8" operator="containsText" text="R">
      <formula>NOT(ISERROR(SEARCH("R",C46)))</formula>
    </cfRule>
    <cfRule type="containsText" dxfId="784" priority="9" operator="containsText" text="D">
      <formula>NOT(ISERROR(SEARCH("D",C46)))</formula>
    </cfRule>
    <cfRule type="containsText" dxfId="783" priority="10" operator="containsText" text="S">
      <formula>NOT(ISERROR(SEARCH("S",C46)))</formula>
    </cfRule>
    <cfRule type="containsText" dxfId="782" priority="11" operator="containsText" text="H">
      <formula>NOT(ISERROR(SEARCH("H",C46)))</formula>
    </cfRule>
  </conditionalFormatting>
  <conditionalFormatting sqref="C46">
    <cfRule type="containsText" dxfId="781" priority="7" operator="containsText" text="P">
      <formula>NOT(ISERROR(SEARCH("P",C46)))</formula>
    </cfRule>
  </conditionalFormatting>
  <conditionalFormatting sqref="C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K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2:W48"/>
  <sheetViews>
    <sheetView topLeftCell="A12" zoomScale="90" zoomScaleNormal="90" zoomScalePageLayoutView="90" workbookViewId="0">
      <selection activeCell="E43" sqref="E43"/>
    </sheetView>
  </sheetViews>
  <sheetFormatPr baseColWidth="10" defaultColWidth="8.83203125" defaultRowHeight="16" x14ac:dyDescent="0.2"/>
  <cols>
    <col min="2" max="3" width="8.83203125" customWidth="1"/>
    <col min="18" max="18" width="8.6640625" style="181" customWidth="1"/>
    <col min="21" max="21" width="8.6640625" style="181" customWidth="1"/>
  </cols>
  <sheetData>
    <row r="2" spans="1:23" x14ac:dyDescent="0.2">
      <c r="A2" t="s">
        <v>40</v>
      </c>
      <c r="B2" s="149" t="s">
        <v>125</v>
      </c>
      <c r="C2" s="150">
        <f>'WL Prob'!P15</f>
        <v>0.37440835558793756</v>
      </c>
      <c r="D2" s="149" t="s">
        <v>126</v>
      </c>
      <c r="E2" s="150">
        <f>'WL Prob'!R15</f>
        <v>0.6255916444120625</v>
      </c>
      <c r="F2" t="s">
        <v>47</v>
      </c>
      <c r="G2">
        <f>(K2-E2*I2)/C2</f>
        <v>1.6524451679220342</v>
      </c>
      <c r="H2" t="s">
        <v>155</v>
      </c>
      <c r="I2">
        <v>-1</v>
      </c>
      <c r="J2" s="149" t="s">
        <v>127</v>
      </c>
      <c r="K2" s="150">
        <f>Rules!C21</f>
        <v>-6.9023663911402661E-3</v>
      </c>
    </row>
    <row r="4" spans="1:23" x14ac:dyDescent="0.2">
      <c r="A4" s="354" t="s">
        <v>128</v>
      </c>
      <c r="B4" s="354"/>
      <c r="C4" s="354"/>
      <c r="D4" s="354"/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54"/>
      <c r="P4" s="354"/>
      <c r="Q4" s="354"/>
      <c r="R4" s="354"/>
      <c r="S4" s="354"/>
      <c r="T4" s="354"/>
      <c r="U4" s="354"/>
      <c r="V4" s="354"/>
      <c r="W4" s="354"/>
    </row>
    <row r="5" spans="1:23" x14ac:dyDescent="0.2">
      <c r="A5" t="s">
        <v>123</v>
      </c>
      <c r="B5">
        <f>$C$2</f>
        <v>0.37440835558793756</v>
      </c>
      <c r="C5" t="s">
        <v>124</v>
      </c>
      <c r="D5">
        <f>$E$2</f>
        <v>0.6255916444120625</v>
      </c>
      <c r="E5" t="s">
        <v>47</v>
      </c>
      <c r="F5">
        <f>G2</f>
        <v>1.6524451679220342</v>
      </c>
      <c r="G5" t="s">
        <v>155</v>
      </c>
      <c r="H5">
        <f>I2</f>
        <v>-1</v>
      </c>
      <c r="I5" t="s">
        <v>48</v>
      </c>
      <c r="J5">
        <f>K2</f>
        <v>-6.9023663911402661E-3</v>
      </c>
    </row>
    <row r="6" spans="1:23" ht="17" thickBot="1" x14ac:dyDescent="0.25"/>
    <row r="7" spans="1:23" ht="17" thickBot="1" x14ac:dyDescent="0.25">
      <c r="A7" s="103"/>
      <c r="B7" s="103">
        <v>1</v>
      </c>
      <c r="C7" s="154">
        <v>0</v>
      </c>
      <c r="D7" s="151">
        <v>-1</v>
      </c>
      <c r="E7" s="118">
        <v>-2</v>
      </c>
      <c r="F7" s="118">
        <v>-3</v>
      </c>
      <c r="G7" s="118">
        <v>-4</v>
      </c>
      <c r="H7" s="118">
        <v>-5</v>
      </c>
      <c r="I7" s="118">
        <v>-6</v>
      </c>
      <c r="J7" s="118">
        <v>-7</v>
      </c>
      <c r="K7" s="118">
        <v>-8</v>
      </c>
      <c r="L7" s="118">
        <v>-9</v>
      </c>
      <c r="M7" s="105">
        <v>-10</v>
      </c>
      <c r="N7" t="s">
        <v>135</v>
      </c>
      <c r="R7" s="186" t="s">
        <v>49</v>
      </c>
      <c r="S7" s="164" t="s">
        <v>130</v>
      </c>
      <c r="T7" s="165" t="s">
        <v>136</v>
      </c>
      <c r="U7" s="182" t="s">
        <v>48</v>
      </c>
      <c r="V7" s="175" t="s">
        <v>47</v>
      </c>
      <c r="W7" s="168" t="s">
        <v>155</v>
      </c>
    </row>
    <row r="8" spans="1:23" x14ac:dyDescent="0.2">
      <c r="A8" s="101">
        <v>1</v>
      </c>
      <c r="B8" s="95">
        <f>C8*B5</f>
        <v>0.37440835558793756</v>
      </c>
      <c r="C8" s="95">
        <v>1</v>
      </c>
      <c r="D8" s="152">
        <f>C8*D5</f>
        <v>0.6255916444120625</v>
      </c>
      <c r="E8" s="110"/>
      <c r="F8" s="110"/>
      <c r="G8" s="110"/>
      <c r="H8" s="110"/>
      <c r="I8" s="110"/>
      <c r="J8" s="110"/>
      <c r="K8" s="110"/>
      <c r="L8" s="110"/>
      <c r="M8" s="57"/>
      <c r="N8">
        <f>B8+D8</f>
        <v>1</v>
      </c>
      <c r="R8" s="187">
        <f>B8-D8</f>
        <v>-0.25118328882412494</v>
      </c>
      <c r="S8" s="109">
        <f>SUM(C8)*$B$5*$F$5</f>
        <v>0.61868927802092222</v>
      </c>
      <c r="T8" s="57">
        <f>SUM(C8)*$D$5*$H$5</f>
        <v>-0.6255916444120625</v>
      </c>
      <c r="U8" s="183">
        <f>S8+T8</f>
        <v>-6.9023663911402799E-3</v>
      </c>
      <c r="V8" s="109">
        <f>(U8+W8*D8)/B8</f>
        <v>1.6524451679220342</v>
      </c>
      <c r="W8" s="57">
        <f>COUNT(D8:M8)</f>
        <v>1</v>
      </c>
    </row>
    <row r="9" spans="1:23" x14ac:dyDescent="0.2">
      <c r="A9" s="99">
        <v>2</v>
      </c>
      <c r="B9" s="97">
        <f>C9*B5</f>
        <v>0.48892847868253325</v>
      </c>
      <c r="C9" s="97">
        <f>1/(1-B5*D5)</f>
        <v>1.3058695709788941</v>
      </c>
      <c r="D9" s="144">
        <f>C9*D5</f>
        <v>0.81694109229636092</v>
      </c>
      <c r="E9" s="1">
        <f>D9*D5</f>
        <v>0.51107152131746691</v>
      </c>
      <c r="F9" s="1"/>
      <c r="G9" s="1"/>
      <c r="H9" s="1"/>
      <c r="I9" s="1"/>
      <c r="J9" s="1"/>
      <c r="K9" s="1"/>
      <c r="L9" s="1"/>
      <c r="M9" s="9"/>
      <c r="N9">
        <f>B9+E9</f>
        <v>1.0000000000000002</v>
      </c>
      <c r="R9" s="188">
        <f>B9-E9</f>
        <v>-2.2143042634933663E-2</v>
      </c>
      <c r="S9" s="93">
        <f>SUM(C9:D9)*$B$5*$F$5</f>
        <v>1.3133601966368826</v>
      </c>
      <c r="T9" s="9">
        <f>SUM(C9:D9)*$D$5*$H$5</f>
        <v>-1.3280126136138279</v>
      </c>
      <c r="U9" s="184">
        <f>S9+T9</f>
        <v>-1.4652416976945304E-2</v>
      </c>
      <c r="V9" s="93">
        <f>(U9+W9*E9)/B9</f>
        <v>2.0606094134110839</v>
      </c>
      <c r="W9" s="9">
        <f>COUNT(D9:M9)</f>
        <v>2</v>
      </c>
    </row>
    <row r="10" spans="1:23" x14ac:dyDescent="0.2">
      <c r="A10" s="99">
        <v>3</v>
      </c>
      <c r="B10" s="97">
        <f>C10*B5</f>
        <v>0.53939193548386155</v>
      </c>
      <c r="C10" s="97">
        <f>1/(1-D5*B5/(1-D5*B5))</f>
        <v>1.4406514369500341</v>
      </c>
      <c r="D10" s="144">
        <f>C10*D5*C9</f>
        <v>1.1769273585202829</v>
      </c>
      <c r="E10" s="1">
        <f>D10*(D5)</f>
        <v>0.73627592157024879</v>
      </c>
      <c r="F10" s="1">
        <f>E10*D5</f>
        <v>0.46060806451613867</v>
      </c>
      <c r="G10" s="1"/>
      <c r="H10" s="1"/>
      <c r="I10" s="1"/>
      <c r="J10" s="1"/>
      <c r="K10" s="1"/>
      <c r="L10" s="1"/>
      <c r="M10" s="9"/>
      <c r="N10">
        <f>B10+F10</f>
        <v>1.0000000000000002</v>
      </c>
      <c r="R10" s="188">
        <f>B10-F10</f>
        <v>7.878387096772288E-2</v>
      </c>
      <c r="S10" s="93">
        <f>SUM(C10:E10)*$B$5*$F$5</f>
        <v>2.0749939534728918</v>
      </c>
      <c r="T10" s="9">
        <f>SUM(C10:E10)*$D$5*$H$5</f>
        <v>-2.09814348755256</v>
      </c>
      <c r="U10" s="184">
        <f t="shared" ref="U10:U17" si="0">S10+T10</f>
        <v>-2.3149534079668133E-2</v>
      </c>
      <c r="V10" s="93">
        <f>(U10+W10*F10)/B10</f>
        <v>2.518900580613888</v>
      </c>
      <c r="W10" s="9">
        <f t="shared" ref="W10:W17" si="1">COUNT(D10:M10)</f>
        <v>3</v>
      </c>
    </row>
    <row r="11" spans="1:23" x14ac:dyDescent="0.2">
      <c r="A11" s="99">
        <v>4</v>
      </c>
      <c r="B11" s="97">
        <f>C11*B5</f>
        <v>0.56509273147784556</v>
      </c>
      <c r="C11" s="97">
        <f>1/(1-D5*B5/(1-D5*B5/(1-D5*B5)))</f>
        <v>1.5092951934538807</v>
      </c>
      <c r="D11" s="144">
        <f>C11*D5*C10</f>
        <v>1.3602666336175351</v>
      </c>
      <c r="E11" s="1">
        <f>D11*D5*C9</f>
        <v>1.111257709481803</v>
      </c>
      <c r="F11" s="1">
        <f>E11*D5</f>
        <v>0.69519353784030313</v>
      </c>
      <c r="G11" s="1">
        <f>F11*D5</f>
        <v>0.43490726852215461</v>
      </c>
      <c r="H11" s="1"/>
      <c r="I11" s="1"/>
      <c r="J11" s="1"/>
      <c r="K11" s="1"/>
      <c r="L11" s="1"/>
      <c r="M11" s="9"/>
      <c r="N11">
        <f>B11+G11</f>
        <v>1.0000000000000002</v>
      </c>
      <c r="R11" s="188">
        <f>B11-G11</f>
        <v>0.13018546295569094</v>
      </c>
      <c r="S11" s="93">
        <f>SUM(C11:F11)*$B$5*$F$5</f>
        <v>2.8929991530129207</v>
      </c>
      <c r="T11" s="9">
        <f>SUM(C11:F11)*$D$5*$H$5</f>
        <v>-2.9252747085021471</v>
      </c>
      <c r="U11" s="184">
        <f t="shared" si="0"/>
        <v>-3.2275555489226448E-2</v>
      </c>
      <c r="V11" s="93">
        <f>(U11+W11*G11)/B11</f>
        <v>3.021368747982788</v>
      </c>
      <c r="W11" s="9">
        <f t="shared" si="1"/>
        <v>4</v>
      </c>
    </row>
    <row r="12" spans="1:23" x14ac:dyDescent="0.2">
      <c r="A12" s="99">
        <v>5</v>
      </c>
      <c r="B12" s="97">
        <f>C12*B5</f>
        <v>0.57914674352648976</v>
      </c>
      <c r="C12" s="97">
        <f>1/(1-D5*B5/(1-D5*B5/(1-D5*B5/(1-D5*B5))))</f>
        <v>1.5468317810831151</v>
      </c>
      <c r="D12" s="144">
        <f>C12*D5*C11</f>
        <v>1.460522375961453</v>
      </c>
      <c r="E12" s="1">
        <f>D12*D5*C10</f>
        <v>1.316309668439209</v>
      </c>
      <c r="F12" s="1">
        <f>E12*D5*C9</f>
        <v>1.0753474583349882</v>
      </c>
      <c r="G12" s="1">
        <f>F12*D5</f>
        <v>0.67272838477411712</v>
      </c>
      <c r="H12" s="1">
        <f>G12*D5</f>
        <v>0.42085325647351063</v>
      </c>
      <c r="I12" s="1"/>
      <c r="J12" s="1"/>
      <c r="K12" s="1"/>
      <c r="L12" s="1"/>
      <c r="M12" s="9"/>
      <c r="N12">
        <f>B12+H12</f>
        <v>1.0000000000000004</v>
      </c>
      <c r="R12" s="188">
        <f>B12-H12</f>
        <v>0.15829348705297913</v>
      </c>
      <c r="S12" s="93">
        <f>SUM(C12:G12)*$B$5*$F$5</f>
        <v>3.7565202318927233</v>
      </c>
      <c r="T12" s="9">
        <f>SUM(C12:G12)*$D$5*$H$5</f>
        <v>-3.7984296037169725</v>
      </c>
      <c r="U12" s="184">
        <f t="shared" si="0"/>
        <v>-4.1909371824249142E-2</v>
      </c>
      <c r="V12" s="93">
        <f>(U12+W12*H12)/B12</f>
        <v>3.5610265163287989</v>
      </c>
      <c r="W12" s="9">
        <f t="shared" si="1"/>
        <v>5</v>
      </c>
    </row>
    <row r="13" spans="1:23" x14ac:dyDescent="0.2">
      <c r="A13" s="99">
        <v>6</v>
      </c>
      <c r="B13" s="97">
        <f>C13*B5</f>
        <v>0.58713165011217827</v>
      </c>
      <c r="C13" s="97">
        <f>1/(1-D5*B5/(1-D5*B5/(1-D5*B5/(1-D5*B5/(1-D5*B5)))))</f>
        <v>1.5681585128894866</v>
      </c>
      <c r="D13" s="144">
        <f>C13*D5*C12</f>
        <v>1.5174835294402047</v>
      </c>
      <c r="E13" s="1">
        <f>D13*D5*C11</f>
        <v>1.4328116845055245</v>
      </c>
      <c r="F13" s="1">
        <f>E13*D5*C10</f>
        <v>1.291335144472356</v>
      </c>
      <c r="G13" s="1">
        <f>F13*D5*C9</f>
        <v>1.0549447434459256</v>
      </c>
      <c r="H13" s="1">
        <f>G13*D5</f>
        <v>0.659964616816198</v>
      </c>
      <c r="I13" s="1">
        <f>H13*D5</f>
        <v>0.41286834988782201</v>
      </c>
      <c r="J13" s="1"/>
      <c r="K13" s="1"/>
      <c r="L13" s="1"/>
      <c r="M13" s="9"/>
      <c r="N13">
        <f>B13+I13</f>
        <v>1.0000000000000002</v>
      </c>
      <c r="R13" s="188">
        <f>B13-I13</f>
        <v>0.17426330022435627</v>
      </c>
      <c r="S13" s="93">
        <f>SUM(C13:H13)*$B$5*$F$5</f>
        <v>4.6554501162151647</v>
      </c>
      <c r="T13" s="9">
        <f>SUM(C13:H13)*$D$5*$H$5</f>
        <v>-4.7073883403922236</v>
      </c>
      <c r="U13" s="184">
        <f t="shared" si="0"/>
        <v>-5.1938224177058956E-2</v>
      </c>
      <c r="V13" s="93">
        <f>(U13+W13*I13)/B13</f>
        <v>4.1307122085591823</v>
      </c>
      <c r="W13" s="9">
        <f t="shared" si="1"/>
        <v>6</v>
      </c>
    </row>
    <row r="14" spans="1:23" x14ac:dyDescent="0.2">
      <c r="A14" s="99">
        <v>7</v>
      </c>
      <c r="B14" s="97">
        <f>C14*B5</f>
        <v>0.5917672039775248</v>
      </c>
      <c r="C14" s="97">
        <f>1/(1-D5*B5/(1-D5*B5/(1-D5*B5/(1-D5*B5/(1-D5*B5/(1-D5*B5))))))</f>
        <v>1.5805395236125708</v>
      </c>
      <c r="D14" s="144">
        <f>C14*D5*C13</f>
        <v>1.5505517303451819</v>
      </c>
      <c r="E14" s="1">
        <f>D14*D5*C12</f>
        <v>1.5004457094125678</v>
      </c>
      <c r="F14" s="1">
        <f>E14*D5*C11</f>
        <v>1.4167245328887252</v>
      </c>
      <c r="G14" s="1">
        <f>F14*D5*C10</f>
        <v>1.2768364462261887</v>
      </c>
      <c r="H14" s="1">
        <f>G14*D5*C9</f>
        <v>1.0431001610638264</v>
      </c>
      <c r="I14" s="1">
        <f>H14*D5</f>
        <v>0.65255474504640643</v>
      </c>
      <c r="J14" s="1">
        <f>I14*D5</f>
        <v>0.40823279602247559</v>
      </c>
      <c r="K14" s="1"/>
      <c r="L14" s="1"/>
      <c r="M14" s="9"/>
      <c r="N14">
        <f>B14+J14</f>
        <v>1.0000000000000004</v>
      </c>
      <c r="R14" s="188">
        <f>B14-J14</f>
        <v>0.18353440795504922</v>
      </c>
      <c r="S14" s="93">
        <f>SUM(C14:I14)*$B$5*$F$5</f>
        <v>5.5810430671027076</v>
      </c>
      <c r="T14" s="9">
        <f>SUM(C14:I14)*$D$5*$H$5</f>
        <v>-5.6433076083876363</v>
      </c>
      <c r="U14" s="184">
        <f t="shared" si="0"/>
        <v>-6.2264541284928754E-2</v>
      </c>
      <c r="V14" s="93">
        <f>(U14+W14*J14)/B14</f>
        <v>4.7237579441434674</v>
      </c>
      <c r="W14" s="9">
        <f t="shared" si="1"/>
        <v>7</v>
      </c>
    </row>
    <row r="15" spans="1:23" x14ac:dyDescent="0.2">
      <c r="A15" s="99">
        <v>8</v>
      </c>
      <c r="B15" s="97">
        <f>C15*B5</f>
        <v>0.59449206271544663</v>
      </c>
      <c r="C15" s="97">
        <f>1/(1-D5*B5/(1-D5*B5/(1-D5*B5/(1-D5*B5/(1-D5*B5/(1-D5*B5/(1-D5*B5)))))))</f>
        <v>1.5878172958557755</v>
      </c>
      <c r="D15" s="144">
        <f>C15*D5*C14</f>
        <v>1.5699897907799614</v>
      </c>
      <c r="E15" s="1">
        <f>D15*D5*C13</f>
        <v>1.5402021590412684</v>
      </c>
      <c r="F15" s="1">
        <f>E15*D5*C12</f>
        <v>1.4904305841166454</v>
      </c>
      <c r="G15" s="1">
        <f>F15*D5*C11</f>
        <v>1.4072682269273169</v>
      </c>
      <c r="H15" s="1">
        <f>G15*D5*C10</f>
        <v>1.2683138606296982</v>
      </c>
      <c r="I15" s="1">
        <f>H15*D5*C9</f>
        <v>1.0361377106774401</v>
      </c>
      <c r="J15" s="1">
        <f>I15*D5</f>
        <v>0.64819909426004962</v>
      </c>
      <c r="K15" s="1">
        <f>J15*D5</f>
        <v>0.40550793728455392</v>
      </c>
      <c r="L15" s="1"/>
      <c r="M15" s="9"/>
      <c r="N15">
        <f>B15+K15</f>
        <v>1.0000000000000004</v>
      </c>
      <c r="R15" s="188">
        <f>B15-K15</f>
        <v>0.18898412543089271</v>
      </c>
      <c r="S15" s="93">
        <f>SUM(C15:J15)*$B$5*$F$5</f>
        <v>6.5261564421981575</v>
      </c>
      <c r="T15" s="9">
        <f>SUM(C15:J15)*$D$5*$H$5</f>
        <v>-6.5989650789245706</v>
      </c>
      <c r="U15" s="184">
        <f t="shared" si="0"/>
        <v>-7.2808636726413134E-2</v>
      </c>
      <c r="V15" s="93">
        <f>(U15+W15*K15)/B15</f>
        <v>5.3343939481122025</v>
      </c>
      <c r="W15" s="9">
        <f t="shared" si="1"/>
        <v>8</v>
      </c>
    </row>
    <row r="16" spans="1:23" x14ac:dyDescent="0.2">
      <c r="A16" s="99">
        <v>9</v>
      </c>
      <c r="B16" s="97">
        <f>C16*B5</f>
        <v>0.59610552421568264</v>
      </c>
      <c r="C16" s="97">
        <f>1/(1-D5*B5/(1-D5*B5/(1-D5*B5/(1-D5*B5/(1-D5*B5/(1-D5*B5/(1-D5*B5/(1-D5*B5))))))))</f>
        <v>1.5921266588177809</v>
      </c>
      <c r="D16" s="144">
        <f>C16*D5*C15</f>
        <v>1.5814995845591053</v>
      </c>
      <c r="E16" s="1">
        <f>D16*D5*C14</f>
        <v>1.5637430127263683</v>
      </c>
      <c r="F16" s="1">
        <f>E16*D5*C13</f>
        <v>1.5340739019648857</v>
      </c>
      <c r="G16" s="1">
        <f>F16*D5*C12</f>
        <v>1.4845003614375294</v>
      </c>
      <c r="H16" s="1">
        <f>G16*D5*C11</f>
        <v>1.4016688960736294</v>
      </c>
      <c r="I16" s="1">
        <f>H16*D5*C10</f>
        <v>1.2632674104959598</v>
      </c>
      <c r="J16" s="1">
        <f>I16*D5*C9</f>
        <v>1.0320150581929648</v>
      </c>
      <c r="K16" s="1">
        <f>J16*D5</f>
        <v>0.64561999731294717</v>
      </c>
      <c r="L16" s="1">
        <f>K16*D5</f>
        <v>0.40389447578431797</v>
      </c>
      <c r="M16" s="9"/>
      <c r="N16">
        <f>B16+L16</f>
        <v>1.0000000000000007</v>
      </c>
      <c r="R16" s="188">
        <f>B16-L16</f>
        <v>0.19221104843136466</v>
      </c>
      <c r="S16" s="93">
        <f>SUM(C16:K16)*$B$5*$F$5</f>
        <v>7.4852214372108365</v>
      </c>
      <c r="T16" s="9">
        <f>SUM(C16:K16)*$D$5*$H$5</f>
        <v>-7.5687298197121731</v>
      </c>
      <c r="U16" s="184">
        <f t="shared" si="0"/>
        <v>-8.350838250133652E-2</v>
      </c>
      <c r="V16" s="93">
        <f>(U16+W16*L16)/B16</f>
        <v>5.9579080469526193</v>
      </c>
      <c r="W16" s="9">
        <f t="shared" si="1"/>
        <v>9</v>
      </c>
    </row>
    <row r="17" spans="1:23" ht="17" thickBot="1" x14ac:dyDescent="0.25">
      <c r="A17" s="100">
        <v>10</v>
      </c>
      <c r="B17" s="145">
        <f>C17*B5</f>
        <v>0.59706503265307043</v>
      </c>
      <c r="C17" s="145">
        <f>1/(1-D5*B5/(1-D5*B5/(1-D5*B5/(1-D5*B5/(1-D5*B5/(1-D5*B5/(1-D5*B5/(1-D5*B5/(1-D5*B5)))))))))</f>
        <v>1.5946893912543501</v>
      </c>
      <c r="D17" s="153">
        <f>C17*D5*C16</f>
        <v>1.5883443368150871</v>
      </c>
      <c r="E17" s="111">
        <f>D17*D5*C15</f>
        <v>1.5777425086739676</v>
      </c>
      <c r="F17" s="111">
        <f>E17*D5*C14</f>
        <v>1.5600281200883757</v>
      </c>
      <c r="G17" s="111">
        <f>F17*D5*C13</f>
        <v>1.5304294924946813</v>
      </c>
      <c r="H17" s="111">
        <f>G17*D5*C12</f>
        <v>1.4809737209224829</v>
      </c>
      <c r="I17" s="111">
        <f>H17*D5*C11</f>
        <v>1.398339033416818</v>
      </c>
      <c r="J17" s="111">
        <f>I17*D5*C10</f>
        <v>1.260266340137931</v>
      </c>
      <c r="K17" s="111">
        <f>J17*D5*C9</f>
        <v>1.0295633604966186</v>
      </c>
      <c r="L17" s="111">
        <f>K17*D5</f>
        <v>0.64408623571948875</v>
      </c>
      <c r="M17" s="10">
        <f>L17*D5</f>
        <v>0.4029349673469303</v>
      </c>
      <c r="N17">
        <f>B17+M17</f>
        <v>1.0000000000000007</v>
      </c>
      <c r="R17" s="189">
        <f>B17-M17</f>
        <v>0.19413006530614013</v>
      </c>
      <c r="S17" s="94">
        <f>SUM(C17:L17)*$B$5*$F$5</f>
        <v>8.4540564634287865</v>
      </c>
      <c r="T17" s="10">
        <f>SUM(C17:L17)*$D$5*$H$5</f>
        <v>-8.5483735904180165</v>
      </c>
      <c r="U17" s="184">
        <f t="shared" si="0"/>
        <v>-9.4317126989230005E-2</v>
      </c>
      <c r="V17" s="94">
        <f>(U17+W17*M17)/B17</f>
        <v>6.5906263661006532</v>
      </c>
      <c r="W17" s="10">
        <f t="shared" si="1"/>
        <v>10</v>
      </c>
    </row>
    <row r="20" spans="1:23" x14ac:dyDescent="0.2">
      <c r="A20" s="354" t="s">
        <v>129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</row>
    <row r="21" spans="1:23" x14ac:dyDescent="0.2">
      <c r="A21" t="s">
        <v>123</v>
      </c>
      <c r="B21">
        <f>$C$2</f>
        <v>0.37440835558793756</v>
      </c>
      <c r="C21" t="s">
        <v>124</v>
      </c>
      <c r="D21">
        <f>$E$2</f>
        <v>0.6255916444120625</v>
      </c>
      <c r="E21" t="s">
        <v>47</v>
      </c>
      <c r="F21">
        <f>G2</f>
        <v>1.6524451679220342</v>
      </c>
      <c r="G21" t="s">
        <v>155</v>
      </c>
      <c r="H21">
        <f>I2</f>
        <v>-1</v>
      </c>
      <c r="I21" t="s">
        <v>48</v>
      </c>
      <c r="J21">
        <f>K2</f>
        <v>-6.9023663911402661E-3</v>
      </c>
    </row>
    <row r="22" spans="1:23" ht="17" thickBot="1" x14ac:dyDescent="0.25"/>
    <row r="23" spans="1:23" ht="17" thickBot="1" x14ac:dyDescent="0.25">
      <c r="A23" s="103"/>
      <c r="B23" s="117">
        <v>2</v>
      </c>
      <c r="C23" s="103">
        <v>1</v>
      </c>
      <c r="D23" s="154">
        <v>0</v>
      </c>
      <c r="E23" s="151">
        <v>-1</v>
      </c>
      <c r="F23" s="118">
        <v>-2</v>
      </c>
      <c r="G23" s="118">
        <v>-3</v>
      </c>
      <c r="H23" s="118">
        <v>-4</v>
      </c>
      <c r="I23" s="118">
        <v>-5</v>
      </c>
      <c r="J23" s="118">
        <v>-6</v>
      </c>
      <c r="K23" s="118">
        <v>-7</v>
      </c>
      <c r="L23" s="118">
        <v>-8</v>
      </c>
      <c r="M23" s="118">
        <v>-9</v>
      </c>
      <c r="N23" s="105">
        <v>-10</v>
      </c>
      <c r="O23" t="s">
        <v>135</v>
      </c>
      <c r="R23" s="186" t="s">
        <v>49</v>
      </c>
      <c r="S23" s="164" t="s">
        <v>130</v>
      </c>
      <c r="T23" s="165" t="s">
        <v>136</v>
      </c>
      <c r="U23" s="185" t="s">
        <v>48</v>
      </c>
      <c r="V23" s="175" t="s">
        <v>47</v>
      </c>
      <c r="W23" s="168" t="s">
        <v>155</v>
      </c>
    </row>
    <row r="24" spans="1:23" x14ac:dyDescent="0.2">
      <c r="A24" s="101">
        <v>1</v>
      </c>
      <c r="B24" s="109">
        <f>C24*B21</f>
        <v>0.18305890770363925</v>
      </c>
      <c r="C24" s="95">
        <f>D24*B21</f>
        <v>0.48892847868253325</v>
      </c>
      <c r="D24" s="95">
        <f>1/(1-B21*D21)</f>
        <v>1.3058695709788941</v>
      </c>
      <c r="E24" s="152">
        <f>D24*D21</f>
        <v>0.81694109229636092</v>
      </c>
      <c r="F24" s="110"/>
      <c r="G24" s="110"/>
      <c r="H24" s="110"/>
      <c r="I24" s="110"/>
      <c r="J24" s="110"/>
      <c r="K24" s="110"/>
      <c r="L24" s="110"/>
      <c r="M24" s="110"/>
      <c r="N24" s="57"/>
      <c r="O24">
        <f>E24+B24</f>
        <v>1.0000000000000002</v>
      </c>
      <c r="R24" s="190">
        <f>B24-E24</f>
        <v>-0.63388218459272161</v>
      </c>
      <c r="S24" s="109">
        <f>SUM(C24:D24)*$B$21*$F$21</f>
        <v>1.1104223095383876</v>
      </c>
      <c r="T24" s="57">
        <f>SUM(C24:D24)*$D$21*$H$21</f>
        <v>-1.122810663275255</v>
      </c>
      <c r="U24" s="183">
        <f>S24+T24</f>
        <v>-1.2388353736867419E-2</v>
      </c>
      <c r="V24" s="109">
        <f>(U24+W24*D24)/B24</f>
        <v>7.0659288502698301</v>
      </c>
      <c r="W24" s="57">
        <f>COUNT(E24:N24)</f>
        <v>1</v>
      </c>
    </row>
    <row r="25" spans="1:23" x14ac:dyDescent="0.2">
      <c r="A25" s="99">
        <v>2</v>
      </c>
      <c r="B25" s="93">
        <f>C25*B21</f>
        <v>0.26372407842975154</v>
      </c>
      <c r="C25" s="97">
        <f>D25*B21</f>
        <v>0.7043755153797856</v>
      </c>
      <c r="D25" s="97">
        <f>1/(1-B21*D21*2)</f>
        <v>1.8813028739000681</v>
      </c>
      <c r="E25" s="144">
        <f>D25*D21</f>
        <v>1.1769273585202826</v>
      </c>
      <c r="F25" s="1">
        <f>E25*D21</f>
        <v>0.73627592157024868</v>
      </c>
      <c r="G25" s="1"/>
      <c r="H25" s="1"/>
      <c r="I25" s="1"/>
      <c r="J25" s="1"/>
      <c r="K25" s="1"/>
      <c r="L25" s="1"/>
      <c r="M25" s="1"/>
      <c r="N25" s="9"/>
      <c r="O25">
        <f>F25+B25</f>
        <v>1.0000000000000002</v>
      </c>
      <c r="R25" s="191">
        <f>B25-F25</f>
        <v>-0.47255184314049714</v>
      </c>
      <c r="S25" s="93">
        <f>SUM(C25:E25)*$B$21*$F$21</f>
        <v>2.3278838335838383</v>
      </c>
      <c r="T25" s="9">
        <f>SUM(C25:E25)*$D$21*$H$21</f>
        <v>-2.3538547170405653</v>
      </c>
      <c r="U25" s="184">
        <f>S25+T25</f>
        <v>-2.5970883456726934E-2</v>
      </c>
      <c r="V25" s="93">
        <f>(U25+W25*E25)/B25</f>
        <v>8.8269673646955944</v>
      </c>
      <c r="W25" s="9">
        <f>COUNT(E25:N25)</f>
        <v>2</v>
      </c>
    </row>
    <row r="26" spans="1:23" x14ac:dyDescent="0.2">
      <c r="A26" s="99">
        <v>3</v>
      </c>
      <c r="B26" s="93">
        <f>C26*B21</f>
        <v>0.30480646215969731</v>
      </c>
      <c r="C26" s="97">
        <f>D26*B21</f>
        <v>0.81410165561357828</v>
      </c>
      <c r="D26" s="97">
        <f>1/(1-B21*D21-D21*B21/(1-D21*B21))</f>
        <v>2.1743682892311136</v>
      </c>
      <c r="E26" s="144">
        <f>D26*D21/(1-B21*D21)</f>
        <v>1.7763308052590356</v>
      </c>
      <c r="F26" s="1">
        <f>E26*(D21)</f>
        <v>1.1112577094818032</v>
      </c>
      <c r="G26" s="1">
        <f>F26*D21</f>
        <v>0.69519353784030335</v>
      </c>
      <c r="H26" s="1"/>
      <c r="I26" s="1"/>
      <c r="J26" s="1"/>
      <c r="K26" s="1"/>
      <c r="L26" s="1"/>
      <c r="M26" s="1"/>
      <c r="N26" s="9"/>
      <c r="O26">
        <f>G26+B26</f>
        <v>1.0000000000000007</v>
      </c>
      <c r="R26" s="191">
        <f>B26-G26</f>
        <v>-0.39038707568060604</v>
      </c>
      <c r="S26" s="93">
        <f>SUM(C26:F26)*$B$21*$F$21</f>
        <v>3.6354543659697041</v>
      </c>
      <c r="T26" s="9">
        <f>SUM(C26:F26)*$D$21*$H$21</f>
        <v>-3.6760130743935231</v>
      </c>
      <c r="U26" s="184">
        <f t="shared" ref="U26:U33" si="2">S26+T26</f>
        <v>-4.0558708423819034E-2</v>
      </c>
      <c r="V26" s="93">
        <f>(U26+W26*F26)/B26</f>
        <v>10.804280187131257</v>
      </c>
      <c r="W26" s="9">
        <f>COUNT(E26:N26)</f>
        <v>3</v>
      </c>
    </row>
    <row r="27" spans="1:23" x14ac:dyDescent="0.2">
      <c r="A27" s="99">
        <v>4</v>
      </c>
      <c r="B27" s="93">
        <f>C27*B21</f>
        <v>0.32727161522588344</v>
      </c>
      <c r="C27" s="97">
        <f>D27*B21</f>
        <v>0.87410339630899858</v>
      </c>
      <c r="D27" s="97">
        <f>1/(1-B21*D21-D21*B21/(1-D21*B21/(1-D21*B21)))</f>
        <v>2.3346257722704515</v>
      </c>
      <c r="E27" s="144">
        <f>D27*D21/(1-D21*B21/(1-D21*B21))</f>
        <v>2.1041036596265457</v>
      </c>
      <c r="F27" s="1">
        <f>E27*D21/(1-B21*D21)</f>
        <v>1.7189287420000805</v>
      </c>
      <c r="G27" s="1">
        <f>F27*D21</f>
        <v>1.0753474583349882</v>
      </c>
      <c r="H27" s="1">
        <f>G27*D21</f>
        <v>0.67272838477411712</v>
      </c>
      <c r="I27" s="1"/>
      <c r="J27" s="1"/>
      <c r="K27" s="1"/>
      <c r="L27" s="1"/>
      <c r="M27" s="1"/>
      <c r="N27" s="9"/>
      <c r="O27">
        <f>H27+B27</f>
        <v>1.0000000000000004</v>
      </c>
      <c r="R27" s="191">
        <f>B27-H27</f>
        <v>-0.34545676954823368</v>
      </c>
      <c r="S27" s="93">
        <f>SUM(C27:G27)*$B$21*$F$21</f>
        <v>5.0157814317049709</v>
      </c>
      <c r="T27" s="9">
        <f>SUM(C27:G27)*$D$21*$H$21</f>
        <v>-5.0717396685928824</v>
      </c>
      <c r="U27" s="184">
        <f t="shared" si="2"/>
        <v>-5.5958236887911461E-2</v>
      </c>
      <c r="V27" s="93">
        <f>(U27+W27*G27)/B27</f>
        <v>12.972196178766794</v>
      </c>
      <c r="W27" s="9">
        <f t="shared" ref="W27:W33" si="3">COUNT(E27:N27)</f>
        <v>4</v>
      </c>
    </row>
    <row r="28" spans="1:23" x14ac:dyDescent="0.2">
      <c r="A28" s="99">
        <v>5</v>
      </c>
      <c r="B28" s="93">
        <f>C28*B21</f>
        <v>0.3400353831838025</v>
      </c>
      <c r="C28" s="97">
        <f>D28*B21</f>
        <v>0.90819389607328926</v>
      </c>
      <c r="D28" s="97">
        <f>1/(1-B21*D21-D21*B21/(1-D21*B21/(1-D21*B21/(1-D21*B21))))</f>
        <v>2.4256774255134941</v>
      </c>
      <c r="E28" s="144">
        <f>D28*D21/(1-D21*B21/(1-D21*B21/(1-D21*B21)))</f>
        <v>2.2903305971295316</v>
      </c>
      <c r="F28" s="1">
        <f>E28*D21/(1-B21*D21/(1-B21*D21))</f>
        <v>2.0641822121616831</v>
      </c>
      <c r="G28" s="1">
        <f>F28*D21/(1-B21*D21)</f>
        <v>1.6863152711020839</v>
      </c>
      <c r="H28" s="1">
        <f>G28*D21</f>
        <v>1.0549447434459256</v>
      </c>
      <c r="I28" s="1">
        <f>H28*D21</f>
        <v>0.659964616816198</v>
      </c>
      <c r="J28" s="1"/>
      <c r="K28" s="1"/>
      <c r="L28" s="1"/>
      <c r="M28" s="1"/>
      <c r="N28" s="9"/>
      <c r="O28">
        <f>I28+B28</f>
        <v>1.0000000000000004</v>
      </c>
      <c r="R28" s="191">
        <f>B28-I28</f>
        <v>-0.3199292336323955</v>
      </c>
      <c r="S28" s="93">
        <f>SUM(C28:H28)*$B$21*$F$21</f>
        <v>6.452709006348754</v>
      </c>
      <c r="T28" s="9">
        <f>SUM(C28:H28)*$D$21*$H$21</f>
        <v>-6.5246982315696957</v>
      </c>
      <c r="U28" s="184">
        <f t="shared" si="2"/>
        <v>-7.1989225220941755E-2</v>
      </c>
      <c r="V28" s="93">
        <f>(U28+W28*H28)/B28</f>
        <v>15.300567968235248</v>
      </c>
      <c r="W28" s="9">
        <f t="shared" si="3"/>
        <v>5</v>
      </c>
    </row>
    <row r="29" spans="1:23" x14ac:dyDescent="0.2">
      <c r="A29" s="99">
        <v>6</v>
      </c>
      <c r="B29" s="93">
        <f>C29*B21</f>
        <v>0.34744525495359418</v>
      </c>
      <c r="C29" s="97">
        <f>D29*B21</f>
        <v>0.9279847785661649</v>
      </c>
      <c r="D29" s="97">
        <f>1/(1-B21*D21-D21*B21/(1-D21*B21/(1-D21*B21/(1-D21*B21/(1-D21*B21)))))</f>
        <v>2.4785365089113469</v>
      </c>
      <c r="E29" s="144">
        <f>D29*D21/(1-B21*D21/(1-D21*B21/(1-D21*B21/(1-D21*B21))))</f>
        <v>2.3984426947113442</v>
      </c>
      <c r="F29" s="1">
        <f>E29*D21/(1-D21*B21/(1-D21*B21/(1-D21*B21)))</f>
        <v>2.2646154972548875</v>
      </c>
      <c r="G29" s="1">
        <f>F29*D21/(1-D21*B21/(1-D21*B21))</f>
        <v>2.0410062340685085</v>
      </c>
      <c r="H29" s="1">
        <f>G29*D21/(1-D21*B21)</f>
        <v>1.6673818622436094</v>
      </c>
      <c r="I29" s="1">
        <f>H29*D21</f>
        <v>1.0431001610638266</v>
      </c>
      <c r="J29" s="1">
        <f>I29*D21</f>
        <v>0.65255474504640654</v>
      </c>
      <c r="K29" s="1"/>
      <c r="L29" s="1"/>
      <c r="M29" s="1"/>
      <c r="N29" s="9"/>
      <c r="O29">
        <f>J29+B29</f>
        <v>1.0000000000000007</v>
      </c>
      <c r="R29" s="191">
        <f>B29-J29</f>
        <v>-0.30510949009281235</v>
      </c>
      <c r="S29" s="93">
        <f>SUM(C29:I29)*$B$21*$F$21</f>
        <v>7.93225714155031</v>
      </c>
      <c r="T29" s="9">
        <f>SUM(C29:I29)*$D$21*$H$21</f>
        <v>-8.0207528485954676</v>
      </c>
      <c r="U29" s="184">
        <f t="shared" si="2"/>
        <v>-8.8495707045157523E-2</v>
      </c>
      <c r="V29" s="93">
        <f>(U29+W29*I29)/B29</f>
        <v>17.758496256228625</v>
      </c>
      <c r="W29" s="9">
        <f t="shared" si="3"/>
        <v>6</v>
      </c>
    </row>
    <row r="30" spans="1:23" x14ac:dyDescent="0.2">
      <c r="A30" s="99">
        <v>7</v>
      </c>
      <c r="B30" s="93">
        <f>C30*B21</f>
        <v>0.35180090573995121</v>
      </c>
      <c r="C30" s="97">
        <f>D30*B21</f>
        <v>0.93961820159572662</v>
      </c>
      <c r="D30" s="97">
        <f>1/(1-B21*D21-D21*B21/(1-D21*B21/(1-D21*B21/(1-D21*B21/(1-D21*B21/(1-D21*B21))))))</f>
        <v>2.5096079923756878</v>
      </c>
      <c r="E30" s="144">
        <f>D30*D21/(1-D21*B21/(1-D21*B21/(1-D21*B21/(1-D21*B21/(1-D21*B21)))))</f>
        <v>2.4619928555611805</v>
      </c>
      <c r="F30" s="1">
        <f>E30*D21/(1-D21*B21/(1-D21*B21/(1-D21*B21/(1-D21*B21))))</f>
        <v>2.3824336488978646</v>
      </c>
      <c r="G30" s="1">
        <f>F30*D21/(1-D21*B21/(1-D21*B21/(1-D21*B21)))</f>
        <v>2.2494997167839128</v>
      </c>
      <c r="H30" s="1">
        <f>G30*D21/(1-D21*B21/(1-D21*B21))</f>
        <v>2.0273829932969658</v>
      </c>
      <c r="I30" s="1">
        <f>H30*D21/(1-D21*B21)</f>
        <v>1.6562524770470892</v>
      </c>
      <c r="J30" s="1">
        <f>I30*D21</f>
        <v>1.0361377106774403</v>
      </c>
      <c r="K30" s="1">
        <f>J30*D21</f>
        <v>0.64819909426004974</v>
      </c>
      <c r="L30" s="1"/>
      <c r="M30" s="1"/>
      <c r="N30" s="9"/>
      <c r="O30">
        <f>K30+B30</f>
        <v>1.0000000000000009</v>
      </c>
      <c r="R30" s="191">
        <f>B30-K30</f>
        <v>-0.29639818852009853</v>
      </c>
      <c r="S30" s="93">
        <f>SUM(C30:J30)*$B$21*$F$21</f>
        <v>9.443008417622222</v>
      </c>
      <c r="T30" s="9">
        <f>SUM(C30:J30)*$D$21*$H$21</f>
        <v>-9.548358722288155</v>
      </c>
      <c r="U30" s="184">
        <f t="shared" si="2"/>
        <v>-0.10535030466593298</v>
      </c>
      <c r="V30" s="93">
        <f>(U30+W30*J30)/B30</f>
        <v>20.317212245495512</v>
      </c>
      <c r="W30" s="9">
        <f t="shared" si="3"/>
        <v>7</v>
      </c>
    </row>
    <row r="31" spans="1:23" x14ac:dyDescent="0.2">
      <c r="A31" s="99">
        <v>8</v>
      </c>
      <c r="B31" s="93">
        <f>C31*B21</f>
        <v>0.35438000268705383</v>
      </c>
      <c r="C31" s="97">
        <f>D31*B21</f>
        <v>0.94650666150483476</v>
      </c>
      <c r="D31" s="97">
        <f>1/(1-B21*D21-D21*B21/(1-D21*B21/(1-D21*B21/(1-D21*B21/(1-D21*B21/(1-D21*B21/(1-D21*B21)))))))</f>
        <v>2.5280062460639399</v>
      </c>
      <c r="E31" s="144">
        <f>D31*D21/(1-D21*B21/(1-D21*B21/(1-D21*B21/(1-D21*B21/(1-D21*B21/(1-D21*B21))))))</f>
        <v>2.4996225999725268</v>
      </c>
      <c r="F31" s="1">
        <f>E31*D21/(1-D21*B21/(1-D21*B21/(1-D21*B21/(1-D21*B21/(1-D21*B21)))))</f>
        <v>2.4521969173783069</v>
      </c>
      <c r="G31" s="1">
        <f>F31*D21/(1-D21*B21/(1-D21*B21/(1-D21*B21/(1-D21*B21))))</f>
        <v>2.3729542660894682</v>
      </c>
      <c r="H31" s="1">
        <f>G31*D21/(1-D21*B21/(1-D21*B21/(1-D21*B21)))</f>
        <v>2.2405492601982115</v>
      </c>
      <c r="I31" s="1">
        <f>H31*D21/(1-D21*B21/(1-D21*B21))</f>
        <v>2.019316309256642</v>
      </c>
      <c r="J31" s="1">
        <f>I31*D21/(1-D21*B21)</f>
        <v>1.6496624713759771</v>
      </c>
      <c r="K31" s="1">
        <f>J31*D21</f>
        <v>1.0320150581929646</v>
      </c>
      <c r="L31" s="1">
        <f>K31*D21</f>
        <v>0.64561999731294706</v>
      </c>
      <c r="M31" s="1"/>
      <c r="N31" s="9"/>
      <c r="O31">
        <f>L31+B31</f>
        <v>1.0000000000000009</v>
      </c>
      <c r="R31" s="191">
        <f>B31-L31</f>
        <v>-0.29123999462589323</v>
      </c>
      <c r="S31" s="93">
        <f>SUM(C31:K31)*$B$21*$F$21</f>
        <v>10.976061174287505</v>
      </c>
      <c r="T31" s="9">
        <f>SUM(C31:K31)*$D$21*$H$21</f>
        <v>-11.09851488158117</v>
      </c>
      <c r="U31" s="184">
        <f t="shared" si="2"/>
        <v>-0.12245370729366556</v>
      </c>
      <c r="V31" s="93">
        <f>(U31+W31*K31)/B31</f>
        <v>22.951822045762373</v>
      </c>
      <c r="W31" s="9">
        <f t="shared" si="3"/>
        <v>8</v>
      </c>
    </row>
    <row r="32" spans="1:23" x14ac:dyDescent="0.2">
      <c r="A32" s="99">
        <v>9</v>
      </c>
      <c r="B32" s="93">
        <f>C32*B21</f>
        <v>0.35591376428051225</v>
      </c>
      <c r="C32" s="97">
        <f>D32*B21</f>
        <v>0.9506031555348623</v>
      </c>
      <c r="D32" s="97">
        <f>1/(1-B21*D21-D21*B21/(1-D21*B21/(1-D21*B21/(1-D21*B21/(1-D21*B21/(1-D21*B21/(1-D21*B21/(1-D21*B21))))))))</f>
        <v>2.5389474923499495</v>
      </c>
      <c r="E32" s="144">
        <f>D32*D21/(1-D21*B21/(1-D21*B21/(1-D21*B21/(1-D21*B21/(1-D21*B21/(1-D21*B21/(1-D21*B21)))))))</f>
        <v>2.5220006097695671</v>
      </c>
      <c r="F32" s="1">
        <f>E32*D21/(1-D21*B21/(1-D21*B21/(1-D21*B21/(1-D21*B21/(1-D21*B21/(1-D21*B21))))))</f>
        <v>2.4936843930428556</v>
      </c>
      <c r="G32" s="1">
        <f>F32*D21/(1-D21*B21/(1-D21*B21/(1-D21*B21/(1-D21*B21/(1-D21*B21)))))</f>
        <v>2.4463713768635693</v>
      </c>
      <c r="H32" s="1">
        <f>G32*D21/(1-D21*B21/(1-D21*B21/(1-D21*B21/(1-D21*B21))))</f>
        <v>2.3673169776976768</v>
      </c>
      <c r="I32" s="1">
        <f>H32*D21/(1-D21*B21/(1-D21*B21/(1-D21*B21)))</f>
        <v>2.2352265186198133</v>
      </c>
      <c r="J32" s="1">
        <f>I32*D21/(1-D21*B21/(1-D21*B21))</f>
        <v>2.0145191378352614</v>
      </c>
      <c r="K32" s="1">
        <f>J32*D21/(1-D21*B21)</f>
        <v>1.6457434649150615</v>
      </c>
      <c r="L32" s="1">
        <f>K32*D21</f>
        <v>1.0295633604966188</v>
      </c>
      <c r="M32" s="1">
        <f>L32*D21</f>
        <v>0.64408623571948886</v>
      </c>
      <c r="N32" s="9"/>
      <c r="O32">
        <f>M32+B32</f>
        <v>1.0000000000000011</v>
      </c>
      <c r="R32" s="191">
        <f>B32-M32</f>
        <v>-0.28817247143897662</v>
      </c>
      <c r="S32" s="93">
        <f>SUM(C32:L32)*$B$21*$F$21</f>
        <v>12.524731197092033</v>
      </c>
      <c r="T32" s="9">
        <f>SUM(C32:L32)*$D$21*$H$21</f>
        <v>-12.664462540019802</v>
      </c>
      <c r="U32" s="184">
        <f t="shared" si="2"/>
        <v>-0.13973134292776912</v>
      </c>
      <c r="V32" s="93">
        <f>(U32+W32*L32)/B32</f>
        <v>25.641994824198218</v>
      </c>
      <c r="W32" s="9">
        <f t="shared" si="3"/>
        <v>9</v>
      </c>
    </row>
    <row r="33" spans="1:23" ht="17" thickBot="1" x14ac:dyDescent="0.25">
      <c r="A33" s="100">
        <v>10</v>
      </c>
      <c r="B33" s="94">
        <f>C33*B21</f>
        <v>0.35682821953299271</v>
      </c>
      <c r="C33" s="145">
        <f>D33*B21</f>
        <v>0.95304555629550902</v>
      </c>
      <c r="D33" s="145">
        <f>1/(1-B21*D21-D21*B21/(1-D21*B21/(1-D21*B21/(1-D21*B21/(1-D21*B21/(1-D21*B21/(1-D21*B21/(1-D21*B21/(1-D21*B21)))))))))</f>
        <v>2.5454708530714574</v>
      </c>
      <c r="E33" s="153">
        <f>D33*D21/(1-D21*B21/(1-D21*B21/(1-D21*B21/(1-D21*B21/(1-D21*B21/(1-D21*B21/(1-D21*B21/(1-D21*B21))))))))</f>
        <v>2.5353427671728039</v>
      </c>
      <c r="F33" s="111">
        <f>E33*D21/(1-D21*B21/(1-D21*B21/(1-D21*B21/(1-D21*B21/(1-D21*B21/(1-D21*B21/(1-D21*B21)))))))</f>
        <v>2.518419945292572</v>
      </c>
      <c r="G33" s="111">
        <f>F33*D21/(1-D21*B21/(1-D21*B21/(1-D21*B21/(1-D21*B21/(1-D21*B21/(1-D21*B21))))))</f>
        <v>2.4901439311221019</v>
      </c>
      <c r="H33" s="111">
        <f>G33*D21/(1-D21*B21/(1-D21*B21/(1-D21*B21/(1-D21*B21/(1-D21*B21)))))</f>
        <v>2.4428980886126697</v>
      </c>
      <c r="I33" s="111">
        <f>H33*D21/(1-D21*B21/(1-D21*B21/(1-D21*B21/(1-D21*B21))))</f>
        <v>2.3639559286261598</v>
      </c>
      <c r="J33" s="111">
        <f>I33*D21/(1-D21*B21/(1-D21*B21/(1-D21*B21)))</f>
        <v>2.2320530078116647</v>
      </c>
      <c r="K33" s="111">
        <f>J33*D21/(1-D21*B21/(1-D21*B21))</f>
        <v>2.0116589810664118</v>
      </c>
      <c r="L33" s="111">
        <f>K33*D21/(1-D21*B21)</f>
        <v>1.6434068853201789</v>
      </c>
      <c r="M33" s="111">
        <f>L33*D21</f>
        <v>1.0281016158255565</v>
      </c>
      <c r="N33" s="10">
        <f>M33*D21</f>
        <v>0.6431717804670084</v>
      </c>
      <c r="O33">
        <f>N33+B33</f>
        <v>1.0000000000000011</v>
      </c>
      <c r="R33" s="192">
        <f>B33-N33</f>
        <v>-0.2863435609340157</v>
      </c>
      <c r="S33" s="94">
        <f>SUM(C33:M33)*$B$21*$F$21</f>
        <v>14.084150560039753</v>
      </c>
      <c r="T33" s="10">
        <f>SUM(C33:M33)*$D$21*$H$21</f>
        <v>-14.24127946291059</v>
      </c>
      <c r="U33" s="184">
        <f t="shared" si="2"/>
        <v>-0.15712890287083781</v>
      </c>
      <c r="V33" s="94">
        <f>(U33+W33*M33)/B33</f>
        <v>28.371879524087532</v>
      </c>
      <c r="W33" s="10">
        <f t="shared" si="3"/>
        <v>10</v>
      </c>
    </row>
    <row r="35" spans="1:23" x14ac:dyDescent="0.2">
      <c r="A35" s="354" t="s">
        <v>140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</row>
    <row r="36" spans="1:23" x14ac:dyDescent="0.2">
      <c r="A36" t="s">
        <v>123</v>
      </c>
      <c r="B36">
        <f>$C$2</f>
        <v>0.37440835558793756</v>
      </c>
      <c r="C36" t="s">
        <v>124</v>
      </c>
      <c r="D36">
        <f>$E$2</f>
        <v>0.6255916444120625</v>
      </c>
      <c r="E36" t="s">
        <v>47</v>
      </c>
      <c r="F36">
        <f>G2</f>
        <v>1.6524451679220342</v>
      </c>
      <c r="G36" t="s">
        <v>180</v>
      </c>
      <c r="H36">
        <f>I2</f>
        <v>-1</v>
      </c>
      <c r="I36" t="s">
        <v>48</v>
      </c>
      <c r="J36">
        <f>K2</f>
        <v>-6.9023663911402661E-3</v>
      </c>
    </row>
    <row r="37" spans="1:23" ht="17" thickBot="1" x14ac:dyDescent="0.25"/>
    <row r="38" spans="1:23" ht="17" thickBot="1" x14ac:dyDescent="0.25">
      <c r="A38" s="103"/>
      <c r="B38" s="103">
        <v>3</v>
      </c>
      <c r="C38" s="154">
        <v>2</v>
      </c>
      <c r="D38" s="114">
        <v>1</v>
      </c>
      <c r="E38" s="154">
        <v>0</v>
      </c>
      <c r="F38" s="151">
        <v>-1</v>
      </c>
      <c r="G38" s="118">
        <v>-2</v>
      </c>
      <c r="H38" s="118">
        <v>-3</v>
      </c>
      <c r="I38" s="118">
        <v>-4</v>
      </c>
      <c r="J38" s="118">
        <v>-5</v>
      </c>
      <c r="K38" s="118">
        <v>-6</v>
      </c>
      <c r="L38" s="118">
        <v>-7</v>
      </c>
      <c r="M38" s="118">
        <v>-8</v>
      </c>
      <c r="N38" s="118">
        <v>-9</v>
      </c>
      <c r="O38" s="105">
        <v>-10</v>
      </c>
      <c r="P38" t="s">
        <v>135</v>
      </c>
      <c r="R38" s="186" t="s">
        <v>49</v>
      </c>
      <c r="S38" s="164" t="s">
        <v>130</v>
      </c>
      <c r="T38" s="165" t="s">
        <v>136</v>
      </c>
      <c r="U38" s="185" t="s">
        <v>48</v>
      </c>
      <c r="V38" s="175" t="s">
        <v>47</v>
      </c>
      <c r="W38" s="168" t="s">
        <v>155</v>
      </c>
    </row>
    <row r="39" spans="1:23" x14ac:dyDescent="0.2">
      <c r="A39" s="101">
        <v>1</v>
      </c>
      <c r="B39" s="101">
        <f>C39*$B$36</f>
        <v>9.8740498533827548E-2</v>
      </c>
      <c r="C39" s="95">
        <f>D39*$B$36</f>
        <v>0.26372407842975154</v>
      </c>
      <c r="D39" s="171">
        <f t="shared" ref="D39:D48" si="4">E39*$B$36/(1-$B$36*$D$36)</f>
        <v>0.7043755153797856</v>
      </c>
      <c r="E39" s="171">
        <f>1/(1-D36*B36/(1-D36*B36))</f>
        <v>1.4406514369500341</v>
      </c>
      <c r="F39" s="152">
        <f>E39*D36</f>
        <v>0.90125950146617262</v>
      </c>
      <c r="G39" s="110"/>
      <c r="H39" s="110"/>
      <c r="I39" s="110"/>
      <c r="J39" s="110"/>
      <c r="K39" s="110"/>
      <c r="L39" s="110"/>
      <c r="M39" s="110"/>
      <c r="N39" s="110"/>
      <c r="O39" s="57"/>
      <c r="P39">
        <f>F39+B39</f>
        <v>1.0000000000000002</v>
      </c>
      <c r="R39" s="190">
        <f>B39-F39</f>
        <v>-0.80251900293234502</v>
      </c>
      <c r="S39" s="109">
        <f>SUM(C39:E39)*$B$36*$H$36</f>
        <v>-0.90185651244744069</v>
      </c>
      <c r="T39" s="57">
        <f>SUM(C39:E39)*$D$36*$H$36</f>
        <v>-1.5068945183121307</v>
      </c>
      <c r="U39" s="183">
        <f>S39+T39</f>
        <v>-2.4087510307595714</v>
      </c>
      <c r="V39" s="109">
        <f>(U39+W39*D39)/B39</f>
        <v>-17.261159713467347</v>
      </c>
      <c r="W39" s="57">
        <f>COUNT(F39:O39)</f>
        <v>1</v>
      </c>
    </row>
    <row r="40" spans="1:23" x14ac:dyDescent="0.2">
      <c r="A40" s="99">
        <v>2</v>
      </c>
      <c r="B40" s="99">
        <f>C40*$B$36</f>
        <v>0.14902855983634591</v>
      </c>
      <c r="C40" s="97">
        <f>D40*$B$36</f>
        <v>0.39803748397207839</v>
      </c>
      <c r="D40" s="172">
        <f t="shared" si="4"/>
        <v>1.0631105797493108</v>
      </c>
      <c r="E40" s="172">
        <f>1/(1-D36*B36-B36*D36/(1-D36*B36))</f>
        <v>2.1743682892311136</v>
      </c>
      <c r="F40" s="144">
        <f>E40*D36</f>
        <v>1.3602666336175355</v>
      </c>
      <c r="G40" s="1">
        <f>F40*D36</f>
        <v>0.85097144016365456</v>
      </c>
      <c r="H40" s="1"/>
      <c r="I40" s="1"/>
      <c r="J40" s="1"/>
      <c r="K40" s="1"/>
      <c r="L40" s="1"/>
      <c r="M40" s="1"/>
      <c r="N40" s="1"/>
      <c r="O40" s="9"/>
      <c r="P40">
        <f>G40+B40</f>
        <v>1.0000000000000004</v>
      </c>
      <c r="R40" s="191">
        <f>B40-G40</f>
        <v>-0.70194288032730867</v>
      </c>
      <c r="S40" s="93">
        <f>SUM(C40:F40)*$B$36*$H$36</f>
        <v>-1.8704628928758835</v>
      </c>
      <c r="T40" s="9">
        <f>SUM(C40:F40)*$D$36*$H$36</f>
        <v>-3.125320093694155</v>
      </c>
      <c r="U40" s="184">
        <f>S40+T40</f>
        <v>-4.9957829865700383</v>
      </c>
      <c r="V40" s="93">
        <f>(U40+W40*E40)/B40</f>
        <v>-4.3417611283257251</v>
      </c>
      <c r="W40" s="9">
        <f>COUNT(F40:O40)</f>
        <v>2</v>
      </c>
    </row>
    <row r="41" spans="1:23" x14ac:dyDescent="0.2">
      <c r="A41" s="99">
        <v>3</v>
      </c>
      <c r="B41" s="99">
        <f t="shared" ref="B41:C41" si="5">C41*$B$36</f>
        <v>0.17652766996561892</v>
      </c>
      <c r="C41" s="97">
        <f t="shared" si="5"/>
        <v>0.47148432274812768</v>
      </c>
      <c r="D41" s="172">
        <f t="shared" si="4"/>
        <v>1.259278313935464</v>
      </c>
      <c r="E41" s="172">
        <f>1/(1-B36*D36/(1-D36*B36)-D36*B36/(1-D36*B36))</f>
        <v>2.5755879823746728</v>
      </c>
      <c r="F41" s="144">
        <f>E41*D36/(1-B36*D36)</f>
        <v>2.1041036596265457</v>
      </c>
      <c r="G41" s="1">
        <f>F41*(D36)</f>
        <v>1.3163096684392093</v>
      </c>
      <c r="H41" s="1">
        <f>G41*D36</f>
        <v>0.82347233003438169</v>
      </c>
      <c r="I41" s="1"/>
      <c r="J41" s="1"/>
      <c r="K41" s="1"/>
      <c r="L41" s="1"/>
      <c r="M41" s="1"/>
      <c r="N41" s="1"/>
      <c r="O41" s="9"/>
      <c r="P41">
        <f>H41+B41</f>
        <v>1.0000000000000007</v>
      </c>
      <c r="R41" s="191">
        <f>B41-H41</f>
        <v>-0.64694466006876272</v>
      </c>
      <c r="S41" s="93">
        <f>SUM(C41:G41)*$B$36*$H$36</f>
        <v>-2.8929649834588655</v>
      </c>
      <c r="T41" s="9">
        <f>SUM(C41:G41)*$D$36*$H$36</f>
        <v>-4.8337989636651537</v>
      </c>
      <c r="U41" s="184">
        <f t="shared" ref="U41:U48" si="6">S41+T41</f>
        <v>-7.7267639471240193</v>
      </c>
      <c r="V41" s="93">
        <f>(U41+W41*F41)/B41</f>
        <v>-8.0126416924885806</v>
      </c>
      <c r="W41" s="9">
        <f t="shared" ref="W41:W48" si="7">COUNT(F41:O41)</f>
        <v>3</v>
      </c>
    </row>
    <row r="42" spans="1:23" x14ac:dyDescent="0.2">
      <c r="A42" s="99">
        <v>4</v>
      </c>
      <c r="B42" s="99">
        <f t="shared" ref="B42:C42" si="8">C42*$B$36</f>
        <v>0.19215152348245085</v>
      </c>
      <c r="C42" s="97">
        <f t="shared" si="8"/>
        <v>0.51321376944356167</v>
      </c>
      <c r="D42" s="172">
        <f t="shared" si="4"/>
        <v>1.3707326820675689</v>
      </c>
      <c r="E42" s="172">
        <f>1/(1-B36*D36/(1-D36*B36)-D36*B36/(1-D36*B36/(1-D36*B36)))</f>
        <v>2.8035443665730932</v>
      </c>
      <c r="F42" s="144">
        <f>E42*D36/(1-D36*B36/(1-D36*B36))</f>
        <v>2.5267209981559628</v>
      </c>
      <c r="G42" s="1">
        <f>F42*D36/(1-B36*D36)</f>
        <v>2.0641822121616835</v>
      </c>
      <c r="H42" s="1">
        <f>G42*D36</f>
        <v>1.2913351444723564</v>
      </c>
      <c r="I42" s="1">
        <f>H42*D36</f>
        <v>0.80784847651754976</v>
      </c>
      <c r="J42" s="1"/>
      <c r="K42" s="1"/>
      <c r="L42" s="1"/>
      <c r="M42" s="1"/>
      <c r="N42" s="1"/>
      <c r="O42" s="9"/>
      <c r="P42">
        <f>I42+B42</f>
        <v>1.0000000000000007</v>
      </c>
      <c r="R42" s="191">
        <f>B42-I42</f>
        <v>-0.61569695303509886</v>
      </c>
      <c r="S42" s="93">
        <f>SUM(C42:H42)*$B$36*$H$36</f>
        <v>-3.95739491862569</v>
      </c>
      <c r="T42" s="9">
        <f>SUM(C42:H42)*$D$36*$H$36</f>
        <v>-6.6123342542485357</v>
      </c>
      <c r="U42" s="184">
        <f t="shared" si="6"/>
        <v>-10.569729172874226</v>
      </c>
      <c r="V42" s="93">
        <f>(U42+W42*G42)/B42</f>
        <v>-12.037376973692002</v>
      </c>
      <c r="W42" s="9">
        <f t="shared" si="7"/>
        <v>4</v>
      </c>
    </row>
    <row r="43" spans="1:23" x14ac:dyDescent="0.2">
      <c r="A43" s="99">
        <v>5</v>
      </c>
      <c r="B43" s="99">
        <f t="shared" ref="B43:C43" si="9">C43*$B$36</f>
        <v>0.20122178796010506</v>
      </c>
      <c r="C43" s="97">
        <f t="shared" si="9"/>
        <v>0.53743936254874514</v>
      </c>
      <c r="D43" s="172">
        <f t="shared" si="4"/>
        <v>1.4354363478475212</v>
      </c>
      <c r="E43" s="172">
        <f>1/(1-B36*D36/(1-D36*B36)-D36*B36/(1-D36*B36/(1-D36*B36/(1-D36*B36))))</f>
        <v>2.9358820572600886</v>
      </c>
      <c r="F43" s="144">
        <f>E43*D36/(1-D36*B36/(1-D36*B36/(1-D36*B36)))</f>
        <v>2.7720670665362426</v>
      </c>
      <c r="G43" s="1">
        <f>F43*D36/(1-B36*D36/(1-B36*D36))</f>
        <v>2.4983517824172492</v>
      </c>
      <c r="H43" s="1">
        <f>G43*D36/(1-B36*D36)</f>
        <v>2.0410062340685076</v>
      </c>
      <c r="I43" s="1">
        <f>H43*D36</f>
        <v>1.2768364462261885</v>
      </c>
      <c r="J43" s="1">
        <f>I43*D36</f>
        <v>0.7987782120398953</v>
      </c>
      <c r="K43" s="1"/>
      <c r="L43" s="1"/>
      <c r="M43" s="1"/>
      <c r="N43" s="1"/>
      <c r="O43" s="9"/>
      <c r="P43">
        <f>J43+B43</f>
        <v>1.0000000000000004</v>
      </c>
      <c r="R43" s="191">
        <f>B43-J43</f>
        <v>-0.59755642407979026</v>
      </c>
      <c r="S43" s="93">
        <f>SUM(C43:I43)*$B$36*$H$36</f>
        <v>-5.053396800292691</v>
      </c>
      <c r="T43" s="9">
        <f>SUM(C43:I43)*$D$36*$H$36</f>
        <v>-8.4436224966118516</v>
      </c>
      <c r="U43" s="184">
        <f t="shared" si="6"/>
        <v>-13.497019296904543</v>
      </c>
      <c r="V43" s="93">
        <f>(U43+W43*H43)/B43</f>
        <v>-16.359998387523952</v>
      </c>
      <c r="W43" s="9">
        <f t="shared" si="7"/>
        <v>5</v>
      </c>
    </row>
    <row r="44" spans="1:23" x14ac:dyDescent="0.2">
      <c r="A44" s="99">
        <v>6</v>
      </c>
      <c r="B44" s="99">
        <f t="shared" ref="B44:C44" si="10">C44*$B$36</f>
        <v>0.20655344629805641</v>
      </c>
      <c r="C44" s="97">
        <f t="shared" si="10"/>
        <v>0.55167958517833626</v>
      </c>
      <c r="D44" s="172">
        <f t="shared" si="4"/>
        <v>1.4734702816982483</v>
      </c>
      <c r="E44" s="172">
        <f>1/(1-B36*D36/(1-D36*B36)-D36*B36/(1-D36*B36/(1-D36*B36/(1-D36*B36/(1-D36*B36)))))</f>
        <v>3.0136724407395161</v>
      </c>
      <c r="F44" s="144">
        <f>E44*D36/(1-B36*D36/(1-D36*B36/(1-D36*B36/(1-D36*B36))))</f>
        <v>2.9162857290003856</v>
      </c>
      <c r="G44" s="1">
        <f>F44*D36/(1-D36*B36/(1-D36*B36/(1-D36*B36)))</f>
        <v>2.7535641651477407</v>
      </c>
      <c r="H44" s="1">
        <f>G44*D36/(1-D36*B36/(1-D36*B36))</f>
        <v>2.4816758667361705</v>
      </c>
      <c r="I44" s="1">
        <f>H44*D36/(1-D36*B36)</f>
        <v>2.0273829932969654</v>
      </c>
      <c r="J44" s="1">
        <f>I44*D36</f>
        <v>1.268313860629698</v>
      </c>
      <c r="K44" s="1">
        <f>J44*D36</f>
        <v>0.79344655370194417</v>
      </c>
      <c r="L44" s="1"/>
      <c r="M44" s="1"/>
      <c r="N44" s="1"/>
      <c r="O44" s="9"/>
      <c r="P44">
        <f>K44+B44</f>
        <v>1.0000000000000007</v>
      </c>
      <c r="R44" s="191">
        <f>B44-K44</f>
        <v>-0.58689310740388778</v>
      </c>
      <c r="S44" s="93">
        <f>SUM(C44:J44)*$B$36*$H$36</f>
        <v>-6.1725129695547825</v>
      </c>
      <c r="T44" s="9">
        <f>SUM(C44:J44)*$D$36*$H$36</f>
        <v>-10.313531952872276</v>
      </c>
      <c r="U44" s="184">
        <f t="shared" si="6"/>
        <v>-16.486044922427059</v>
      </c>
      <c r="V44" s="93">
        <f>(U44+W44*I44)/B44</f>
        <v>-20.923141395612404</v>
      </c>
      <c r="W44" s="9">
        <f t="shared" si="7"/>
        <v>6</v>
      </c>
    </row>
    <row r="45" spans="1:23" x14ac:dyDescent="0.2">
      <c r="A45" s="99">
        <v>7</v>
      </c>
      <c r="B45" s="99">
        <f t="shared" ref="B45:C45" si="11">C45*$B$36</f>
        <v>0.20971046333566554</v>
      </c>
      <c r="C45" s="97">
        <f t="shared" si="11"/>
        <v>0.56011160062481746</v>
      </c>
      <c r="D45" s="172">
        <f t="shared" si="4"/>
        <v>1.495991187870976</v>
      </c>
      <c r="E45" s="172">
        <f>1/(1-B36*D36/(1-D36*B36)-D36*B36/(1-D36*B36/(1-D36*B36/(1-D36*B36/(1-D36*B36/(1-D36*B36))))))</f>
        <v>3.0597342005973434</v>
      </c>
      <c r="F45" s="144">
        <f>E45*D36/(1-D36*B36/(1-D36*B36/(1-D36*B36/(1-D36*B36/(1-D36*B36)))))</f>
        <v>3.0016814437444475</v>
      </c>
      <c r="G45" s="1">
        <f>F45*D36/(1-D36*B36/(1-D36*B36/(1-D36*B36/(1-D36*B36))))</f>
        <v>2.9046822206228717</v>
      </c>
      <c r="H45" s="1">
        <f>G45*D36/(1-D36*B36/(1-D36*B36/(1-D36*B36)))</f>
        <v>2.7426081039701327</v>
      </c>
      <c r="I45" s="1">
        <f>H45*D36/(1-D36*B36/(1-D36*B36))</f>
        <v>2.4718016125012068</v>
      </c>
      <c r="J45" s="1">
        <f>I45*D36/(1-D36*B36)</f>
        <v>2.019316309256642</v>
      </c>
      <c r="K45" s="1">
        <f>J45*D36</f>
        <v>1.2632674104959596</v>
      </c>
      <c r="L45" s="1">
        <f>K45*D36</f>
        <v>0.79028953666433532</v>
      </c>
      <c r="M45" s="1"/>
      <c r="N45" s="1"/>
      <c r="O45" s="9"/>
      <c r="P45">
        <f>L45+B45</f>
        <v>1.0000000000000009</v>
      </c>
      <c r="R45" s="191">
        <f>B45-L45</f>
        <v>-0.58057907332866976</v>
      </c>
      <c r="S45" s="93">
        <f>SUM(C45:K45)*$B$36*$H$36</f>
        <v>-7.3081493615205249</v>
      </c>
      <c r="T45" s="9">
        <f>SUM(C45:K45)*$D$36*$H$36</f>
        <v>-12.211044728163873</v>
      </c>
      <c r="U45" s="184">
        <f t="shared" si="6"/>
        <v>-19.519194089684397</v>
      </c>
      <c r="V45" s="93">
        <f>(U45+W45*J45)/B45</f>
        <v>-25.673396735909304</v>
      </c>
      <c r="W45" s="9">
        <f t="shared" si="7"/>
        <v>7</v>
      </c>
    </row>
    <row r="46" spans="1:23" x14ac:dyDescent="0.2">
      <c r="A46" s="99">
        <v>8</v>
      </c>
      <c r="B46" s="99">
        <f t="shared" ref="B46:C46" si="12">C46*$B$36</f>
        <v>0.21158790787594098</v>
      </c>
      <c r="C46" s="97">
        <f t="shared" si="12"/>
        <v>0.56512603075773282</v>
      </c>
      <c r="D46" s="172">
        <f t="shared" si="4"/>
        <v>1.5093841318533321</v>
      </c>
      <c r="E46" s="172">
        <f>1/(1-B36*D36/(1-D36*B36)-D36*B36/(1-D36*B36/(1-D36*B36/(1-D36*B36/(1-D36*B36/(1-D36*B36/(1-D36*B36)))))))</f>
        <v>3.0871266405272992</v>
      </c>
      <c r="F46" s="144">
        <f>E46*D36/(1-D36*B36/(1-D36*B36/(1-D36*B36/(1-D36*B36/(1-D36*B36/(1-D36*B36))))))</f>
        <v>3.0524653693613248</v>
      </c>
      <c r="G46" s="1">
        <f>F46*D36/(1-D36*B36/(1-D36*B36/(1-D36*B36/(1-D36*B36/(1-D36*B36)))))</f>
        <v>2.9945505250409181</v>
      </c>
      <c r="H46" s="1">
        <f>G46*D36/(1-D36*B36/(1-D36*B36/(1-D36*B36/(1-D36*B36))))</f>
        <v>2.8977817372894332</v>
      </c>
      <c r="I46" s="1">
        <f>H46*D36/(1-D36*B36/(1-D36*B36/(1-D36*B36)))</f>
        <v>2.7360926506178753</v>
      </c>
      <c r="J46" s="1">
        <f>I46*D36/(1-D36*B36/(1-D36*B36))</f>
        <v>2.4659294982611248</v>
      </c>
      <c r="K46" s="1">
        <f>J46*D36/(1-D36*B36)</f>
        <v>2.0145191378352605</v>
      </c>
      <c r="L46" s="1">
        <f>K46*D36</f>
        <v>1.260266340137931</v>
      </c>
      <c r="M46" s="1">
        <f>L46*D36</f>
        <v>0.78841209212405994</v>
      </c>
      <c r="N46" s="1"/>
      <c r="O46" s="9"/>
      <c r="P46">
        <f>M46+B46</f>
        <v>1.0000000000000009</v>
      </c>
      <c r="R46" s="191">
        <f>B46-M46</f>
        <v>-0.57682418424811899</v>
      </c>
      <c r="S46" s="93">
        <f>SUM(C46:L46)*$B$36*$H$36</f>
        <v>-8.4553545241587909</v>
      </c>
      <c r="T46" s="9">
        <f>SUM(C46:L46)*$D$36*$H$36</f>
        <v>-14.127887537523446</v>
      </c>
      <c r="U46" s="184">
        <f t="shared" si="6"/>
        <v>-22.583242061682235</v>
      </c>
      <c r="V46" s="93">
        <f>(U46+W46*K46)/B46</f>
        <v>-30.564548909817468</v>
      </c>
      <c r="W46" s="9">
        <f t="shared" si="7"/>
        <v>8</v>
      </c>
    </row>
    <row r="47" spans="1:23" x14ac:dyDescent="0.2">
      <c r="A47" s="99">
        <v>9</v>
      </c>
      <c r="B47" s="99">
        <f t="shared" ref="B47:C47" si="13">C47*$B$36</f>
        <v>0.21270727285966329</v>
      </c>
      <c r="C47" s="97">
        <f t="shared" si="13"/>
        <v>0.56811572093696128</v>
      </c>
      <c r="D47" s="172">
        <f t="shared" si="4"/>
        <v>1.517369237245902</v>
      </c>
      <c r="E47" s="172">
        <f>1/(1-B36*D36/(1-D36*B36)-D36*B36/(1-D36*B36/(1-D36*B36/(1-D36*B36/(1-D36*B36/(1-D36*B36/(1-D36*B36/(1-D36*B36))))))))</f>
        <v>3.1034584881097649</v>
      </c>
      <c r="F47" s="144">
        <f>E47*D36/(1-D36*B36/(1-D36*B36/(1-D36*B36/(1-D36*B36/(1-D36*B36/(1-D36*B36/(1-D36*B36)))))))</f>
        <v>3.0827436262429648</v>
      </c>
      <c r="G47" s="1">
        <f>F47*D36/(1-D36*B36/(1-D36*B36/(1-D36*B36/(1-D36*B36/(1-D36*B36/(1-D36*B36))))))</f>
        <v>3.0481315661604098</v>
      </c>
      <c r="H47" s="1">
        <f>G47*D36/(1-D36*B36/(1-D36*B36/(1-D36*B36/(1-D36*B36/(1-D36*B36)))))</f>
        <v>2.9902989476828306</v>
      </c>
      <c r="I47" s="1">
        <f>H47*D36/(1-D36*B36/(1-D36*B36/(1-D36*B36/(1-D36*B36))))</f>
        <v>2.8936675494939976</v>
      </c>
      <c r="J47" s="1">
        <f>I47*D36/(1-D36*B36/(1-D36*B36/(1-D36*B36)))</f>
        <v>2.7322080243723934</v>
      </c>
      <c r="K47" s="1">
        <f>J47*D36/(1-D36*B36/(1-D36*B36))</f>
        <v>2.4624284419477398</v>
      </c>
      <c r="L47" s="1">
        <f>K47*D36/(1-D36*B36)</f>
        <v>2.0116589810664127</v>
      </c>
      <c r="M47" s="1">
        <f>L47*D36</f>
        <v>1.2584770499616311</v>
      </c>
      <c r="N47" s="1">
        <f>M47*D36</f>
        <v>0.78729272714033816</v>
      </c>
      <c r="O47" s="9"/>
      <c r="P47">
        <f>N47+B47</f>
        <v>1.0000000000000013</v>
      </c>
      <c r="R47" s="191">
        <f>B47-N47</f>
        <v>-0.57458545428067487</v>
      </c>
      <c r="S47" s="93">
        <f>SUM(C47:M47)*$B$36*$H$36</f>
        <v>-9.6105224537684801</v>
      </c>
      <c r="T47" s="9">
        <f>SUM(C47:M47)*$D$36*$H$36</f>
        <v>-16.058035179452531</v>
      </c>
      <c r="U47" s="184">
        <f t="shared" si="6"/>
        <v>-25.668557633221013</v>
      </c>
      <c r="V47" s="93">
        <f>(U47+W47*L47)/B47</f>
        <v>-35.558853733287783</v>
      </c>
      <c r="W47" s="9">
        <f t="shared" si="7"/>
        <v>9</v>
      </c>
    </row>
    <row r="48" spans="1:23" ht="17" thickBot="1" x14ac:dyDescent="0.25">
      <c r="A48" s="100">
        <v>10</v>
      </c>
      <c r="B48" s="100">
        <f t="shared" ref="B48:C48" si="14">C48*$B$36</f>
        <v>0.21337567895721779</v>
      </c>
      <c r="C48" s="145">
        <f t="shared" si="14"/>
        <v>0.56990095379188754</v>
      </c>
      <c r="D48" s="173">
        <f t="shared" si="4"/>
        <v>1.5221373809806296</v>
      </c>
      <c r="E48" s="173">
        <f>1/(1-B36*D36/(1-D36*B36)-D36*B36/(1-D36*B36/(1-D36*B36/(1-D36*B36/(1-D36*B36/(1-D36*B36/(1-D36*B36/(1-D36*B36/(1-D36*B36)))))))))</f>
        <v>3.1132107196581824</v>
      </c>
      <c r="F48" s="153">
        <f>E48*D36/(1-D36*B36/(1-D36*B36/(1-D36*B36/(1-D36*B36/(1-D36*B36/(1-D36*B36/(1-D36*B36/(1-D36*B36))))))))</f>
        <v>3.1008236732493577</v>
      </c>
      <c r="G48" s="111">
        <f>F48*D36/(1-D36*B36/(1-D36*B36/(1-D36*B36/(1-D36*B36/(1-D36*B36/(1-D36*B36/(1-D36*B36)))))))</f>
        <v>3.0801263981574696</v>
      </c>
      <c r="H48" s="111">
        <f>G48*D36/(1-D36*B36/(1-D36*B36/(1-D36*B36/(1-D36*B36/(1-D36*B36/(1-D36*B36))))))</f>
        <v>3.0455437234753009</v>
      </c>
      <c r="I48" s="111">
        <f>H48*D36/(1-D36*B36/(1-D36*B36/(1-D36*B36/(1-D36*B36/(1-D36*B36)))))</f>
        <v>2.9877602044920968</v>
      </c>
      <c r="J48" s="111">
        <f>I48*D36/(1-D36*B36/(1-D36*B36/(1-D36*B36/(1-D36*B36))))</f>
        <v>2.8912108456941259</v>
      </c>
      <c r="K48" s="111">
        <f>J48*D36/(1-D36*B36/(1-D36*B36/(1-D36*B36)))</f>
        <v>2.7298883985962088</v>
      </c>
      <c r="L48" s="111">
        <f>K48*D36/(1-D36*B36/(1-D36*B36))</f>
        <v>2.4603378571771071</v>
      </c>
      <c r="M48" s="111">
        <f>L48*D36/(1-D36*B36)</f>
        <v>2.009951096460354</v>
      </c>
      <c r="N48" s="111">
        <f>M48*D36</f>
        <v>1.257408611622461</v>
      </c>
      <c r="O48" s="10">
        <f>N48*D36</f>
        <v>0.78662432104278379</v>
      </c>
      <c r="P48">
        <f>O48+B48</f>
        <v>1.0000000000000016</v>
      </c>
      <c r="R48" s="192">
        <f>B48-O48</f>
        <v>-0.57324864208556603</v>
      </c>
      <c r="S48" s="94">
        <f>SUM(C48:N48)*$B$36*$H$36</f>
        <v>-10.771091844899502</v>
      </c>
      <c r="T48" s="10">
        <f>SUM(C48:N48)*$D$36*$H$36</f>
        <v>-17.99720801845568</v>
      </c>
      <c r="U48" s="184">
        <f t="shared" si="6"/>
        <v>-28.768299863355182</v>
      </c>
      <c r="V48" s="94">
        <f>(U48+W48*M48)/B48</f>
        <v>-40.626883725064801</v>
      </c>
      <c r="W48" s="10">
        <f t="shared" si="7"/>
        <v>10</v>
      </c>
    </row>
  </sheetData>
  <sheetProtection sheet="1" objects="1" scenarios="1"/>
  <mergeCells count="3">
    <mergeCell ref="A4:W4"/>
    <mergeCell ref="A20:W20"/>
    <mergeCell ref="A35:W35"/>
  </mergeCells>
  <phoneticPr fontId="16" type="noConversion"/>
  <conditionalFormatting sqref="R24">
    <cfRule type="cellIs" dxfId="780" priority="35" operator="lessThanOrEqual">
      <formula>0</formula>
    </cfRule>
    <cfRule type="cellIs" dxfId="779" priority="36" operator="greaterThan">
      <formula>0</formula>
    </cfRule>
  </conditionalFormatting>
  <conditionalFormatting sqref="R25:R33">
    <cfRule type="cellIs" dxfId="778" priority="33" operator="lessThanOrEqual">
      <formula>0</formula>
    </cfRule>
    <cfRule type="cellIs" dxfId="777" priority="34" operator="greaterThan">
      <formula>0</formula>
    </cfRule>
  </conditionalFormatting>
  <conditionalFormatting sqref="R8:R17 U8:U17">
    <cfRule type="cellIs" dxfId="776" priority="31" operator="lessThanOrEqual">
      <formula>0</formula>
    </cfRule>
    <cfRule type="cellIs" dxfId="775" priority="32" operator="greaterThan">
      <formula>0</formula>
    </cfRule>
  </conditionalFormatting>
  <conditionalFormatting sqref="R39">
    <cfRule type="cellIs" dxfId="774" priority="21" operator="lessThanOrEqual">
      <formula>0</formula>
    </cfRule>
    <cfRule type="cellIs" dxfId="773" priority="22" operator="greaterThan">
      <formula>0</formula>
    </cfRule>
  </conditionalFormatting>
  <conditionalFormatting sqref="R40:R48">
    <cfRule type="cellIs" dxfId="772" priority="19" operator="lessThanOrEqual">
      <formula>0</formula>
    </cfRule>
    <cfRule type="cellIs" dxfId="771" priority="20" operator="greaterThan">
      <formula>0</formula>
    </cfRule>
  </conditionalFormatting>
  <conditionalFormatting sqref="S8:T17">
    <cfRule type="cellIs" dxfId="770" priority="17" operator="lessThanOrEqual">
      <formula>0</formula>
    </cfRule>
    <cfRule type="cellIs" dxfId="769" priority="18" operator="greaterThan">
      <formula>0</formula>
    </cfRule>
  </conditionalFormatting>
  <conditionalFormatting sqref="S24:T33">
    <cfRule type="cellIs" dxfId="768" priority="15" operator="lessThanOrEqual">
      <formula>0</formula>
    </cfRule>
    <cfRule type="cellIs" dxfId="767" priority="16" operator="greaterThan">
      <formula>0</formula>
    </cfRule>
  </conditionalFormatting>
  <conditionalFormatting sqref="S39:T48">
    <cfRule type="cellIs" dxfId="766" priority="13" operator="lessThanOrEqual">
      <formula>0</formula>
    </cfRule>
    <cfRule type="cellIs" dxfId="765" priority="14" operator="greaterThan">
      <formula>0</formula>
    </cfRule>
  </conditionalFormatting>
  <conditionalFormatting sqref="U24:U33">
    <cfRule type="cellIs" dxfId="764" priority="11" operator="lessThanOrEqual">
      <formula>0</formula>
    </cfRule>
    <cfRule type="cellIs" dxfId="763" priority="12" operator="greaterThan">
      <formula>0</formula>
    </cfRule>
  </conditionalFormatting>
  <conditionalFormatting sqref="U39:U48">
    <cfRule type="cellIs" dxfId="762" priority="9" operator="lessThanOrEqual">
      <formula>0</formula>
    </cfRule>
    <cfRule type="cellIs" dxfId="761" priority="10" operator="greaterThan">
      <formula>0</formula>
    </cfRule>
  </conditionalFormatting>
  <pageMargins left="0.7" right="0.7" top="0.75" bottom="0.75" header="0.3" footer="0.3"/>
  <pageSetup paperSize="9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46"/>
  <sheetViews>
    <sheetView workbookViewId="0">
      <selection activeCell="K9" sqref="K9"/>
    </sheetView>
  </sheetViews>
  <sheetFormatPr baseColWidth="10" defaultColWidth="8.83203125" defaultRowHeight="16" x14ac:dyDescent="0.2"/>
  <cols>
    <col min="3" max="4" width="9" customWidth="1"/>
    <col min="7" max="7" width="9" customWidth="1"/>
    <col min="10" max="10" width="8.83203125" customWidth="1"/>
    <col min="13" max="13" width="9" customWidth="1"/>
  </cols>
  <sheetData>
    <row r="1" spans="1:32" ht="17" thickBot="1" x14ac:dyDescent="0.25">
      <c r="A1" s="315" t="s">
        <v>66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32" ht="17" thickBot="1" x14ac:dyDescent="0.25">
      <c r="A2" s="4" t="s">
        <v>3</v>
      </c>
      <c r="B2" s="21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20">
        <v>11</v>
      </c>
    </row>
    <row r="3" spans="1:32" x14ac:dyDescent="0.2">
      <c r="A3" s="23" t="s">
        <v>0</v>
      </c>
      <c r="B3" s="22">
        <f t="shared" ref="B3:B9" si="0">L3</f>
        <v>0.16652461265724483</v>
      </c>
      <c r="C3" s="2">
        <f>C14</f>
        <v>0.35360813639536137</v>
      </c>
      <c r="D3" s="2">
        <f t="shared" ref="D3:J3" si="1">D14</f>
        <v>0.3738748853821432</v>
      </c>
      <c r="E3" s="2">
        <f t="shared" si="1"/>
        <v>0.39446844550254284</v>
      </c>
      <c r="F3" s="2">
        <f t="shared" si="1"/>
        <v>0.41640366958226238</v>
      </c>
      <c r="G3" s="2">
        <f t="shared" si="1"/>
        <v>0.42315049208499772</v>
      </c>
      <c r="H3" s="2">
        <f t="shared" si="1"/>
        <v>0.2623124083615333</v>
      </c>
      <c r="I3" s="2">
        <f t="shared" si="1"/>
        <v>0.2447412422511914</v>
      </c>
      <c r="J3" s="2">
        <f t="shared" si="1"/>
        <v>0.2284251594344453</v>
      </c>
      <c r="K3" s="2">
        <f>(SUM(M14:T14)+Rules!$B$5*U14)/(8+Rules!$B$5)</f>
        <v>0.22978483300250749</v>
      </c>
      <c r="L3" s="8">
        <f t="shared" ref="L3:L9" si="2">SUM(C24:K24)/9</f>
        <v>0.16652461265724483</v>
      </c>
    </row>
    <row r="4" spans="1:32" x14ac:dyDescent="0.2">
      <c r="A4" s="24">
        <v>17</v>
      </c>
      <c r="B4" s="22">
        <f t="shared" si="0"/>
        <v>0.18891729969077325</v>
      </c>
      <c r="C4" s="2">
        <f t="shared" ref="C4:J4" si="3">C15</f>
        <v>0.13980913952773527</v>
      </c>
      <c r="D4" s="2">
        <f t="shared" si="3"/>
        <v>0.13503398781113993</v>
      </c>
      <c r="E4" s="2">
        <f t="shared" si="3"/>
        <v>0.13048973584959825</v>
      </c>
      <c r="F4" s="2">
        <f t="shared" si="3"/>
        <v>0.12225128527055079</v>
      </c>
      <c r="G4" s="2">
        <f t="shared" si="3"/>
        <v>0.16543817650334638</v>
      </c>
      <c r="H4" s="2">
        <f t="shared" si="3"/>
        <v>0.36856619379423861</v>
      </c>
      <c r="I4" s="2">
        <f t="shared" si="3"/>
        <v>0.12856654444917001</v>
      </c>
      <c r="J4" s="2">
        <f t="shared" si="3"/>
        <v>0.119995441485892</v>
      </c>
      <c r="K4" s="2">
        <f>(SUM(M15:T15)+Rules!$B$5*U15)/(8+Rules!$B$5)</f>
        <v>0.12070970006616517</v>
      </c>
      <c r="L4" s="8">
        <f t="shared" si="2"/>
        <v>0.18891729969077325</v>
      </c>
    </row>
    <row r="5" spans="1:32" x14ac:dyDescent="0.2">
      <c r="A5" s="24">
        <v>18</v>
      </c>
      <c r="B5" s="22">
        <f t="shared" si="0"/>
        <v>0.18891729969077325</v>
      </c>
      <c r="C5" s="2">
        <f t="shared" ref="C5:J5" si="4">C16</f>
        <v>0.13490735037469442</v>
      </c>
      <c r="D5" s="2">
        <f t="shared" si="4"/>
        <v>0.13048232645474483</v>
      </c>
      <c r="E5" s="2">
        <f t="shared" si="4"/>
        <v>0.12593807449320316</v>
      </c>
      <c r="F5" s="2">
        <f t="shared" si="4"/>
        <v>0.12225128527055079</v>
      </c>
      <c r="G5" s="2">
        <f t="shared" si="4"/>
        <v>0.10626657887021028</v>
      </c>
      <c r="H5" s="2">
        <f t="shared" si="4"/>
        <v>0.13779696302500785</v>
      </c>
      <c r="I5" s="2">
        <f t="shared" si="4"/>
        <v>0.35933577521840082</v>
      </c>
      <c r="J5" s="2">
        <f t="shared" si="4"/>
        <v>0.119995441485892</v>
      </c>
      <c r="K5" s="2">
        <f>(SUM(M16:T16)+Rules!$B$5*U16)/(8+Rules!$B$5)</f>
        <v>0.12070970006616517</v>
      </c>
      <c r="L5" s="8">
        <f t="shared" si="2"/>
        <v>0.18891729969077325</v>
      </c>
    </row>
    <row r="6" spans="1:32" x14ac:dyDescent="0.2">
      <c r="A6" s="24">
        <v>19</v>
      </c>
      <c r="B6" s="22">
        <f t="shared" si="0"/>
        <v>0.18891729969077325</v>
      </c>
      <c r="C6" s="2">
        <f t="shared" ref="C6:J6" si="5">C17</f>
        <v>0.12965543342500779</v>
      </c>
      <c r="D6" s="2">
        <f t="shared" si="5"/>
        <v>0.12558053730170399</v>
      </c>
      <c r="E6" s="2">
        <f t="shared" si="5"/>
        <v>0.12138641313680808</v>
      </c>
      <c r="F6" s="2">
        <f t="shared" si="5"/>
        <v>0.11769962391415568</v>
      </c>
      <c r="G6" s="2">
        <f t="shared" si="5"/>
        <v>0.10626657887021028</v>
      </c>
      <c r="H6" s="2">
        <f t="shared" si="5"/>
        <v>7.8625365391871746E-2</v>
      </c>
      <c r="I6" s="2">
        <f t="shared" si="5"/>
        <v>0.12856654444917001</v>
      </c>
      <c r="J6" s="2">
        <f t="shared" si="5"/>
        <v>0.35076467225512281</v>
      </c>
      <c r="K6" s="2">
        <f>(SUM(M17:T17)+Rules!$B$5*U17)/(8+Rules!$B$5)</f>
        <v>0.12070970006616517</v>
      </c>
      <c r="L6" s="8">
        <f t="shared" si="2"/>
        <v>0.18891729969077325</v>
      </c>
    </row>
    <row r="7" spans="1:32" x14ac:dyDescent="0.2">
      <c r="A7" s="24">
        <v>20</v>
      </c>
      <c r="B7" s="22">
        <f t="shared" si="0"/>
        <v>0.18891729969077325</v>
      </c>
      <c r="C7" s="2">
        <f t="shared" ref="C7:J7" si="6">C18</f>
        <v>0.12402645577124111</v>
      </c>
      <c r="D7" s="2">
        <f t="shared" si="6"/>
        <v>0.12032862035201736</v>
      </c>
      <c r="E7" s="2">
        <f t="shared" si="6"/>
        <v>0.1164846239837672</v>
      </c>
      <c r="F7" s="2">
        <f t="shared" si="6"/>
        <v>0.11314796255776062</v>
      </c>
      <c r="G7" s="2">
        <f t="shared" si="6"/>
        <v>0.1017149175138152</v>
      </c>
      <c r="H7" s="2">
        <f t="shared" si="6"/>
        <v>7.8625365391871746E-2</v>
      </c>
      <c r="I7" s="2">
        <f t="shared" si="6"/>
        <v>6.9394946816033906E-2</v>
      </c>
      <c r="J7" s="2">
        <f t="shared" si="6"/>
        <v>0.119995441485892</v>
      </c>
      <c r="K7" s="2">
        <f>(SUM(M18:T18)+Rules!$B$5*U18)/(8+Rules!$B$5)</f>
        <v>0.37070970006616516</v>
      </c>
      <c r="L7" s="8">
        <f t="shared" si="2"/>
        <v>0.18891729969077325</v>
      </c>
    </row>
    <row r="8" spans="1:32" x14ac:dyDescent="0.2">
      <c r="A8" s="25">
        <v>21</v>
      </c>
      <c r="B8" s="22">
        <f t="shared" si="0"/>
        <v>7.780618857966215E-2</v>
      </c>
      <c r="C8" s="2">
        <f t="shared" ref="C8:J9" si="7">C19</f>
        <v>0.11799348450596003</v>
      </c>
      <c r="D8" s="2">
        <f t="shared" si="7"/>
        <v>0.11469964269825064</v>
      </c>
      <c r="E8" s="2">
        <f t="shared" si="7"/>
        <v>0.11123270703408054</v>
      </c>
      <c r="F8" s="2">
        <f t="shared" si="7"/>
        <v>0.10824617340471974</v>
      </c>
      <c r="G8" s="2">
        <f t="shared" si="7"/>
        <v>9.7163256157420108E-2</v>
      </c>
      <c r="H8" s="2">
        <f t="shared" si="7"/>
        <v>7.4073704035476653E-2</v>
      </c>
      <c r="I8" s="2">
        <f t="shared" si="7"/>
        <v>6.9394946816033906E-2</v>
      </c>
      <c r="J8" s="2">
        <f t="shared" si="7"/>
        <v>6.0823843852755896E-2</v>
      </c>
      <c r="K8" s="2">
        <f>(SUM(M19:T19)+Rules!$B$5*U19)/(8+Rules!$B$5)</f>
        <v>3.7376366732831838E-2</v>
      </c>
      <c r="L8" s="8">
        <f t="shared" si="2"/>
        <v>7.780618857966215E-2</v>
      </c>
    </row>
    <row r="9" spans="1:32" ht="17" thickBot="1" x14ac:dyDescent="0.25">
      <c r="A9" s="139">
        <v>22</v>
      </c>
      <c r="B9" s="22">
        <f t="shared" si="0"/>
        <v>0</v>
      </c>
      <c r="C9" s="2">
        <f t="shared" si="7"/>
        <v>0</v>
      </c>
      <c r="D9" s="2">
        <f t="shared" si="7"/>
        <v>0</v>
      </c>
      <c r="E9" s="2">
        <f t="shared" si="7"/>
        <v>0</v>
      </c>
      <c r="F9" s="2">
        <f t="shared" si="7"/>
        <v>0</v>
      </c>
      <c r="G9" s="2">
        <f t="shared" si="7"/>
        <v>0</v>
      </c>
      <c r="H9" s="2">
        <f t="shared" si="7"/>
        <v>0</v>
      </c>
      <c r="I9" s="2">
        <f t="shared" si="7"/>
        <v>0</v>
      </c>
      <c r="J9" s="2">
        <f t="shared" si="7"/>
        <v>0</v>
      </c>
      <c r="K9" s="2">
        <f>(SUM(M20:T20)+Rules!$B$5*U20)/(8+Rules!$B$5)</f>
        <v>0</v>
      </c>
      <c r="L9" s="8">
        <f t="shared" si="2"/>
        <v>0</v>
      </c>
    </row>
    <row r="10" spans="1:32" ht="17" thickBot="1" x14ac:dyDescent="0.25">
      <c r="A10" s="4" t="s">
        <v>2</v>
      </c>
      <c r="B10" s="21">
        <f>SUM(B3:B9)</f>
        <v>1</v>
      </c>
      <c r="C10" s="21">
        <f t="shared" ref="C10:L10" si="8">SUM(C3:C9)</f>
        <v>1</v>
      </c>
      <c r="D10" s="21">
        <f t="shared" si="8"/>
        <v>0.99999999999999989</v>
      </c>
      <c r="E10" s="21">
        <f t="shared" si="8"/>
        <v>1.0000000000000002</v>
      </c>
      <c r="F10" s="21">
        <f t="shared" si="8"/>
        <v>1</v>
      </c>
      <c r="G10" s="21">
        <f t="shared" si="8"/>
        <v>1</v>
      </c>
      <c r="H10" s="21">
        <f t="shared" si="8"/>
        <v>0.99999999999999989</v>
      </c>
      <c r="I10" s="21">
        <f t="shared" si="8"/>
        <v>1</v>
      </c>
      <c r="J10" s="21">
        <f t="shared" si="8"/>
        <v>1</v>
      </c>
      <c r="K10" s="21">
        <f t="shared" si="8"/>
        <v>1</v>
      </c>
      <c r="L10" s="21">
        <f t="shared" si="8"/>
        <v>1</v>
      </c>
    </row>
    <row r="12" spans="1:32" ht="17" thickBot="1" x14ac:dyDescent="0.25">
      <c r="A12" s="315" t="s">
        <v>67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</row>
    <row r="13" spans="1:32" ht="17" thickBot="1" x14ac:dyDescent="0.25">
      <c r="A13" s="4" t="s">
        <v>3</v>
      </c>
      <c r="B13" s="21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>
        <v>18</v>
      </c>
      <c r="T13" s="19">
        <v>19</v>
      </c>
      <c r="U13" s="19">
        <v>20</v>
      </c>
      <c r="V13" s="19">
        <v>21</v>
      </c>
      <c r="W13" s="19">
        <v>22</v>
      </c>
      <c r="X13" s="19">
        <v>23</v>
      </c>
      <c r="Y13" s="19">
        <v>24</v>
      </c>
      <c r="Z13" s="19">
        <v>25</v>
      </c>
      <c r="AA13" s="19">
        <v>26</v>
      </c>
      <c r="AB13" s="19">
        <v>27</v>
      </c>
      <c r="AC13" s="19">
        <v>28</v>
      </c>
      <c r="AD13" s="19">
        <v>29</v>
      </c>
      <c r="AE13" s="19">
        <v>30</v>
      </c>
      <c r="AF13" s="20">
        <v>31</v>
      </c>
    </row>
    <row r="14" spans="1:32" x14ac:dyDescent="0.2">
      <c r="A14" s="23" t="s">
        <v>0</v>
      </c>
      <c r="B14" s="22">
        <f>L14</f>
        <v>0.2121090766176992</v>
      </c>
      <c r="C14" s="2">
        <f>(SUM(E14:L14)+Rules!$B$5*M14+D24)/(9+Rules!$B$5)</f>
        <v>0.35360813639536137</v>
      </c>
      <c r="D14" s="2">
        <f>(SUM(F14:M14)+Rules!$B$5*N14+E24)/(9+Rules!$B$5)</f>
        <v>0.3738748853821432</v>
      </c>
      <c r="E14" s="2">
        <f>(SUM(G14:N14)+Rules!$B$5*O14+F24)/(9+Rules!$B$5)</f>
        <v>0.39446844550254284</v>
      </c>
      <c r="F14" s="2">
        <f>(SUM(H14:O14)+Rules!$B$5*P14+G24)/(9+Rules!$B$5)</f>
        <v>0.41640366958226238</v>
      </c>
      <c r="G14" s="2">
        <f>(SUM(I14:P14)+Rules!$B$5*Q14+H24)/(9+Rules!$B$5)</f>
        <v>0.42315049208499772</v>
      </c>
      <c r="H14" s="2">
        <f>(SUM(J14:Q14)+Rules!$B$5*R14+I24)/(9+Rules!$B$5)</f>
        <v>0.2623124083615333</v>
      </c>
      <c r="I14" s="2">
        <f>(SUM(K14:R14)+Rules!$B$5*S14+J24)/(9+Rules!$B$5)</f>
        <v>0.2447412422511914</v>
      </c>
      <c r="J14" s="2">
        <f>(SUM(L14:S14)+Rules!$B$5*T14+K24)/(9+Rules!$B$5)</f>
        <v>0.2284251594344453</v>
      </c>
      <c r="K14" s="2">
        <f>(SUM(M14:T14)+Rules!$B$5*U14+L24)/(9+Rules!$B$5)</f>
        <v>0.2121090766176992</v>
      </c>
      <c r="L14" s="2">
        <f>(SUM(M14:U14)+Rules!$B$5*V14)/(9+Rules!$B$5)</f>
        <v>0.2121090766176992</v>
      </c>
      <c r="M14" s="2">
        <f>(SUM(N14:V14)+Rules!$B$5*W14)/(9+Rules!$B$5)</f>
        <v>0.48267271400214923</v>
      </c>
      <c r="N14" s="2">
        <f>(SUM(O14:W14)+Rules!$B$5*X14)/(9+Rules!$B$5)</f>
        <v>0.51962466300199572</v>
      </c>
      <c r="O14" s="2">
        <f>(SUM(P14:X14)+Rules!$B$5*Y14)/(9+Rules!$B$5)</f>
        <v>0.55393718707328177</v>
      </c>
      <c r="P14" s="2">
        <f>(SUM(Q14:Y14)+Rules!$B$5*Z14)/(9+Rules!$B$5)</f>
        <v>0.58579881656804733</v>
      </c>
      <c r="Q14" s="2">
        <f>(SUM(R14:Z14)+Rules!$B$5*AA14)/(9+Rules!$B$5)</f>
        <v>0.61538461538461542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f>IF(Rules!$B$14=Rules!$E$14,1,0)</f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8">
        <v>1</v>
      </c>
    </row>
    <row r="15" spans="1:32" x14ac:dyDescent="0.2">
      <c r="A15" s="24">
        <v>17</v>
      </c>
      <c r="B15" s="22">
        <f t="shared" ref="B15:B20" si="9">L15</f>
        <v>0.11142433852261401</v>
      </c>
      <c r="C15" s="2">
        <f>(SUM(E15:L15)+Rules!$B$5*M15+D25)/(9+Rules!$B$5)</f>
        <v>0.13980913952773527</v>
      </c>
      <c r="D15" s="2">
        <f>(SUM(F15:M15)+Rules!$B$5*N15+E25)/(9+Rules!$B$5)</f>
        <v>0.13503398781113993</v>
      </c>
      <c r="E15" s="2">
        <f>(SUM(G15:N15)+Rules!$B$5*O15+F25)/(9+Rules!$B$5)</f>
        <v>0.13048973584959825</v>
      </c>
      <c r="F15" s="2">
        <f>(SUM(H15:O15)+Rules!$B$5*P15+G25)/(9+Rules!$B$5)</f>
        <v>0.12225128527055079</v>
      </c>
      <c r="G15" s="2">
        <f>(SUM(I15:P15)+Rules!$B$5*Q15+H25)/(9+Rules!$B$5)</f>
        <v>0.16543817650334638</v>
      </c>
      <c r="H15" s="2">
        <f>(SUM(J15:Q15)+Rules!$B$5*R15+I25)/(9+Rules!$B$5)</f>
        <v>0.36856619379423861</v>
      </c>
      <c r="I15" s="2">
        <f>(SUM(K15:R15)+Rules!$B$5*S15+J25)/(9+Rules!$B$5)</f>
        <v>0.12856654444917001</v>
      </c>
      <c r="J15" s="2">
        <f>(SUM(L15:S15)+Rules!$B$5*T15+K25)/(9+Rules!$B$5)</f>
        <v>0.119995441485892</v>
      </c>
      <c r="K15" s="2">
        <f>(SUM(M15:T15)+Rules!$B$5*U15+L25)/(9+Rules!$B$5)</f>
        <v>0.11142433852261401</v>
      </c>
      <c r="L15" s="2">
        <f>(SUM(M15:U15)+Rules!$B$5*V15)/(9+Rules!$B$5)</f>
        <v>0.11142433852261401</v>
      </c>
      <c r="M15" s="2">
        <f>(SUM(N15:V15)+Rules!$B$5*W15)/(9+Rules!$B$5)</f>
        <v>0.10346545719957015</v>
      </c>
      <c r="N15" s="2">
        <f>(SUM(O15:W15)+Rules!$B$5*X15)/(9+Rules!$B$5)</f>
        <v>9.6075067399600853E-2</v>
      </c>
      <c r="O15" s="2">
        <f>(SUM(P15:X15)+Rules!$B$5*Y15)/(9+Rules!$B$5)</f>
        <v>8.9212562585343644E-2</v>
      </c>
      <c r="P15" s="2">
        <f>(SUM(Q15:Y15)+Rules!$B$5*Z15)/(9+Rules!$B$5)</f>
        <v>8.2840236686390525E-2</v>
      </c>
      <c r="Q15" s="2">
        <f>(SUM(R15:Z15)+Rules!$B$5*AA15)/(9+Rules!$B$5)</f>
        <v>7.6923076923076927E-2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9">
        <v>0</v>
      </c>
    </row>
    <row r="16" spans="1:32" x14ac:dyDescent="0.2">
      <c r="A16" s="24">
        <v>18</v>
      </c>
      <c r="B16" s="22">
        <f t="shared" si="9"/>
        <v>0.11142433852261401</v>
      </c>
      <c r="C16" s="2">
        <f>(SUM(E16:L16)+Rules!$B$5*M16+D26)/(9+Rules!$B$5)</f>
        <v>0.13490735037469442</v>
      </c>
      <c r="D16" s="2">
        <f>(SUM(F16:M16)+Rules!$B$5*N16+E26)/(9+Rules!$B$5)</f>
        <v>0.13048232645474483</v>
      </c>
      <c r="E16" s="2">
        <f>(SUM(G16:N16)+Rules!$B$5*O16+F26)/(9+Rules!$B$5)</f>
        <v>0.12593807449320316</v>
      </c>
      <c r="F16" s="2">
        <f>(SUM(H16:O16)+Rules!$B$5*P16+G26)/(9+Rules!$B$5)</f>
        <v>0.12225128527055079</v>
      </c>
      <c r="G16" s="2">
        <f>(SUM(I16:P16)+Rules!$B$5*Q16+H26)/(9+Rules!$B$5)</f>
        <v>0.10626657887021028</v>
      </c>
      <c r="H16" s="2">
        <f>(SUM(J16:Q16)+Rules!$B$5*R16+I26)/(9+Rules!$B$5)</f>
        <v>0.13779696302500785</v>
      </c>
      <c r="I16" s="2">
        <f>(SUM(K16:R16)+Rules!$B$5*S16+J26)/(9+Rules!$B$5)</f>
        <v>0.35933577521840082</v>
      </c>
      <c r="J16" s="2">
        <f>(SUM(L16:S16)+Rules!$B$5*T16+K26)/(9+Rules!$B$5)</f>
        <v>0.119995441485892</v>
      </c>
      <c r="K16" s="2">
        <f>(SUM(M16:T16)+Rules!$B$5*U16+L26)/(9+Rules!$B$5)</f>
        <v>0.11142433852261401</v>
      </c>
      <c r="L16" s="2">
        <f>(SUM(M16:U16)+Rules!$B$5*V16)/(9+Rules!$B$5)</f>
        <v>0.11142433852261401</v>
      </c>
      <c r="M16" s="2">
        <f>(SUM(N16:V16)+Rules!$B$5*W16)/(9+Rules!$B$5)</f>
        <v>0.10346545719957015</v>
      </c>
      <c r="N16" s="2">
        <f>(SUM(O16:W16)+Rules!$B$5*X16)/(9+Rules!$B$5)</f>
        <v>9.6075067399600853E-2</v>
      </c>
      <c r="O16" s="2">
        <f>(SUM(P16:X16)+Rules!$B$5*Y16)/(9+Rules!$B$5)</f>
        <v>8.9212562585343644E-2</v>
      </c>
      <c r="P16" s="2">
        <f>(SUM(Q16:Y16)+Rules!$B$5*Z16)/(9+Rules!$B$5)</f>
        <v>8.2840236686390525E-2</v>
      </c>
      <c r="Q16" s="2">
        <f>(SUM(R16:Z16)+Rules!$B$5*AA16)/(9+Rules!$B$5)</f>
        <v>7.6923076923076927E-2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9">
        <v>0</v>
      </c>
    </row>
    <row r="17" spans="1:32" x14ac:dyDescent="0.2">
      <c r="A17" s="24">
        <v>19</v>
      </c>
      <c r="B17" s="22">
        <f t="shared" si="9"/>
        <v>0.11142433852261401</v>
      </c>
      <c r="C17" s="2">
        <f>(SUM(E17:L17)+Rules!$B$5*M17+D27)/(9+Rules!$B$5)</f>
        <v>0.12965543342500779</v>
      </c>
      <c r="D17" s="2">
        <f>(SUM(F17:M17)+Rules!$B$5*N17+E27)/(9+Rules!$B$5)</f>
        <v>0.12558053730170399</v>
      </c>
      <c r="E17" s="2">
        <f>(SUM(G17:N17)+Rules!$B$5*O17+F27)/(9+Rules!$B$5)</f>
        <v>0.12138641313680808</v>
      </c>
      <c r="F17" s="2">
        <f>(SUM(H17:O17)+Rules!$B$5*P17+G27)/(9+Rules!$B$5)</f>
        <v>0.11769962391415568</v>
      </c>
      <c r="G17" s="2">
        <f>(SUM(I17:P17)+Rules!$B$5*Q17+H27)/(9+Rules!$B$5)</f>
        <v>0.10626657887021028</v>
      </c>
      <c r="H17" s="2">
        <f>(SUM(J17:Q17)+Rules!$B$5*R17+I27)/(9+Rules!$B$5)</f>
        <v>7.8625365391871746E-2</v>
      </c>
      <c r="I17" s="2">
        <f>(SUM(K17:R17)+Rules!$B$5*S17+J27)/(9+Rules!$B$5)</f>
        <v>0.12856654444917001</v>
      </c>
      <c r="J17" s="2">
        <f>(SUM(L17:S17)+Rules!$B$5*T17+K27)/(9+Rules!$B$5)</f>
        <v>0.35076467225512281</v>
      </c>
      <c r="K17" s="2">
        <f>(SUM(M17:T17)+Rules!$B$5*U17+L27)/(9+Rules!$B$5)</f>
        <v>0.11142433852261401</v>
      </c>
      <c r="L17" s="2">
        <f>(SUM(M17:U17)+Rules!$B$5*V17)/(9+Rules!$B$5)</f>
        <v>0.11142433852261401</v>
      </c>
      <c r="M17" s="2">
        <f>(SUM(N17:V17)+Rules!$B$5*W17)/(9+Rules!$B$5)</f>
        <v>0.10346545719957015</v>
      </c>
      <c r="N17" s="2">
        <f>(SUM(O17:W17)+Rules!$B$5*X17)/(9+Rules!$B$5)</f>
        <v>9.6075067399600853E-2</v>
      </c>
      <c r="O17" s="2">
        <f>(SUM(P17:X17)+Rules!$B$5*Y17)/(9+Rules!$B$5)</f>
        <v>8.9212562585343644E-2</v>
      </c>
      <c r="P17" s="2">
        <f>(SUM(Q17:Y17)+Rules!$B$5*Z17)/(9+Rules!$B$5)</f>
        <v>8.2840236686390525E-2</v>
      </c>
      <c r="Q17" s="2">
        <f>(SUM(R17:Z17)+Rules!$B$5*AA17)/(9+Rules!$B$5)</f>
        <v>7.6923076923076927E-2</v>
      </c>
      <c r="R17" s="1">
        <v>0</v>
      </c>
      <c r="S17" s="1">
        <v>0</v>
      </c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9">
        <v>0</v>
      </c>
    </row>
    <row r="18" spans="1:32" x14ac:dyDescent="0.2">
      <c r="A18" s="24">
        <v>20</v>
      </c>
      <c r="B18" s="22">
        <f t="shared" si="9"/>
        <v>0.11142433852261401</v>
      </c>
      <c r="C18" s="2">
        <f>(SUM(E18:L18)+Rules!$B$5*M18+D28)/(9+Rules!$B$5)</f>
        <v>0.12402645577124111</v>
      </c>
      <c r="D18" s="2">
        <f>(SUM(F18:M18)+Rules!$B$5*N18+E28)/(9+Rules!$B$5)</f>
        <v>0.12032862035201736</v>
      </c>
      <c r="E18" s="2">
        <f>(SUM(G18:N18)+Rules!$B$5*O18+F28)/(9+Rules!$B$5)</f>
        <v>0.1164846239837672</v>
      </c>
      <c r="F18" s="2">
        <f>(SUM(H18:O18)+Rules!$B$5*P18+G28)/(9+Rules!$B$5)</f>
        <v>0.11314796255776062</v>
      </c>
      <c r="G18" s="2">
        <f>(SUM(I18:P18)+Rules!$B$5*Q18+H28)/(9+Rules!$B$5)</f>
        <v>0.1017149175138152</v>
      </c>
      <c r="H18" s="2">
        <f>(SUM(J18:Q18)+Rules!$B$5*R18+I28)/(9+Rules!$B$5)</f>
        <v>7.8625365391871746E-2</v>
      </c>
      <c r="I18" s="2">
        <f>(SUM(K18:R18)+Rules!$B$5*S18+J28)/(9+Rules!$B$5)</f>
        <v>6.9394946816033906E-2</v>
      </c>
      <c r="J18" s="2">
        <f>(SUM(L18:S18)+Rules!$B$5*T18+K28)/(9+Rules!$B$5)</f>
        <v>0.119995441485892</v>
      </c>
      <c r="K18" s="2">
        <f>(SUM(M18:T18)+Rules!$B$5*U18+L28)/(9+Rules!$B$5)</f>
        <v>0.34219356929184475</v>
      </c>
      <c r="L18" s="2">
        <f>(SUM(M18:U18)+Rules!$B$5*V18)/(9+Rules!$B$5)</f>
        <v>0.11142433852261401</v>
      </c>
      <c r="M18" s="2">
        <f>(SUM(N18:V18)+Rules!$B$5*W18)/(9+Rules!$B$5)</f>
        <v>0.10346545719957015</v>
      </c>
      <c r="N18" s="2">
        <f>(SUM(O18:W18)+Rules!$B$5*X18)/(9+Rules!$B$5)</f>
        <v>9.6075067399600853E-2</v>
      </c>
      <c r="O18" s="2">
        <f>(SUM(P18:X18)+Rules!$B$5*Y18)/(9+Rules!$B$5)</f>
        <v>8.9212562585343644E-2</v>
      </c>
      <c r="P18" s="2">
        <f>(SUM(Q18:Y18)+Rules!$B$5*Z18)/(9+Rules!$B$5)</f>
        <v>8.2840236686390525E-2</v>
      </c>
      <c r="Q18" s="2">
        <f>(SUM(R18:Z18)+Rules!$B$5*AA18)/(9+Rules!$B$5)</f>
        <v>7.6923076923076927E-2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9">
        <v>0</v>
      </c>
    </row>
    <row r="19" spans="1:32" x14ac:dyDescent="0.2">
      <c r="A19" s="25">
        <v>21</v>
      </c>
      <c r="B19" s="22">
        <f t="shared" si="9"/>
        <v>0.34219356929184475</v>
      </c>
      <c r="C19" s="2">
        <f>(SUM(E19:L19)+Rules!$B$5*M19+D29)/(9+Rules!$B$5)</f>
        <v>0.11799348450596003</v>
      </c>
      <c r="D19" s="2">
        <f>(SUM(F19:M19)+Rules!$B$5*N19+E29)/(9+Rules!$B$5)</f>
        <v>0.11469964269825064</v>
      </c>
      <c r="E19" s="2">
        <f>(SUM(G19:N19)+Rules!$B$5*O19+F29)/(9+Rules!$B$5)</f>
        <v>0.11123270703408054</v>
      </c>
      <c r="F19" s="2">
        <f>(SUM(H19:O19)+Rules!$B$5*P19+G29)/(9+Rules!$B$5)</f>
        <v>0.10824617340471974</v>
      </c>
      <c r="G19" s="2">
        <f>(SUM(I19:P19)+Rules!$B$5*Q19+H29)/(9+Rules!$B$5)</f>
        <v>9.7163256157420108E-2</v>
      </c>
      <c r="H19" s="2">
        <f>(SUM(J19:Q19)+Rules!$B$5*R19+I29)/(9+Rules!$B$5)</f>
        <v>7.4073704035476653E-2</v>
      </c>
      <c r="I19" s="2">
        <f>(SUM(K19:R19)+Rules!$B$5*S19+J29)/(9+Rules!$B$5)</f>
        <v>6.9394946816033906E-2</v>
      </c>
      <c r="J19" s="2">
        <f>(SUM(L19:S19)+Rules!$B$5*T19+K29)/(9+Rules!$B$5)</f>
        <v>6.0823843852755896E-2</v>
      </c>
      <c r="K19" s="2">
        <f>(SUM(M19:T19)+Rules!$B$5*U19+L29)/(9+Rules!$B$5)</f>
        <v>0.11142433852261401</v>
      </c>
      <c r="L19" s="2">
        <f>(SUM(M19:U19)+Rules!$B$5*V19)/(9+Rules!$B$5)</f>
        <v>0.34219356929184475</v>
      </c>
      <c r="M19" s="2">
        <f>(SUM(N19:V19)+Rules!$B$5*W19)/(9+Rules!$B$5)</f>
        <v>0.10346545719957015</v>
      </c>
      <c r="N19" s="2">
        <f>(SUM(O19:W19)+Rules!$B$5*X19)/(9+Rules!$B$5)</f>
        <v>9.6075067399600853E-2</v>
      </c>
      <c r="O19" s="2">
        <f>(SUM(P19:X19)+Rules!$B$5*Y19)/(9+Rules!$B$5)</f>
        <v>8.9212562585343644E-2</v>
      </c>
      <c r="P19" s="2">
        <f>(SUM(Q19:Y19)+Rules!$B$5*Z19)/(9+Rules!$B$5)</f>
        <v>8.2840236686390525E-2</v>
      </c>
      <c r="Q19" s="2">
        <f>(SUM(R19:Z19)+Rules!$B$5*AA19)/(9+Rules!$B$5)</f>
        <v>7.6923076923076927E-2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7">
        <v>0</v>
      </c>
    </row>
    <row r="20" spans="1:32" ht="17" thickBot="1" x14ac:dyDescent="0.25">
      <c r="A20" s="139">
        <v>22</v>
      </c>
      <c r="B20" s="22">
        <f t="shared" si="9"/>
        <v>0</v>
      </c>
      <c r="C20" s="2">
        <f>(SUM(E20:L20)+Rules!$B$5*M20+D30)/(9+Rules!$B$5)</f>
        <v>0</v>
      </c>
      <c r="D20" s="2">
        <f>(SUM(F20:M20)+Rules!$B$5*N20+E30)/(9+Rules!$B$5)</f>
        <v>0</v>
      </c>
      <c r="E20" s="2">
        <f>(SUM(G20:N20)+Rules!$B$5*O20+F30)/(9+Rules!$B$5)</f>
        <v>0</v>
      </c>
      <c r="F20" s="2">
        <f>(SUM(H20:O20)+Rules!$B$5*P20+G30)/(9+Rules!$B$5)</f>
        <v>0</v>
      </c>
      <c r="G20" s="2">
        <f>(SUM(I20:P20)+Rules!$B$5*Q20+H30)/(9+Rules!$B$5)</f>
        <v>0</v>
      </c>
      <c r="H20" s="2">
        <f>(SUM(J20:Q20)+Rules!$B$5*R20+I30)/(9+Rules!$B$5)</f>
        <v>0</v>
      </c>
      <c r="I20" s="2">
        <f>(SUM(K20:R20)+Rules!$B$5*S20+J30)/(9+Rules!$B$5)</f>
        <v>0</v>
      </c>
      <c r="J20" s="2">
        <f>(SUM(L20:S20)+Rules!$B$5*T20+K30)/(9+Rules!$B$5)</f>
        <v>0</v>
      </c>
      <c r="K20" s="2">
        <f>(SUM(M20:T20)+Rules!$B$5*U20+L30)/(9+Rules!$B$5)</f>
        <v>0</v>
      </c>
      <c r="L20" s="2">
        <f>(SUM(M20:U20)+Rules!$B$5*V20)/(9+Rules!$B$5)</f>
        <v>0</v>
      </c>
      <c r="M20" s="2">
        <f>(SUM(N20:V20)+Rules!$B$5*W20)/(9+Rules!$B$5)</f>
        <v>0</v>
      </c>
      <c r="N20" s="2">
        <f>(SUM(O20:W20)+Rules!$B$5*X20)/(9+Rules!$B$5)</f>
        <v>0</v>
      </c>
      <c r="O20" s="2">
        <f>(SUM(P20:X20)+Rules!$B$5*Y20)/(9+Rules!$B$5)</f>
        <v>0</v>
      </c>
      <c r="P20" s="2">
        <f>(SUM(Q20:Y20)+Rules!$B$5*Z20)/(9+Rules!$B$5)</f>
        <v>0</v>
      </c>
      <c r="Q20" s="2">
        <f>(SUM(R20:Z20)+Rules!$B$5*AA20)/(9+Rules!$B$5)</f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f>IF(Rules!$B$14=Rules!$E$14,0,1)</f>
        <v>0</v>
      </c>
      <c r="X20" s="120">
        <v>0</v>
      </c>
      <c r="Y20" s="120">
        <v>0</v>
      </c>
      <c r="Z20" s="120">
        <v>0</v>
      </c>
      <c r="AA20" s="120">
        <v>0</v>
      </c>
      <c r="AB20" s="120">
        <v>0</v>
      </c>
      <c r="AC20" s="120">
        <v>0</v>
      </c>
      <c r="AD20" s="120">
        <v>0</v>
      </c>
      <c r="AE20" s="120">
        <v>0</v>
      </c>
      <c r="AF20" s="102">
        <v>0</v>
      </c>
    </row>
    <row r="21" spans="1:32" ht="17" thickBot="1" x14ac:dyDescent="0.25">
      <c r="A21" s="4" t="s">
        <v>2</v>
      </c>
      <c r="B21" s="21">
        <f>SUM(B14:B20)</f>
        <v>1</v>
      </c>
      <c r="C21" s="21">
        <f t="shared" ref="C21:Q21" si="10">SUM(C14:C20)</f>
        <v>1</v>
      </c>
      <c r="D21" s="21">
        <f t="shared" si="10"/>
        <v>0.99999999999999989</v>
      </c>
      <c r="E21" s="21">
        <f t="shared" si="10"/>
        <v>1.0000000000000002</v>
      </c>
      <c r="F21" s="21">
        <f t="shared" si="10"/>
        <v>1</v>
      </c>
      <c r="G21" s="21">
        <f t="shared" si="10"/>
        <v>1</v>
      </c>
      <c r="H21" s="21">
        <f t="shared" si="10"/>
        <v>0.99999999999999989</v>
      </c>
      <c r="I21" s="21">
        <f t="shared" si="10"/>
        <v>1</v>
      </c>
      <c r="J21" s="21">
        <f t="shared" si="10"/>
        <v>1</v>
      </c>
      <c r="K21" s="21">
        <f t="shared" si="10"/>
        <v>1</v>
      </c>
      <c r="L21" s="21">
        <f t="shared" si="10"/>
        <v>1</v>
      </c>
      <c r="M21" s="21">
        <f t="shared" si="10"/>
        <v>0.99999999999999989</v>
      </c>
      <c r="N21" s="21">
        <f t="shared" si="10"/>
        <v>0.99999999999999978</v>
      </c>
      <c r="O21" s="21">
        <f t="shared" si="10"/>
        <v>0.99999999999999978</v>
      </c>
      <c r="P21" s="21">
        <f t="shared" si="10"/>
        <v>0.99999999999999989</v>
      </c>
      <c r="Q21" s="21">
        <f t="shared" si="10"/>
        <v>0.99999999999999978</v>
      </c>
      <c r="R21" s="19">
        <f t="shared" ref="R21:AF21" si="11">SUM(R14:R19)</f>
        <v>1</v>
      </c>
      <c r="S21" s="19">
        <f t="shared" si="11"/>
        <v>1</v>
      </c>
      <c r="T21" s="19">
        <f t="shared" si="11"/>
        <v>1</v>
      </c>
      <c r="U21" s="19">
        <f t="shared" si="11"/>
        <v>1</v>
      </c>
      <c r="V21" s="19">
        <f t="shared" si="11"/>
        <v>1</v>
      </c>
      <c r="W21" s="19">
        <f t="shared" si="11"/>
        <v>1</v>
      </c>
      <c r="X21" s="19">
        <f t="shared" si="11"/>
        <v>1</v>
      </c>
      <c r="Y21" s="19">
        <f t="shared" si="11"/>
        <v>1</v>
      </c>
      <c r="Z21" s="19">
        <f t="shared" si="11"/>
        <v>1</v>
      </c>
      <c r="AA21" s="19">
        <f t="shared" si="11"/>
        <v>1</v>
      </c>
      <c r="AB21" s="19">
        <f t="shared" si="11"/>
        <v>1</v>
      </c>
      <c r="AC21" s="19">
        <f t="shared" si="11"/>
        <v>1</v>
      </c>
      <c r="AD21" s="19">
        <f t="shared" si="11"/>
        <v>1</v>
      </c>
      <c r="AE21" s="19">
        <f t="shared" si="11"/>
        <v>1</v>
      </c>
      <c r="AF21" s="20">
        <f t="shared" si="11"/>
        <v>1</v>
      </c>
    </row>
    <row r="22" spans="1:32" ht="17" thickBot="1" x14ac:dyDescent="0.25"/>
    <row r="23" spans="1:32" ht="17" thickBot="1" x14ac:dyDescent="0.25">
      <c r="A23" s="141" t="s">
        <v>4</v>
      </c>
      <c r="B23" s="117">
        <v>11</v>
      </c>
      <c r="C23" s="118">
        <v>12</v>
      </c>
      <c r="D23" s="118">
        <v>13</v>
      </c>
      <c r="E23" s="118">
        <v>14</v>
      </c>
      <c r="F23" s="118">
        <v>15</v>
      </c>
      <c r="G23" s="118">
        <v>16</v>
      </c>
      <c r="H23" s="118">
        <v>17</v>
      </c>
      <c r="I23" s="118">
        <v>18</v>
      </c>
      <c r="J23" s="118">
        <v>19</v>
      </c>
      <c r="K23" s="118">
        <v>20</v>
      </c>
      <c r="L23" s="118">
        <v>21</v>
      </c>
      <c r="M23" s="118">
        <v>22</v>
      </c>
      <c r="N23" s="118">
        <v>23</v>
      </c>
      <c r="O23" s="118">
        <v>24</v>
      </c>
      <c r="P23" s="118">
        <v>25</v>
      </c>
      <c r="Q23" s="118">
        <v>26</v>
      </c>
      <c r="R23" s="118">
        <v>27</v>
      </c>
      <c r="S23" s="118">
        <v>28</v>
      </c>
      <c r="T23" s="118">
        <v>29</v>
      </c>
      <c r="U23" s="118">
        <v>30</v>
      </c>
      <c r="V23" s="118">
        <v>31</v>
      </c>
      <c r="W23" s="105">
        <v>32</v>
      </c>
    </row>
    <row r="24" spans="1:32" x14ac:dyDescent="0.2">
      <c r="A24" s="141" t="s">
        <v>0</v>
      </c>
      <c r="B24" s="109">
        <f t="shared" ref="B24:B30" si="12">L14</f>
        <v>0.2121090766176992</v>
      </c>
      <c r="C24" s="110">
        <f>(SUM(D24:L24)+Rules!$B$5*M24)/(9+Rules!$B$5)</f>
        <v>0.24495802642312861</v>
      </c>
      <c r="D24" s="110">
        <f>(SUM(E24:M24)+Rules!$B$5*N24)/(9+Rules!$B$5)</f>
        <v>0.27249534667872904</v>
      </c>
      <c r="E24" s="110">
        <f>(SUM(F24:N24)+Rules!$B$5*O24)/(9+Rules!$B$5)</f>
        <v>0.29995101900790128</v>
      </c>
      <c r="F24" s="110">
        <f>(SUM(G24:O24)+Rules!$B$5*P24)/(9+Rules!$B$5)</f>
        <v>0.32719621086821865</v>
      </c>
      <c r="G24" s="110">
        <f>(SUM(H24:P24)+Rules!$B$5*Q24)/(9+Rules!$B$5)</f>
        <v>0.35412091093722581</v>
      </c>
      <c r="H24" s="110">
        <f>IF(Rules!$B$4=Rules!$F$4,0,(SUM(I24:Q24)+Rules!$B$5*R24)/(9+Rules!$B$5))</f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f t="shared" ref="M24:V24" si="13">M14</f>
        <v>0.48267271400214923</v>
      </c>
      <c r="N24" s="110">
        <f t="shared" si="13"/>
        <v>0.51962466300199572</v>
      </c>
      <c r="O24" s="110">
        <f t="shared" si="13"/>
        <v>0.55393718707328177</v>
      </c>
      <c r="P24" s="110">
        <f t="shared" si="13"/>
        <v>0.58579881656804733</v>
      </c>
      <c r="Q24" s="110">
        <f t="shared" si="13"/>
        <v>0.61538461538461542</v>
      </c>
      <c r="R24" s="110">
        <f t="shared" si="13"/>
        <v>0</v>
      </c>
      <c r="S24" s="110">
        <f t="shared" si="13"/>
        <v>0</v>
      </c>
      <c r="T24" s="110">
        <f t="shared" si="13"/>
        <v>0</v>
      </c>
      <c r="U24" s="110">
        <f t="shared" si="13"/>
        <v>0</v>
      </c>
      <c r="V24" s="110">
        <f t="shared" si="13"/>
        <v>0</v>
      </c>
      <c r="W24" s="57">
        <f t="shared" ref="W24:W30" si="14">W14</f>
        <v>1</v>
      </c>
    </row>
    <row r="25" spans="1:32" x14ac:dyDescent="0.2">
      <c r="A25" s="140">
        <v>17</v>
      </c>
      <c r="B25" s="28">
        <f t="shared" si="12"/>
        <v>0.11142433852261401</v>
      </c>
      <c r="C25" s="2">
        <f>(SUM(D25:L25)+Rules!$B$5*M25)/(9+Rules!$B$5)</f>
        <v>0.15100839471537425</v>
      </c>
      <c r="D25" s="2">
        <f>(SUM(E25:M25)+Rules!$B$5*N25)/(9+Rules!$B$5)</f>
        <v>0.14550093066425418</v>
      </c>
      <c r="E25" s="2">
        <f>(SUM(F25:N25)+Rules!$B$5*O25)/(9+Rules!$B$5)</f>
        <v>0.14000979619841974</v>
      </c>
      <c r="F25" s="2">
        <f>(SUM(G25:O25)+Rules!$B$5*P25)/(9+Rules!$B$5)</f>
        <v>0.13456075782635629</v>
      </c>
      <c r="G25" s="2">
        <f>(SUM(H25:P25)+Rules!$B$5*Q25)/(9+Rules!$B$5)</f>
        <v>0.12917581781255486</v>
      </c>
      <c r="H25" s="2">
        <f>IF(Rules!$B$4=Rules!$F$4,1,(SUM(I25:Q25)+Rules!$B$5*R25)/(9+Rules!$B$5))</f>
        <v>1</v>
      </c>
      <c r="I25" s="1">
        <v>0</v>
      </c>
      <c r="J25" s="1">
        <v>0</v>
      </c>
      <c r="K25" s="1">
        <v>0</v>
      </c>
      <c r="L25" s="1">
        <v>0</v>
      </c>
      <c r="M25" s="2">
        <f t="shared" ref="M25:V25" si="15">M15</f>
        <v>0.10346545719957015</v>
      </c>
      <c r="N25" s="2">
        <f t="shared" si="15"/>
        <v>9.6075067399600853E-2</v>
      </c>
      <c r="O25" s="2">
        <f t="shared" si="15"/>
        <v>8.9212562585343644E-2</v>
      </c>
      <c r="P25" s="2">
        <f t="shared" si="15"/>
        <v>8.2840236686390525E-2</v>
      </c>
      <c r="Q25" s="2">
        <f t="shared" si="15"/>
        <v>7.6923076923076927E-2</v>
      </c>
      <c r="R25" s="1">
        <f t="shared" si="15"/>
        <v>1</v>
      </c>
      <c r="S25" s="1">
        <f t="shared" si="15"/>
        <v>0</v>
      </c>
      <c r="T25" s="1">
        <f t="shared" si="15"/>
        <v>0</v>
      </c>
      <c r="U25" s="1">
        <f t="shared" si="15"/>
        <v>0</v>
      </c>
      <c r="V25" s="1">
        <f t="shared" si="15"/>
        <v>0</v>
      </c>
      <c r="W25" s="9">
        <f t="shared" si="14"/>
        <v>0</v>
      </c>
    </row>
    <row r="26" spans="1:32" x14ac:dyDescent="0.2">
      <c r="A26" s="140">
        <v>18</v>
      </c>
      <c r="B26" s="28">
        <f t="shared" si="12"/>
        <v>0.11142433852261401</v>
      </c>
      <c r="C26" s="2">
        <f>(SUM(D26:L26)+Rules!$B$5*M26)/(9+Rules!$B$5)</f>
        <v>0.15100839471537425</v>
      </c>
      <c r="D26" s="2">
        <f>(SUM(E26:M26)+Rules!$B$5*N26)/(9+Rules!$B$5)</f>
        <v>0.14550093066425418</v>
      </c>
      <c r="E26" s="2">
        <f>(SUM(F26:N26)+Rules!$B$5*O26)/(9+Rules!$B$5)</f>
        <v>0.14000979619841974</v>
      </c>
      <c r="F26" s="2">
        <f>(SUM(G26:O26)+Rules!$B$5*P26)/(9+Rules!$B$5)</f>
        <v>0.13456075782635629</v>
      </c>
      <c r="G26" s="2">
        <f>(SUM(H26:P26)+Rules!$B$5*Q26)/(9+Rules!$B$5)</f>
        <v>0.12917581781255486</v>
      </c>
      <c r="H26" s="2">
        <f>IF(Rules!$B$4=Rules!$F$4,0,(SUM(I26:Q26)+Rules!$B$5*R26)/(9+Rules!$B$5))</f>
        <v>0</v>
      </c>
      <c r="I26" s="1">
        <v>1</v>
      </c>
      <c r="J26" s="1">
        <v>0</v>
      </c>
      <c r="K26" s="1">
        <v>0</v>
      </c>
      <c r="L26" s="1">
        <v>0</v>
      </c>
      <c r="M26" s="2">
        <f t="shared" ref="M26:V26" si="16">M16</f>
        <v>0.10346545719957015</v>
      </c>
      <c r="N26" s="2">
        <f t="shared" si="16"/>
        <v>9.6075067399600853E-2</v>
      </c>
      <c r="O26" s="2">
        <f t="shared" si="16"/>
        <v>8.9212562585343644E-2</v>
      </c>
      <c r="P26" s="2">
        <f t="shared" si="16"/>
        <v>8.2840236686390525E-2</v>
      </c>
      <c r="Q26" s="2">
        <f t="shared" si="16"/>
        <v>7.6923076923076927E-2</v>
      </c>
      <c r="R26" s="1">
        <f t="shared" si="16"/>
        <v>0</v>
      </c>
      <c r="S26" s="1">
        <f t="shared" si="16"/>
        <v>1</v>
      </c>
      <c r="T26" s="1">
        <f t="shared" si="16"/>
        <v>0</v>
      </c>
      <c r="U26" s="1">
        <f t="shared" si="16"/>
        <v>0</v>
      </c>
      <c r="V26" s="1">
        <f t="shared" si="16"/>
        <v>0</v>
      </c>
      <c r="W26" s="9">
        <f t="shared" si="14"/>
        <v>0</v>
      </c>
    </row>
    <row r="27" spans="1:32" x14ac:dyDescent="0.2">
      <c r="A27" s="140">
        <v>19</v>
      </c>
      <c r="B27" s="28">
        <f t="shared" si="12"/>
        <v>0.11142433852261401</v>
      </c>
      <c r="C27" s="2">
        <f>(SUM(D27:L27)+Rules!$B$5*M27)/(9+Rules!$B$5)</f>
        <v>0.15100839471537425</v>
      </c>
      <c r="D27" s="2">
        <f>(SUM(E27:M27)+Rules!$B$5*N27)/(9+Rules!$B$5)</f>
        <v>0.14550093066425418</v>
      </c>
      <c r="E27" s="2">
        <f>(SUM(F27:N27)+Rules!$B$5*O27)/(9+Rules!$B$5)</f>
        <v>0.14000979619841974</v>
      </c>
      <c r="F27" s="2">
        <f>(SUM(G27:O27)+Rules!$B$5*P27)/(9+Rules!$B$5)</f>
        <v>0.13456075782635629</v>
      </c>
      <c r="G27" s="2">
        <f>(SUM(H27:P27)+Rules!$B$5*Q27)/(9+Rules!$B$5)</f>
        <v>0.12917581781255486</v>
      </c>
      <c r="H27" s="2">
        <f>IF(Rules!$B$4=Rules!$F$4,0,(SUM(I27:Q27)+Rules!$B$5*R27)/(9+Rules!$B$5))</f>
        <v>0</v>
      </c>
      <c r="I27" s="1">
        <v>0</v>
      </c>
      <c r="J27" s="1">
        <v>1</v>
      </c>
      <c r="K27" s="1">
        <v>0</v>
      </c>
      <c r="L27" s="1">
        <v>0</v>
      </c>
      <c r="M27" s="2">
        <f t="shared" ref="M27:V27" si="17">M17</f>
        <v>0.10346545719957015</v>
      </c>
      <c r="N27" s="2">
        <f t="shared" si="17"/>
        <v>9.6075067399600853E-2</v>
      </c>
      <c r="O27" s="2">
        <f t="shared" si="17"/>
        <v>8.9212562585343644E-2</v>
      </c>
      <c r="P27" s="2">
        <f t="shared" si="17"/>
        <v>8.2840236686390525E-2</v>
      </c>
      <c r="Q27" s="2">
        <f t="shared" si="17"/>
        <v>7.6923076923076927E-2</v>
      </c>
      <c r="R27" s="1">
        <f t="shared" si="17"/>
        <v>0</v>
      </c>
      <c r="S27" s="1">
        <f t="shared" si="17"/>
        <v>0</v>
      </c>
      <c r="T27" s="1">
        <f t="shared" si="17"/>
        <v>1</v>
      </c>
      <c r="U27" s="1">
        <f t="shared" si="17"/>
        <v>0</v>
      </c>
      <c r="V27" s="1">
        <f t="shared" si="17"/>
        <v>0</v>
      </c>
      <c r="W27" s="9">
        <f t="shared" si="14"/>
        <v>0</v>
      </c>
    </row>
    <row r="28" spans="1:32" x14ac:dyDescent="0.2">
      <c r="A28" s="140">
        <v>20</v>
      </c>
      <c r="B28" s="28">
        <f t="shared" si="12"/>
        <v>0.11142433852261401</v>
      </c>
      <c r="C28" s="2">
        <f>(SUM(D28:L28)+Rules!$B$5*M28)/(9+Rules!$B$5)</f>
        <v>0.15100839471537425</v>
      </c>
      <c r="D28" s="2">
        <f>(SUM(E28:M28)+Rules!$B$5*N28)/(9+Rules!$B$5)</f>
        <v>0.14550093066425418</v>
      </c>
      <c r="E28" s="2">
        <f>(SUM(F28:N28)+Rules!$B$5*O28)/(9+Rules!$B$5)</f>
        <v>0.14000979619841974</v>
      </c>
      <c r="F28" s="2">
        <f>(SUM(G28:O28)+Rules!$B$5*P28)/(9+Rules!$B$5)</f>
        <v>0.13456075782635629</v>
      </c>
      <c r="G28" s="2">
        <f>(SUM(H28:P28)+Rules!$B$5*Q28)/(9+Rules!$B$5)</f>
        <v>0.12917581781255486</v>
      </c>
      <c r="H28" s="2">
        <f>IF(Rules!$B$4=Rules!$F$4,0,(SUM(I28:Q28)+Rules!$B$5*R28)/(9+Rules!$B$5))</f>
        <v>0</v>
      </c>
      <c r="I28" s="1">
        <v>0</v>
      </c>
      <c r="J28" s="1">
        <v>0</v>
      </c>
      <c r="K28" s="1">
        <v>1</v>
      </c>
      <c r="L28" s="1">
        <v>0</v>
      </c>
      <c r="M28" s="2">
        <f t="shared" ref="M28:V28" si="18">M18</f>
        <v>0.10346545719957015</v>
      </c>
      <c r="N28" s="2">
        <f t="shared" si="18"/>
        <v>9.6075067399600853E-2</v>
      </c>
      <c r="O28" s="2">
        <f t="shared" si="18"/>
        <v>8.9212562585343644E-2</v>
      </c>
      <c r="P28" s="2">
        <f t="shared" si="18"/>
        <v>8.2840236686390525E-2</v>
      </c>
      <c r="Q28" s="2">
        <f t="shared" si="18"/>
        <v>7.6923076923076927E-2</v>
      </c>
      <c r="R28" s="1">
        <f t="shared" si="18"/>
        <v>0</v>
      </c>
      <c r="S28" s="1">
        <f t="shared" si="18"/>
        <v>0</v>
      </c>
      <c r="T28" s="1">
        <f t="shared" si="18"/>
        <v>0</v>
      </c>
      <c r="U28" s="1">
        <f t="shared" si="18"/>
        <v>1</v>
      </c>
      <c r="V28" s="1">
        <f t="shared" si="18"/>
        <v>0</v>
      </c>
      <c r="W28" s="9">
        <f t="shared" si="14"/>
        <v>0</v>
      </c>
    </row>
    <row r="29" spans="1:32" x14ac:dyDescent="0.2">
      <c r="A29" s="140">
        <v>21</v>
      </c>
      <c r="B29" s="28">
        <f t="shared" si="12"/>
        <v>0.34219356929184475</v>
      </c>
      <c r="C29" s="2">
        <f>(SUM(D29:L29)+Rules!$B$5*M29)/(9+Rules!$B$5)</f>
        <v>0.15100839471537425</v>
      </c>
      <c r="D29" s="2">
        <f>(SUM(E29:M29)+Rules!$B$5*N29)/(9+Rules!$B$5)</f>
        <v>0.14550093066425418</v>
      </c>
      <c r="E29" s="2">
        <f>(SUM(F29:N29)+Rules!$B$5*O29)/(9+Rules!$B$5)</f>
        <v>0.14000979619841974</v>
      </c>
      <c r="F29" s="2">
        <f>(SUM(G29:O29)+Rules!$B$5*P29)/(9+Rules!$B$5)</f>
        <v>0.13456075782635629</v>
      </c>
      <c r="G29" s="2">
        <f>(SUM(H29:P29)+Rules!$B$5*Q29)/(9+Rules!$B$5)</f>
        <v>0.12917581781255486</v>
      </c>
      <c r="H29" s="2">
        <f>IF(Rules!$B$4=Rules!$F$4,0,(SUM(I29:Q29)+Rules!$B$5*R29)/(9+Rules!$B$5))</f>
        <v>0</v>
      </c>
      <c r="I29" s="26">
        <v>0</v>
      </c>
      <c r="J29" s="26">
        <v>0</v>
      </c>
      <c r="K29" s="26">
        <v>0</v>
      </c>
      <c r="L29" s="26">
        <v>1</v>
      </c>
      <c r="M29" s="2">
        <f t="shared" ref="M29:Q30" si="19">M19</f>
        <v>0.10346545719957015</v>
      </c>
      <c r="N29" s="2">
        <f t="shared" si="19"/>
        <v>9.6075067399600853E-2</v>
      </c>
      <c r="O29" s="2">
        <f t="shared" si="19"/>
        <v>8.9212562585343644E-2</v>
      </c>
      <c r="P29" s="2">
        <f t="shared" si="19"/>
        <v>8.2840236686390525E-2</v>
      </c>
      <c r="Q29" s="2">
        <f t="shared" si="19"/>
        <v>7.6923076923076927E-2</v>
      </c>
      <c r="R29" s="26">
        <f t="shared" ref="R29:V30" si="20">R19</f>
        <v>0</v>
      </c>
      <c r="S29" s="26">
        <f t="shared" si="20"/>
        <v>0</v>
      </c>
      <c r="T29" s="26">
        <f t="shared" si="20"/>
        <v>0</v>
      </c>
      <c r="U29" s="1">
        <f t="shared" si="20"/>
        <v>0</v>
      </c>
      <c r="V29" s="1">
        <f t="shared" si="20"/>
        <v>1</v>
      </c>
      <c r="W29" s="9">
        <f t="shared" si="14"/>
        <v>0</v>
      </c>
    </row>
    <row r="30" spans="1:32" ht="17" thickBot="1" x14ac:dyDescent="0.25">
      <c r="A30" s="142">
        <v>22</v>
      </c>
      <c r="B30" s="107">
        <f t="shared" si="12"/>
        <v>0</v>
      </c>
      <c r="C30" s="108">
        <f>(SUM(D30:L30)+Rules!$B$5*M30)/(9+Rules!$B$5)</f>
        <v>0</v>
      </c>
      <c r="D30" s="108">
        <f>(SUM(E30:M30)+Rules!$B$5*N30)/(9+Rules!$B$5)</f>
        <v>0</v>
      </c>
      <c r="E30" s="108">
        <f>(SUM(F30:N30)+Rules!$B$5*O30)/(9+Rules!$B$5)</f>
        <v>0</v>
      </c>
      <c r="F30" s="108">
        <f>(SUM(G30:O30)+Rules!$B$5*P30)/(9+Rules!$B$5)</f>
        <v>0</v>
      </c>
      <c r="G30" s="108">
        <f>(SUM(H30:P30)+Rules!$B$5*Q30)/(9+Rules!$B$5)</f>
        <v>0</v>
      </c>
      <c r="H30" s="108">
        <f>IF(Rules!$B$4=Rules!$F$4,0,(SUM(I30:Q30)+Rules!$B$5*R30)/(9+Rules!$B$5))</f>
        <v>0</v>
      </c>
      <c r="I30" s="111">
        <v>0</v>
      </c>
      <c r="J30" s="111">
        <v>0</v>
      </c>
      <c r="K30" s="111">
        <v>0</v>
      </c>
      <c r="L30" s="111">
        <v>0</v>
      </c>
      <c r="M30" s="108">
        <f t="shared" si="19"/>
        <v>0</v>
      </c>
      <c r="N30" s="108">
        <f t="shared" si="19"/>
        <v>0</v>
      </c>
      <c r="O30" s="108">
        <f t="shared" si="19"/>
        <v>0</v>
      </c>
      <c r="P30" s="108">
        <f t="shared" si="19"/>
        <v>0</v>
      </c>
      <c r="Q30" s="108">
        <f t="shared" si="19"/>
        <v>0</v>
      </c>
      <c r="R30" s="111">
        <f t="shared" si="20"/>
        <v>0</v>
      </c>
      <c r="S30" s="111">
        <f t="shared" si="20"/>
        <v>0</v>
      </c>
      <c r="T30" s="111">
        <f t="shared" si="20"/>
        <v>0</v>
      </c>
      <c r="U30" s="111">
        <f t="shared" si="20"/>
        <v>0</v>
      </c>
      <c r="V30" s="111">
        <f t="shared" si="20"/>
        <v>0</v>
      </c>
      <c r="W30" s="10">
        <f t="shared" si="14"/>
        <v>0</v>
      </c>
    </row>
    <row r="31" spans="1:32" ht="17" thickBot="1" x14ac:dyDescent="0.25">
      <c r="A31" s="104"/>
      <c r="B31" s="143">
        <f t="shared" ref="B31:W31" si="21">SUM(B24:B30)</f>
        <v>1</v>
      </c>
      <c r="C31" s="108">
        <f t="shared" si="21"/>
        <v>0.99999999999999978</v>
      </c>
      <c r="D31" s="108">
        <f t="shared" si="21"/>
        <v>0.99999999999999989</v>
      </c>
      <c r="E31" s="108">
        <f t="shared" si="21"/>
        <v>0.99999999999999978</v>
      </c>
      <c r="F31" s="108">
        <f t="shared" si="21"/>
        <v>1.0000000000000002</v>
      </c>
      <c r="G31" s="108">
        <f t="shared" si="21"/>
        <v>1</v>
      </c>
      <c r="H31" s="108">
        <f t="shared" si="21"/>
        <v>1</v>
      </c>
      <c r="I31" s="108">
        <f t="shared" si="21"/>
        <v>1</v>
      </c>
      <c r="J31" s="108">
        <f t="shared" si="21"/>
        <v>1</v>
      </c>
      <c r="K31" s="108">
        <f t="shared" si="21"/>
        <v>1</v>
      </c>
      <c r="L31" s="108">
        <f t="shared" si="21"/>
        <v>1</v>
      </c>
      <c r="M31" s="108">
        <f t="shared" si="21"/>
        <v>0.99999999999999989</v>
      </c>
      <c r="N31" s="108">
        <f t="shared" si="21"/>
        <v>0.99999999999999978</v>
      </c>
      <c r="O31" s="108">
        <f t="shared" si="21"/>
        <v>0.99999999999999978</v>
      </c>
      <c r="P31" s="108">
        <f t="shared" si="21"/>
        <v>0.99999999999999989</v>
      </c>
      <c r="Q31" s="108">
        <f t="shared" si="21"/>
        <v>0.99999999999999978</v>
      </c>
      <c r="R31" s="108">
        <f t="shared" si="21"/>
        <v>1</v>
      </c>
      <c r="S31" s="108">
        <f t="shared" si="21"/>
        <v>1</v>
      </c>
      <c r="T31" s="108">
        <f t="shared" si="21"/>
        <v>1</v>
      </c>
      <c r="U31" s="108">
        <f t="shared" si="21"/>
        <v>1</v>
      </c>
      <c r="V31" s="108">
        <f t="shared" si="21"/>
        <v>1</v>
      </c>
      <c r="W31" s="108">
        <f t="shared" si="21"/>
        <v>1</v>
      </c>
    </row>
    <row r="32" spans="1:32" ht="17" thickBot="1" x14ac:dyDescent="0.25"/>
    <row r="33" spans="2:15" ht="17" thickBot="1" x14ac:dyDescent="0.25">
      <c r="B33" s="4" t="s">
        <v>5</v>
      </c>
      <c r="C33" s="15" t="s">
        <v>0</v>
      </c>
      <c r="D33" s="11" t="s">
        <v>6</v>
      </c>
      <c r="E33" s="3"/>
      <c r="F33" s="30" t="s">
        <v>8</v>
      </c>
      <c r="I33" s="1" t="s">
        <v>30</v>
      </c>
      <c r="J33" s="1">
        <f>2*(1/(9+Rules!$B$5))*(Rules!$B$5/(9+Rules!$B$5))</f>
        <v>4.7337278106508882E-2</v>
      </c>
      <c r="L33" s="60" t="s">
        <v>33</v>
      </c>
      <c r="M33" s="63" t="s">
        <v>0</v>
      </c>
      <c r="N33" s="62" t="s">
        <v>6</v>
      </c>
      <c r="O33" s="61"/>
    </row>
    <row r="34" spans="2:15" ht="17" thickBot="1" x14ac:dyDescent="0.25">
      <c r="B34" s="5" t="s">
        <v>1</v>
      </c>
      <c r="C34" s="16">
        <f>B14</f>
        <v>0.2121090766176992</v>
      </c>
      <c r="D34" s="12">
        <f>SUM(B15:B19)</f>
        <v>0.78789092338230082</v>
      </c>
      <c r="E34" s="8">
        <f>SUM(C34:D34)</f>
        <v>1</v>
      </c>
      <c r="F34" s="30">
        <f>1/(9+Rules!$B$5)</f>
        <v>7.6923076923076927E-2</v>
      </c>
      <c r="G34" s="30">
        <f>(C34-D34)*F34</f>
        <v>-4.4290911289584747E-2</v>
      </c>
      <c r="L34" s="54">
        <v>5</v>
      </c>
      <c r="M34" s="55">
        <f>F14</f>
        <v>0.41640366958226238</v>
      </c>
      <c r="N34" s="56">
        <f>1-M34</f>
        <v>0.58359633041773762</v>
      </c>
      <c r="O34" s="57">
        <f t="shared" ref="O34:O45" si="22">SUM(M34:N34)</f>
        <v>1</v>
      </c>
    </row>
    <row r="35" spans="2:15" ht="17" thickBot="1" x14ac:dyDescent="0.25">
      <c r="B35" s="6">
        <v>2</v>
      </c>
      <c r="C35" s="17">
        <f>C14</f>
        <v>0.35360813639536137</v>
      </c>
      <c r="D35" s="13">
        <f>SUM(C15:C19)</f>
        <v>0.64639186360463863</v>
      </c>
      <c r="E35" s="9">
        <f t="shared" ref="E35:E43" si="23">SUM(C35:D35)</f>
        <v>1</v>
      </c>
      <c r="F35" s="30">
        <f>1/(9+Rules!$B$5)</f>
        <v>7.6923076923076927E-2</v>
      </c>
      <c r="G35" s="30">
        <f t="shared" ref="G35:G43" si="24">(C35-D35)*F35</f>
        <v>-2.2521825169944405E-2</v>
      </c>
      <c r="L35" s="58">
        <v>6</v>
      </c>
      <c r="M35" s="53">
        <f>G14</f>
        <v>0.42315049208499772</v>
      </c>
      <c r="N35" s="56">
        <f t="shared" ref="N35:N45" si="25">1-M35</f>
        <v>0.57684950791500222</v>
      </c>
      <c r="O35" s="9">
        <f t="shared" si="22"/>
        <v>1</v>
      </c>
    </row>
    <row r="36" spans="2:15" ht="17" thickBot="1" x14ac:dyDescent="0.25">
      <c r="B36" s="6">
        <v>3</v>
      </c>
      <c r="C36" s="17">
        <f>D14</f>
        <v>0.3738748853821432</v>
      </c>
      <c r="D36" s="13">
        <f>SUM(D15:D19)</f>
        <v>0.62612511461785669</v>
      </c>
      <c r="E36" s="9">
        <f t="shared" si="23"/>
        <v>0.99999999999999989</v>
      </c>
      <c r="F36" s="30">
        <f>1/(9+Rules!$B$5)</f>
        <v>7.6923076923076927E-2</v>
      </c>
      <c r="G36" s="30">
        <f t="shared" si="24"/>
        <v>-1.9403863787362578E-2</v>
      </c>
      <c r="L36" s="58">
        <v>7</v>
      </c>
      <c r="M36" s="53">
        <f>H14</f>
        <v>0.2623124083615333</v>
      </c>
      <c r="N36" s="56">
        <f t="shared" si="25"/>
        <v>0.73768759163846664</v>
      </c>
      <c r="O36" s="9">
        <f t="shared" si="22"/>
        <v>1</v>
      </c>
    </row>
    <row r="37" spans="2:15" ht="17" thickBot="1" x14ac:dyDescent="0.25">
      <c r="B37" s="6">
        <v>4</v>
      </c>
      <c r="C37" s="17">
        <f>E14</f>
        <v>0.39446844550254284</v>
      </c>
      <c r="D37" s="13">
        <f>SUM(E15:E19)</f>
        <v>0.60553155449745721</v>
      </c>
      <c r="E37" s="9">
        <f t="shared" si="23"/>
        <v>1</v>
      </c>
      <c r="F37" s="30">
        <f>1/(9+Rules!$B$5)</f>
        <v>7.6923076923076927E-2</v>
      </c>
      <c r="G37" s="30">
        <f t="shared" si="24"/>
        <v>-1.623562376883957E-2</v>
      </c>
      <c r="L37" s="58">
        <v>8</v>
      </c>
      <c r="M37" s="53">
        <f>I14</f>
        <v>0.2447412422511914</v>
      </c>
      <c r="N37" s="56">
        <f t="shared" si="25"/>
        <v>0.75525875774880857</v>
      </c>
      <c r="O37" s="9">
        <f t="shared" si="22"/>
        <v>1</v>
      </c>
    </row>
    <row r="38" spans="2:15" ht="17" thickBot="1" x14ac:dyDescent="0.25">
      <c r="B38" s="6">
        <v>5</v>
      </c>
      <c r="C38" s="17">
        <f>F14</f>
        <v>0.41640366958226238</v>
      </c>
      <c r="D38" s="13">
        <f>SUM(F15:F19)</f>
        <v>0.58359633041773762</v>
      </c>
      <c r="E38" s="9">
        <f t="shared" si="23"/>
        <v>1</v>
      </c>
      <c r="F38" s="30">
        <f>1/(9+Rules!$B$5)</f>
        <v>7.6923076923076927E-2</v>
      </c>
      <c r="G38" s="30">
        <f t="shared" si="24"/>
        <v>-1.2860973910421172E-2</v>
      </c>
      <c r="L38" s="58">
        <v>9</v>
      </c>
      <c r="M38" s="53">
        <f>J14</f>
        <v>0.2284251594344453</v>
      </c>
      <c r="N38" s="56">
        <f t="shared" si="25"/>
        <v>0.7715748405655547</v>
      </c>
      <c r="O38" s="9">
        <f t="shared" si="22"/>
        <v>1</v>
      </c>
    </row>
    <row r="39" spans="2:15" ht="17" thickBot="1" x14ac:dyDescent="0.25">
      <c r="B39" s="6">
        <v>6</v>
      </c>
      <c r="C39" s="17">
        <f>G14</f>
        <v>0.42315049208499772</v>
      </c>
      <c r="D39" s="13">
        <f>SUM(G15:G19)</f>
        <v>0.57684950791500222</v>
      </c>
      <c r="E39" s="9">
        <f t="shared" si="23"/>
        <v>1</v>
      </c>
      <c r="F39" s="30">
        <f>1/(9+Rules!$B$5)</f>
        <v>7.6923076923076927E-2</v>
      </c>
      <c r="G39" s="30">
        <f t="shared" si="24"/>
        <v>-1.1823001217692655E-2</v>
      </c>
      <c r="L39" s="58">
        <v>10</v>
      </c>
      <c r="M39" s="53">
        <f>K14</f>
        <v>0.2121090766176992</v>
      </c>
      <c r="N39" s="56">
        <f t="shared" si="25"/>
        <v>0.78789092338230082</v>
      </c>
      <c r="O39" s="9">
        <f t="shared" si="22"/>
        <v>1</v>
      </c>
    </row>
    <row r="40" spans="2:15" ht="17" thickBot="1" x14ac:dyDescent="0.25">
      <c r="B40" s="6">
        <v>7</v>
      </c>
      <c r="C40" s="17">
        <f>H14</f>
        <v>0.2623124083615333</v>
      </c>
      <c r="D40" s="13">
        <f>SUM(H15:H19)</f>
        <v>0.73768759163846653</v>
      </c>
      <c r="E40" s="9">
        <f t="shared" si="23"/>
        <v>0.99999999999999978</v>
      </c>
      <c r="F40" s="30">
        <f>1/(9+Rules!$B$5)</f>
        <v>7.6923076923076927E-2</v>
      </c>
      <c r="G40" s="30">
        <f t="shared" si="24"/>
        <v>-3.6567321790533326E-2</v>
      </c>
      <c r="L40" s="58">
        <v>11</v>
      </c>
      <c r="M40" s="53">
        <f>L14</f>
        <v>0.2121090766176992</v>
      </c>
      <c r="N40" s="56">
        <f t="shared" si="25"/>
        <v>0.78789092338230082</v>
      </c>
      <c r="O40" s="9">
        <f t="shared" si="22"/>
        <v>1</v>
      </c>
    </row>
    <row r="41" spans="2:15" ht="17" thickBot="1" x14ac:dyDescent="0.25">
      <c r="B41" s="6">
        <v>8</v>
      </c>
      <c r="C41" s="17">
        <f>I14</f>
        <v>0.2447412422511914</v>
      </c>
      <c r="D41" s="13">
        <f>SUM(I15:I19)</f>
        <v>0.75525875774880857</v>
      </c>
      <c r="E41" s="9">
        <f t="shared" si="23"/>
        <v>1</v>
      </c>
      <c r="F41" s="30">
        <f>1/(9+Rules!$B$5)</f>
        <v>7.6923076923076927E-2</v>
      </c>
      <c r="G41" s="30">
        <f t="shared" si="24"/>
        <v>-3.9270578115201321E-2</v>
      </c>
      <c r="L41" s="58">
        <v>12</v>
      </c>
      <c r="M41" s="53">
        <f>M14</f>
        <v>0.48267271400214923</v>
      </c>
      <c r="N41" s="56">
        <f t="shared" si="25"/>
        <v>0.51732728599785083</v>
      </c>
      <c r="O41" s="9">
        <f t="shared" si="22"/>
        <v>1</v>
      </c>
    </row>
    <row r="42" spans="2:15" ht="17" thickBot="1" x14ac:dyDescent="0.25">
      <c r="B42" s="6">
        <v>9</v>
      </c>
      <c r="C42" s="17">
        <f>J14</f>
        <v>0.2284251594344453</v>
      </c>
      <c r="D42" s="13">
        <f>SUM(J15:J19)</f>
        <v>0.7715748405655547</v>
      </c>
      <c r="E42" s="9">
        <f t="shared" si="23"/>
        <v>1</v>
      </c>
      <c r="F42" s="30">
        <f>1/(9+Rules!$B$5)</f>
        <v>7.6923076923076927E-2</v>
      </c>
      <c r="G42" s="30">
        <f t="shared" si="24"/>
        <v>-4.1780744702393034E-2</v>
      </c>
      <c r="L42" s="58">
        <v>13</v>
      </c>
      <c r="M42" s="53">
        <f>N14</f>
        <v>0.51962466300199572</v>
      </c>
      <c r="N42" s="56">
        <f t="shared" si="25"/>
        <v>0.48037533699800428</v>
      </c>
      <c r="O42" s="9">
        <f t="shared" si="22"/>
        <v>1</v>
      </c>
    </row>
    <row r="43" spans="2:15" ht="17" thickBot="1" x14ac:dyDescent="0.25">
      <c r="B43" s="7">
        <v>10</v>
      </c>
      <c r="C43" s="18">
        <f>K14</f>
        <v>0.2121090766176992</v>
      </c>
      <c r="D43" s="14">
        <f>SUM(K15:K19)</f>
        <v>0.78789092338230071</v>
      </c>
      <c r="E43" s="10">
        <f t="shared" si="23"/>
        <v>0.99999999999999989</v>
      </c>
      <c r="F43" s="30">
        <f>4/(9+Rules!$B$5)</f>
        <v>0.30769230769230771</v>
      </c>
      <c r="G43" s="30">
        <f t="shared" si="24"/>
        <v>-0.17716364515833893</v>
      </c>
      <c r="L43" s="58">
        <v>14</v>
      </c>
      <c r="M43" s="53">
        <f>O14</f>
        <v>0.55393718707328177</v>
      </c>
      <c r="N43" s="56">
        <f t="shared" si="25"/>
        <v>0.44606281292671823</v>
      </c>
      <c r="O43" s="9">
        <f t="shared" si="22"/>
        <v>1</v>
      </c>
    </row>
    <row r="44" spans="2:15" ht="17" thickBot="1" x14ac:dyDescent="0.25">
      <c r="C44" s="66">
        <f>SUM(C34:C43)/SUM($C$34:$D$43)</f>
        <v>0.31212025922298758</v>
      </c>
      <c r="D44" s="66">
        <f>SUM(D34:D43)/SUM($C$34:$D$43)</f>
        <v>0.68787974077701231</v>
      </c>
      <c r="F44">
        <f>SUM(F34:F43)</f>
        <v>1</v>
      </c>
      <c r="L44" s="58">
        <v>15</v>
      </c>
      <c r="M44" s="53">
        <f>P14</f>
        <v>0.58579881656804733</v>
      </c>
      <c r="N44" s="56">
        <f t="shared" si="25"/>
        <v>0.41420118343195267</v>
      </c>
      <c r="O44" s="9">
        <f t="shared" si="22"/>
        <v>1</v>
      </c>
    </row>
    <row r="45" spans="2:15" ht="17" thickBot="1" x14ac:dyDescent="0.25">
      <c r="L45" s="59">
        <v>16</v>
      </c>
      <c r="M45" s="64">
        <f>Q14</f>
        <v>0.61538461538461542</v>
      </c>
      <c r="N45" s="65">
        <f t="shared" si="25"/>
        <v>0.38461538461538458</v>
      </c>
      <c r="O45" s="10">
        <f t="shared" si="22"/>
        <v>1</v>
      </c>
    </row>
    <row r="46" spans="2:15" x14ac:dyDescent="0.2">
      <c r="M46" s="66">
        <f>SUM(M34:M45)/SUM($M$34:$N$45)</f>
        <v>0.39638909341499318</v>
      </c>
      <c r="N46" s="66">
        <f>SUM(N34:N45)/SUM($M$34:$N$45)</f>
        <v>0.60361090658500682</v>
      </c>
    </row>
  </sheetData>
  <sheetProtection sheet="1" objects="1" scenarios="1"/>
  <mergeCells count="2">
    <mergeCell ref="A1:L1"/>
    <mergeCell ref="A12:L12"/>
  </mergeCells>
  <phoneticPr fontId="16" type="noConversion"/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W54"/>
  <sheetViews>
    <sheetView topLeftCell="A13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  <col min="19" max="19" width="9.1640625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49" t="s">
        <v>125</v>
      </c>
      <c r="C2" s="155">
        <f>Analysis!B9</f>
        <v>0.48892847868253325</v>
      </c>
      <c r="D2" s="149" t="s">
        <v>126</v>
      </c>
      <c r="E2" s="155">
        <f>Analysis!E9</f>
        <v>0.51107152131746691</v>
      </c>
      <c r="F2" s="149" t="s">
        <v>47</v>
      </c>
      <c r="G2" s="155">
        <f>Analysis!S9</f>
        <v>1.3133601966368826</v>
      </c>
      <c r="H2" t="s">
        <v>155</v>
      </c>
      <c r="I2" s="169">
        <f>Analysis!T9</f>
        <v>-1.3280126136138279</v>
      </c>
      <c r="J2" t="s">
        <v>48</v>
      </c>
      <c r="K2" s="169">
        <f>C2*G2+E2*I2</f>
        <v>-3.6570223864540674E-2</v>
      </c>
      <c r="L2" t="s">
        <v>47</v>
      </c>
      <c r="M2" s="176">
        <v>1</v>
      </c>
      <c r="N2" t="s">
        <v>155</v>
      </c>
      <c r="O2" s="176">
        <v>2</v>
      </c>
    </row>
    <row r="4" spans="1:23" x14ac:dyDescent="0.2">
      <c r="A4" t="s">
        <v>123</v>
      </c>
      <c r="B4">
        <f>$C$2</f>
        <v>0.48892847868253325</v>
      </c>
      <c r="C4" t="s">
        <v>124</v>
      </c>
      <c r="D4">
        <f>$E$2</f>
        <v>0.51107152131746691</v>
      </c>
      <c r="E4" t="s">
        <v>47</v>
      </c>
      <c r="F4">
        <f>G2</f>
        <v>1.3133601966368826</v>
      </c>
      <c r="G4" t="s">
        <v>155</v>
      </c>
      <c r="H4">
        <f>I2</f>
        <v>-1.3280126136138279</v>
      </c>
      <c r="I4" t="s">
        <v>48</v>
      </c>
      <c r="J4">
        <f>K2</f>
        <v>-3.6570223864540674E-2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0.48892847868253325</v>
      </c>
      <c r="C7" s="95">
        <v>1</v>
      </c>
      <c r="D7" s="109">
        <f>C7*D4</f>
        <v>0.51107152131746691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1.0000000000000002</v>
      </c>
      <c r="R7" s="187">
        <f>B7-D7</f>
        <v>-2.2143042634933663E-2</v>
      </c>
      <c r="S7" s="109">
        <f>SUM(C7)*$B$4*$F$4</f>
        <v>0.64213920290386373</v>
      </c>
      <c r="T7" s="57">
        <f>SUM(C7)*$D$4*$H$4</f>
        <v>-0.6787094267684044</v>
      </c>
      <c r="U7" s="263">
        <f>S7+T7</f>
        <v>-3.6570223864540674E-2</v>
      </c>
      <c r="V7" s="109">
        <f>(U7+W7*D7)/B7</f>
        <v>0.97049224608784812</v>
      </c>
      <c r="W7" s="57">
        <f>COUNT(D7:M7)</f>
        <v>1</v>
      </c>
    </row>
    <row r="8" spans="1:23" x14ac:dyDescent="0.2">
      <c r="A8" s="99">
        <v>2</v>
      </c>
      <c r="B8" s="97">
        <f>C8*B4</f>
        <v>0.65179810959069495</v>
      </c>
      <c r="C8" s="97">
        <f>1/(1-B4*D4)</f>
        <v>1.3331154514603654</v>
      </c>
      <c r="D8" s="93">
        <f>C8*D4</f>
        <v>0.68131734186967063</v>
      </c>
      <c r="E8" s="1">
        <f>D8*D4</f>
        <v>0.34820189040930527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1.0000000000000002</v>
      </c>
      <c r="R8" s="188">
        <f>B8-E8</f>
        <v>0.30359621918138968</v>
      </c>
      <c r="S8" s="93">
        <f>SUM(C8:D8)*$B$4*$F$4</f>
        <v>1.2935462682123531</v>
      </c>
      <c r="T8" s="9">
        <f>SUM(C8:D8)*$D$4*$H$4</f>
        <v>-1.3672145264245044</v>
      </c>
      <c r="U8" s="264">
        <f>S8+T8</f>
        <v>-7.3668258212151283E-2</v>
      </c>
      <c r="V8" s="93">
        <f>(U8+W8*E8)/B8</f>
        <v>0.95541167340530353</v>
      </c>
      <c r="W8" s="9">
        <f>COUNT(D8:M8)</f>
        <v>2</v>
      </c>
    </row>
    <row r="9" spans="1:23" x14ac:dyDescent="0.2">
      <c r="A9" s="99">
        <v>3</v>
      </c>
      <c r="B9" s="97">
        <f>C9*B4</f>
        <v>0.73315310686565582</v>
      </c>
      <c r="C9" s="97">
        <f>1/(1-D4*B4/(1-D4*B4))</f>
        <v>1.4995099259531992</v>
      </c>
      <c r="D9" s="93">
        <f>C9*D4*C8</f>
        <v>1.0216421168576204</v>
      </c>
      <c r="E9" s="1">
        <f>D9*(D4)</f>
        <v>0.52213219090442142</v>
      </c>
      <c r="F9" s="1">
        <f>E9*D4</f>
        <v>0.26684689313434473</v>
      </c>
      <c r="G9" s="1"/>
      <c r="H9" s="1"/>
      <c r="I9" s="1"/>
      <c r="J9" s="1"/>
      <c r="K9" s="1"/>
      <c r="L9" s="1"/>
      <c r="M9" s="260"/>
      <c r="N9" s="97">
        <f>B9+F9</f>
        <v>1.0000000000000004</v>
      </c>
      <c r="R9" s="188">
        <f>B9-F9</f>
        <v>0.46630621373131109</v>
      </c>
      <c r="S9" s="93">
        <f>SUM(C9:E9)*$B$4*$F$4</f>
        <v>1.9542121120478004</v>
      </c>
      <c r="T9" s="9">
        <f>SUM(C9:E9)*$D$4*$H$4</f>
        <v>-2.0655056977581938</v>
      </c>
      <c r="U9" s="264">
        <f t="shared" ref="U9:U16" si="0">S9+T9</f>
        <v>-0.11129358571039338</v>
      </c>
      <c r="V9" s="93">
        <f>(U9+W9*F9)/B9</f>
        <v>0.94011344593393309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0.78190233827221867</v>
      </c>
      <c r="C10" s="97">
        <f>1/(1-D4*B4/(1-D4*B4/(1-D4*B4)))</f>
        <v>1.5992161887954099</v>
      </c>
      <c r="D10" s="93">
        <f>C10*D4*C9</f>
        <v>1.225570231478555</v>
      </c>
      <c r="E10" s="1">
        <f>D10*D4*C8</f>
        <v>0.83500225238556602</v>
      </c>
      <c r="F10" s="1">
        <f>E10*D4</f>
        <v>0.42674587143020271</v>
      </c>
      <c r="G10" s="1">
        <f>F10*D4</f>
        <v>0.21809766172778183</v>
      </c>
      <c r="H10" s="1"/>
      <c r="I10" s="1"/>
      <c r="J10" s="1"/>
      <c r="K10" s="1"/>
      <c r="L10" s="1"/>
      <c r="M10" s="260"/>
      <c r="N10" s="97">
        <f>B10+G10</f>
        <v>1.0000000000000004</v>
      </c>
      <c r="R10" s="188">
        <f>B10-G10</f>
        <v>0.56380467654443689</v>
      </c>
      <c r="S10" s="93">
        <f>SUM(C10:F10)*$B$4*$F$4</f>
        <v>2.6241240347808859</v>
      </c>
      <c r="T10" s="9">
        <f>SUM(C10:F10)*$D$4*$H$4</f>
        <v>-2.7735695178884261</v>
      </c>
      <c r="U10" s="264">
        <f t="shared" si="0"/>
        <v>-0.14944548310754024</v>
      </c>
      <c r="V10" s="93">
        <f>(U10+W10*G10)/B10</f>
        <v>0.92459777700766299</v>
      </c>
      <c r="W10" s="9">
        <f t="shared" si="1"/>
        <v>4</v>
      </c>
    </row>
    <row r="11" spans="1:23" x14ac:dyDescent="0.2">
      <c r="A11" s="99">
        <v>5</v>
      </c>
      <c r="B11" s="97">
        <f>C11*B4</f>
        <v>0.81434878041049885</v>
      </c>
      <c r="C11" s="97">
        <f>1/(1-D4*B4/(1-D4*B4/(1-D4*B4/(1-D4*B4))))</f>
        <v>1.6655785373861698</v>
      </c>
      <c r="D11" s="93">
        <f>C11*D4*C10</f>
        <v>1.361300407739876</v>
      </c>
      <c r="E11" s="1">
        <f>D11*D4*C9</f>
        <v>1.0432418502981076</v>
      </c>
      <c r="F11" s="1">
        <f>E11*D4*C8</f>
        <v>0.71077876437230347</v>
      </c>
      <c r="G11" s="1">
        <f>F11*D4</f>
        <v>0.36325878442790249</v>
      </c>
      <c r="H11" s="1">
        <f>G11*D4</f>
        <v>0.1856512195895019</v>
      </c>
      <c r="I11" s="1"/>
      <c r="J11" s="1"/>
      <c r="K11" s="1"/>
      <c r="L11" s="1"/>
      <c r="M11" s="260"/>
      <c r="N11" s="97">
        <f>B11+H11</f>
        <v>1.0000000000000007</v>
      </c>
      <c r="R11" s="188">
        <f>B11-H11</f>
        <v>0.62869756082099693</v>
      </c>
      <c r="S11" s="93">
        <f>SUM(C11:G11)*$B$4*$F$4</f>
        <v>3.3032657387714899</v>
      </c>
      <c r="T11" s="9">
        <f>SUM(C11:G11)*$D$4*$H$4</f>
        <v>-3.4913887610144192</v>
      </c>
      <c r="U11" s="264">
        <f t="shared" si="0"/>
        <v>-0.18812302224292932</v>
      </c>
      <c r="V11" s="93">
        <f>(U11+W11*H11)/B11</f>
        <v>0.9088649648759739</v>
      </c>
      <c r="W11" s="9">
        <f t="shared" si="1"/>
        <v>5</v>
      </c>
    </row>
    <row r="12" spans="1:23" x14ac:dyDescent="0.2">
      <c r="A12" s="99">
        <v>6</v>
      </c>
      <c r="B12" s="97">
        <f>C12*B4</f>
        <v>0.83747944086446069</v>
      </c>
      <c r="C12" s="97">
        <f>1/(1-D4*B4/(1-D4*B4/(1-D4*B4/(1-D4*B4/(1-D4*B4)))))</f>
        <v>1.712887420919176</v>
      </c>
      <c r="D12" s="93">
        <f>C12*D4*C11</f>
        <v>1.4580607430357144</v>
      </c>
      <c r="E12" s="1">
        <f>D12*D4*C10</f>
        <v>1.1916932401872256</v>
      </c>
      <c r="F12" s="1">
        <f>E12*D4*C9</f>
        <v>0.91326224087801045</v>
      </c>
      <c r="G12" s="1">
        <f>F12*D4*C8</f>
        <v>0.62222140238494494</v>
      </c>
      <c r="H12" s="1">
        <f>G12*D4</f>
        <v>0.31799963871316156</v>
      </c>
      <c r="I12" s="1">
        <f>H12*D4</f>
        <v>0.16252055913554034</v>
      </c>
      <c r="J12" s="1"/>
      <c r="K12" s="1"/>
      <c r="L12" s="1"/>
      <c r="M12" s="260"/>
      <c r="N12" s="97">
        <f>B12+I12</f>
        <v>1.0000000000000011</v>
      </c>
      <c r="R12" s="188">
        <f>B12-I12</f>
        <v>0.67495888172892038</v>
      </c>
      <c r="S12" s="93">
        <f>SUM(C12:H12)*$B$4*$F$4</f>
        <v>3.9916173510949924</v>
      </c>
      <c r="T12" s="9">
        <f>SUM(C12:H12)*$D$4*$H$4</f>
        <v>-4.2189424224362337</v>
      </c>
      <c r="U12" s="264">
        <f t="shared" si="0"/>
        <v>-0.22732507134124136</v>
      </c>
      <c r="V12" s="93">
        <f>(U12+W12*I12)/B12</f>
        <v>0.89291539228725481</v>
      </c>
      <c r="W12" s="9">
        <f t="shared" si="1"/>
        <v>6</v>
      </c>
    </row>
    <row r="13" spans="1:23" x14ac:dyDescent="0.2">
      <c r="A13" s="99">
        <v>7</v>
      </c>
      <c r="B13" s="97">
        <f>C13*B4</f>
        <v>0.85478783871783082</v>
      </c>
      <c r="C13" s="97">
        <f>1/(1-D4*B4/(1-D4*B4/(1-D4*B4/(1-D4*B4/(1-D4*B4/(1-D4*B4))))))</f>
        <v>1.7482880952673123</v>
      </c>
      <c r="D13" s="93">
        <f>C13*D4*C12</f>
        <v>1.5304653500316641</v>
      </c>
      <c r="E13" s="1">
        <f>D13*D4*C11</f>
        <v>1.3027776479671391</v>
      </c>
      <c r="F13" s="1">
        <f>E13*D4*C10</f>
        <v>1.0647782158355694</v>
      </c>
      <c r="G13" s="1">
        <f>F13*D4*C9</f>
        <v>0.81600004652145697</v>
      </c>
      <c r="H13" s="1">
        <f>G13*D4*C8</f>
        <v>0.55595498266152665</v>
      </c>
      <c r="I13" s="1">
        <f>H13*D4</f>
        <v>0.28413275877285238</v>
      </c>
      <c r="J13" s="1">
        <f>I13*D4</f>
        <v>0.14521216128217052</v>
      </c>
      <c r="K13" s="1"/>
      <c r="L13" s="1"/>
      <c r="M13" s="260"/>
      <c r="N13" s="97">
        <f>B13+J13</f>
        <v>1.0000000000000013</v>
      </c>
      <c r="R13" s="188">
        <f>B13-J13</f>
        <v>0.7095756774356603</v>
      </c>
      <c r="S13" s="93">
        <f>SUM(C13:I13)*$B$4*$F$4</f>
        <v>4.6891554511920042</v>
      </c>
      <c r="T13" s="9">
        <f>SUM(C13:I13)*$D$4*$H$4</f>
        <v>-4.9562057477791699</v>
      </c>
      <c r="U13" s="264">
        <f t="shared" si="0"/>
        <v>-0.26705029658716573</v>
      </c>
      <c r="V13" s="93">
        <f>(U13+W13*J13)/B13</f>
        <v>0.8767495259550826</v>
      </c>
      <c r="W13" s="9">
        <f t="shared" si="1"/>
        <v>7</v>
      </c>
    </row>
    <row r="14" spans="1:23" x14ac:dyDescent="0.2">
      <c r="A14" s="99">
        <v>8</v>
      </c>
      <c r="B14" s="97">
        <f>C14*B4</f>
        <v>0.86821483137415933</v>
      </c>
      <c r="C14" s="97">
        <f>1/(1-D4*B4/(1-D4*B4/(1-D4*B4/(1-D4*B4/(1-D4*B4/(1-D4*B4/(1-D4*B4)))))))</f>
        <v>1.7757501745728765</v>
      </c>
      <c r="D14" s="93">
        <f>C14*D4*C13</f>
        <v>1.5866332365486522</v>
      </c>
      <c r="E14" s="1">
        <f>D14*D4*C12</f>
        <v>1.3889513966947313</v>
      </c>
      <c r="F14" s="1">
        <f>E14*D4*C11</f>
        <v>1.1823167598594753</v>
      </c>
      <c r="G14" s="1">
        <f>F14*D4*C10</f>
        <v>0.96632386353885136</v>
      </c>
      <c r="H14" s="1">
        <f>G14*D4*C9</f>
        <v>0.7405488822700198</v>
      </c>
      <c r="I14" s="1">
        <f>H14*D4*C8</f>
        <v>0.50454879599276559</v>
      </c>
      <c r="J14" s="1">
        <f>I14*D4</f>
        <v>0.25786052074691895</v>
      </c>
      <c r="K14" s="1">
        <f>J14*D4</f>
        <v>0.13178516862584211</v>
      </c>
      <c r="L14" s="1"/>
      <c r="M14" s="260"/>
      <c r="N14" s="97">
        <f>B14+K14</f>
        <v>1.0000000000000013</v>
      </c>
      <c r="R14" s="188">
        <f>B14-K14</f>
        <v>0.73642966274831723</v>
      </c>
      <c r="S14" s="93">
        <f>SUM(C14:J14)*$B$4*$F$4</f>
        <v>5.3958531033662949</v>
      </c>
      <c r="T14" s="9">
        <f>SUM(C14:J14)*$D$4*$H$4</f>
        <v>-5.7031502673424752</v>
      </c>
      <c r="U14" s="264">
        <f t="shared" si="0"/>
        <v>-0.30729716397618034</v>
      </c>
      <c r="V14" s="93">
        <f>(U14+W14*K14)/B14</f>
        <v>0.86036791590887007</v>
      </c>
      <c r="W14" s="9">
        <f t="shared" si="1"/>
        <v>8</v>
      </c>
    </row>
    <row r="15" spans="1:23" x14ac:dyDescent="0.2">
      <c r="A15" s="99">
        <v>9</v>
      </c>
      <c r="B15" s="97">
        <f>C15*B4</f>
        <v>0.87892494526843101</v>
      </c>
      <c r="C15" s="97">
        <f>1/(1-D4*B4/(1-D4*B4/(1-D4*B4/(1-D4*B4/(1-D4*B4/(1-D4*B4/(1-D4*B4/(1-D4*B4))))))))</f>
        <v>1.7976554518500993</v>
      </c>
      <c r="D15" s="93">
        <f>C15*D4*C14</f>
        <v>1.6314358574478254</v>
      </c>
      <c r="E15" s="1">
        <f>D15*D4*C13</f>
        <v>1.4576883571736559</v>
      </c>
      <c r="F15" s="1">
        <f>E15*D4*C12</f>
        <v>1.2760720203026668</v>
      </c>
      <c r="G15" s="1">
        <f>F15*D4*C11</f>
        <v>1.0862304757256926</v>
      </c>
      <c r="H15" s="1">
        <f>G15*D4*C10</f>
        <v>0.88779121267100403</v>
      </c>
      <c r="I15" s="1">
        <f>H15*D4*C9</f>
        <v>0.68036484975642364</v>
      </c>
      <c r="J15" s="1">
        <f>I15*D4*C8</f>
        <v>0.46354437093760442</v>
      </c>
      <c r="K15" s="1">
        <f>J15*D4</f>
        <v>0.23690432685322968</v>
      </c>
      <c r="L15" s="1">
        <f>K15*D4</f>
        <v>0.12107505473157053</v>
      </c>
      <c r="M15" s="260"/>
      <c r="N15" s="97">
        <f>B15+L15</f>
        <v>1.0000000000000016</v>
      </c>
      <c r="R15" s="188">
        <f>B15-L15</f>
        <v>0.75784989053686047</v>
      </c>
      <c r="S15" s="93">
        <f>SUM(C15:K15)*$B$4*$F$4</f>
        <v>6.111679894042795</v>
      </c>
      <c r="T15" s="9">
        <f>SUM(C15:K15)*$D$4*$H$4</f>
        <v>-6.4597438354792107</v>
      </c>
      <c r="U15" s="264">
        <f t="shared" si="0"/>
        <v>-0.34806394143641572</v>
      </c>
      <c r="V15" s="93">
        <f>(U15+W15*L15)/B15</f>
        <v>0.84377119473065432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0.8876592534486446</v>
      </c>
      <c r="C16" s="145">
        <f>1/(1-D4*B4/(1-D4*B4/(1-D4*B4/(1-D4*B4/(1-D4*B4/(1-D4*B4/(1-D4*B4/(1-D4*B4/(1-D4*B4)))))))))</f>
        <v>1.815519635592779</v>
      </c>
      <c r="D16" s="94">
        <f>C16*D4*C15</f>
        <v>1.6679732745171203</v>
      </c>
      <c r="E16" s="111">
        <f>D16*D4*C14</f>
        <v>1.5137446981351834</v>
      </c>
      <c r="F16" s="111">
        <f>E16*D4*C13</f>
        <v>1.3525312761342043</v>
      </c>
      <c r="G16" s="111">
        <f>F16*D4*C12</f>
        <v>1.1840166724014705</v>
      </c>
      <c r="H16" s="111">
        <f>G16*D4*C11</f>
        <v>1.0078702243034467</v>
      </c>
      <c r="I16" s="111">
        <f>H16*D4*C10</f>
        <v>0.82374629385312292</v>
      </c>
      <c r="J16" s="111">
        <f>I16*D4*C9</f>
        <v>0.63128358949243235</v>
      </c>
      <c r="K16" s="111">
        <f>J16*D4*C8</f>
        <v>0.43010445715892837</v>
      </c>
      <c r="L16" s="111">
        <f>K16*D4</f>
        <v>0.21981413924563678</v>
      </c>
      <c r="M16" s="262">
        <f>L16*D4</f>
        <v>0.1123407465513571</v>
      </c>
      <c r="N16" s="145">
        <f>B16+M16</f>
        <v>1.0000000000000018</v>
      </c>
      <c r="R16" s="189">
        <f>B16-M16</f>
        <v>0.77531850689728754</v>
      </c>
      <c r="S16" s="94">
        <f>SUM(C16:L16)*$B$4*$F$4</f>
        <v>6.8366019736850312</v>
      </c>
      <c r="T16" s="10">
        <f>SUM(C16:L16)*$D$4*$H$4</f>
        <v>-7.2259506749009157</v>
      </c>
      <c r="U16" s="265">
        <f t="shared" si="0"/>
        <v>-0.3893487012158845</v>
      </c>
      <c r="V16" s="94">
        <f>(U16+W16*M16)/B16</f>
        <v>0.82696007668009452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2</v>
      </c>
      <c r="D21" s="57">
        <f>SUM($C$21:C21)</f>
        <v>2</v>
      </c>
      <c r="E21" s="279">
        <f t="shared" ref="E21:E30" si="3">D21/R7</f>
        <v>-90.321824013684903</v>
      </c>
      <c r="F21" s="8">
        <f t="shared" ref="F21:F30" si="4">U7/E21</f>
        <v>4.0488801310079633E-4</v>
      </c>
      <c r="G21" s="284">
        <f>E21*U7</f>
        <v>3.3030893240341026</v>
      </c>
      <c r="O21" s="101">
        <v>1</v>
      </c>
      <c r="P21" s="109">
        <v>1</v>
      </c>
      <c r="Q21" s="110">
        <f>P21*2+1</f>
        <v>3</v>
      </c>
      <c r="R21" s="57">
        <f>SUM($Q$21)</f>
        <v>3</v>
      </c>
      <c r="S21" s="279">
        <f>R21/R7</f>
        <v>-135.48273602052737</v>
      </c>
      <c r="T21" s="8">
        <f>U7/S21</f>
        <v>2.6992534206719755E-4</v>
      </c>
      <c r="U21" s="284">
        <f>S21*U7</f>
        <v>4.9546339860511548</v>
      </c>
    </row>
    <row r="22" spans="1:21" x14ac:dyDescent="0.2">
      <c r="A22" s="97">
        <v>2</v>
      </c>
      <c r="B22" s="93">
        <f>C21</f>
        <v>2</v>
      </c>
      <c r="C22" s="1">
        <f t="shared" si="2"/>
        <v>4</v>
      </c>
      <c r="D22" s="9">
        <f>SUM($C$21:C22)</f>
        <v>6</v>
      </c>
      <c r="E22" s="280">
        <f t="shared" si="3"/>
        <v>19.763091965302699</v>
      </c>
      <c r="F22" s="9">
        <f t="shared" si="4"/>
        <v>-3.7275674444812489E-3</v>
      </c>
      <c r="G22" s="285">
        <f t="shared" ref="G22:G30" si="5">E22*U8</f>
        <v>-1.4559125619704116</v>
      </c>
      <c r="O22" s="99">
        <v>2</v>
      </c>
      <c r="P22" s="93">
        <f>Q21</f>
        <v>3</v>
      </c>
      <c r="Q22" s="1">
        <f>P22*2+1</f>
        <v>7</v>
      </c>
      <c r="R22" s="9">
        <f>SUM($Q$21:Q22)</f>
        <v>10</v>
      </c>
      <c r="S22" s="280">
        <f>R22/R8</f>
        <v>32.938486608837835</v>
      </c>
      <c r="T22" s="9">
        <f>U8/S22</f>
        <v>-2.2365404666887492E-3</v>
      </c>
      <c r="U22" s="285">
        <f t="shared" ref="U22:U30" si="6">S22*U8</f>
        <v>-2.426520936617353</v>
      </c>
    </row>
    <row r="23" spans="1:21" x14ac:dyDescent="0.2">
      <c r="A23" s="97">
        <v>3</v>
      </c>
      <c r="B23" s="93">
        <f t="shared" ref="B23:B30" si="7">C22</f>
        <v>4</v>
      </c>
      <c r="C23" s="1">
        <f t="shared" si="2"/>
        <v>8</v>
      </c>
      <c r="D23" s="9">
        <f>SUM($C$21:C23)</f>
        <v>14</v>
      </c>
      <c r="E23" s="280">
        <f t="shared" si="3"/>
        <v>30.023189886264088</v>
      </c>
      <c r="F23" s="9">
        <f t="shared" si="4"/>
        <v>-3.7069207546567636E-3</v>
      </c>
      <c r="G23" s="285">
        <f t="shared" si="5"/>
        <v>-3.3413884569063481</v>
      </c>
      <c r="O23" s="99">
        <v>3</v>
      </c>
      <c r="P23" s="93">
        <f t="shared" ref="P23:P30" si="8">Q22</f>
        <v>7</v>
      </c>
      <c r="Q23" s="1">
        <f>P23*2+1</f>
        <v>15</v>
      </c>
      <c r="R23" s="9">
        <f>SUM($Q$21:Q23)</f>
        <v>25</v>
      </c>
      <c r="S23" s="280">
        <f t="shared" ref="S23:S30" si="9">R23/R9</f>
        <v>53.612839082614443</v>
      </c>
      <c r="T23" s="9">
        <f t="shared" ref="T23:T30" si="10">U9/S23</f>
        <v>-2.0758756226077874E-3</v>
      </c>
      <c r="U23" s="285">
        <f t="shared" si="6"/>
        <v>-5.9667651016184786</v>
      </c>
    </row>
    <row r="24" spans="1:21" x14ac:dyDescent="0.2">
      <c r="A24" s="97">
        <v>4</v>
      </c>
      <c r="B24" s="93">
        <f t="shared" si="7"/>
        <v>8</v>
      </c>
      <c r="C24" s="1">
        <f t="shared" si="2"/>
        <v>16</v>
      </c>
      <c r="D24" s="9">
        <f>SUM($C$21:C24)</f>
        <v>30</v>
      </c>
      <c r="E24" s="280">
        <f t="shared" si="3"/>
        <v>53.209916923481771</v>
      </c>
      <c r="F24" s="9">
        <f t="shared" si="4"/>
        <v>-2.8086020754824613E-3</v>
      </c>
      <c r="G24" s="285">
        <f t="shared" si="5"/>
        <v>-7.9519817407418145</v>
      </c>
      <c r="O24" s="99">
        <v>4</v>
      </c>
      <c r="P24" s="93">
        <f t="shared" si="8"/>
        <v>15</v>
      </c>
      <c r="Q24" s="1">
        <f t="shared" ref="Q24:Q30" si="11">P24*2+1</f>
        <v>31</v>
      </c>
      <c r="R24" s="9">
        <f>SUM($Q$21:Q24)</f>
        <v>56</v>
      </c>
      <c r="S24" s="280">
        <f t="shared" si="9"/>
        <v>99.325178257165973</v>
      </c>
      <c r="T24" s="9">
        <f t="shared" si="10"/>
        <v>-1.5046082547227472E-3</v>
      </c>
      <c r="U24" s="285">
        <f t="shared" si="6"/>
        <v>-14.843699249384722</v>
      </c>
    </row>
    <row r="25" spans="1:21" x14ac:dyDescent="0.2">
      <c r="A25" s="97">
        <v>5</v>
      </c>
      <c r="B25" s="93">
        <f t="shared" si="7"/>
        <v>16</v>
      </c>
      <c r="C25" s="1">
        <f t="shared" si="2"/>
        <v>32</v>
      </c>
      <c r="D25" s="9">
        <f>SUM($C$21:C25)</f>
        <v>62</v>
      </c>
      <c r="E25" s="280">
        <f t="shared" si="3"/>
        <v>98.616574747062955</v>
      </c>
      <c r="F25" s="9">
        <f t="shared" si="4"/>
        <v>-1.9076207293290937E-3</v>
      </c>
      <c r="G25" s="285">
        <f t="shared" si="5"/>
        <v>-18.552048084663227</v>
      </c>
      <c r="O25" s="99">
        <v>5</v>
      </c>
      <c r="P25" s="93">
        <f t="shared" si="8"/>
        <v>31</v>
      </c>
      <c r="Q25" s="1">
        <f t="shared" si="11"/>
        <v>63</v>
      </c>
      <c r="R25" s="9">
        <f>SUM($Q$21:Q25)</f>
        <v>119</v>
      </c>
      <c r="S25" s="280">
        <f t="shared" si="9"/>
        <v>189.28019991774985</v>
      </c>
      <c r="T25" s="9">
        <f t="shared" si="10"/>
        <v>-9.9388643040675476E-4</v>
      </c>
      <c r="U25" s="285">
        <f t="shared" si="6"/>
        <v>-35.607963259272964</v>
      </c>
    </row>
    <row r="26" spans="1:21" x14ac:dyDescent="0.2">
      <c r="A26" s="97">
        <v>6</v>
      </c>
      <c r="B26" s="93">
        <f t="shared" si="7"/>
        <v>32</v>
      </c>
      <c r="C26" s="1">
        <f t="shared" si="2"/>
        <v>64</v>
      </c>
      <c r="D26" s="9">
        <f>SUM($C$21:C26)</f>
        <v>126</v>
      </c>
      <c r="E26" s="280">
        <f t="shared" si="3"/>
        <v>186.67803833805183</v>
      </c>
      <c r="F26" s="9">
        <f t="shared" si="4"/>
        <v>-1.2177386979478676E-3</v>
      </c>
      <c r="G26" s="285">
        <f t="shared" si="5"/>
        <v>-42.436598383040625</v>
      </c>
      <c r="O26" s="99">
        <v>6</v>
      </c>
      <c r="P26" s="93">
        <f t="shared" si="8"/>
        <v>63</v>
      </c>
      <c r="Q26" s="1">
        <f t="shared" si="11"/>
        <v>127</v>
      </c>
      <c r="R26" s="9">
        <f>SUM($Q$21:Q26)</f>
        <v>246</v>
      </c>
      <c r="S26" s="280">
        <f t="shared" si="9"/>
        <v>364.46664627905358</v>
      </c>
      <c r="T26" s="9">
        <f t="shared" si="10"/>
        <v>-6.2371982090012729E-4</v>
      </c>
      <c r="U26" s="285">
        <f t="shared" si="6"/>
        <v>-82.852406366888829</v>
      </c>
    </row>
    <row r="27" spans="1:21" x14ac:dyDescent="0.2">
      <c r="A27" s="97">
        <v>7</v>
      </c>
      <c r="B27" s="93">
        <f t="shared" si="7"/>
        <v>64</v>
      </c>
      <c r="C27" s="1">
        <f t="shared" si="2"/>
        <v>128</v>
      </c>
      <c r="D27" s="9">
        <f>SUM($C$21:C27)</f>
        <v>254</v>
      </c>
      <c r="E27" s="280">
        <f t="shared" si="3"/>
        <v>357.96040940683321</v>
      </c>
      <c r="F27" s="9">
        <f t="shared" si="4"/>
        <v>-7.460330516150871E-4</v>
      </c>
      <c r="G27" s="285">
        <f t="shared" si="5"/>
        <v>-95.59343349855807</v>
      </c>
      <c r="O27" s="99">
        <v>7</v>
      </c>
      <c r="P27" s="93">
        <f t="shared" si="8"/>
        <v>127</v>
      </c>
      <c r="Q27" s="1">
        <f t="shared" si="11"/>
        <v>255</v>
      </c>
      <c r="R27" s="9">
        <f>SUM($Q$21:Q27)</f>
        <v>501</v>
      </c>
      <c r="S27" s="280">
        <f t="shared" si="9"/>
        <v>706.05576816072221</v>
      </c>
      <c r="T27" s="9">
        <f t="shared" si="10"/>
        <v>-3.7822833355335755E-4</v>
      </c>
      <c r="U27" s="285">
        <f t="shared" si="6"/>
        <v>-188.5524022944</v>
      </c>
    </row>
    <row r="28" spans="1:21" x14ac:dyDescent="0.2">
      <c r="A28" s="97">
        <v>8</v>
      </c>
      <c r="B28" s="93">
        <f t="shared" si="7"/>
        <v>128</v>
      </c>
      <c r="C28" s="1">
        <f t="shared" si="2"/>
        <v>256</v>
      </c>
      <c r="D28" s="9">
        <f>SUM($C$21:C28)</f>
        <v>510</v>
      </c>
      <c r="E28" s="280">
        <f t="shared" si="3"/>
        <v>692.53049652658819</v>
      </c>
      <c r="F28" s="9">
        <f t="shared" si="4"/>
        <v>-4.437308761382212E-4</v>
      </c>
      <c r="G28" s="285">
        <f t="shared" si="5"/>
        <v>-212.81265754963655</v>
      </c>
      <c r="O28" s="99">
        <v>8</v>
      </c>
      <c r="P28" s="93">
        <f t="shared" si="8"/>
        <v>255</v>
      </c>
      <c r="Q28" s="1">
        <f t="shared" si="11"/>
        <v>511</v>
      </c>
      <c r="R28" s="9">
        <f>SUM($Q$21:Q28)</f>
        <v>1012</v>
      </c>
      <c r="S28" s="280">
        <f t="shared" si="9"/>
        <v>1374.1977695782496</v>
      </c>
      <c r="T28" s="9">
        <f t="shared" si="10"/>
        <v>-2.2361931504989409E-4</v>
      </c>
      <c r="U28" s="285">
        <f t="shared" si="6"/>
        <v>-422.28707733378866</v>
      </c>
    </row>
    <row r="29" spans="1:21" x14ac:dyDescent="0.2">
      <c r="A29" s="97">
        <v>9</v>
      </c>
      <c r="B29" s="93">
        <f t="shared" si="7"/>
        <v>256</v>
      </c>
      <c r="C29" s="1">
        <f t="shared" si="2"/>
        <v>512</v>
      </c>
      <c r="D29" s="9">
        <f>SUM($C$21:C29)</f>
        <v>1022</v>
      </c>
      <c r="E29" s="280">
        <f t="shared" si="3"/>
        <v>1348.5520190232075</v>
      </c>
      <c r="F29" s="9">
        <f t="shared" si="4"/>
        <v>-2.5810197643582765E-4</v>
      </c>
      <c r="G29" s="285">
        <f t="shared" si="5"/>
        <v>-469.38233097325389</v>
      </c>
      <c r="O29" s="99">
        <v>9</v>
      </c>
      <c r="P29" s="93">
        <f t="shared" si="8"/>
        <v>511</v>
      </c>
      <c r="Q29" s="1">
        <f t="shared" si="11"/>
        <v>1023</v>
      </c>
      <c r="R29" s="9">
        <f>SUM($Q$21:Q29)</f>
        <v>2035</v>
      </c>
      <c r="S29" s="280">
        <f t="shared" si="9"/>
        <v>2685.2283353348603</v>
      </c>
      <c r="T29" s="9">
        <f t="shared" si="10"/>
        <v>-1.2962172968914785E-4</v>
      </c>
      <c r="U29" s="285">
        <f t="shared" si="6"/>
        <v>-934.63115805339692</v>
      </c>
    </row>
    <row r="30" spans="1:21" ht="17" thickBot="1" x14ac:dyDescent="0.25">
      <c r="A30" s="145">
        <v>10</v>
      </c>
      <c r="B30" s="94">
        <f t="shared" si="7"/>
        <v>512</v>
      </c>
      <c r="C30" s="111">
        <f t="shared" si="2"/>
        <v>1024</v>
      </c>
      <c r="D30" s="10">
        <f>SUM($C$21:C30)</f>
        <v>2046</v>
      </c>
      <c r="E30" s="281">
        <f t="shared" si="3"/>
        <v>2638.9154673835865</v>
      </c>
      <c r="F30" s="10">
        <f t="shared" si="4"/>
        <v>-1.4754117971119143E-4</v>
      </c>
      <c r="G30" s="286">
        <f t="shared" si="5"/>
        <v>-1027.4583098443081</v>
      </c>
      <c r="O30" s="100">
        <v>10</v>
      </c>
      <c r="P30" s="94">
        <f t="shared" si="8"/>
        <v>1023</v>
      </c>
      <c r="Q30" s="111">
        <f t="shared" si="11"/>
        <v>2047</v>
      </c>
      <c r="R30" s="10">
        <f>SUM($Q$21:Q30)</f>
        <v>4082</v>
      </c>
      <c r="S30" s="281">
        <f t="shared" si="9"/>
        <v>5264.9330097066468</v>
      </c>
      <c r="T30" s="10">
        <f t="shared" si="10"/>
        <v>-7.3951311535790719E-5</v>
      </c>
      <c r="U30" s="286">
        <f t="shared" si="6"/>
        <v>-2049.8948293179205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8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2</v>
      </c>
      <c r="D33" s="57">
        <f>SUM($C$33:C33)</f>
        <v>2</v>
      </c>
      <c r="E33" s="8">
        <f t="shared" ref="E33:E42" si="13">D33/R7</f>
        <v>-90.321824013684903</v>
      </c>
      <c r="F33" s="8">
        <f t="shared" ref="F33:F42" si="14">U7/E33</f>
        <v>4.0488801310079633E-4</v>
      </c>
      <c r="G33" s="287">
        <f>E33*U7</f>
        <v>3.3030893240341026</v>
      </c>
      <c r="O33" s="101">
        <v>1</v>
      </c>
      <c r="P33" s="109">
        <v>1</v>
      </c>
      <c r="Q33" s="110">
        <f>P33*2+1</f>
        <v>3</v>
      </c>
      <c r="R33" s="57">
        <f>SUM($Q$21)</f>
        <v>3</v>
      </c>
      <c r="S33" s="279">
        <f>R33/R7</f>
        <v>-135.48273602052737</v>
      </c>
      <c r="T33" s="8">
        <f>U7/S33</f>
        <v>2.6992534206719755E-4</v>
      </c>
      <c r="U33" s="287">
        <f>S33*U7</f>
        <v>4.9546339860511548</v>
      </c>
    </row>
    <row r="34" spans="1:21" x14ac:dyDescent="0.2">
      <c r="A34" s="97">
        <v>2</v>
      </c>
      <c r="B34" s="93">
        <f t="shared" ref="B34:B42" si="15">B33*($O$2+1)</f>
        <v>3</v>
      </c>
      <c r="C34" s="1">
        <f t="shared" si="12"/>
        <v>6</v>
      </c>
      <c r="D34" s="9">
        <f>SUM($C$33:C34)</f>
        <v>8</v>
      </c>
      <c r="E34" s="9">
        <f t="shared" si="13"/>
        <v>26.350789287070267</v>
      </c>
      <c r="F34" s="9">
        <f t="shared" si="14"/>
        <v>-2.7956755833609364E-3</v>
      </c>
      <c r="G34" s="285">
        <f t="shared" ref="G34:G42" si="16">E34*U8</f>
        <v>-1.9412167492938823</v>
      </c>
      <c r="O34" s="99">
        <v>2</v>
      </c>
      <c r="P34" s="93">
        <f>Q33+1</f>
        <v>4</v>
      </c>
      <c r="Q34" s="1">
        <f>P34*2+1</f>
        <v>9</v>
      </c>
      <c r="R34" s="9">
        <f>SUM($Q$33:Q34)</f>
        <v>12</v>
      </c>
      <c r="S34" s="280">
        <f>R34/R8</f>
        <v>39.526183930605399</v>
      </c>
      <c r="T34" s="9">
        <f t="shared" ref="T34:T42" si="17">U8/S34</f>
        <v>-1.8637837222406244E-3</v>
      </c>
      <c r="U34" s="285">
        <f t="shared" ref="U34:U42" si="18">S34*U8</f>
        <v>-2.9118251239408233</v>
      </c>
    </row>
    <row r="35" spans="1:21" x14ac:dyDescent="0.2">
      <c r="A35" s="97">
        <v>3</v>
      </c>
      <c r="B35" s="93">
        <f t="shared" si="15"/>
        <v>9</v>
      </c>
      <c r="C35" s="1">
        <f t="shared" si="12"/>
        <v>18</v>
      </c>
      <c r="D35" s="9">
        <f>SUM($C$33:C35)</f>
        <v>26</v>
      </c>
      <c r="E35" s="9">
        <f t="shared" si="13"/>
        <v>55.757352645919021</v>
      </c>
      <c r="F35" s="9">
        <f t="shared" si="14"/>
        <v>-1.9960342525074883E-3</v>
      </c>
      <c r="G35" s="285">
        <f t="shared" si="16"/>
        <v>-6.2054357056832181</v>
      </c>
      <c r="O35" s="99">
        <v>3</v>
      </c>
      <c r="P35" s="93">
        <f t="shared" ref="P35:P42" si="19">Q34+1</f>
        <v>10</v>
      </c>
      <c r="Q35" s="1">
        <f>P35*2+1</f>
        <v>21</v>
      </c>
      <c r="R35" s="9">
        <f>SUM($Q$33:Q35)</f>
        <v>33</v>
      </c>
      <c r="S35" s="280">
        <f t="shared" ref="S35:S42" si="20">R35/R9</f>
        <v>70.768947589051066</v>
      </c>
      <c r="T35" s="9">
        <f t="shared" si="17"/>
        <v>-1.572633047430142E-3</v>
      </c>
      <c r="U35" s="285">
        <f t="shared" si="18"/>
        <v>-7.876129934136392</v>
      </c>
    </row>
    <row r="36" spans="1:21" x14ac:dyDescent="0.2">
      <c r="A36" s="97">
        <v>4</v>
      </c>
      <c r="B36" s="93">
        <f t="shared" si="15"/>
        <v>27</v>
      </c>
      <c r="C36" s="1">
        <f t="shared" si="12"/>
        <v>54</v>
      </c>
      <c r="D36" s="9">
        <f>SUM($C$33:C36)</f>
        <v>80</v>
      </c>
      <c r="E36" s="9">
        <f t="shared" si="13"/>
        <v>141.8931117959514</v>
      </c>
      <c r="F36" s="9">
        <f t="shared" si="14"/>
        <v>-1.0532257783059228E-3</v>
      </c>
      <c r="G36" s="285">
        <f t="shared" si="16"/>
        <v>-21.205284641978174</v>
      </c>
      <c r="O36" s="99">
        <v>4</v>
      </c>
      <c r="P36" s="93">
        <f t="shared" si="19"/>
        <v>22</v>
      </c>
      <c r="Q36" s="1">
        <f t="shared" ref="Q36:Q42" si="21">P36*2+1</f>
        <v>45</v>
      </c>
      <c r="R36" s="9">
        <f>SUM($Q$33:Q36)</f>
        <v>78</v>
      </c>
      <c r="S36" s="280">
        <f t="shared" si="20"/>
        <v>138.34578400105261</v>
      </c>
      <c r="T36" s="9">
        <f t="shared" si="17"/>
        <v>-1.0802315674932543E-3</v>
      </c>
      <c r="U36" s="285">
        <f t="shared" si="18"/>
        <v>-20.67515252592872</v>
      </c>
    </row>
    <row r="37" spans="1:21" x14ac:dyDescent="0.2">
      <c r="A37" s="97">
        <v>5</v>
      </c>
      <c r="B37" s="93">
        <f t="shared" si="15"/>
        <v>81</v>
      </c>
      <c r="C37" s="1">
        <f t="shared" si="12"/>
        <v>162</v>
      </c>
      <c r="D37" s="9">
        <f>SUM($C$33:C37)</f>
        <v>242</v>
      </c>
      <c r="E37" s="9">
        <f t="shared" si="13"/>
        <v>384.92275949660058</v>
      </c>
      <c r="F37" s="9">
        <f t="shared" si="14"/>
        <v>-4.8872927776199919E-4</v>
      </c>
      <c r="G37" s="285">
        <f t="shared" si="16"/>
        <v>-72.412832846588728</v>
      </c>
      <c r="O37" s="99">
        <v>5</v>
      </c>
      <c r="P37" s="93">
        <f t="shared" si="19"/>
        <v>46</v>
      </c>
      <c r="Q37" s="1">
        <f t="shared" si="21"/>
        <v>93</v>
      </c>
      <c r="R37" s="9">
        <f>SUM($Q$33:Q37)</f>
        <v>171</v>
      </c>
      <c r="S37" s="280">
        <f t="shared" si="20"/>
        <v>271.99087551206071</v>
      </c>
      <c r="T37" s="9">
        <f t="shared" si="17"/>
        <v>-6.9165196034154277E-4</v>
      </c>
      <c r="U37" s="285">
        <f t="shared" si="18"/>
        <v>-51.167745523829218</v>
      </c>
    </row>
    <row r="38" spans="1:21" x14ac:dyDescent="0.2">
      <c r="A38" s="97">
        <v>6</v>
      </c>
      <c r="B38" s="93">
        <f t="shared" si="15"/>
        <v>243</v>
      </c>
      <c r="C38" s="1">
        <f t="shared" si="12"/>
        <v>486</v>
      </c>
      <c r="D38" s="9">
        <f>SUM($C$33:C38)</f>
        <v>728</v>
      </c>
      <c r="E38" s="9">
        <f t="shared" si="13"/>
        <v>1078.5842215087439</v>
      </c>
      <c r="F38" s="9">
        <f t="shared" si="14"/>
        <v>-2.1076246695251555E-4</v>
      </c>
      <c r="G38" s="285">
        <f t="shared" si="16"/>
        <v>-245.18923510201247</v>
      </c>
      <c r="O38" s="99">
        <v>6</v>
      </c>
      <c r="P38" s="93">
        <f t="shared" si="19"/>
        <v>94</v>
      </c>
      <c r="Q38" s="1">
        <f t="shared" si="21"/>
        <v>189</v>
      </c>
      <c r="R38" s="9">
        <f>SUM($Q$33:Q38)</f>
        <v>360</v>
      </c>
      <c r="S38" s="280">
        <f t="shared" si="20"/>
        <v>533.36582382300526</v>
      </c>
      <c r="T38" s="9">
        <f t="shared" si="17"/>
        <v>-4.2620854428175364E-4</v>
      </c>
      <c r="U38" s="285">
        <f t="shared" si="18"/>
        <v>-121.24742395154463</v>
      </c>
    </row>
    <row r="39" spans="1:21" x14ac:dyDescent="0.2">
      <c r="A39" s="97">
        <v>7</v>
      </c>
      <c r="B39" s="93">
        <f t="shared" si="15"/>
        <v>729</v>
      </c>
      <c r="C39" s="1">
        <f t="shared" si="12"/>
        <v>1458</v>
      </c>
      <c r="D39" s="9">
        <f>SUM($C$33:C39)</f>
        <v>2186</v>
      </c>
      <c r="E39" s="9">
        <f t="shared" si="13"/>
        <v>3080.7143896194389</v>
      </c>
      <c r="F39" s="9">
        <f t="shared" si="14"/>
        <v>-8.6684535732036653E-5</v>
      </c>
      <c r="G39" s="285">
        <f t="shared" si="16"/>
        <v>-822.70569144822036</v>
      </c>
      <c r="O39" s="99">
        <v>7</v>
      </c>
      <c r="P39" s="93">
        <f t="shared" si="19"/>
        <v>190</v>
      </c>
      <c r="Q39" s="1">
        <f t="shared" si="21"/>
        <v>381</v>
      </c>
      <c r="R39" s="9">
        <f>SUM($Q$33:Q39)</f>
        <v>741</v>
      </c>
      <c r="S39" s="280">
        <f t="shared" si="20"/>
        <v>1044.2860762616669</v>
      </c>
      <c r="T39" s="9">
        <f t="shared" si="17"/>
        <v>-2.5572522956846444E-4</v>
      </c>
      <c r="U39" s="285">
        <f t="shared" si="18"/>
        <v>-278.87690638752571</v>
      </c>
    </row>
    <row r="40" spans="1:21" x14ac:dyDescent="0.2">
      <c r="A40" s="97">
        <v>8</v>
      </c>
      <c r="B40" s="93">
        <f t="shared" si="15"/>
        <v>2187</v>
      </c>
      <c r="C40" s="1">
        <f t="shared" si="12"/>
        <v>4374</v>
      </c>
      <c r="D40" s="9">
        <f>SUM($C$33:C40)</f>
        <v>6560</v>
      </c>
      <c r="E40" s="9">
        <f t="shared" si="13"/>
        <v>8907.8432494400367</v>
      </c>
      <c r="F40" s="9">
        <f t="shared" si="14"/>
        <v>-3.4497369943672686E-5</v>
      </c>
      <c r="G40" s="285">
        <f t="shared" si="16"/>
        <v>-2737.3549676972862</v>
      </c>
      <c r="O40" s="99">
        <v>8</v>
      </c>
      <c r="P40" s="93">
        <f t="shared" si="19"/>
        <v>382</v>
      </c>
      <c r="Q40" s="1">
        <f t="shared" si="21"/>
        <v>765</v>
      </c>
      <c r="R40" s="9">
        <f>SUM($Q$33:Q40)</f>
        <v>1506</v>
      </c>
      <c r="S40" s="280">
        <f t="shared" si="20"/>
        <v>2045.0018191549839</v>
      </c>
      <c r="T40" s="9">
        <f t="shared" si="17"/>
        <v>-1.5026742817429804E-4</v>
      </c>
      <c r="U40" s="285">
        <f t="shared" si="18"/>
        <v>-628.42325935245617</v>
      </c>
    </row>
    <row r="41" spans="1:21" x14ac:dyDescent="0.2">
      <c r="A41" s="97">
        <v>9</v>
      </c>
      <c r="B41" s="93">
        <f t="shared" si="15"/>
        <v>6561</v>
      </c>
      <c r="C41" s="1">
        <f t="shared" si="12"/>
        <v>13122</v>
      </c>
      <c r="D41" s="9">
        <f>SUM($C$33:C41)</f>
        <v>19682</v>
      </c>
      <c r="E41" s="9">
        <f t="shared" si="13"/>
        <v>25970.842307646548</v>
      </c>
      <c r="F41" s="9">
        <f t="shared" si="14"/>
        <v>-1.3402104456732844E-5</v>
      </c>
      <c r="G41" s="285">
        <f t="shared" si="16"/>
        <v>-9039.5137360230765</v>
      </c>
      <c r="O41" s="99">
        <v>9</v>
      </c>
      <c r="P41" s="93">
        <f t="shared" si="19"/>
        <v>766</v>
      </c>
      <c r="Q41" s="1">
        <f t="shared" si="21"/>
        <v>1533</v>
      </c>
      <c r="R41" s="9">
        <f>SUM($Q$33:Q41)</f>
        <v>3039</v>
      </c>
      <c r="S41" s="280">
        <f t="shared" si="20"/>
        <v>4010.0289489349584</v>
      </c>
      <c r="T41" s="9">
        <f t="shared" si="17"/>
        <v>-8.6798361275885447E-5</v>
      </c>
      <c r="U41" s="285">
        <f t="shared" si="18"/>
        <v>-1395.7464812404291</v>
      </c>
    </row>
    <row r="42" spans="1:21" ht="17" thickBot="1" x14ac:dyDescent="0.25">
      <c r="A42" s="145">
        <v>10</v>
      </c>
      <c r="B42" s="94">
        <f t="shared" si="15"/>
        <v>19683</v>
      </c>
      <c r="C42" s="111">
        <f t="shared" si="12"/>
        <v>39366</v>
      </c>
      <c r="D42" s="10">
        <f>SUM($C$33:C42)</f>
        <v>59048</v>
      </c>
      <c r="E42" s="9">
        <f t="shared" si="13"/>
        <v>76159.667897392967</v>
      </c>
      <c r="F42" s="10">
        <f t="shared" si="14"/>
        <v>-5.1122688946128184E-6</v>
      </c>
      <c r="G42" s="286">
        <f t="shared" si="16"/>
        <v>-29652.667780883043</v>
      </c>
      <c r="O42" s="100">
        <v>10</v>
      </c>
      <c r="P42" s="94">
        <f t="shared" si="19"/>
        <v>1534</v>
      </c>
      <c r="Q42" s="111">
        <f t="shared" si="21"/>
        <v>3069</v>
      </c>
      <c r="R42" s="10">
        <f>SUM($Q$33:Q42)</f>
        <v>6108</v>
      </c>
      <c r="S42" s="281">
        <f t="shared" si="20"/>
        <v>7878.0526269691818</v>
      </c>
      <c r="T42" s="10">
        <f t="shared" si="17"/>
        <v>-4.9421947231351949E-5</v>
      </c>
      <c r="U42" s="286">
        <f t="shared" si="18"/>
        <v>-3067.3095584208381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2</v>
      </c>
      <c r="D45" s="57">
        <f>SUM(C45:C45)</f>
        <v>2</v>
      </c>
      <c r="E45" s="57">
        <f t="shared" ref="E45:E54" si="23">D45/R7</f>
        <v>-90.321824013684903</v>
      </c>
      <c r="F45" s="8">
        <f t="shared" ref="F45:F54" si="24">U7/E45</f>
        <v>4.0488801310079633E-4</v>
      </c>
      <c r="G45" s="284">
        <f>E45*U7</f>
        <v>3.3030893240341026</v>
      </c>
      <c r="O45" s="101">
        <v>1</v>
      </c>
      <c r="P45" s="109">
        <v>1</v>
      </c>
      <c r="Q45" s="110">
        <f>P45*2+1</f>
        <v>3</v>
      </c>
      <c r="R45" s="57">
        <f>SUM($Q$21)</f>
        <v>3</v>
      </c>
      <c r="S45" s="279">
        <f>R45/R7</f>
        <v>-135.48273602052737</v>
      </c>
      <c r="T45" s="8">
        <f>U7/S45</f>
        <v>2.6992534206719755E-4</v>
      </c>
      <c r="U45" s="287">
        <f>S45*U7</f>
        <v>4.9546339860511548</v>
      </c>
    </row>
    <row r="46" spans="1:21" x14ac:dyDescent="0.2">
      <c r="A46" s="97">
        <v>2</v>
      </c>
      <c r="B46" s="93">
        <f t="shared" ref="B46:B54" si="25">B45*$O$2*2</f>
        <v>4</v>
      </c>
      <c r="C46" s="1">
        <f t="shared" si="22"/>
        <v>8</v>
      </c>
      <c r="D46" s="9">
        <f>SUM($C$45:C46)</f>
        <v>10</v>
      </c>
      <c r="E46" s="9">
        <f t="shared" si="23"/>
        <v>32.938486608837835</v>
      </c>
      <c r="F46" s="9">
        <f t="shared" si="24"/>
        <v>-2.2365404666887492E-3</v>
      </c>
      <c r="G46" s="285">
        <f t="shared" ref="G46:G54" si="26">E46*U8</f>
        <v>-2.426520936617353</v>
      </c>
      <c r="O46" s="99">
        <v>2</v>
      </c>
      <c r="P46" s="93">
        <f>Q45*2</f>
        <v>6</v>
      </c>
      <c r="Q46" s="1">
        <f>P46*2+1</f>
        <v>13</v>
      </c>
      <c r="R46" s="9">
        <f>SUM($Q$45:Q46)</f>
        <v>16</v>
      </c>
      <c r="S46" s="280">
        <f t="shared" ref="S46:S54" si="27">R46/R8</f>
        <v>52.701578574140534</v>
      </c>
      <c r="T46" s="9">
        <f t="shared" ref="T46:T54" si="28">U8/S46</f>
        <v>-1.3978377916804682E-3</v>
      </c>
      <c r="U46" s="285">
        <f t="shared" ref="U46:U54" si="29">S46*U8</f>
        <v>-3.8824334985877647</v>
      </c>
    </row>
    <row r="47" spans="1:21" x14ac:dyDescent="0.2">
      <c r="A47" s="97">
        <v>3</v>
      </c>
      <c r="B47" s="93">
        <f t="shared" si="25"/>
        <v>16</v>
      </c>
      <c r="C47" s="1">
        <f t="shared" si="22"/>
        <v>32</v>
      </c>
      <c r="D47" s="9">
        <f>SUM($C$45:C47)</f>
        <v>42</v>
      </c>
      <c r="E47" s="9">
        <f t="shared" si="23"/>
        <v>90.069569658792261</v>
      </c>
      <c r="F47" s="9">
        <f t="shared" si="24"/>
        <v>-1.2356402515522546E-3</v>
      </c>
      <c r="G47" s="285">
        <f t="shared" si="26"/>
        <v>-10.024165370719043</v>
      </c>
      <c r="O47" s="99">
        <v>3</v>
      </c>
      <c r="P47" s="93">
        <f t="shared" ref="P47:P54" si="30">Q46*2</f>
        <v>26</v>
      </c>
      <c r="Q47" s="1">
        <f>P47*2+1</f>
        <v>53</v>
      </c>
      <c r="R47" s="9">
        <f>SUM($Q$45:Q47)</f>
        <v>69</v>
      </c>
      <c r="S47" s="280">
        <f t="shared" si="27"/>
        <v>147.97143586801587</v>
      </c>
      <c r="T47" s="9">
        <f t="shared" si="28"/>
        <v>-7.5212884877093745E-4</v>
      </c>
      <c r="U47" s="285">
        <f t="shared" si="29"/>
        <v>-16.468271680467002</v>
      </c>
    </row>
    <row r="48" spans="1:21" x14ac:dyDescent="0.2">
      <c r="A48" s="97">
        <v>4</v>
      </c>
      <c r="B48" s="93">
        <f t="shared" si="25"/>
        <v>64</v>
      </c>
      <c r="C48" s="1">
        <f t="shared" si="22"/>
        <v>128</v>
      </c>
      <c r="D48" s="9">
        <f>SUM($C$45:C48)</f>
        <v>170</v>
      </c>
      <c r="E48" s="9">
        <f t="shared" si="23"/>
        <v>301.52286256639673</v>
      </c>
      <c r="F48" s="9">
        <f t="shared" si="24"/>
        <v>-4.9563566037925781E-4</v>
      </c>
      <c r="G48" s="285">
        <f t="shared" si="26"/>
        <v>-45.061229864203618</v>
      </c>
      <c r="O48" s="99">
        <v>4</v>
      </c>
      <c r="P48" s="93">
        <f t="shared" si="30"/>
        <v>106</v>
      </c>
      <c r="Q48" s="1">
        <f t="shared" ref="Q48:Q54" si="31">P48*2+1</f>
        <v>213</v>
      </c>
      <c r="R48" s="9">
        <f>SUM($Q$45:Q48)</f>
        <v>282</v>
      </c>
      <c r="S48" s="280">
        <f t="shared" si="27"/>
        <v>500.1732190807287</v>
      </c>
      <c r="T48" s="9">
        <f t="shared" si="28"/>
        <v>-2.9878745483855968E-4</v>
      </c>
      <c r="U48" s="285">
        <f t="shared" si="29"/>
        <v>-74.748628362973065</v>
      </c>
    </row>
    <row r="49" spans="1:21" x14ac:dyDescent="0.2">
      <c r="A49" s="97">
        <v>5</v>
      </c>
      <c r="B49" s="93">
        <f t="shared" si="25"/>
        <v>256</v>
      </c>
      <c r="C49" s="1">
        <f t="shared" si="22"/>
        <v>512</v>
      </c>
      <c r="D49" s="9">
        <f>SUM($C$45:C49)</f>
        <v>682</v>
      </c>
      <c r="E49" s="9">
        <f t="shared" si="23"/>
        <v>1084.7823222176926</v>
      </c>
      <c r="F49" s="9">
        <f t="shared" si="24"/>
        <v>-1.7342006630264486E-4</v>
      </c>
      <c r="G49" s="285">
        <f t="shared" si="26"/>
        <v>-204.07252893129549</v>
      </c>
      <c r="O49" s="99">
        <v>5</v>
      </c>
      <c r="P49" s="93">
        <f t="shared" si="30"/>
        <v>426</v>
      </c>
      <c r="Q49" s="1">
        <f t="shared" si="31"/>
        <v>853</v>
      </c>
      <c r="R49" s="9">
        <f>SUM($Q$45:Q49)</f>
        <v>1135</v>
      </c>
      <c r="S49" s="280">
        <f t="shared" si="27"/>
        <v>1805.319553837362</v>
      </c>
      <c r="T49" s="9">
        <f t="shared" si="28"/>
        <v>-1.0420483279154522E-4</v>
      </c>
      <c r="U49" s="285">
        <f t="shared" si="29"/>
        <v>-339.62217058214128</v>
      </c>
    </row>
    <row r="50" spans="1:21" x14ac:dyDescent="0.2">
      <c r="A50" s="97">
        <v>6</v>
      </c>
      <c r="B50" s="93">
        <f t="shared" si="25"/>
        <v>1024</v>
      </c>
      <c r="C50" s="1">
        <f t="shared" si="22"/>
        <v>2048</v>
      </c>
      <c r="D50" s="9">
        <f>SUM($C$45:C50)</f>
        <v>2730</v>
      </c>
      <c r="E50" s="9">
        <f t="shared" si="23"/>
        <v>4044.6908306577898</v>
      </c>
      <c r="F50" s="9">
        <f t="shared" si="24"/>
        <v>-5.6203324520670811E-5</v>
      </c>
      <c r="G50" s="285">
        <f t="shared" si="26"/>
        <v>-919.4596316325468</v>
      </c>
      <c r="O50" s="99">
        <v>6</v>
      </c>
      <c r="P50" s="93">
        <f t="shared" si="30"/>
        <v>1706</v>
      </c>
      <c r="Q50" s="1">
        <f t="shared" si="31"/>
        <v>3413</v>
      </c>
      <c r="R50" s="9">
        <f>SUM($Q$45:Q50)</f>
        <v>4548</v>
      </c>
      <c r="S50" s="280">
        <f t="shared" si="27"/>
        <v>6738.1882409639666</v>
      </c>
      <c r="T50" s="9">
        <f t="shared" si="28"/>
        <v>-3.3736824085626938E-5</v>
      </c>
      <c r="U50" s="285">
        <f t="shared" si="29"/>
        <v>-1531.7591225878473</v>
      </c>
    </row>
    <row r="51" spans="1:21" x14ac:dyDescent="0.2">
      <c r="A51" s="97">
        <v>7</v>
      </c>
      <c r="B51" s="93">
        <f t="shared" si="25"/>
        <v>4096</v>
      </c>
      <c r="C51" s="1">
        <f t="shared" si="22"/>
        <v>8192</v>
      </c>
      <c r="D51" s="9">
        <f>SUM($C$45:C51)</f>
        <v>10922</v>
      </c>
      <c r="E51" s="9">
        <f t="shared" si="23"/>
        <v>15392.29760449383</v>
      </c>
      <c r="F51" s="9">
        <f t="shared" si="24"/>
        <v>-1.7349605851513654E-5</v>
      </c>
      <c r="G51" s="285">
        <f t="shared" si="26"/>
        <v>-4110.5176404379981</v>
      </c>
      <c r="O51" s="99">
        <v>7</v>
      </c>
      <c r="P51" s="93">
        <f t="shared" si="30"/>
        <v>6826</v>
      </c>
      <c r="Q51" s="1">
        <f t="shared" si="31"/>
        <v>13653</v>
      </c>
      <c r="R51" s="9">
        <f>SUM($Q$45:Q51)</f>
        <v>18201</v>
      </c>
      <c r="S51" s="280">
        <f t="shared" si="27"/>
        <v>25650.540990605401</v>
      </c>
      <c r="T51" s="9">
        <f t="shared" si="28"/>
        <v>-1.0411098022648872E-5</v>
      </c>
      <c r="U51" s="285">
        <f t="shared" si="29"/>
        <v>-6849.9845791624239</v>
      </c>
    </row>
    <row r="52" spans="1:21" x14ac:dyDescent="0.2">
      <c r="A52" s="97">
        <v>8</v>
      </c>
      <c r="B52" s="93">
        <f t="shared" si="25"/>
        <v>16384</v>
      </c>
      <c r="C52" s="1">
        <f t="shared" si="22"/>
        <v>32768</v>
      </c>
      <c r="D52" s="9">
        <f>SUM($C$45:C52)</f>
        <v>43690</v>
      </c>
      <c r="E52" s="9">
        <f t="shared" si="23"/>
        <v>59326.779202444384</v>
      </c>
      <c r="F52" s="9">
        <f t="shared" si="24"/>
        <v>-5.1797378537535558E-6</v>
      </c>
      <c r="G52" s="285">
        <f t="shared" si="26"/>
        <v>-18230.950996752199</v>
      </c>
      <c r="O52" s="99">
        <v>8</v>
      </c>
      <c r="P52" s="93">
        <f t="shared" si="30"/>
        <v>27306</v>
      </c>
      <c r="Q52" s="1">
        <f t="shared" si="31"/>
        <v>54613</v>
      </c>
      <c r="R52" s="9">
        <f>SUM($Q$45:Q52)</f>
        <v>72814</v>
      </c>
      <c r="S52" s="280">
        <f t="shared" si="27"/>
        <v>98874.344262915663</v>
      </c>
      <c r="T52" s="9">
        <f t="shared" si="28"/>
        <v>-3.1079565307563494E-6</v>
      </c>
      <c r="U52" s="285">
        <f t="shared" si="29"/>
        <v>-30383.805581998502</v>
      </c>
    </row>
    <row r="53" spans="1:21" x14ac:dyDescent="0.2">
      <c r="A53" s="97">
        <v>9</v>
      </c>
      <c r="B53" s="93">
        <f t="shared" si="25"/>
        <v>65536</v>
      </c>
      <c r="C53" s="1">
        <f t="shared" si="22"/>
        <v>131072</v>
      </c>
      <c r="D53" s="9">
        <f>SUM($C$45:C53)</f>
        <v>174762</v>
      </c>
      <c r="E53" s="9">
        <f t="shared" si="23"/>
        <v>230602.39525296848</v>
      </c>
      <c r="F53" s="9">
        <f t="shared" si="24"/>
        <v>-1.5093682832504542E-6</v>
      </c>
      <c r="G53" s="285">
        <f t="shared" si="26"/>
        <v>-80264.37859642641</v>
      </c>
      <c r="O53" s="99">
        <v>9</v>
      </c>
      <c r="P53" s="93">
        <f t="shared" si="30"/>
        <v>109226</v>
      </c>
      <c r="Q53" s="1">
        <f t="shared" si="31"/>
        <v>218453</v>
      </c>
      <c r="R53" s="9">
        <f>SUM($Q$45:Q53)</f>
        <v>291267</v>
      </c>
      <c r="S53" s="280">
        <f t="shared" si="27"/>
        <v>384333.36685404362</v>
      </c>
      <c r="T53" s="9">
        <f t="shared" si="28"/>
        <v>-9.0563029769048978E-7</v>
      </c>
      <c r="U53" s="285">
        <f t="shared" si="29"/>
        <v>-133772.58649274631</v>
      </c>
    </row>
    <row r="54" spans="1:21" ht="17" thickBot="1" x14ac:dyDescent="0.25">
      <c r="A54" s="145">
        <v>10</v>
      </c>
      <c r="B54" s="94">
        <f t="shared" si="25"/>
        <v>262144</v>
      </c>
      <c r="C54" s="111">
        <f t="shared" si="22"/>
        <v>524288</v>
      </c>
      <c r="D54" s="10">
        <f>SUM($C$45:C54)</f>
        <v>699050</v>
      </c>
      <c r="E54" s="10">
        <f t="shared" si="23"/>
        <v>901629.45135605871</v>
      </c>
      <c r="F54" s="10">
        <f t="shared" si="24"/>
        <v>-4.3182784305714569E-7</v>
      </c>
      <c r="G54" s="286">
        <f t="shared" si="26"/>
        <v>-351048.25586347195</v>
      </c>
      <c r="O54" s="100">
        <v>10</v>
      </c>
      <c r="P54" s="94">
        <f t="shared" si="30"/>
        <v>436906</v>
      </c>
      <c r="Q54" s="111">
        <f t="shared" si="31"/>
        <v>873813</v>
      </c>
      <c r="R54" s="10">
        <f>SUM($Q$45:Q54)</f>
        <v>1165080</v>
      </c>
      <c r="S54" s="281">
        <f t="shared" si="27"/>
        <v>1502711.4529517444</v>
      </c>
      <c r="T54" s="10">
        <f t="shared" si="28"/>
        <v>-2.5909744711873664E-7</v>
      </c>
      <c r="U54" s="286">
        <f t="shared" si="29"/>
        <v>-585078.7525089964</v>
      </c>
    </row>
  </sheetData>
  <mergeCells count="2">
    <mergeCell ref="A18:F18"/>
    <mergeCell ref="O18:T18"/>
  </mergeCells>
  <conditionalFormatting sqref="E21:E30">
    <cfRule type="cellIs" dxfId="760" priority="59" stopIfTrue="1" operator="lessThan">
      <formula>0</formula>
    </cfRule>
    <cfRule type="cellIs" dxfId="759" priority="60" operator="equal">
      <formula>MIN($E$21:$E$30)</formula>
    </cfRule>
  </conditionalFormatting>
  <conditionalFormatting sqref="E45:E54">
    <cfRule type="cellIs" dxfId="758" priority="55" stopIfTrue="1" operator="lessThan">
      <formula>0</formula>
    </cfRule>
    <cfRule type="cellIs" dxfId="757" priority="56" operator="equal">
      <formula>MIN($E$45:$E$54)</formula>
    </cfRule>
  </conditionalFormatting>
  <conditionalFormatting sqref="F45:F54">
    <cfRule type="cellIs" dxfId="756" priority="51" operator="equal">
      <formula>MAX($F$45:$F$54)</formula>
    </cfRule>
  </conditionalFormatting>
  <conditionalFormatting sqref="F21:F30">
    <cfRule type="cellIs" dxfId="755" priority="49" operator="equal">
      <formula>MAX($F$21:$F$30)</formula>
    </cfRule>
  </conditionalFormatting>
  <conditionalFormatting sqref="E33:E42">
    <cfRule type="cellIs" dxfId="754" priority="45" stopIfTrue="1" operator="lessThan">
      <formula>0</formula>
    </cfRule>
    <cfRule type="cellIs" dxfId="753" priority="46" operator="equal">
      <formula>MIN($E$33:$E$42)</formula>
    </cfRule>
  </conditionalFormatting>
  <conditionalFormatting sqref="F33:F42">
    <cfRule type="cellIs" dxfId="752" priority="31" operator="lessThanOrEqual">
      <formula>0</formula>
    </cfRule>
    <cfRule type="cellIs" dxfId="751" priority="32" operator="equal">
      <formula>MAX($F$33:$F$42)</formula>
    </cfRule>
  </conditionalFormatting>
  <conditionalFormatting sqref="S7:T16">
    <cfRule type="cellIs" dxfId="750" priority="17" operator="lessThanOrEqual">
      <formula>0</formula>
    </cfRule>
    <cfRule type="cellIs" dxfId="749" priority="18" operator="greaterThan">
      <formula>0</formula>
    </cfRule>
  </conditionalFormatting>
  <conditionalFormatting sqref="U7:U16">
    <cfRule type="cellIs" dxfId="748" priority="19" operator="lessThanOrEqual">
      <formula>0</formula>
    </cfRule>
    <cfRule type="cellIs" dxfId="747" priority="20" operator="greaterThan">
      <formula>0</formula>
    </cfRule>
  </conditionalFormatting>
  <conditionalFormatting sqref="R7:R16">
    <cfRule type="cellIs" dxfId="746" priority="21" operator="lessThanOrEqual">
      <formula>0</formula>
    </cfRule>
    <cfRule type="cellIs" dxfId="745" priority="22" operator="greaterThan">
      <formula>0</formula>
    </cfRule>
  </conditionalFormatting>
  <conditionalFormatting sqref="S21:S30">
    <cfRule type="cellIs" dxfId="744" priority="9" stopIfTrue="1" operator="lessThan">
      <formula>0</formula>
    </cfRule>
    <cfRule type="cellIs" dxfId="743" priority="10" operator="equal">
      <formula>MIN($E$21:$E$30)</formula>
    </cfRule>
  </conditionalFormatting>
  <conditionalFormatting sqref="S45:S54">
    <cfRule type="cellIs" dxfId="742" priority="2" stopIfTrue="1" operator="lessThan">
      <formula>0</formula>
    </cfRule>
    <cfRule type="cellIs" dxfId="741" priority="3" operator="equal">
      <formula>MIN($E$21:$E$30)</formula>
    </cfRule>
  </conditionalFormatting>
  <conditionalFormatting sqref="T21:T30">
    <cfRule type="cellIs" dxfId="740" priority="7" operator="equal">
      <formula>MAX($T$21:$T$30)</formula>
    </cfRule>
  </conditionalFormatting>
  <conditionalFormatting sqref="S33:S42">
    <cfRule type="cellIs" dxfId="739" priority="5" stopIfTrue="1" operator="lessThan">
      <formula>0</formula>
    </cfRule>
    <cfRule type="cellIs" dxfId="738" priority="6" operator="equal">
      <formula>MIN($E$21:$E$30)</formula>
    </cfRule>
  </conditionalFormatting>
  <conditionalFormatting sqref="T33:T42">
    <cfRule type="cellIs" dxfId="737" priority="4" operator="equal">
      <formula>MAX($T$21:$T$30)</formula>
    </cfRule>
  </conditionalFormatting>
  <conditionalFormatting sqref="T45:T54">
    <cfRule type="cellIs" dxfId="736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54"/>
  <sheetViews>
    <sheetView topLeftCell="A20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49" t="s">
        <v>125</v>
      </c>
      <c r="C2" s="155">
        <f>Analysis!B10</f>
        <v>0.53939193548386155</v>
      </c>
      <c r="D2" s="149" t="s">
        <v>126</v>
      </c>
      <c r="E2" s="155">
        <f>Analysis!F10</f>
        <v>0.46060806451613867</v>
      </c>
      <c r="F2" s="149" t="s">
        <v>47</v>
      </c>
      <c r="G2" s="155">
        <f>Analysis!S10</f>
        <v>2.0749939534728918</v>
      </c>
      <c r="H2" t="s">
        <v>155</v>
      </c>
      <c r="I2" s="169">
        <f>Analysis!T10</f>
        <v>-2.09814348755256</v>
      </c>
      <c r="J2" t="s">
        <v>48</v>
      </c>
      <c r="K2" s="169">
        <f>C2*G2+E2*I2</f>
        <v>0.15281319380232716</v>
      </c>
      <c r="L2" t="s">
        <v>47</v>
      </c>
      <c r="M2" s="176">
        <v>1</v>
      </c>
      <c r="N2" t="s">
        <v>155</v>
      </c>
      <c r="O2" s="176">
        <v>3</v>
      </c>
    </row>
    <row r="4" spans="1:23" x14ac:dyDescent="0.2">
      <c r="A4" t="s">
        <v>123</v>
      </c>
      <c r="B4">
        <f>$C$2</f>
        <v>0.53939193548386155</v>
      </c>
      <c r="C4" t="s">
        <v>124</v>
      </c>
      <c r="D4">
        <f>$E$2</f>
        <v>0.46060806451613867</v>
      </c>
      <c r="E4" t="s">
        <v>47</v>
      </c>
      <c r="F4">
        <f>G2</f>
        <v>2.0749939534728918</v>
      </c>
      <c r="G4" t="s">
        <v>155</v>
      </c>
      <c r="H4">
        <f>I2</f>
        <v>-2.09814348755256</v>
      </c>
      <c r="I4" t="s">
        <v>48</v>
      </c>
      <c r="J4">
        <f>K2</f>
        <v>0.15281319380232716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0.53939193548386155</v>
      </c>
      <c r="C7" s="95">
        <v>1</v>
      </c>
      <c r="D7" s="109">
        <f>C7*D4</f>
        <v>0.46060806451613867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1.0000000000000002</v>
      </c>
      <c r="R7" s="187">
        <f>B7-D7</f>
        <v>7.878387096772288E-2</v>
      </c>
      <c r="S7" s="109">
        <f>SUM(C7)*$B$4*$F$4</f>
        <v>1.1192350046810529</v>
      </c>
      <c r="T7" s="57">
        <f>SUM(C7)*$D$4*$H$4</f>
        <v>-0.9664218108787257</v>
      </c>
      <c r="U7" s="263">
        <f>S7+T7</f>
        <v>0.15281319380232716</v>
      </c>
      <c r="V7" s="109">
        <f>(U7+W7*D7)/B7</f>
        <v>1.137245883678621</v>
      </c>
      <c r="W7" s="57">
        <f>COUNT(D7:M7)</f>
        <v>1</v>
      </c>
    </row>
    <row r="8" spans="1:23" x14ac:dyDescent="0.2">
      <c r="A8" s="99">
        <v>2</v>
      </c>
      <c r="B8" s="97">
        <f>C8*B4</f>
        <v>0.71770434135383232</v>
      </c>
      <c r="C8" s="97">
        <f>1/(1-B4*D4)</f>
        <v>1.3305804075658187</v>
      </c>
      <c r="D8" s="93">
        <f>C8*D4</f>
        <v>0.61287606621198676</v>
      </c>
      <c r="E8" s="1">
        <f>D8*D4</f>
        <v>0.28229565864616807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1.0000000000000004</v>
      </c>
      <c r="R8" s="188">
        <f>B8-E8</f>
        <v>0.43540868270766425</v>
      </c>
      <c r="S8" s="93">
        <f>SUM(C8:D8)*$B$4*$F$4</f>
        <v>2.1751845155261247</v>
      </c>
      <c r="T8" s="9">
        <f>SUM(C8:D8)*$D$4*$H$4</f>
        <v>-1.8781987247523295</v>
      </c>
      <c r="U8" s="264">
        <f>S8+T8</f>
        <v>0.29698579077379517</v>
      </c>
      <c r="V8" s="93">
        <f>(U8+W8*E8)/B8</f>
        <v>1.200462444522638</v>
      </c>
      <c r="W8" s="9">
        <f>COUNT(D8:M8)</f>
        <v>2</v>
      </c>
    </row>
    <row r="9" spans="1:23" x14ac:dyDescent="0.2">
      <c r="A9" s="99">
        <v>3</v>
      </c>
      <c r="B9" s="97">
        <f>C9*B4</f>
        <v>0.80576060452980491</v>
      </c>
      <c r="C9" s="97">
        <f>1/(1-D4*B4/(1-D4*B4))</f>
        <v>1.493831389612819</v>
      </c>
      <c r="D9" s="93">
        <f>C9*D4*C8</f>
        <v>0.91553350564989022</v>
      </c>
      <c r="E9" s="1">
        <f>D9*(D4)</f>
        <v>0.42170211603707125</v>
      </c>
      <c r="F9" s="1">
        <f>E9*D4</f>
        <v>0.1942393954701955</v>
      </c>
      <c r="G9" s="1"/>
      <c r="H9" s="1"/>
      <c r="I9" s="1"/>
      <c r="J9" s="1"/>
      <c r="K9" s="1"/>
      <c r="L9" s="1"/>
      <c r="M9" s="260"/>
      <c r="N9" s="97">
        <f>B9+F9</f>
        <v>1.0000000000000004</v>
      </c>
      <c r="R9" s="188">
        <f>B9-F9</f>
        <v>0.61152120905960938</v>
      </c>
      <c r="S9" s="93">
        <f>SUM(C9:E9)*$B$4*$F$4</f>
        <v>3.168629299644484</v>
      </c>
      <c r="T9" s="9">
        <f>SUM(C9:E9)*$D$4*$H$4</f>
        <v>-2.7360049077793556</v>
      </c>
      <c r="U9" s="264">
        <f t="shared" ref="U9:U16" si="0">S9+T9</f>
        <v>0.43262439186512847</v>
      </c>
      <c r="V9" s="93">
        <f>(U9+W9*F9)/B9</f>
        <v>1.2601045181008941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0.85772952935111291</v>
      </c>
      <c r="C10" s="97">
        <f>1/(1-D4*B4/(1-D4*B4/(1-D4*B4)))</f>
        <v>1.5901786306495047</v>
      </c>
      <c r="D10" s="93">
        <f>C10*D4*C9</f>
        <v>1.0941554588132376</v>
      </c>
      <c r="E10" s="1">
        <f>D10*D4*C8</f>
        <v>0.6705816934218285</v>
      </c>
      <c r="F10" s="1">
        <f>E10*D4</f>
        <v>0.30887533590698313</v>
      </c>
      <c r="G10" s="1">
        <f>F10*D4</f>
        <v>0.14227047064888768</v>
      </c>
      <c r="H10" s="1"/>
      <c r="I10" s="1"/>
      <c r="J10" s="1"/>
      <c r="K10" s="1"/>
      <c r="L10" s="1"/>
      <c r="M10" s="260"/>
      <c r="N10" s="97">
        <f>B10+G10</f>
        <v>1.0000000000000007</v>
      </c>
      <c r="R10" s="188">
        <f>B10-G10</f>
        <v>0.71545905870222526</v>
      </c>
      <c r="S10" s="93">
        <f>SUM(C10:F10)*$B$4*$F$4</f>
        <v>4.100643269991064</v>
      </c>
      <c r="T10" s="9">
        <f>SUM(C10:F10)*$D$4*$H$4</f>
        <v>-3.5407676477039258</v>
      </c>
      <c r="U10" s="264">
        <f t="shared" si="0"/>
        <v>0.55987562228713816</v>
      </c>
      <c r="V10" s="93">
        <f>(U10+W10*G10)/B10</f>
        <v>1.316216203651942</v>
      </c>
      <c r="W10" s="9">
        <f t="shared" si="1"/>
        <v>4</v>
      </c>
    </row>
    <row r="11" spans="1:23" x14ac:dyDescent="0.2">
      <c r="A11" s="99">
        <v>5</v>
      </c>
      <c r="B11" s="97">
        <f>C11*B4</f>
        <v>0.89167060747336968</v>
      </c>
      <c r="C11" s="97">
        <f>1/(1-D4*B4/(1-D4*B4/(1-D4*B4/(1-D4*B4))))</f>
        <v>1.6531033350980611</v>
      </c>
      <c r="D11" s="93">
        <f>C11*D4*C10</f>
        <v>1.2108140521459496</v>
      </c>
      <c r="E11" s="1">
        <f>D11*D4*C9</f>
        <v>0.83312577544960953</v>
      </c>
      <c r="F11" s="1">
        <f>E11*D4*C8</f>
        <v>0.51060284791736765</v>
      </c>
      <c r="G11" s="1">
        <f>F11*D4</f>
        <v>0.23518778951564703</v>
      </c>
      <c r="H11" s="1">
        <f>G11*D4</f>
        <v>0.10832939252663119</v>
      </c>
      <c r="I11" s="1"/>
      <c r="J11" s="1"/>
      <c r="K11" s="1"/>
      <c r="L11" s="1"/>
      <c r="M11" s="260"/>
      <c r="N11" s="97">
        <f>B11+H11</f>
        <v>1.0000000000000009</v>
      </c>
      <c r="R11" s="188">
        <f>B11-H11</f>
        <v>0.78334121494673847</v>
      </c>
      <c r="S11" s="93">
        <f>SUM(C11:G11)*$B$4*$F$4</f>
        <v>4.9725751090818751</v>
      </c>
      <c r="T11" s="9">
        <f>SUM(C11:G11)*$D$4*$H$4</f>
        <v>-4.2936514865515942</v>
      </c>
      <c r="U11" s="264">
        <f t="shared" si="0"/>
        <v>0.67892362253028082</v>
      </c>
      <c r="V11" s="93">
        <f>(U11+W11*H11)/B11</f>
        <v>1.3688581578594761</v>
      </c>
      <c r="W11" s="9">
        <f t="shared" si="1"/>
        <v>5</v>
      </c>
    </row>
    <row r="12" spans="1:23" x14ac:dyDescent="0.2">
      <c r="A12" s="99">
        <v>6</v>
      </c>
      <c r="B12" s="97">
        <f>C12*B4</f>
        <v>0.91532615727145183</v>
      </c>
      <c r="C12" s="97">
        <f>1/(1-D4*B4/(1-D4*B4/(1-D4*B4/(1-D4*B4/(1-D4*B4)))))</f>
        <v>1.6969592925974291</v>
      </c>
      <c r="D12" s="93">
        <f>C12*D4*C11</f>
        <v>1.2921203428305277</v>
      </c>
      <c r="E12" s="1">
        <f>D12*D4*C10</f>
        <v>0.94641238387559035</v>
      </c>
      <c r="F12" s="1">
        <f>E12*D4*C9</f>
        <v>0.65119871198556467</v>
      </c>
      <c r="G12" s="1">
        <f>F12*D4*C8</f>
        <v>0.39910410492402543</v>
      </c>
      <c r="H12" s="1">
        <f>G12*D4</f>
        <v>0.18383056930950128</v>
      </c>
      <c r="I12" s="1">
        <f>H12*D4</f>
        <v>8.4673842728549276E-2</v>
      </c>
      <c r="J12" s="1"/>
      <c r="K12" s="1"/>
      <c r="L12" s="1"/>
      <c r="M12" s="260"/>
      <c r="N12" s="97">
        <f>B12+I12</f>
        <v>1.0000000000000011</v>
      </c>
      <c r="R12" s="188">
        <f>B12-I12</f>
        <v>0.83065231454290256</v>
      </c>
      <c r="S12" s="93">
        <f>SUM(C12:H12)*$B$4*$F$4</f>
        <v>5.7860257149494201</v>
      </c>
      <c r="T12" s="9">
        <f>SUM(C12:H12)*$D$4*$H$4</f>
        <v>-4.9960387459698552</v>
      </c>
      <c r="U12" s="264">
        <f t="shared" si="0"/>
        <v>0.78998696897956489</v>
      </c>
      <c r="V12" s="93">
        <f>(U12+W12*I12)/B12</f>
        <v>1.4181065569241815</v>
      </c>
      <c r="W12" s="9">
        <f t="shared" si="1"/>
        <v>6</v>
      </c>
    </row>
    <row r="13" spans="1:23" x14ac:dyDescent="0.2">
      <c r="A13" s="99">
        <v>7</v>
      </c>
      <c r="B13" s="97">
        <f>C13*B4</f>
        <v>0.93256932830053219</v>
      </c>
      <c r="C13" s="97">
        <f>1/(1-D4*B4/(1-D4*B4/(1-D4*B4/(1-D4*B4/(1-D4*B4/(1-D4*B4))))))</f>
        <v>1.728927087988386</v>
      </c>
      <c r="D13" s="93">
        <f>C13*D4*C12</f>
        <v>1.3513867005343745</v>
      </c>
      <c r="E13" s="1">
        <f>D13*D4*C11</f>
        <v>1.0289900614636212</v>
      </c>
      <c r="F13" s="1">
        <f>E13*D4*C10</f>
        <v>0.75368284576400657</v>
      </c>
      <c r="G13" s="1">
        <f>F13*D4*C9</f>
        <v>0.51858714738844047</v>
      </c>
      <c r="H13" s="1">
        <f>G13*D4*C8</f>
        <v>0.31782965087952314</v>
      </c>
      <c r="I13" s="1">
        <f>H13*D4</f>
        <v>0.14639490033745722</v>
      </c>
      <c r="J13" s="1">
        <f>I13*D4</f>
        <v>6.7430671699469188E-2</v>
      </c>
      <c r="K13" s="1"/>
      <c r="L13" s="1"/>
      <c r="M13" s="260"/>
      <c r="N13" s="97">
        <f>B13+J13</f>
        <v>1.0000000000000013</v>
      </c>
      <c r="R13" s="188">
        <f>B13-J13</f>
        <v>0.86513865660106304</v>
      </c>
      <c r="S13" s="93">
        <f>SUM(C13:I13)*$B$4*$F$4</f>
        <v>6.5428221932713155</v>
      </c>
      <c r="T13" s="9">
        <f>SUM(C13:I13)*$D$4*$H$4</f>
        <v>-5.6495070703052876</v>
      </c>
      <c r="U13" s="264">
        <f t="shared" si="0"/>
        <v>0.89331512296602789</v>
      </c>
      <c r="V13" s="93">
        <f>(U13+W13*J13)/B13</f>
        <v>1.46405182266762</v>
      </c>
      <c r="W13" s="9">
        <f t="shared" si="1"/>
        <v>7</v>
      </c>
    </row>
    <row r="14" spans="1:23" x14ac:dyDescent="0.2">
      <c r="A14" s="99">
        <v>8</v>
      </c>
      <c r="B14" s="97">
        <f>C14*B4</f>
        <v>0.94555341538572302</v>
      </c>
      <c r="C14" s="97">
        <f>1/(1-D4*B4/(1-D4*B4/(1-D4*B4/(1-D4*B4/(1-D4*B4/(1-D4*B4/(1-D4*B4)))))))</f>
        <v>1.7529987995417735</v>
      </c>
      <c r="D14" s="93">
        <f>C14*D4*C13</f>
        <v>1.3960141967385846</v>
      </c>
      <c r="E14" s="1">
        <f>D14*D4*C12</f>
        <v>1.0911709535563561</v>
      </c>
      <c r="F14" s="1">
        <f>E14*D4*C11</f>
        <v>0.83085327547125198</v>
      </c>
      <c r="G14" s="1">
        <f>F14*D4*C10</f>
        <v>0.60855773492974397</v>
      </c>
      <c r="H14" s="1">
        <f>G14*D4*C9</f>
        <v>0.41873079844144989</v>
      </c>
      <c r="I14" s="1">
        <f>H14*D4*C8</f>
        <v>0.2566300845506001</v>
      </c>
      <c r="J14" s="1">
        <f>I14*D4</f>
        <v>0.11820588654146494</v>
      </c>
      <c r="K14" s="1">
        <f>J14*D4</f>
        <v>5.4446584614278447E-2</v>
      </c>
      <c r="L14" s="1"/>
      <c r="M14" s="260"/>
      <c r="N14" s="97">
        <f>B14+K14</f>
        <v>1.0000000000000016</v>
      </c>
      <c r="R14" s="188">
        <f>B14-K14</f>
        <v>0.89110683077144459</v>
      </c>
      <c r="S14" s="93">
        <f>SUM(C14:J14)*$B$4*$F$4</f>
        <v>7.2449891989217097</v>
      </c>
      <c r="T14" s="9">
        <f>SUM(C14:J14)*$D$4*$H$4</f>
        <v>-6.2558046809963717</v>
      </c>
      <c r="U14" s="264">
        <f t="shared" si="0"/>
        <v>0.98918451792533801</v>
      </c>
      <c r="V14" s="93">
        <f>(U14+W14*K14)/B14</f>
        <v>1.5067971535572735</v>
      </c>
      <c r="W14" s="9">
        <f t="shared" si="1"/>
        <v>8</v>
      </c>
    </row>
    <row r="15" spans="1:23" x14ac:dyDescent="0.2">
      <c r="A15" s="99">
        <v>9</v>
      </c>
      <c r="B15" s="97">
        <f>C15*B4</f>
        <v>0.95557157153924177</v>
      </c>
      <c r="C15" s="97">
        <f>1/(1-D4*B4/(1-D4*B4/(1-D4*B4/(1-D4*B4/(1-D4*B4/(1-D4*B4/(1-D4*B4/(1-D4*B4))))))))</f>
        <v>1.7715718546701043</v>
      </c>
      <c r="D15" s="93">
        <f>C15*D4*C14</f>
        <v>1.4304475167541497</v>
      </c>
      <c r="E15" s="1">
        <f>D15*D4*C13</f>
        <v>1.1391479797933892</v>
      </c>
      <c r="F15" s="1">
        <f>E15*D4*C12</f>
        <v>0.89039580704616017</v>
      </c>
      <c r="G15" s="1">
        <f>F15*D4*C11</f>
        <v>0.6779765080247464</v>
      </c>
      <c r="H15" s="1">
        <f>G15*D4*C10</f>
        <v>0.49658328400414758</v>
      </c>
      <c r="I15" s="1">
        <f>H15*D4*C9</f>
        <v>0.34168445008383536</v>
      </c>
      <c r="J15" s="1">
        <f>I15*D4*C8</f>
        <v>0.20941022165318696</v>
      </c>
      <c r="K15" s="1">
        <f>J15*D4</f>
        <v>9.6456036885570043E-2</v>
      </c>
      <c r="L15" s="1">
        <f>K15*D4</f>
        <v>4.44284284607597E-2</v>
      </c>
      <c r="M15" s="260"/>
      <c r="N15" s="97">
        <f>B15+L15</f>
        <v>1.0000000000000016</v>
      </c>
      <c r="R15" s="188">
        <f>B15-L15</f>
        <v>0.9111431430784821</v>
      </c>
      <c r="S15" s="93">
        <f>SUM(C15:K15)*$B$4*$F$4</f>
        <v>7.8947184706546736</v>
      </c>
      <c r="T15" s="9">
        <f>SUM(C15:K15)*$D$4*$H$4</f>
        <v>-6.8168240707964811</v>
      </c>
      <c r="U15" s="264">
        <f t="shared" si="0"/>
        <v>1.0778943998581925</v>
      </c>
      <c r="V15" s="93">
        <f>(U15+W15*L15)/B15</f>
        <v>1.5464569060218678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0.96344758040993361</v>
      </c>
      <c r="C16" s="145">
        <f>1/(1-D4*B4/(1-D4*B4/(1-D4*B4/(1-D4*B4/(1-D4*B4/(1-D4*B4/(1-D4*B4/(1-D4*B4/(1-D4*B4)))))))))</f>
        <v>1.7861734983962505</v>
      </c>
      <c r="D16" s="94">
        <f>C16*D4*C15</f>
        <v>1.4575180804121841</v>
      </c>
      <c r="E16" s="111">
        <f>D16*D4*C14</f>
        <v>1.1768662463528059</v>
      </c>
      <c r="F16" s="111">
        <f>E16*D4*C13</f>
        <v>0.93720656739777486</v>
      </c>
      <c r="G16" s="111">
        <f>F16*D4*C12</f>
        <v>0.73255170772321987</v>
      </c>
      <c r="H16" s="111">
        <f>G16*D4*C11</f>
        <v>0.55778884493781722</v>
      </c>
      <c r="I16" s="111">
        <f>H16*D4*C10</f>
        <v>0.4085519381889724</v>
      </c>
      <c r="J16" s="111">
        <f>I16*D4*C9</f>
        <v>0.28111265285687342</v>
      </c>
      <c r="K16" s="111">
        <f>J16*D4*C8</f>
        <v>0.17228721684533638</v>
      </c>
      <c r="L16" s="111">
        <f>K16*D4</f>
        <v>7.9356881492002665E-2</v>
      </c>
      <c r="M16" s="262">
        <f>L16*D4</f>
        <v>3.6552419590067935E-2</v>
      </c>
      <c r="N16" s="145">
        <f>B16+M16</f>
        <v>1.0000000000000016</v>
      </c>
      <c r="R16" s="189">
        <f>B16-M16</f>
        <v>0.92689516081986567</v>
      </c>
      <c r="S16" s="94">
        <f>SUM(C16:L16)*$B$4*$F$4</f>
        <v>8.4943374048516009</v>
      </c>
      <c r="T16" s="10">
        <f>SUM(C16:L16)*$D$4*$H$4</f>
        <v>-7.334574868260952</v>
      </c>
      <c r="U16" s="265">
        <f t="shared" si="0"/>
        <v>1.159762536590649</v>
      </c>
      <c r="V16" s="94">
        <f>(U16+W16*M16)/B16</f>
        <v>1.5831548737112817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>B21*$O$2</f>
        <v>3</v>
      </c>
      <c r="D21" s="57">
        <f>SUM($C$21:C21)</f>
        <v>3</v>
      </c>
      <c r="E21" s="57">
        <f t="shared" ref="E21:E30" si="2">D21/R7</f>
        <v>38.078860090907135</v>
      </c>
      <c r="F21" s="8">
        <f t="shared" ref="F21:F30" si="3">U7/E21</f>
        <v>4.0130716475627239E-3</v>
      </c>
      <c r="G21" s="284">
        <f>E21*U7</f>
        <v>5.8189522268434937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193">
        <f>R21/R7</f>
        <v>76.15772018181427</v>
      </c>
      <c r="T21" s="8">
        <f>U7/S21</f>
        <v>2.006535823781362E-3</v>
      </c>
      <c r="U21" s="284">
        <f>S21*U7</f>
        <v>11.637904453686987</v>
      </c>
    </row>
    <row r="22" spans="1:21" x14ac:dyDescent="0.2">
      <c r="A22" s="97">
        <v>2</v>
      </c>
      <c r="B22" s="93">
        <f>C21</f>
        <v>3</v>
      </c>
      <c r="C22" s="1">
        <f t="shared" ref="C22:C30" si="4">B22*$O$2</f>
        <v>9</v>
      </c>
      <c r="D22" s="9">
        <f>SUM($C$21:C22)</f>
        <v>12</v>
      </c>
      <c r="E22" s="9">
        <f t="shared" si="2"/>
        <v>27.560313968421401</v>
      </c>
      <c r="F22" s="9">
        <f t="shared" si="3"/>
        <v>1.0775849328642678E-2</v>
      </c>
      <c r="G22" s="285">
        <f t="shared" ref="G22:G30" si="5">E22*U8</f>
        <v>8.1850216378857024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194">
        <f t="shared" ref="S22:S30" si="6">R22/R8</f>
        <v>62.010706428948147</v>
      </c>
      <c r="T22" s="9">
        <f>U8/S22</f>
        <v>4.789266368285635E-3</v>
      </c>
      <c r="U22" s="285">
        <f t="shared" ref="U22:U30" si="7">S22*U8</f>
        <v>18.416298685242829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4"/>
        <v>27</v>
      </c>
      <c r="D23" s="9">
        <f>SUM($C$21:C23)</f>
        <v>39</v>
      </c>
      <c r="E23" s="9">
        <f t="shared" si="2"/>
        <v>63.775384111327512</v>
      </c>
      <c r="F23" s="9">
        <f t="shared" si="3"/>
        <v>6.783563876462605E-3</v>
      </c>
      <c r="G23" s="285">
        <f t="shared" si="5"/>
        <v>27.590786767128041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194">
        <f t="shared" si="6"/>
        <v>152.07976211162713</v>
      </c>
      <c r="T23" s="9">
        <f t="shared" ref="T23:T30" si="11">U9/S23</f>
        <v>2.8447203352907698E-3</v>
      </c>
      <c r="U23" s="285">
        <f t="shared" si="7"/>
        <v>65.793414598536089</v>
      </c>
    </row>
    <row r="24" spans="1:21" x14ac:dyDescent="0.2">
      <c r="A24" s="97">
        <v>4</v>
      </c>
      <c r="B24" s="93">
        <f t="shared" si="8"/>
        <v>27</v>
      </c>
      <c r="C24" s="1">
        <f t="shared" si="4"/>
        <v>81</v>
      </c>
      <c r="D24" s="9">
        <f>SUM($C$21:C24)</f>
        <v>120</v>
      </c>
      <c r="E24" s="9">
        <f t="shared" si="2"/>
        <v>167.72448198177628</v>
      </c>
      <c r="F24" s="9">
        <f t="shared" si="3"/>
        <v>3.3380673809323205E-3</v>
      </c>
      <c r="G24" s="285">
        <f t="shared" si="5"/>
        <v>93.90484872233489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194">
        <f t="shared" si="6"/>
        <v>410.92498085535192</v>
      </c>
      <c r="T24" s="9">
        <f t="shared" si="11"/>
        <v>1.362476482013192E-3</v>
      </c>
      <c r="U24" s="285">
        <f t="shared" si="7"/>
        <v>230.06687936972048</v>
      </c>
    </row>
    <row r="25" spans="1:21" x14ac:dyDescent="0.2">
      <c r="A25" s="97">
        <v>5</v>
      </c>
      <c r="B25" s="93">
        <f t="shared" si="8"/>
        <v>81</v>
      </c>
      <c r="C25" s="1">
        <f t="shared" si="4"/>
        <v>243</v>
      </c>
      <c r="D25" s="9">
        <f>SUM($C$21:C25)</f>
        <v>363</v>
      </c>
      <c r="E25" s="9">
        <f t="shared" si="2"/>
        <v>463.39959276198863</v>
      </c>
      <c r="F25" s="9">
        <f t="shared" si="3"/>
        <v>1.4650932653689009E-3</v>
      </c>
      <c r="G25" s="285">
        <f t="shared" si="5"/>
        <v>314.61293019702623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9">
        <f t="shared" si="6"/>
        <v>1148.9246101536908</v>
      </c>
      <c r="T25" s="9">
        <f t="shared" si="11"/>
        <v>5.9092095036545678E-4</v>
      </c>
      <c r="U25" s="285">
        <f t="shared" si="7"/>
        <v>780.03205833973436</v>
      </c>
    </row>
    <row r="26" spans="1:21" x14ac:dyDescent="0.2">
      <c r="A26" s="97">
        <v>6</v>
      </c>
      <c r="B26" s="93">
        <f t="shared" si="8"/>
        <v>243</v>
      </c>
      <c r="C26" s="1">
        <f t="shared" si="4"/>
        <v>729</v>
      </c>
      <c r="D26" s="9">
        <f>SUM($C$21:C26)</f>
        <v>1092</v>
      </c>
      <c r="E26" s="9">
        <f t="shared" si="2"/>
        <v>1314.6294555272668</v>
      </c>
      <c r="F26" s="9">
        <f t="shared" si="3"/>
        <v>6.0091987567912795E-4</v>
      </c>
      <c r="G26" s="285">
        <f t="shared" si="5"/>
        <v>1038.5401389032413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9">
        <f t="shared" si="6"/>
        <v>3275.7387806682173</v>
      </c>
      <c r="T26" s="9">
        <f t="shared" si="11"/>
        <v>2.4116299310606679E-4</v>
      </c>
      <c r="U26" s="285">
        <f t="shared" si="7"/>
        <v>2587.7909505089006</v>
      </c>
    </row>
    <row r="27" spans="1:21" x14ac:dyDescent="0.2">
      <c r="A27" s="97">
        <v>7</v>
      </c>
      <c r="B27" s="93">
        <f t="shared" si="8"/>
        <v>729</v>
      </c>
      <c r="C27" s="1">
        <f t="shared" si="4"/>
        <v>2187</v>
      </c>
      <c r="D27" s="9">
        <f>SUM($C$21:C27)</f>
        <v>3279</v>
      </c>
      <c r="E27" s="9">
        <f t="shared" si="2"/>
        <v>3790.1438977220832</v>
      </c>
      <c r="F27" s="9">
        <f t="shared" si="3"/>
        <v>2.3569424989455408E-4</v>
      </c>
      <c r="G27" s="285">
        <f t="shared" si="5"/>
        <v>3385.7928620525431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9">
        <f t="shared" si="6"/>
        <v>9463.2229614671232</v>
      </c>
      <c r="T27" s="9">
        <f t="shared" si="11"/>
        <v>9.4398613094447633E-5</v>
      </c>
      <c r="U27" s="285">
        <f t="shared" si="7"/>
        <v>8453.6401834779426</v>
      </c>
    </row>
    <row r="28" spans="1:21" x14ac:dyDescent="0.2">
      <c r="A28" s="97">
        <v>8</v>
      </c>
      <c r="B28" s="93">
        <f t="shared" si="8"/>
        <v>2187</v>
      </c>
      <c r="C28" s="1">
        <f t="shared" si="4"/>
        <v>6561</v>
      </c>
      <c r="D28" s="9">
        <f>SUM($C$21:C28)</f>
        <v>9840</v>
      </c>
      <c r="E28" s="9">
        <f t="shared" si="2"/>
        <v>11042.447055962262</v>
      </c>
      <c r="F28" s="9">
        <f t="shared" si="3"/>
        <v>8.9580191139901141E-5</v>
      </c>
      <c r="G28" s="285">
        <f t="shared" si="5"/>
        <v>10923.017667768099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9">
        <f t="shared" si="6"/>
        <v>27592.651241056919</v>
      </c>
      <c r="T28" s="9">
        <f t="shared" si="11"/>
        <v>3.5849564048179083E-5</v>
      </c>
      <c r="U28" s="285">
        <f t="shared" si="7"/>
        <v>27294.223416166868</v>
      </c>
    </row>
    <row r="29" spans="1:21" x14ac:dyDescent="0.2">
      <c r="A29" s="97">
        <v>9</v>
      </c>
      <c r="B29" s="93">
        <f t="shared" si="8"/>
        <v>6561</v>
      </c>
      <c r="C29" s="1">
        <f t="shared" si="4"/>
        <v>19683</v>
      </c>
      <c r="D29" s="9">
        <f>SUM($C$21:C29)</f>
        <v>29523</v>
      </c>
      <c r="E29" s="9">
        <f t="shared" si="2"/>
        <v>32402.153519205061</v>
      </c>
      <c r="F29" s="9">
        <f t="shared" si="3"/>
        <v>3.326613458637292E-5</v>
      </c>
      <c r="G29" s="285">
        <f t="shared" si="5"/>
        <v>34926.09982169656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9">
        <f t="shared" si="6"/>
        <v>80990.56724574801</v>
      </c>
      <c r="T29" s="9">
        <f t="shared" si="11"/>
        <v>1.3308888139868927E-5</v>
      </c>
      <c r="U29" s="285">
        <f t="shared" si="7"/>
        <v>87299.27887553013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4"/>
        <v>59049</v>
      </c>
      <c r="D30" s="10">
        <f>SUM($C$21:C30)</f>
        <v>88572</v>
      </c>
      <c r="E30" s="10">
        <f t="shared" si="2"/>
        <v>95557.732679988854</v>
      </c>
      <c r="F30" s="9">
        <f t="shared" si="3"/>
        <v>1.2136773278982578E-5</v>
      </c>
      <c r="G30" s="286">
        <f t="shared" si="5"/>
        <v>110824.27844379503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10">
        <f t="shared" si="6"/>
        <v>238878.14863997349</v>
      </c>
      <c r="T30" s="10">
        <f t="shared" si="11"/>
        <v>4.855038199155635E-6</v>
      </c>
      <c r="U30" s="286">
        <f t="shared" si="7"/>
        <v>277041.92760277377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8">
        <f t="shared" ref="E33:E42" si="13">D33/R7</f>
        <v>38.078860090907135</v>
      </c>
      <c r="F33" s="8">
        <f t="shared" ref="F33:F42" si="14">U7/E33</f>
        <v>4.0130716475627239E-3</v>
      </c>
      <c r="G33" s="287">
        <f>E33*U7</f>
        <v>5.8189522268434937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79">
        <f>R33/R7</f>
        <v>76.15772018181427</v>
      </c>
      <c r="T33" s="8">
        <f>U7/S33</f>
        <v>2.006535823781362E-3</v>
      </c>
      <c r="U33" s="287">
        <f>S33*U7</f>
        <v>11.637904453686987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34.45039246052675</v>
      </c>
      <c r="F34" s="9">
        <f t="shared" si="14"/>
        <v>8.6206794629141419E-3</v>
      </c>
      <c r="G34" s="285">
        <f t="shared" ref="G34:G42" si="16">E34*U8</f>
        <v>10.231277047357128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80">
        <f>R34/R8</f>
        <v>68.9007849210535</v>
      </c>
      <c r="T34" s="9">
        <f t="shared" ref="T34:T42" si="18">U8/S34</f>
        <v>4.310339731457071E-3</v>
      </c>
      <c r="U34" s="285">
        <f t="shared" ref="U34:U42" si="19">S34*U8</f>
        <v>20.462554094714257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103.0217743336829</v>
      </c>
      <c r="F35" s="9">
        <f t="shared" si="14"/>
        <v>4.1993490663816127E-3</v>
      </c>
      <c r="G35" s="285">
        <f t="shared" si="16"/>
        <v>44.569732469976067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80">
        <f t="shared" ref="S35:S42" si="21">R35/R9</f>
        <v>176.60875600059924</v>
      </c>
      <c r="T35" s="9">
        <f t="shared" si="18"/>
        <v>2.4496202887226075E-3</v>
      </c>
      <c r="U35" s="285">
        <f t="shared" si="19"/>
        <v>76.405255662816103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356.41452421127462</v>
      </c>
      <c r="F36" s="9">
        <f t="shared" si="14"/>
        <v>1.5708552380857979E-3</v>
      </c>
      <c r="G36" s="285">
        <f t="shared" si="16"/>
        <v>199.54780353496164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80">
        <f t="shared" si="21"/>
        <v>486.40099774715122</v>
      </c>
      <c r="T36" s="9">
        <f t="shared" si="18"/>
        <v>1.1510577175628692E-3</v>
      </c>
      <c r="U36" s="285">
        <f t="shared" si="19"/>
        <v>272.32406129477118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1305.9443068746953</v>
      </c>
      <c r="F37" s="9">
        <f t="shared" si="14"/>
        <v>5.1987180384057774E-4</v>
      </c>
      <c r="G37" s="285">
        <f t="shared" si="16"/>
        <v>886.63643964616483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80">
        <f t="shared" si="21"/>
        <v>1371.0500347834043</v>
      </c>
      <c r="T37" s="9">
        <f t="shared" si="18"/>
        <v>4.951851539375336E-4</v>
      </c>
      <c r="U37" s="285">
        <f t="shared" si="19"/>
        <v>930.83825628541638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4929.860458227251</v>
      </c>
      <c r="F38" s="9">
        <f t="shared" si="14"/>
        <v>1.6024530018110078E-4</v>
      </c>
      <c r="G38" s="285">
        <f t="shared" si="16"/>
        <v>3894.5255208871549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80">
        <f t="shared" si="21"/>
        <v>3922.2186502819004</v>
      </c>
      <c r="T38" s="9">
        <f t="shared" si="18"/>
        <v>2.0141329166409078E-4</v>
      </c>
      <c r="U38" s="285">
        <f t="shared" si="19"/>
        <v>3098.5016232113185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18936.848879652604</v>
      </c>
      <c r="F39" s="9">
        <f t="shared" si="14"/>
        <v>4.7173377611197143E-5</v>
      </c>
      <c r="G39" s="285">
        <f t="shared" si="16"/>
        <v>16916.573485515954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80">
        <f t="shared" si="21"/>
        <v>11346.15812749008</v>
      </c>
      <c r="T39" s="9">
        <f t="shared" si="18"/>
        <v>7.8732828586414302E-5</v>
      </c>
      <c r="U39" s="285">
        <f t="shared" si="19"/>
        <v>10135.694642850798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73543.3707126511</v>
      </c>
      <c r="F40" s="9">
        <f t="shared" si="14"/>
        <v>1.3450356005441782E-5</v>
      </c>
      <c r="G40" s="285">
        <f t="shared" si="16"/>
        <v>72747.963704998197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80">
        <f t="shared" si="21"/>
        <v>33100.408370189318</v>
      </c>
      <c r="T40" s="9">
        <f t="shared" si="18"/>
        <v>2.9884359940894602E-5</v>
      </c>
      <c r="U40" s="285">
        <f t="shared" si="19"/>
        <v>32742.411496797544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287707.8118749779</v>
      </c>
      <c r="F41" s="9">
        <f t="shared" si="14"/>
        <v>3.7464898600896751E-6</v>
      </c>
      <c r="G41" s="285">
        <f t="shared" si="16"/>
        <v>310118.63921549305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80">
        <f t="shared" si="21"/>
        <v>97176.827453085891</v>
      </c>
      <c r="T41" s="9">
        <f t="shared" si="18"/>
        <v>1.1092092920800159E-5</v>
      </c>
      <c r="U41" s="285">
        <f t="shared" si="19"/>
        <v>104746.35810766714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1131276.8092051586</v>
      </c>
      <c r="F42" s="9">
        <f t="shared" si="14"/>
        <v>1.0251801567518251E-6</v>
      </c>
      <c r="G42" s="286">
        <f t="shared" si="16"/>
        <v>1312012.4618299503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81">
        <f t="shared" si="21"/>
        <v>286640.83191996929</v>
      </c>
      <c r="T42" s="10">
        <f t="shared" si="18"/>
        <v>4.0460479019069308E-6</v>
      </c>
      <c r="U42" s="286">
        <f t="shared" si="19"/>
        <v>332435.29831795744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38.078860090907135</v>
      </c>
      <c r="F45" s="8">
        <f t="shared" ref="F45:F54" si="24">U7/E45</f>
        <v>4.0130716475627239E-3</v>
      </c>
      <c r="G45" s="284">
        <f>E45*U7</f>
        <v>5.8189522268434937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79">
        <f>R45/R7</f>
        <v>76.15772018181427</v>
      </c>
      <c r="T45" s="8">
        <f>U7/S45</f>
        <v>2.006535823781362E-3</v>
      </c>
      <c r="U45" s="287">
        <f>S45*U7</f>
        <v>11.637904453686987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48.230549444737449</v>
      </c>
      <c r="F46" s="9">
        <f t="shared" si="24"/>
        <v>6.1576281877958163E-3</v>
      </c>
      <c r="G46" s="285">
        <f t="shared" ref="G46:G54" si="26">E46*U8</f>
        <v>14.323787866299979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80">
        <f t="shared" ref="S46:S54" si="28">R46/R8</f>
        <v>103.35117738158024</v>
      </c>
      <c r="T46" s="9">
        <f t="shared" ref="T46:T54" si="29">U8/S46</f>
        <v>2.8735598209713811E-3</v>
      </c>
      <c r="U46" s="285">
        <f t="shared" ref="U46:U54" si="30">S46*U8</f>
        <v>30.693831142071382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210.94934744516021</v>
      </c>
      <c r="F47" s="9">
        <f t="shared" si="24"/>
        <v>2.0508448928840436E-3</v>
      </c>
      <c r="G47" s="285">
        <f t="shared" si="26"/>
        <v>91.261833152808123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80">
        <f t="shared" si="28"/>
        <v>461.14508511267582</v>
      </c>
      <c r="T47" s="9">
        <f t="shared" si="29"/>
        <v>9.3815245100014753E-4</v>
      </c>
      <c r="U47" s="285">
        <f t="shared" si="30"/>
        <v>199.50261200846427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1086.0160208320015</v>
      </c>
      <c r="F48" s="9">
        <f t="shared" si="24"/>
        <v>5.1553164184282938E-4</v>
      </c>
      <c r="G48" s="285">
        <f t="shared" si="26"/>
        <v>608.03389547711845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80">
        <f t="shared" si="28"/>
        <v>2385.8807561907674</v>
      </c>
      <c r="T48" s="9">
        <f t="shared" si="29"/>
        <v>2.3466203029401202E-4</v>
      </c>
      <c r="U48" s="285">
        <f t="shared" si="30"/>
        <v>1335.7964730752137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5955.259229296631</v>
      </c>
      <c r="F49" s="9">
        <f t="shared" si="24"/>
        <v>1.140040418711492E-4</v>
      </c>
      <c r="G49" s="285">
        <f t="shared" si="26"/>
        <v>4043.1661690609571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80">
        <f t="shared" si="28"/>
        <v>13097.740555752074</v>
      </c>
      <c r="T49" s="9">
        <f t="shared" si="29"/>
        <v>5.1835171084689189E-5</v>
      </c>
      <c r="U49" s="285">
        <f t="shared" si="30"/>
        <v>8892.3654650729713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33700.020465727823</v>
      </c>
      <c r="F50" s="9">
        <f t="shared" si="24"/>
        <v>2.3441735585382334E-5</v>
      </c>
      <c r="G50" s="285">
        <f t="shared" si="26"/>
        <v>26622.577022269626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80">
        <f t="shared" si="28"/>
        <v>74135.711081341229</v>
      </c>
      <c r="T50" s="9">
        <f t="shared" si="29"/>
        <v>1.0655957263467753E-5</v>
      </c>
      <c r="U50" s="285">
        <f t="shared" si="30"/>
        <v>58566.245690293501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194143.44593025278</v>
      </c>
      <c r="F51" s="9">
        <f t="shared" si="24"/>
        <v>4.6013148612132743E-6</v>
      </c>
      <c r="G51" s="285">
        <f t="shared" si="26"/>
        <v>173431.27627423216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80">
        <f t="shared" si="28"/>
        <v>427110.72633342084</v>
      </c>
      <c r="T51" s="9">
        <f t="shared" si="29"/>
        <v>2.0915305280080184E-6</v>
      </c>
      <c r="U51" s="285">
        <f t="shared" si="30"/>
        <v>381544.47101464932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1130918.2751158569</v>
      </c>
      <c r="F52" s="9">
        <f t="shared" si="24"/>
        <v>8.7467374052647703E-7</v>
      </c>
      <c r="G52" s="285">
        <f t="shared" si="26"/>
        <v>1118686.8487834337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80">
        <f t="shared" si="28"/>
        <v>2488014.8186953459</v>
      </c>
      <c r="T52" s="9">
        <f t="shared" si="29"/>
        <v>3.9757983372624856E-7</v>
      </c>
      <c r="U52" s="285">
        <f t="shared" si="30"/>
        <v>2461105.7390222531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6636297.5410979623</v>
      </c>
      <c r="F53" s="9">
        <f t="shared" si="24"/>
        <v>1.6242406148652837E-7</v>
      </c>
      <c r="G53" s="285">
        <f t="shared" si="26"/>
        <v>7153227.9553421866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80">
        <f t="shared" si="28"/>
        <v>14599848.663794613</v>
      </c>
      <c r="T53" s="9">
        <f t="shared" si="29"/>
        <v>7.3829148827494729E-8</v>
      </c>
      <c r="U53" s="285">
        <f t="shared" si="30"/>
        <v>15737095.113481328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39141109.516538575</v>
      </c>
      <c r="F54" s="9">
        <f t="shared" si="24"/>
        <v>2.9630292828071369E-8</v>
      </c>
      <c r="G54" s="286">
        <f t="shared" si="26"/>
        <v>45394392.457873166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81">
        <f t="shared" si="28"/>
        <v>86110434.463160872</v>
      </c>
      <c r="T54" s="10">
        <f t="shared" si="29"/>
        <v>1.3468315934311189E-8</v>
      </c>
      <c r="U54" s="286">
        <f t="shared" si="30"/>
        <v>99867655.899918288</v>
      </c>
    </row>
  </sheetData>
  <mergeCells count="2">
    <mergeCell ref="A18:F18"/>
    <mergeCell ref="O18:T18"/>
  </mergeCells>
  <conditionalFormatting sqref="F45:F54">
    <cfRule type="cellIs" dxfId="735" priority="76" operator="equal">
      <formula>MAX($F$45:$F$54)</formula>
    </cfRule>
  </conditionalFormatting>
  <conditionalFormatting sqref="F21:F30">
    <cfRule type="cellIs" dxfId="734" priority="74" operator="equal">
      <formula>MAX($F$21:$F$30)</formula>
    </cfRule>
  </conditionalFormatting>
  <conditionalFormatting sqref="F33:F42">
    <cfRule type="cellIs" dxfId="733" priority="48" operator="lessThanOrEqual">
      <formula>0</formula>
    </cfRule>
    <cfRule type="cellIs" dxfId="732" priority="49" operator="equal">
      <formula>MAX($F$33:$F$42)</formula>
    </cfRule>
  </conditionalFormatting>
  <conditionalFormatting sqref="E21:E30">
    <cfRule type="cellIs" dxfId="731" priority="30" stopIfTrue="1" operator="lessThan">
      <formula>0</formula>
    </cfRule>
    <cfRule type="cellIs" dxfId="730" priority="31" operator="equal">
      <formula>MIN($E$21:$E$30)</formula>
    </cfRule>
  </conditionalFormatting>
  <conditionalFormatting sqref="E33:E42">
    <cfRule type="cellIs" dxfId="729" priority="28" stopIfTrue="1" operator="lessThan">
      <formula>0</formula>
    </cfRule>
    <cfRule type="cellIs" dxfId="728" priority="29" operator="equal">
      <formula>MIN($E$33:$E$42)</formula>
    </cfRule>
  </conditionalFormatting>
  <conditionalFormatting sqref="E45:E54">
    <cfRule type="cellIs" dxfId="727" priority="26" stopIfTrue="1" operator="lessThan">
      <formula>0</formula>
    </cfRule>
    <cfRule type="cellIs" dxfId="726" priority="27" operator="equal">
      <formula>MIN($E$45:$E$54)</formula>
    </cfRule>
  </conditionalFormatting>
  <conditionalFormatting sqref="S7:T16">
    <cfRule type="cellIs" dxfId="725" priority="12" operator="lessThanOrEqual">
      <formula>0</formula>
    </cfRule>
    <cfRule type="cellIs" dxfId="724" priority="13" operator="greaterThan">
      <formula>0</formula>
    </cfRule>
  </conditionalFormatting>
  <conditionalFormatting sqref="U7:U16">
    <cfRule type="cellIs" dxfId="723" priority="14" operator="lessThanOrEqual">
      <formula>0</formula>
    </cfRule>
    <cfRule type="cellIs" dxfId="722" priority="15" operator="greaterThan">
      <formula>0</formula>
    </cfRule>
  </conditionalFormatting>
  <conditionalFormatting sqref="R7:R16">
    <cfRule type="cellIs" dxfId="721" priority="16" operator="lessThanOrEqual">
      <formula>0</formula>
    </cfRule>
    <cfRule type="cellIs" dxfId="720" priority="17" operator="greaterThan">
      <formula>0</formula>
    </cfRule>
  </conditionalFormatting>
  <conditionalFormatting sqref="S21:S30">
    <cfRule type="cellIs" dxfId="719" priority="10" stopIfTrue="1" operator="lessThan">
      <formula>0</formula>
    </cfRule>
    <cfRule type="cellIs" dxfId="718" priority="11" operator="equal">
      <formula>MIN($E$21:$E$30)</formula>
    </cfRule>
  </conditionalFormatting>
  <conditionalFormatting sqref="T21:T30">
    <cfRule type="cellIs" dxfId="717" priority="7" operator="equal">
      <formula>MAX($T$21:$T$30)</formula>
    </cfRule>
  </conditionalFormatting>
  <conditionalFormatting sqref="S33:S42">
    <cfRule type="cellIs" dxfId="716" priority="5" stopIfTrue="1" operator="lessThan">
      <formula>0</formula>
    </cfRule>
    <cfRule type="cellIs" dxfId="715" priority="6" operator="equal">
      <formula>MIN($E$21:$E$30)</formula>
    </cfRule>
  </conditionalFormatting>
  <conditionalFormatting sqref="T33:T42">
    <cfRule type="cellIs" dxfId="714" priority="4" operator="equal">
      <formula>MAX($T$21:$T$30)</formula>
    </cfRule>
  </conditionalFormatting>
  <conditionalFormatting sqref="S45:S54">
    <cfRule type="cellIs" dxfId="713" priority="2" stopIfTrue="1" operator="lessThan">
      <formula>0</formula>
    </cfRule>
    <cfRule type="cellIs" dxfId="712" priority="3" operator="equal">
      <formula>MIN($E$21:$E$30)</formula>
    </cfRule>
  </conditionalFormatting>
  <conditionalFormatting sqref="T45:T54">
    <cfRule type="cellIs" dxfId="711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W54"/>
  <sheetViews>
    <sheetView topLeftCell="A13" workbookViewId="0">
      <selection activeCell="U20" sqref="U20:U54"/>
    </sheetView>
  </sheetViews>
  <sheetFormatPr baseColWidth="10" defaultColWidth="8.6640625" defaultRowHeight="16" x14ac:dyDescent="0.2"/>
  <cols>
    <col min="7" max="7" width="8.6640625" customWidth="1"/>
    <col min="14" max="14" width="5.6640625" bestFit="1" customWidth="1"/>
    <col min="21" max="21" width="8.6640625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49" t="s">
        <v>125</v>
      </c>
      <c r="C2" s="155">
        <f>Analysis!B11</f>
        <v>0.56509273147784556</v>
      </c>
      <c r="D2" s="149" t="s">
        <v>126</v>
      </c>
      <c r="E2" s="155">
        <f>Analysis!G11</f>
        <v>0.43490726852215461</v>
      </c>
      <c r="F2" s="149" t="s">
        <v>47</v>
      </c>
      <c r="G2" s="155">
        <f>Analysis!S11</f>
        <v>2.8929991530129207</v>
      </c>
      <c r="H2" t="s">
        <v>155</v>
      </c>
      <c r="I2" s="169">
        <f>Analysis!T11</f>
        <v>-2.9252747085021471</v>
      </c>
      <c r="J2" t="s">
        <v>48</v>
      </c>
      <c r="K2" s="169">
        <f>C2*G2+E2*I2</f>
        <v>0.36258956038755419</v>
      </c>
      <c r="L2" t="s">
        <v>47</v>
      </c>
      <c r="M2" s="176">
        <v>1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0.56509273147784556</v>
      </c>
      <c r="C4" t="s">
        <v>124</v>
      </c>
      <c r="D4">
        <f>$E$2</f>
        <v>0.43490726852215461</v>
      </c>
      <c r="E4" t="s">
        <v>47</v>
      </c>
      <c r="F4">
        <f>G2</f>
        <v>2.8929991530129207</v>
      </c>
      <c r="G4" t="s">
        <v>155</v>
      </c>
      <c r="H4">
        <f>I2</f>
        <v>-2.9252747085021471</v>
      </c>
      <c r="I4" t="s">
        <v>48</v>
      </c>
      <c r="J4">
        <f>K2</f>
        <v>0.36258956038755419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0.56509273147784556</v>
      </c>
      <c r="C7" s="95">
        <v>1</v>
      </c>
      <c r="D7" s="109">
        <f>C7*D4</f>
        <v>0.43490726852215461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1.0000000000000002</v>
      </c>
      <c r="R7" s="187">
        <f>B7-D7</f>
        <v>0.13018546295569094</v>
      </c>
      <c r="S7" s="109">
        <f>SUM(C7)*$B$4*$F$4</f>
        <v>1.634812793539165</v>
      </c>
      <c r="T7" s="57">
        <f>SUM(C7)*$D$4*$H$4</f>
        <v>-1.2722232331516108</v>
      </c>
      <c r="U7" s="263">
        <f>S7+T7</f>
        <v>0.36258956038755419</v>
      </c>
      <c r="V7" s="109">
        <f>(U7+W7*D7)/B7</f>
        <v>1.4112671858724388</v>
      </c>
      <c r="W7" s="57">
        <f>COUNT(D7:M7)</f>
        <v>1</v>
      </c>
    </row>
    <row r="8" spans="1:23" x14ac:dyDescent="0.2">
      <c r="A8" s="99">
        <v>2</v>
      </c>
      <c r="B8" s="97">
        <f>C8*B4</f>
        <v>0.74922429390074496</v>
      </c>
      <c r="C8" s="97">
        <f>1/(1-B4*D4)</f>
        <v>1.325843091170813</v>
      </c>
      <c r="D8" s="93">
        <f>C8*D4</f>
        <v>0.57661879727006826</v>
      </c>
      <c r="E8" s="1">
        <f>D8*D4</f>
        <v>0.25077570609925542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1.0000000000000004</v>
      </c>
      <c r="R8" s="188">
        <f>B8-E8</f>
        <v>0.49844858780148954</v>
      </c>
      <c r="S8" s="93">
        <f>SUM(C8:D8)*$B$4*$F$4</f>
        <v>3.1101690344438326</v>
      </c>
      <c r="T8" s="9">
        <f>SUM(C8:D8)*$D$4*$H$4</f>
        <v>-2.4203562146599773</v>
      </c>
      <c r="U8" s="264">
        <f>S8+T8</f>
        <v>0.68981281978385534</v>
      </c>
      <c r="V8" s="93">
        <f>(U8+W8*E8)/B8</f>
        <v>1.5901302743130146</v>
      </c>
      <c r="W8" s="9">
        <f>COUNT(D8:M8)</f>
        <v>2</v>
      </c>
    </row>
    <row r="9" spans="1:23" x14ac:dyDescent="0.2">
      <c r="A9" s="99">
        <v>3</v>
      </c>
      <c r="B9" s="97">
        <f>C9*B4</f>
        <v>0.83822137558338772</v>
      </c>
      <c r="C9" s="97">
        <f>1/(1-D4*B4/(1-D4*B4))</f>
        <v>1.4833342014349553</v>
      </c>
      <c r="D9" s="93">
        <f>C9*D4*C8</f>
        <v>0.85531838318098119</v>
      </c>
      <c r="E9" s="1">
        <f>D9*(D4)</f>
        <v>0.3719841817460261</v>
      </c>
      <c r="F9" s="1">
        <f>E9*D4</f>
        <v>0.16177862441661295</v>
      </c>
      <c r="G9" s="1"/>
      <c r="H9" s="1"/>
      <c r="I9" s="1"/>
      <c r="J9" s="1"/>
      <c r="K9" s="1"/>
      <c r="L9" s="1"/>
      <c r="M9" s="260"/>
      <c r="N9" s="97">
        <f>B9+F9</f>
        <v>1.0000000000000007</v>
      </c>
      <c r="R9" s="188">
        <f>B9-F9</f>
        <v>0.67644275116677477</v>
      </c>
      <c r="S9" s="93">
        <f>SUM(C9:E9)*$B$4*$F$4</f>
        <v>4.4313836642861695</v>
      </c>
      <c r="T9" s="9">
        <f>SUM(C9:E9)*$D$4*$H$4</f>
        <v>-3.4485350708006441</v>
      </c>
      <c r="U9" s="264">
        <f t="shared" ref="U9:U16" si="0">S9+T9</f>
        <v>0.98284859348552533</v>
      </c>
      <c r="V9" s="93">
        <f>(U9+W9*F9)/B9</f>
        <v>1.7515473948794646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0.88927761241266035</v>
      </c>
      <c r="C10" s="97">
        <f>1/(1-D4*B4/(1-D4*B4/(1-D4*B4)))</f>
        <v>1.5736843935100666</v>
      </c>
      <c r="D10" s="93">
        <f>C10*D4*C9</f>
        <v>1.01520398609579</v>
      </c>
      <c r="E10" s="1">
        <f>D10*D4*C8</f>
        <v>0.58538570144633351</v>
      </c>
      <c r="F10" s="1">
        <f>E10*D4</f>
        <v>0.2545884964479504</v>
      </c>
      <c r="G10" s="1">
        <f>F10*D4</f>
        <v>0.11072238758734036</v>
      </c>
      <c r="H10" s="1"/>
      <c r="I10" s="1"/>
      <c r="J10" s="1"/>
      <c r="K10" s="1"/>
      <c r="L10" s="1"/>
      <c r="M10" s="260"/>
      <c r="N10" s="97">
        <f>B10+G10</f>
        <v>1.0000000000000007</v>
      </c>
      <c r="R10" s="188">
        <f>B10-G10</f>
        <v>0.77855522482532002</v>
      </c>
      <c r="S10" s="93">
        <f>SUM(C10:F10)*$B$4*$F$4</f>
        <v>5.6055484089849061</v>
      </c>
      <c r="T10" s="9">
        <f>SUM(C10:F10)*$D$4*$H$4</f>
        <v>-4.3622786343797948</v>
      </c>
      <c r="U10" s="264">
        <f t="shared" si="0"/>
        <v>1.2432697746051113</v>
      </c>
      <c r="V10" s="93">
        <f>(U10+W10*G10)/B10</f>
        <v>1.8961000495445146</v>
      </c>
      <c r="W10" s="9">
        <f t="shared" si="1"/>
        <v>4</v>
      </c>
    </row>
    <row r="11" spans="1:23" x14ac:dyDescent="0.2">
      <c r="A11" s="99">
        <v>5</v>
      </c>
      <c r="B11" s="97">
        <f>C11*B4</f>
        <v>0.92147699947912376</v>
      </c>
      <c r="C11" s="97">
        <f>1/(1-D4*B4/(1-D4*B4/(1-D4*B4/(1-D4*B4))))</f>
        <v>1.6306651070688036</v>
      </c>
      <c r="D11" s="93">
        <f>C11*D4*C10</f>
        <v>1.1160382569768177</v>
      </c>
      <c r="E11" s="1">
        <f>D11*D4*C9</f>
        <v>0.71997059371677308</v>
      </c>
      <c r="F11" s="1">
        <f>E11*D4*C8</f>
        <v>0.41514857781878267</v>
      </c>
      <c r="G11" s="1">
        <f>F11*D4</f>
        <v>0.18055113401002393</v>
      </c>
      <c r="H11" s="1">
        <f>G11*D4</f>
        <v>7.8523000520877004E-2</v>
      </c>
      <c r="I11" s="1"/>
      <c r="J11" s="1"/>
      <c r="K11" s="1"/>
      <c r="L11" s="1"/>
      <c r="M11" s="260"/>
      <c r="N11" s="97">
        <f>B11+H11</f>
        <v>1.0000000000000007</v>
      </c>
      <c r="R11" s="188">
        <f>B11-H11</f>
        <v>0.84295399895824674</v>
      </c>
      <c r="S11" s="93">
        <f>SUM(C11:G11)*$B$4*$F$4</f>
        <v>6.6412204471843399</v>
      </c>
      <c r="T11" s="9">
        <f>SUM(C11:G11)*$D$4*$H$4</f>
        <v>-5.1682461641972921</v>
      </c>
      <c r="U11" s="264">
        <f t="shared" si="0"/>
        <v>1.4729742829870478</v>
      </c>
      <c r="V11" s="93">
        <f>(U11+W11*H11)/B11</f>
        <v>2.024564136322426</v>
      </c>
      <c r="W11" s="9">
        <f t="shared" si="1"/>
        <v>5</v>
      </c>
    </row>
    <row r="12" spans="1:23" x14ac:dyDescent="0.2">
      <c r="A12" s="99">
        <v>6</v>
      </c>
      <c r="B12" s="97">
        <f>C12*B4</f>
        <v>0.94301105523365147</v>
      </c>
      <c r="C12" s="97">
        <f>1/(1-D4*B4/(1-D4*B4/(1-D4*B4/(1-D4*B4/(1-D4*B4)))))</f>
        <v>1.6687722256973008</v>
      </c>
      <c r="D12" s="93">
        <f>C12*D4*C11</f>
        <v>1.1834734167404874</v>
      </c>
      <c r="E12" s="1">
        <f>D12*D4*C10</f>
        <v>0.80997723166570668</v>
      </c>
      <c r="F12" s="1">
        <f>E12*D4*C9</f>
        <v>0.52252670079529406</v>
      </c>
      <c r="G12" s="1">
        <f>F12*D4*C8</f>
        <v>0.30129871775407929</v>
      </c>
      <c r="H12" s="1">
        <f>G12*D4</f>
        <v>0.13103700234765422</v>
      </c>
      <c r="I12" s="1">
        <f>H12*D4</f>
        <v>5.6988944766349463E-2</v>
      </c>
      <c r="J12" s="1"/>
      <c r="K12" s="1"/>
      <c r="L12" s="1"/>
      <c r="M12" s="260"/>
      <c r="N12" s="97">
        <f>B12+I12</f>
        <v>1.0000000000000009</v>
      </c>
      <c r="R12" s="188">
        <f>B12-I12</f>
        <v>0.88602211046730206</v>
      </c>
      <c r="S12" s="93">
        <f>SUM(C12:H12)*$B$4*$F$4</f>
        <v>7.5480701091284041</v>
      </c>
      <c r="T12" s="9">
        <f>SUM(C12:H12)*$D$4*$H$4</f>
        <v>-5.8739631817423232</v>
      </c>
      <c r="U12" s="264">
        <f t="shared" si="0"/>
        <v>1.6741069273860809</v>
      </c>
      <c r="V12" s="93">
        <f>(U12+W12*I12)/B12</f>
        <v>2.1378758868151975</v>
      </c>
      <c r="W12" s="9">
        <f t="shared" si="1"/>
        <v>6</v>
      </c>
    </row>
    <row r="13" spans="1:23" x14ac:dyDescent="0.2">
      <c r="A13" s="99">
        <v>7</v>
      </c>
      <c r="B13" s="97">
        <f>C13*B4</f>
        <v>0.95798297016737166</v>
      </c>
      <c r="C13" s="97">
        <f>1/(1-D4*B4/(1-D4*B4/(1-D4*B4/(1-D4*B4/(1-D4*B4/(1-D4*B4))))))</f>
        <v>1.6952668417129151</v>
      </c>
      <c r="D13" s="93">
        <f>C13*D4*C12</f>
        <v>1.23035884728978</v>
      </c>
      <c r="E13" s="1">
        <f>D13*D4*C11</f>
        <v>0.87255586256565942</v>
      </c>
      <c r="F13" s="1">
        <f>E13*D4*C10</f>
        <v>0.59718314922623406</v>
      </c>
      <c r="G13" s="1">
        <f>F13*D4*C9</f>
        <v>0.38525050894827445</v>
      </c>
      <c r="H13" s="1">
        <f>G13*D4*C8</f>
        <v>0.22214268511743571</v>
      </c>
      <c r="I13" s="1">
        <f>H13*D4</f>
        <v>9.661146840660105E-2</v>
      </c>
      <c r="J13" s="1">
        <f>I13*D4</f>
        <v>4.2017029832629296E-2</v>
      </c>
      <c r="K13" s="1"/>
      <c r="L13" s="1"/>
      <c r="M13" s="260"/>
      <c r="N13" s="97">
        <f>B13+J13</f>
        <v>1.0000000000000009</v>
      </c>
      <c r="R13" s="188">
        <f>B13-J13</f>
        <v>0.91596594033474232</v>
      </c>
      <c r="S13" s="93">
        <f>SUM(C13:I13)*$B$4*$F$4</f>
        <v>8.3365142740503924</v>
      </c>
      <c r="T13" s="9">
        <f>SUM(C13:I13)*$D$4*$H$4</f>
        <v>-6.4875361783696865</v>
      </c>
      <c r="U13" s="264">
        <f t="shared" si="0"/>
        <v>1.8489780956807058</v>
      </c>
      <c r="V13" s="93">
        <f>(U13+W13*J13)/B13</f>
        <v>2.2370933213297985</v>
      </c>
      <c r="W13" s="9">
        <f t="shared" si="1"/>
        <v>7</v>
      </c>
    </row>
    <row r="14" spans="1:23" x14ac:dyDescent="0.2">
      <c r="A14" s="99">
        <v>8</v>
      </c>
      <c r="B14" s="97">
        <f>C14*B4</f>
        <v>0.96867574719933625</v>
      </c>
      <c r="C14" s="97">
        <f>1/(1-D4*B4/(1-D4*B4/(1-D4*B4/(1-D4*B4/(1-D4*B4/(1-D4*B4/(1-D4*B4)))))))</f>
        <v>1.7141890051673991</v>
      </c>
      <c r="D14" s="93">
        <f>C14*D4*C13</f>
        <v>1.2638439062906242</v>
      </c>
      <c r="E14" s="1">
        <f>D14*D4*C12</f>
        <v>0.91724883271283442</v>
      </c>
      <c r="F14" s="1">
        <f>E14*D4*C11</f>
        <v>0.65050196386045811</v>
      </c>
      <c r="G14" s="1">
        <f>F14*D4*C10</f>
        <v>0.4452079551832776</v>
      </c>
      <c r="H14" s="1">
        <f>G14*D4*C9</f>
        <v>0.2872093620598824</v>
      </c>
      <c r="I14" s="1">
        <f>H14*D4*C8</f>
        <v>0.16561031691567299</v>
      </c>
      <c r="J14" s="1">
        <f>I14*D4</f>
        <v>7.2025130568883711E-2</v>
      </c>
      <c r="K14" s="1">
        <f>J14*D4</f>
        <v>3.1324252800664754E-2</v>
      </c>
      <c r="L14" s="1"/>
      <c r="M14" s="260"/>
      <c r="N14" s="97">
        <f>B14+K14</f>
        <v>1.0000000000000009</v>
      </c>
      <c r="R14" s="188">
        <f>B14-K14</f>
        <v>0.93735149439867149</v>
      </c>
      <c r="S14" s="93">
        <f>SUM(C14:J14)*$B$4*$F$4</f>
        <v>9.0173600327364092</v>
      </c>
      <c r="T14" s="9">
        <f>SUM(C14:J14)*$D$4*$H$4</f>
        <v>-7.017375310909074</v>
      </c>
      <c r="U14" s="264">
        <f t="shared" si="0"/>
        <v>1.9999847218273352</v>
      </c>
      <c r="V14" s="93">
        <f>(U14+W14*K14)/B14</f>
        <v>2.3233561392856097</v>
      </c>
      <c r="W14" s="9">
        <f t="shared" si="1"/>
        <v>8</v>
      </c>
    </row>
    <row r="15" spans="1:23" x14ac:dyDescent="0.2">
      <c r="A15" s="99">
        <v>9</v>
      </c>
      <c r="B15" s="97">
        <f>C15*B4</f>
        <v>0.97645970022168271</v>
      </c>
      <c r="C15" s="97">
        <f>1/(1-D4*B4/(1-D4*B4/(1-D4*B4/(1-D4*B4/(1-D4*B4/(1-D4*B4/(1-D4*B4/(1-D4*B4))))))))</f>
        <v>1.727963652386785</v>
      </c>
      <c r="D15" s="93">
        <f>C15*D4*C14</f>
        <v>1.2882198121412658</v>
      </c>
      <c r="E15" s="1">
        <f>D15*D4*C13</f>
        <v>0.94978369049718547</v>
      </c>
      <c r="F15" s="1">
        <f>E15*D4*C12</f>
        <v>0.68931612290252198</v>
      </c>
      <c r="G15" s="1">
        <f>F15*D4*C11</f>
        <v>0.48885479673229498</v>
      </c>
      <c r="H15" s="1">
        <f>G15*D4*C10</f>
        <v>0.33457553785557703</v>
      </c>
      <c r="I15" s="1">
        <f>H15*D4*C9</f>
        <v>0.21583897068681954</v>
      </c>
      <c r="J15" s="1">
        <f>I15*D4*C8</f>
        <v>0.1244568076814434</v>
      </c>
      <c r="K15" s="1">
        <f>J15*D4</f>
        <v>5.4127170277723659E-2</v>
      </c>
      <c r="L15" s="1">
        <f>K15*D4</f>
        <v>2.3540299778318348E-2</v>
      </c>
      <c r="M15" s="260"/>
      <c r="N15" s="97">
        <f>B15+L15</f>
        <v>1.0000000000000011</v>
      </c>
      <c r="R15" s="188">
        <f>B15-L15</f>
        <v>0.95291940044336432</v>
      </c>
      <c r="S15" s="93">
        <f>SUM(C15:K15)*$B$4*$F$4</f>
        <v>9.6014787883896275</v>
      </c>
      <c r="T15" s="9">
        <f>SUM(C15:K15)*$D$4*$H$4</f>
        <v>-7.4719407845819665</v>
      </c>
      <c r="U15" s="264">
        <f t="shared" si="0"/>
        <v>2.129538003807661</v>
      </c>
      <c r="V15" s="93">
        <f>(U15+W15*L15)/B15</f>
        <v>2.3978467327232909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0.98220527840640304</v>
      </c>
      <c r="C16" s="145">
        <f>1/(1-D4*B4/(1-D4*B4/(1-D4*B4/(1-D4*B4/(1-D4*B4/(1-D4*B4/(1-D4*B4/(1-D4*B4/(1-D4*B4)))))))))</f>
        <v>1.7381311485598365</v>
      </c>
      <c r="D16" s="94">
        <f>C16*D4*C15</f>
        <v>1.3062124275239861</v>
      </c>
      <c r="E16" s="111">
        <f>D16*D4*C14</f>
        <v>0.97379868244177936</v>
      </c>
      <c r="F16" s="111">
        <f>E16*D4*C13</f>
        <v>0.71796606269662466</v>
      </c>
      <c r="G16" s="111">
        <f>F16*D4*C12</f>
        <v>0.52107189001588028</v>
      </c>
      <c r="H16" s="111">
        <f>G16*D4*C11</f>
        <v>0.36953798759854006</v>
      </c>
      <c r="I16" s="111">
        <f>H16*D4*C10</f>
        <v>0.25291430458553016</v>
      </c>
      <c r="J16" s="111">
        <f>I16*D4*C9</f>
        <v>0.16315826172945552</v>
      </c>
      <c r="K16" s="111">
        <f>J16*D4*C8</f>
        <v>9.4080120643113663E-2</v>
      </c>
      <c r="L16" s="111">
        <f>K16*D4</f>
        <v>4.0916128291131337E-2</v>
      </c>
      <c r="M16" s="262">
        <f>L16*D4</f>
        <v>1.7794721593597983E-2</v>
      </c>
      <c r="N16" s="145">
        <f>B16+M16</f>
        <v>1.0000000000000011</v>
      </c>
      <c r="R16" s="189">
        <f>B16-M16</f>
        <v>0.96441055681280508</v>
      </c>
      <c r="S16" s="94">
        <f>SUM(C16:L16)*$B$4*$F$4</f>
        <v>10.099525246387712</v>
      </c>
      <c r="T16" s="10">
        <f>SUM(C16:L16)*$D$4*$H$4</f>
        <v>-7.8595241687823716</v>
      </c>
      <c r="U16" s="265">
        <f t="shared" si="0"/>
        <v>2.2400010776053403</v>
      </c>
      <c r="V16" s="94">
        <f>(U16+W16*M16)/B16</f>
        <v>2.4617545300350705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9" t="s">
        <v>139</v>
      </c>
      <c r="Q20" s="19" t="s">
        <v>138</v>
      </c>
      <c r="R20" s="19" t="s">
        <v>137</v>
      </c>
      <c r="S20" s="166" t="s">
        <v>150</v>
      </c>
      <c r="T20" s="167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30.725396746957941</v>
      </c>
      <c r="F21" s="259">
        <f t="shared" ref="F21:F30" si="4">U7/E21</f>
        <v>1.180097244548855E-2</v>
      </c>
      <c r="G21" s="284">
        <f>E21*U7</f>
        <v>11.140708099212667</v>
      </c>
      <c r="O21" s="95">
        <v>1</v>
      </c>
      <c r="P21" s="109">
        <v>1</v>
      </c>
      <c r="Q21" s="110">
        <f>P21*4+6</f>
        <v>10</v>
      </c>
      <c r="R21" s="57">
        <f>SUM($Q$21)</f>
        <v>10</v>
      </c>
      <c r="S21" s="57">
        <f>R21/R7</f>
        <v>76.813491867394845</v>
      </c>
      <c r="T21" s="259">
        <f>U7/S21</f>
        <v>4.7203889781954203E-3</v>
      </c>
      <c r="U21" s="284">
        <f>S21*U7</f>
        <v>27.851770248031666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40.124499275269557</v>
      </c>
      <c r="F22" s="260">
        <f t="shared" si="4"/>
        <v>1.7191811293431305E-2</v>
      </c>
      <c r="G22" s="285">
        <f t="shared" ref="G22:G30" si="5">E22*U8</f>
        <v>27.678393987488953</v>
      </c>
      <c r="O22" s="97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9">
        <f t="shared" ref="S22:S30" si="7">R22/R8</f>
        <v>112.34859797075475</v>
      </c>
      <c r="T22" s="260">
        <f>U8/S22</f>
        <v>6.1399326047968947E-3</v>
      </c>
      <c r="U22" s="285">
        <f t="shared" ref="U22:U30" si="8">S22*U8</f>
        <v>77.49950316496907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124.17902306604816</v>
      </c>
      <c r="F23" s="260">
        <f t="shared" si="4"/>
        <v>7.9147715066398075E-3</v>
      </c>
      <c r="G23" s="285">
        <f t="shared" si="5"/>
        <v>122.04917816087205</v>
      </c>
      <c r="O23" s="97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9">
        <f t="shared" si="7"/>
        <v>363.66713897914104</v>
      </c>
      <c r="T23" s="260">
        <f t="shared" ref="T23:T30" si="11">U9/S23</f>
        <v>2.7026049047062756E-3</v>
      </c>
      <c r="U23" s="285">
        <f t="shared" si="8"/>
        <v>357.42973604255383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436.70633650462474</v>
      </c>
      <c r="F24" s="260">
        <f t="shared" si="4"/>
        <v>2.8469240555476691E-3</v>
      </c>
      <c r="G24" s="285">
        <f t="shared" si="5"/>
        <v>542.94378855472871</v>
      </c>
      <c r="O24" s="97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9">
        <f t="shared" si="7"/>
        <v>1299.8435663020007</v>
      </c>
      <c r="T24" s="260">
        <f t="shared" si="11"/>
        <v>9.564764613500074E-4</v>
      </c>
      <c r="U24" s="285">
        <f t="shared" si="8"/>
        <v>1616.0562176981925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1618.1191401733438</v>
      </c>
      <c r="F25" s="260">
        <f t="shared" si="4"/>
        <v>9.1030026554735207E-4</v>
      </c>
      <c r="G25" s="285">
        <f t="shared" si="5"/>
        <v>2383.4478802844492</v>
      </c>
      <c r="O25" s="97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9">
        <f t="shared" si="7"/>
        <v>4842.4943769703732</v>
      </c>
      <c r="T25" s="260">
        <f t="shared" si="11"/>
        <v>3.0417676683159927E-4</v>
      </c>
      <c r="U25" s="285">
        <f t="shared" si="8"/>
        <v>7132.8696827867461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6162.374432304302</v>
      </c>
      <c r="F26" s="260">
        <f t="shared" si="4"/>
        <v>2.7166588881878131E-4</v>
      </c>
      <c r="G26" s="285">
        <f t="shared" si="5"/>
        <v>10316.473726267499</v>
      </c>
      <c r="O26" s="97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9">
        <f t="shared" si="7"/>
        <v>18473.579616841907</v>
      </c>
      <c r="T26" s="260">
        <f t="shared" si="11"/>
        <v>9.0621685786323669E-5</v>
      </c>
      <c r="U26" s="285">
        <f t="shared" si="8"/>
        <v>30926.747610173341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23848.048315002903</v>
      </c>
      <c r="F27" s="260">
        <f t="shared" si="4"/>
        <v>7.7531631572446387E-5</v>
      </c>
      <c r="G27" s="285">
        <f t="shared" si="5"/>
        <v>44094.518959175533</v>
      </c>
      <c r="O27" s="97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9">
        <f t="shared" si="7"/>
        <v>71528.860533893065</v>
      </c>
      <c r="T27" s="260">
        <f t="shared" si="11"/>
        <v>2.5849399555366751E-5</v>
      </c>
      <c r="U27" s="285">
        <f t="shared" si="8"/>
        <v>132255.29633616839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93220.099954132893</v>
      </c>
      <c r="F28" s="260">
        <f t="shared" si="4"/>
        <v>2.145443657335047E-5</v>
      </c>
      <c r="G28" s="285">
        <f t="shared" si="5"/>
        <v>186438.77567548284</v>
      </c>
      <c r="O28" s="97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9">
        <f t="shared" si="7"/>
        <v>279643.23049184174</v>
      </c>
      <c r="T28" s="260">
        <f t="shared" si="11"/>
        <v>7.1519153827172025E-6</v>
      </c>
      <c r="U28" s="285">
        <f t="shared" si="8"/>
        <v>559282.18854612345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366792.82616911479</v>
      </c>
      <c r="F29" s="260">
        <f t="shared" si="4"/>
        <v>5.8058332984566302E-6</v>
      </c>
      <c r="G29" s="285">
        <f t="shared" si="5"/>
        <v>781099.2628511471</v>
      </c>
      <c r="O29" s="97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9">
        <f t="shared" si="7"/>
        <v>1100359.5891868083</v>
      </c>
      <c r="T29" s="260">
        <f t="shared" si="11"/>
        <v>1.9353109880938466E-6</v>
      </c>
      <c r="U29" s="285">
        <f t="shared" si="8"/>
        <v>2343257.5630274937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1449693.7949543572</v>
      </c>
      <c r="F30" s="260">
        <f t="shared" si="4"/>
        <v>1.5451546287923964E-6</v>
      </c>
      <c r="G30" s="286">
        <f t="shared" si="5"/>
        <v>3247315.6628955356</v>
      </c>
      <c r="O30" s="145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10">
        <f t="shared" si="7"/>
        <v>4349060.6468072105</v>
      </c>
      <c r="T30" s="262">
        <f t="shared" si="11"/>
        <v>5.1505399890199262E-7</v>
      </c>
      <c r="U30" s="286">
        <f t="shared" si="8"/>
        <v>9741900.5354191307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7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7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8">
        <f t="shared" ref="E33:E42" si="13">D33/R7</f>
        <v>30.725396746957941</v>
      </c>
      <c r="F33" s="259">
        <f t="shared" ref="F33:F42" si="14">U7/E33</f>
        <v>1.180097244548855E-2</v>
      </c>
      <c r="G33" s="287">
        <f>E33*U7</f>
        <v>11.140708099212667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9">
        <f>R33/R7</f>
        <v>76.813491867394845</v>
      </c>
      <c r="T33" s="259">
        <f>U7/S33</f>
        <v>4.7203889781954203E-3</v>
      </c>
      <c r="U33" s="287">
        <f>S33*U7</f>
        <v>27.851770248031666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48.149399130323467</v>
      </c>
      <c r="F34" s="260">
        <f t="shared" si="14"/>
        <v>1.4326509411192753E-2</v>
      </c>
      <c r="G34" s="285">
        <f t="shared" ref="G34:G42" si="16">E34*U8</f>
        <v>33.21407278498674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0">
        <f>R34/R8</f>
        <v>120.37349782580867</v>
      </c>
      <c r="T34" s="260">
        <f t="shared" ref="T34:T42" si="18">U8/S34</f>
        <v>5.7306037644771013E-3</v>
      </c>
      <c r="U34" s="285">
        <f t="shared" ref="U34:U42" si="19">S34*U8</f>
        <v>83.035181962466865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183.31189119273776</v>
      </c>
      <c r="F35" s="260">
        <f t="shared" si="14"/>
        <v>5.3616194077237399E-3</v>
      </c>
      <c r="G35" s="285">
        <f t="shared" si="16"/>
        <v>180.16783442795398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0">
        <f t="shared" ref="S35:S42" si="21">R35/R9</f>
        <v>399.14685985515479</v>
      </c>
      <c r="T35" s="260">
        <f t="shared" si="18"/>
        <v>2.4623733576212732E-3</v>
      </c>
      <c r="U35" s="285">
        <f t="shared" si="19"/>
        <v>392.30092980280295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801.48457052613492</v>
      </c>
      <c r="F36" s="260">
        <f t="shared" si="14"/>
        <v>1.5512086200099478E-3</v>
      </c>
      <c r="G36" s="285">
        <f t="shared" si="16"/>
        <v>996.46154134750225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0">
        <f t="shared" si="21"/>
        <v>1438.5620496622935</v>
      </c>
      <c r="T36" s="260">
        <f t="shared" si="18"/>
        <v>8.6424480257697083E-4</v>
      </c>
      <c r="U36" s="285">
        <f t="shared" si="19"/>
        <v>1788.5207152391065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3706.0148049131421</v>
      </c>
      <c r="F37" s="260">
        <f t="shared" si="14"/>
        <v>3.9745504552067486E-4</v>
      </c>
      <c r="G37" s="285">
        <f t="shared" si="16"/>
        <v>5458.8645000063198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0">
        <f t="shared" si="21"/>
        <v>5373.9587279950492</v>
      </c>
      <c r="T37" s="260">
        <f t="shared" si="18"/>
        <v>2.7409482609416959E-4</v>
      </c>
      <c r="U37" s="285">
        <f t="shared" si="19"/>
        <v>7915.7030041704948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17633.871452440002</v>
      </c>
      <c r="F38" s="260">
        <f t="shared" si="14"/>
        <v>9.493700415710099E-5</v>
      </c>
      <c r="G38" s="285">
        <f t="shared" si="16"/>
        <v>29520.98635516546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0">
        <f t="shared" si="21"/>
        <v>20518.675307562677</v>
      </c>
      <c r="T38" s="260">
        <f t="shared" si="18"/>
        <v>8.1589425354815492E-5</v>
      </c>
      <c r="U38" s="285">
        <f t="shared" si="19"/>
        <v>34350.456473176404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85291.380999875793</v>
      </c>
      <c r="F39" s="260">
        <f t="shared" si="14"/>
        <v>2.1678369772010122E-5</v>
      </c>
      <c r="G39" s="285">
        <f t="shared" si="16"/>
        <v>157701.89521912788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0">
        <f t="shared" si="21"/>
        <v>79468.020364816941</v>
      </c>
      <c r="T39" s="260">
        <f t="shared" si="18"/>
        <v>2.3266945460482468E-5</v>
      </c>
      <c r="U39" s="285">
        <f t="shared" si="19"/>
        <v>146934.62896165479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416731.61277733132</v>
      </c>
      <c r="F40" s="260">
        <f t="shared" si="14"/>
        <v>4.7992152755062769E-6</v>
      </c>
      <c r="G40" s="285">
        <f t="shared" si="16"/>
        <v>833456.85865712771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0">
        <f t="shared" si="21"/>
        <v>310705.21756284806</v>
      </c>
      <c r="T40" s="260">
        <f t="shared" si="18"/>
        <v>6.4369202986518476E-6</v>
      </c>
      <c r="U40" s="285">
        <f t="shared" si="19"/>
        <v>621405.68811773439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2049621.4045923201</v>
      </c>
      <c r="F41" s="260">
        <f t="shared" si="14"/>
        <v>1.0389909078019395E-6</v>
      </c>
      <c r="G41" s="285">
        <f t="shared" si="16"/>
        <v>4364746.6744969832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0">
        <f t="shared" si="21"/>
        <v>1222611.2716961559</v>
      </c>
      <c r="T41" s="260">
        <f t="shared" si="18"/>
        <v>1.7417948395431569E-6</v>
      </c>
      <c r="U41" s="285">
        <f t="shared" si="19"/>
        <v>2603597.1669605775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10126002.801414311</v>
      </c>
      <c r="F42" s="260">
        <f t="shared" si="14"/>
        <v>2.2121276495128727E-7</v>
      </c>
      <c r="G42" s="286">
        <f t="shared" si="16"/>
        <v>22682257.187002752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1">
        <f t="shared" si="21"/>
        <v>4832278.0864214227</v>
      </c>
      <c r="T42" s="262">
        <f t="shared" si="18"/>
        <v>4.6354970420673547E-7</v>
      </c>
      <c r="U42" s="286">
        <f t="shared" si="19"/>
        <v>10824308.120872658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289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7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30.725396746957941</v>
      </c>
      <c r="F45" s="290">
        <f t="shared" ref="F45:F54" si="24">U7/E45</f>
        <v>1.180097244548855E-2</v>
      </c>
      <c r="G45" s="284">
        <f>E45*U7</f>
        <v>11.140708099212667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9">
        <f>R45/R7</f>
        <v>76.813491867394845</v>
      </c>
      <c r="T45" s="259">
        <f>U7/S45</f>
        <v>4.7203889781954203E-3</v>
      </c>
      <c r="U45" s="287">
        <f>S45*U7</f>
        <v>27.851770248031666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72.224098695485196</v>
      </c>
      <c r="F46" s="99">
        <f t="shared" si="24"/>
        <v>9.5510062741285037E-3</v>
      </c>
      <c r="G46" s="285">
        <f t="shared" ref="G46:G54" si="26">E46*U8</f>
        <v>49.82110917748011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0">
        <f t="shared" ref="S46:S54" si="28">R46/R8</f>
        <v>192.59759652129387</v>
      </c>
      <c r="T46" s="260">
        <f t="shared" ref="T46:T54" si="29">U8/S46</f>
        <v>3.5816273527981882E-3</v>
      </c>
      <c r="U46" s="285">
        <f t="shared" ref="U46:U54" si="30">S46*U8</f>
        <v>132.85629113994696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431.66993732483405</v>
      </c>
      <c r="F47" s="99">
        <f t="shared" si="24"/>
        <v>2.2768520772525475E-3</v>
      </c>
      <c r="G47" s="285">
        <f t="shared" si="26"/>
        <v>424.26619074969801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0">
        <f t="shared" si="28"/>
        <v>1167.8741455021195</v>
      </c>
      <c r="T47" s="260">
        <f t="shared" si="29"/>
        <v>8.4157064121233392E-4</v>
      </c>
      <c r="U47" s="285">
        <f t="shared" si="30"/>
        <v>1147.8434612748679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3005.5671394730057</v>
      </c>
      <c r="F48" s="99">
        <f t="shared" si="24"/>
        <v>4.1365563200265276E-4</v>
      </c>
      <c r="G48" s="285">
        <f t="shared" si="26"/>
        <v>3736.730780053133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0">
        <f t="shared" si="28"/>
        <v>8153.5641886216417</v>
      </c>
      <c r="T48" s="260">
        <f t="shared" si="29"/>
        <v>1.5248175470797216E-4</v>
      </c>
      <c r="U48" s="285">
        <f t="shared" si="30"/>
        <v>10137.079911015937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22212.362742379537</v>
      </c>
      <c r="F49" s="99">
        <f t="shared" si="24"/>
        <v>6.631326437762167E-5</v>
      </c>
      <c r="G49" s="285">
        <f t="shared" si="26"/>
        <v>32718.239083904715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0">
        <f t="shared" si="28"/>
        <v>60285.614710651753</v>
      </c>
      <c r="T49" s="260">
        <f t="shared" si="29"/>
        <v>2.4433263060462595E-5</v>
      </c>
      <c r="U49" s="285">
        <f t="shared" si="30"/>
        <v>88799.160102855691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169065.75832627385</v>
      </c>
      <c r="F50" s="99">
        <f t="shared" si="24"/>
        <v>9.9021052160975307E-6</v>
      </c>
      <c r="G50" s="285">
        <f t="shared" si="26"/>
        <v>283034.15719779604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0">
        <f t="shared" si="28"/>
        <v>458886.96816557</v>
      </c>
      <c r="T50" s="260">
        <f t="shared" si="29"/>
        <v>3.6481901721428928E-6</v>
      </c>
      <c r="U50" s="285">
        <f t="shared" si="30"/>
        <v>768225.85229317669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1308315.0226765545</v>
      </c>
      <c r="F51" s="99">
        <f t="shared" si="24"/>
        <v>1.4132514445168268E-6</v>
      </c>
      <c r="G51" s="285">
        <f t="shared" si="26"/>
        <v>2419045.8191789552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0">
        <f t="shared" si="28"/>
        <v>3551134.2253744556</v>
      </c>
      <c r="T51" s="260">
        <f t="shared" si="29"/>
        <v>5.2067254525861725E-7</v>
      </c>
      <c r="U51" s="285">
        <f t="shared" si="30"/>
        <v>6565969.3975394396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10227732.133878153</v>
      </c>
      <c r="F52" s="99">
        <f t="shared" si="24"/>
        <v>1.9554527784342556E-7</v>
      </c>
      <c r="G52" s="285">
        <f t="shared" si="26"/>
        <v>20455308.006698795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0">
        <f t="shared" si="28"/>
        <v>27760979.905081891</v>
      </c>
      <c r="T52" s="260">
        <f t="shared" si="29"/>
        <v>7.2043016084645508E-8</v>
      </c>
      <c r="U52" s="285">
        <f t="shared" si="30"/>
        <v>55521535.673119448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80485132.283292547</v>
      </c>
      <c r="F53" s="99">
        <f t="shared" si="24"/>
        <v>2.6458774973644662E-8</v>
      </c>
      <c r="G53" s="285">
        <f t="shared" si="26"/>
        <v>171396147.93875834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0">
        <f t="shared" si="28"/>
        <v>218459636.67351383</v>
      </c>
      <c r="T53" s="260">
        <f t="shared" si="29"/>
        <v>9.7479700883611662E-9</v>
      </c>
      <c r="U53" s="285">
        <f t="shared" si="30"/>
        <v>465218098.59426153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636209083.01514482</v>
      </c>
      <c r="F54" s="100">
        <f t="shared" si="24"/>
        <v>3.5208568022786584E-9</v>
      </c>
      <c r="G54" s="286">
        <f t="shared" si="26"/>
        <v>1425109031.5362298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1">
        <f t="shared" si="28"/>
        <v>1726853216.4390836</v>
      </c>
      <c r="T54" s="262">
        <f t="shared" si="29"/>
        <v>1.2971577759367473E-9</v>
      </c>
      <c r="U54" s="286">
        <f t="shared" si="30"/>
        <v>3868153065.689795</v>
      </c>
    </row>
  </sheetData>
  <mergeCells count="2">
    <mergeCell ref="A18:F18"/>
    <mergeCell ref="O18:T18"/>
  </mergeCells>
  <conditionalFormatting sqref="F45:F54">
    <cfRule type="cellIs" dxfId="710" priority="74" operator="equal">
      <formula>MAX($F$45:$F$54)</formula>
    </cfRule>
  </conditionalFormatting>
  <conditionalFormatting sqref="F21:F30">
    <cfRule type="cellIs" dxfId="709" priority="72" operator="equal">
      <formula>MAX($F$21:$F$30)</formula>
    </cfRule>
  </conditionalFormatting>
  <conditionalFormatting sqref="F33:F42">
    <cfRule type="cellIs" dxfId="708" priority="46" operator="lessThanOrEqual">
      <formula>0</formula>
    </cfRule>
    <cfRule type="cellIs" dxfId="707" priority="47" operator="equal">
      <formula>MAX($F$33:$F$42)</formula>
    </cfRule>
  </conditionalFormatting>
  <conditionalFormatting sqref="E21:E30">
    <cfRule type="cellIs" dxfId="706" priority="34" stopIfTrue="1" operator="lessThan">
      <formula>0</formula>
    </cfRule>
    <cfRule type="cellIs" dxfId="705" priority="35" operator="equal">
      <formula>MIN($E$21:$E$30)</formula>
    </cfRule>
  </conditionalFormatting>
  <conditionalFormatting sqref="E33:E42">
    <cfRule type="cellIs" dxfId="704" priority="32" stopIfTrue="1" operator="lessThan">
      <formula>0</formula>
    </cfRule>
    <cfRule type="cellIs" dxfId="703" priority="33" operator="equal">
      <formula>MIN($E$33:$E$42)</formula>
    </cfRule>
  </conditionalFormatting>
  <conditionalFormatting sqref="E45:E54">
    <cfRule type="cellIs" dxfId="702" priority="30" stopIfTrue="1" operator="lessThan">
      <formula>0</formula>
    </cfRule>
    <cfRule type="cellIs" dxfId="701" priority="31" operator="equal">
      <formula>MIN($E$45:$E$54)</formula>
    </cfRule>
  </conditionalFormatting>
  <conditionalFormatting sqref="S7:T16">
    <cfRule type="cellIs" dxfId="700" priority="16" operator="lessThanOrEqual">
      <formula>0</formula>
    </cfRule>
    <cfRule type="cellIs" dxfId="699" priority="17" operator="greaterThan">
      <formula>0</formula>
    </cfRule>
  </conditionalFormatting>
  <conditionalFormatting sqref="U7:U16">
    <cfRule type="cellIs" dxfId="698" priority="18" operator="lessThanOrEqual">
      <formula>0</formula>
    </cfRule>
    <cfRule type="cellIs" dxfId="697" priority="19" operator="greaterThan">
      <formula>0</formula>
    </cfRule>
  </conditionalFormatting>
  <conditionalFormatting sqref="R7:R16">
    <cfRule type="cellIs" dxfId="696" priority="20" operator="lessThanOrEqual">
      <formula>0</formula>
    </cfRule>
    <cfRule type="cellIs" dxfId="695" priority="21" operator="greaterThan">
      <formula>0</formula>
    </cfRule>
  </conditionalFormatting>
  <conditionalFormatting sqref="S21:S30">
    <cfRule type="cellIs" dxfId="694" priority="8" stopIfTrue="1" operator="lessThan">
      <formula>0</formula>
    </cfRule>
    <cfRule type="cellIs" dxfId="693" priority="9" operator="equal">
      <formula>MIN($E$21:$E$30)</formula>
    </cfRule>
  </conditionalFormatting>
  <conditionalFormatting sqref="S45:S54">
    <cfRule type="cellIs" dxfId="692" priority="2" stopIfTrue="1" operator="lessThan">
      <formula>0</formula>
    </cfRule>
    <cfRule type="cellIs" dxfId="691" priority="3" operator="equal">
      <formula>MIN($E$21:$E$30)</formula>
    </cfRule>
  </conditionalFormatting>
  <conditionalFormatting sqref="T21:T30">
    <cfRule type="cellIs" dxfId="690" priority="7" operator="equal">
      <formula>MAX($T$21:$T$30)</formula>
    </cfRule>
  </conditionalFormatting>
  <conditionalFormatting sqref="S33:S42">
    <cfRule type="cellIs" dxfId="689" priority="5" stopIfTrue="1" operator="lessThan">
      <formula>0</formula>
    </cfRule>
    <cfRule type="cellIs" dxfId="688" priority="6" operator="equal">
      <formula>MIN($E$21:$E$30)</formula>
    </cfRule>
  </conditionalFormatting>
  <conditionalFormatting sqref="T33:T42">
    <cfRule type="cellIs" dxfId="687" priority="4" operator="equal">
      <formula>MAX($T$21:$T$30)</formula>
    </cfRule>
  </conditionalFormatting>
  <conditionalFormatting sqref="T45:T54">
    <cfRule type="cellIs" dxfId="686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W54"/>
  <sheetViews>
    <sheetView topLeftCell="A14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Analysis!B12</f>
        <v>0.57914674352648976</v>
      </c>
      <c r="D2" s="149" t="s">
        <v>126</v>
      </c>
      <c r="E2" s="155">
        <f>Analysis!H12</f>
        <v>0.42085325647351063</v>
      </c>
      <c r="F2" s="149" t="s">
        <v>47</v>
      </c>
      <c r="G2" s="155">
        <f>Analysis!S12</f>
        <v>3.7565202318927233</v>
      </c>
      <c r="H2" t="s">
        <v>155</v>
      </c>
      <c r="I2" s="169">
        <f>Analysis!T12</f>
        <v>-3.7984296037169725</v>
      </c>
      <c r="J2" t="s">
        <v>48</v>
      </c>
      <c r="K2" s="169">
        <f>C2*G2+E2*I2</f>
        <v>0.5769949910823704</v>
      </c>
      <c r="L2" t="s">
        <v>47</v>
      </c>
      <c r="M2" s="176">
        <v>1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0.57914674352648976</v>
      </c>
      <c r="C4" t="s">
        <v>124</v>
      </c>
      <c r="D4">
        <f>$E$2</f>
        <v>0.42085325647351063</v>
      </c>
      <c r="E4" t="s">
        <v>47</v>
      </c>
      <c r="F4">
        <f>G2</f>
        <v>3.7565202318927233</v>
      </c>
      <c r="G4" t="s">
        <v>155</v>
      </c>
      <c r="H4">
        <f>I2</f>
        <v>-3.7984296037169725</v>
      </c>
      <c r="I4" t="s">
        <v>48</v>
      </c>
      <c r="J4">
        <f>K2</f>
        <v>0.5769949910823704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0.57914674352648976</v>
      </c>
      <c r="C7" s="95">
        <v>1</v>
      </c>
      <c r="D7" s="109">
        <f>C7*D4</f>
        <v>0.42085325647351063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1.0000000000000004</v>
      </c>
      <c r="R7" s="187">
        <f>B7-D7</f>
        <v>0.15829348705297913</v>
      </c>
      <c r="S7" s="109">
        <f>SUM(C7)*$B$4*$F$4</f>
        <v>2.1755764592920448</v>
      </c>
      <c r="T7" s="57">
        <f>SUM(C7)*$D$4*$H$4</f>
        <v>-1.5985814682096744</v>
      </c>
      <c r="U7" s="263">
        <f>S7+T7</f>
        <v>0.5769949910823704</v>
      </c>
      <c r="V7" s="109">
        <f>(U7+W7*D7)/B7</f>
        <v>1.722962718360239</v>
      </c>
      <c r="W7" s="57">
        <f>COUNT(D7:M7)</f>
        <v>1</v>
      </c>
    </row>
    <row r="8" spans="1:23" x14ac:dyDescent="0.2">
      <c r="A8" s="99">
        <v>2</v>
      </c>
      <c r="B8" s="97">
        <f>C8*B4</f>
        <v>0.765799489328711</v>
      </c>
      <c r="C8" s="97">
        <f>1/(1-B4*D4)</f>
        <v>1.3222892088897396</v>
      </c>
      <c r="D8" s="93">
        <f>C8*D4</f>
        <v>0.55648971956102899</v>
      </c>
      <c r="E8" s="1">
        <f>D8*D4</f>
        <v>0.23420051067128975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1.0000000000000007</v>
      </c>
      <c r="R8" s="188">
        <f>B8-E8</f>
        <v>0.53159897865742123</v>
      </c>
      <c r="S8" s="93">
        <f>SUM(C8:D8)*$B$4*$F$4</f>
        <v>4.087427208951425</v>
      </c>
      <c r="T8" s="9">
        <f>SUM(C8:D8)*$D$4*$H$4</f>
        <v>-3.0033811778842283</v>
      </c>
      <c r="U8" s="264">
        <f>S8+T8</f>
        <v>1.0840460310671967</v>
      </c>
      <c r="V8" s="93">
        <f>(U8+W8*E8)/B8</f>
        <v>2.0272239326910877</v>
      </c>
      <c r="W8" s="9">
        <f>COUNT(D8:M8)</f>
        <v>2</v>
      </c>
    </row>
    <row r="9" spans="1:23" x14ac:dyDescent="0.2">
      <c r="A9" s="99">
        <v>3</v>
      </c>
      <c r="B9" s="97">
        <f>C9*B4</f>
        <v>0.85456326079403555</v>
      </c>
      <c r="C9" s="97">
        <f>1/(1-D4*B4/(1-D4*B4))</f>
        <v>1.4755556693464313</v>
      </c>
      <c r="D9" s="93">
        <f>C9*D4*C8</f>
        <v>0.82113156063128212</v>
      </c>
      <c r="E9" s="1">
        <f>D9*(D4)</f>
        <v>0.345575891284851</v>
      </c>
      <c r="F9" s="1">
        <f>E9*D4</f>
        <v>0.14543673920596542</v>
      </c>
      <c r="G9" s="1"/>
      <c r="H9" s="1"/>
      <c r="I9" s="1"/>
      <c r="J9" s="1"/>
      <c r="K9" s="1"/>
      <c r="L9" s="1"/>
      <c r="M9" s="260"/>
      <c r="N9" s="97">
        <f>B9+F9</f>
        <v>1.0000000000000009</v>
      </c>
      <c r="R9" s="188">
        <f>B9-F9</f>
        <v>0.7091265215880701</v>
      </c>
      <c r="S9" s="93">
        <f>SUM(C9:E9)*$B$4*$F$4</f>
        <v>5.7484454458743572</v>
      </c>
      <c r="T9" s="9">
        <f>SUM(C9:E9)*$D$4*$H$4</f>
        <v>-4.223872859784187</v>
      </c>
      <c r="U9" s="264">
        <f t="shared" ref="U9:U16" si="0">S9+T9</f>
        <v>1.5245725860901702</v>
      </c>
      <c r="V9" s="93">
        <f>(U9+W9*F9)/B9</f>
        <v>2.2946022765898815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0.90441615167594591</v>
      </c>
      <c r="C10" s="97">
        <f>1/(1-D4*B4/(1-D4*B4/(1-D4*B4)))</f>
        <v>1.5616355643629352</v>
      </c>
      <c r="D10" s="93">
        <f>C10*D4*C9</f>
        <v>0.96976383039481984</v>
      </c>
      <c r="E10" s="1">
        <f>D10*D4*C8</f>
        <v>0.5396636020168426</v>
      </c>
      <c r="F10" s="1">
        <f>E10*D4</f>
        <v>0.22711918430901282</v>
      </c>
      <c r="G10" s="1">
        <f>F10*D4</f>
        <v>9.5583848324055504E-2</v>
      </c>
      <c r="H10" s="1"/>
      <c r="I10" s="1"/>
      <c r="J10" s="1"/>
      <c r="K10" s="1"/>
      <c r="L10" s="1"/>
      <c r="M10" s="260"/>
      <c r="N10" s="97">
        <f>B10+G10</f>
        <v>1.0000000000000013</v>
      </c>
      <c r="R10" s="188">
        <f>B10-G10</f>
        <v>0.80883230335189038</v>
      </c>
      <c r="S10" s="93">
        <f>SUM(C10:F10)*$B$4*$F$4</f>
        <v>7.1754475116219956</v>
      </c>
      <c r="T10" s="9">
        <f>SUM(C10:F10)*$D$4*$H$4</f>
        <v>-5.2724129134596236</v>
      </c>
      <c r="U10" s="264">
        <f t="shared" si="0"/>
        <v>1.903034598162372</v>
      </c>
      <c r="V10" s="93">
        <f>(U10+W10*G10)/B10</f>
        <v>2.5269009042172068</v>
      </c>
      <c r="W10" s="9">
        <f t="shared" si="1"/>
        <v>4</v>
      </c>
    </row>
    <row r="11" spans="1:23" x14ac:dyDescent="0.2">
      <c r="A11" s="99">
        <v>5</v>
      </c>
      <c r="B11" s="97">
        <f>C11*B4</f>
        <v>0.93505248011746855</v>
      </c>
      <c r="C11" s="97">
        <f>1/(1-D4*B4/(1-D4*B4/(1-D4*B4/(1-D4*B4))))</f>
        <v>1.6145346418143158</v>
      </c>
      <c r="D11" s="93">
        <f>C11*D4*C10</f>
        <v>1.0611035090560041</v>
      </c>
      <c r="E11" s="1">
        <f>D11*D4*C9</f>
        <v>0.65893722381208741</v>
      </c>
      <c r="F11" s="1">
        <f>E11*D4*C8</f>
        <v>0.36669179088751153</v>
      </c>
      <c r="G11" s="1">
        <f>F11*D4</f>
        <v>0.15432343431711282</v>
      </c>
      <c r="H11" s="1">
        <f>G11*D4</f>
        <v>6.4947519882532848E-2</v>
      </c>
      <c r="I11" s="1"/>
      <c r="J11" s="1"/>
      <c r="K11" s="1"/>
      <c r="L11" s="1"/>
      <c r="M11" s="260"/>
      <c r="N11" s="97">
        <f>B11+H11</f>
        <v>1.0000000000000013</v>
      </c>
      <c r="R11" s="188">
        <f>B11-H11</f>
        <v>0.87010496023493566</v>
      </c>
      <c r="S11" s="93">
        <f>SUM(C11:G11)*$B$4*$F$4</f>
        <v>8.3881321457819187</v>
      </c>
      <c r="T11" s="9">
        <f>SUM(C11:G11)*$D$4*$H$4</f>
        <v>-6.1634756819828294</v>
      </c>
      <c r="U11" s="264">
        <f t="shared" si="0"/>
        <v>2.2246564637990893</v>
      </c>
      <c r="V11" s="93">
        <f>(U11+W11*H11)/B11</f>
        <v>2.7264716338611059</v>
      </c>
      <c r="W11" s="9">
        <f t="shared" si="1"/>
        <v>5</v>
      </c>
    </row>
    <row r="12" spans="1:23" x14ac:dyDescent="0.2">
      <c r="A12" s="99">
        <v>6</v>
      </c>
      <c r="B12" s="97">
        <f>C12*B4</f>
        <v>0.95493112734194163</v>
      </c>
      <c r="C12" s="97">
        <f>1/(1-D4*B4/(1-D4*B4/(1-D4*B4/(1-D4*B4/(1-D4*B4)))))</f>
        <v>1.6488586666779104</v>
      </c>
      <c r="D12" s="93">
        <f>C12*D4*C11</f>
        <v>1.1203700511668888</v>
      </c>
      <c r="E12" s="1">
        <f>D12*D4*C10</f>
        <v>0.73632894701999541</v>
      </c>
      <c r="F12" s="1">
        <f>E12*D4*C9</f>
        <v>0.45725468629679678</v>
      </c>
      <c r="G12" s="1">
        <f>F12*D4*C8</f>
        <v>0.25445753214527073</v>
      </c>
      <c r="H12" s="1">
        <f>G12*D4</f>
        <v>0.10708928103755019</v>
      </c>
      <c r="I12" s="1">
        <f>H12*D4</f>
        <v>4.5068872658059971E-2</v>
      </c>
      <c r="J12" s="1"/>
      <c r="K12" s="1"/>
      <c r="L12" s="1"/>
      <c r="M12" s="260"/>
      <c r="N12" s="97">
        <f>B12+I12</f>
        <v>1.0000000000000016</v>
      </c>
      <c r="R12" s="188">
        <f>B12-I12</f>
        <v>0.90986225468388171</v>
      </c>
      <c r="S12" s="93">
        <f>SUM(C12:H12)*$B$4*$F$4</f>
        <v>9.4079739994715208</v>
      </c>
      <c r="T12" s="9">
        <f>SUM(C12:H12)*$D$4*$H$4</f>
        <v>-6.9128404220036508</v>
      </c>
      <c r="U12" s="264">
        <f t="shared" si="0"/>
        <v>2.49513357746787</v>
      </c>
      <c r="V12" s="93">
        <f>(U12+W12*I12)/B12</f>
        <v>2.8960693962444721</v>
      </c>
      <c r="W12" s="9">
        <f t="shared" si="1"/>
        <v>6</v>
      </c>
    </row>
    <row r="13" spans="1:23" x14ac:dyDescent="0.2">
      <c r="A13" s="99">
        <v>7</v>
      </c>
      <c r="B13" s="97">
        <f>C13*B4</f>
        <v>0.96828802226894872</v>
      </c>
      <c r="C13" s="97">
        <f>1/(1-D4*B4/(1-D4*B4/(1-D4*B4/(1-D4*B4/(1-D4*B4/(1-D4*B4))))))</f>
        <v>1.6719217246615838</v>
      </c>
      <c r="D13" s="93">
        <f>C13*D4*C12</f>
        <v>1.1601925283567631</v>
      </c>
      <c r="E13" s="1">
        <f>D13*D4*C11</f>
        <v>0.78833012715238482</v>
      </c>
      <c r="F13" s="1">
        <f>E13*D4*C10</f>
        <v>0.51810586317055041</v>
      </c>
      <c r="G13" s="1">
        <f>F13*D4*C9</f>
        <v>0.32173980785539841</v>
      </c>
      <c r="H13" s="1">
        <f>G13*D4*C8</f>
        <v>0.17904489544507002</v>
      </c>
      <c r="I13" s="1">
        <f>H13*D4</f>
        <v>7.5351627303016949E-2</v>
      </c>
      <c r="J13" s="1">
        <f>I13*D4</f>
        <v>3.1711977731052977E-2</v>
      </c>
      <c r="K13" s="1"/>
      <c r="L13" s="1"/>
      <c r="M13" s="260"/>
      <c r="N13" s="97">
        <f>B13+J13</f>
        <v>1.0000000000000018</v>
      </c>
      <c r="R13" s="188">
        <f>B13-J13</f>
        <v>0.93657604453789578</v>
      </c>
      <c r="S13" s="93">
        <f>SUM(C13:I13)*$B$4*$F$4</f>
        <v>10.2571611232145</v>
      </c>
      <c r="T13" s="9">
        <f>SUM(C13:I13)*$D$4*$H$4</f>
        <v>-7.5368105855250667</v>
      </c>
      <c r="U13" s="264">
        <f t="shared" si="0"/>
        <v>2.7203505376894332</v>
      </c>
      <c r="V13" s="93">
        <f>(U13+W13*J13)/B13</f>
        <v>3.0386974889064056</v>
      </c>
      <c r="W13" s="9">
        <f t="shared" si="1"/>
        <v>7</v>
      </c>
    </row>
    <row r="14" spans="1:23" x14ac:dyDescent="0.2">
      <c r="A14" s="99">
        <v>8</v>
      </c>
      <c r="B14" s="97">
        <f>C14*B4</f>
        <v>0.97747468262489257</v>
      </c>
      <c r="C14" s="97">
        <f>1/(1-D4*B4/(1-D4*B4/(1-D4*B4/(1-D4*B4/(1-D4*B4/(1-D4*B4/(1-D4*B4)))))))</f>
        <v>1.6877841299304199</v>
      </c>
      <c r="D14" s="93">
        <f>C14*D4*C13</f>
        <v>1.1875817961824748</v>
      </c>
      <c r="E14" s="1">
        <f>D14*D4*C12</f>
        <v>0.82409571358509548</v>
      </c>
      <c r="F14" s="1">
        <f>E14*D4*C11</f>
        <v>0.55995833691190711</v>
      </c>
      <c r="G14" s="1">
        <f>F14*D4*C10</f>
        <v>0.36801548931442718</v>
      </c>
      <c r="H14" s="1">
        <f>G14*D4*C9</f>
        <v>0.22853482509395481</v>
      </c>
      <c r="I14" s="1">
        <f>H14*D4*C8</f>
        <v>0.12717728072646373</v>
      </c>
      <c r="J14" s="1">
        <f>I14*D4</f>
        <v>5.3522972743178097E-2</v>
      </c>
      <c r="K14" s="1">
        <f>J14*D4</f>
        <v>2.252531737510945E-2</v>
      </c>
      <c r="L14" s="1"/>
      <c r="M14" s="260"/>
      <c r="N14" s="97">
        <f>B14+K14</f>
        <v>1.000000000000002</v>
      </c>
      <c r="R14" s="188">
        <f>B14-K14</f>
        <v>0.95494936524978313</v>
      </c>
      <c r="S14" s="93">
        <f>SUM(C14:J14)*$B$4*$F$4</f>
        <v>10.957661869797569</v>
      </c>
      <c r="T14" s="9">
        <f>SUM(C14:J14)*$D$4*$H$4</f>
        <v>-8.0515281938959209</v>
      </c>
      <c r="U14" s="264">
        <f t="shared" si="0"/>
        <v>2.9061336759016481</v>
      </c>
      <c r="V14" s="93">
        <f>(U14+W14*K14)/B14</f>
        <v>3.1574589805380255</v>
      </c>
      <c r="W14" s="9">
        <f t="shared" si="1"/>
        <v>8</v>
      </c>
    </row>
    <row r="15" spans="1:23" x14ac:dyDescent="0.2">
      <c r="A15" s="99">
        <v>9</v>
      </c>
      <c r="B15" s="97">
        <f>C15*B4</f>
        <v>0.98389496291263523</v>
      </c>
      <c r="C15" s="97">
        <f>1/(1-D4*B4/(1-D4*B4/(1-D4*B4/(1-D4*B4/(1-D4*B4/(1-D4*B4/(1-D4*B4/(1-D4*B4))))))))</f>
        <v>1.6988698873131669</v>
      </c>
      <c r="D15" s="93">
        <f>C15*D4*C14</f>
        <v>1.2067233307014202</v>
      </c>
      <c r="E15" s="1">
        <f>D15*D4*C13</f>
        <v>0.84909120494501333</v>
      </c>
      <c r="F15" s="1">
        <f>E15*D4*C12</f>
        <v>0.5892077705193064</v>
      </c>
      <c r="G15" s="1">
        <f>F15*D4*C11</f>
        <v>0.40035616960103859</v>
      </c>
      <c r="H15" s="1">
        <f>G15*D4*C10</f>
        <v>0.26312184665080751</v>
      </c>
      <c r="I15" s="1">
        <f>H15*D4*C9</f>
        <v>0.16339666929443922</v>
      </c>
      <c r="J15" s="1">
        <f>I15*D4*C8</f>
        <v>9.0928566672868694E-2</v>
      </c>
      <c r="K15" s="1">
        <f>J15*D4</f>
        <v>3.826758339074552E-2</v>
      </c>
      <c r="L15" s="1">
        <f>K15*D4</f>
        <v>1.610503708736688E-2</v>
      </c>
      <c r="M15" s="260"/>
      <c r="N15" s="97">
        <f>B15+L15</f>
        <v>1.0000000000000022</v>
      </c>
      <c r="R15" s="188">
        <f>B15-L15</f>
        <v>0.96778992582526835</v>
      </c>
      <c r="S15" s="93">
        <f>SUM(C15:K15)*$B$4*$F$4</f>
        <v>11.530474801203766</v>
      </c>
      <c r="T15" s="9">
        <f>SUM(C15:K15)*$D$4*$H$4</f>
        <v>-8.4724226804977771</v>
      </c>
      <c r="U15" s="264">
        <f t="shared" si="0"/>
        <v>3.0580521207059892</v>
      </c>
      <c r="V15" s="93">
        <f>(U15+W15*L15)/B15</f>
        <v>3.2554262144105528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0.98843220220786321</v>
      </c>
      <c r="C16" s="145">
        <f>1/(1-D4*B4/(1-D4*B4/(1-D4*B4/(1-D4*B4/(1-D4*B4/(1-D4*B4/(1-D4*B4/(1-D4*B4/(1-D4*B4)))))))))</f>
        <v>1.7067042390486187</v>
      </c>
      <c r="D16" s="94">
        <f>C16*D4*C15</f>
        <v>1.2202507342878541</v>
      </c>
      <c r="E16" s="111">
        <f>D16*D4*C14</f>
        <v>0.86675562464617029</v>
      </c>
      <c r="F16" s="111">
        <f>E16*D4*C13</f>
        <v>0.60987846923942646</v>
      </c>
      <c r="G16" s="111">
        <f>F16*D4*C12</f>
        <v>0.4232114654533029</v>
      </c>
      <c r="H16" s="111">
        <f>G16*D4*C11</f>
        <v>0.28756464140110111</v>
      </c>
      <c r="I16" s="111">
        <f>H16*D4*C10</f>
        <v>0.18899306473117652</v>
      </c>
      <c r="J16" s="111">
        <f>I16*D4*C9</f>
        <v>0.11736325846711225</v>
      </c>
      <c r="K16" s="111">
        <f>J16*D4*C8</f>
        <v>6.5311446791131864E-2</v>
      </c>
      <c r="L16" s="111">
        <f>K16*D4</f>
        <v>2.7486535067044262E-2</v>
      </c>
      <c r="M16" s="262">
        <f>L16*D4</f>
        <v>1.1567797792138922E-2</v>
      </c>
      <c r="N16" s="145">
        <f>B16+M16</f>
        <v>1.0000000000000022</v>
      </c>
      <c r="R16" s="189">
        <f>B16-M16</f>
        <v>0.97686440441572431</v>
      </c>
      <c r="S16" s="94">
        <f>SUM(C16:L16)*$B$4*$F$4</f>
        <v>11.995083186649758</v>
      </c>
      <c r="T16" s="10">
        <f>SUM(C16:L16)*$D$4*$H$4</f>
        <v>-8.8138100639549712</v>
      </c>
      <c r="U16" s="265">
        <f t="shared" si="0"/>
        <v>3.1812731226947868</v>
      </c>
      <c r="V16" s="94">
        <f>(U16+W16*M16)/B16</f>
        <v>3.3355359054994049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31.586896549486926</v>
      </c>
      <c r="F21" s="8">
        <f t="shared" ref="F21:F30" si="4">U7/E21</f>
        <v>1.82669098301062E-2</v>
      </c>
      <c r="G21" s="284">
        <f>E21*U7</f>
        <v>18.225481092890966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193">
        <f>R21/R7</f>
        <v>94.760689648460783</v>
      </c>
      <c r="T21" s="8">
        <f>U7/S21</f>
        <v>6.0889699433687335E-3</v>
      </c>
      <c r="U21" s="284">
        <f>S21*U7</f>
        <v>54.676443278672899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56.433517001417954</v>
      </c>
      <c r="F22" s="9">
        <f t="shared" si="4"/>
        <v>1.9209258764431761E-2</v>
      </c>
      <c r="G22" s="285">
        <f t="shared" ref="G22:G30" si="5">E22*U8</f>
        <v>61.176530124550297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194">
        <f t="shared" ref="S22:S30" si="7">R22/R8</f>
        <v>188.11172333805985</v>
      </c>
      <c r="T22" s="9">
        <f>U8/S22</f>
        <v>5.7627776293295288E-3</v>
      </c>
      <c r="U22" s="285">
        <f t="shared" ref="U22:U30" si="8">S22*U8</f>
        <v>203.92176708183433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218.57876596249932</v>
      </c>
      <c r="F23" s="9">
        <f t="shared" si="4"/>
        <v>6.9749345476300059E-3</v>
      </c>
      <c r="G23" s="285">
        <f t="shared" si="5"/>
        <v>333.23919448784568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194">
        <f t="shared" si="7"/>
        <v>754.44928896733643</v>
      </c>
      <c r="T23" s="9">
        <f t="shared" ref="T23:T30" si="11">U9/S23</f>
        <v>2.020775429687198E-3</v>
      </c>
      <c r="U23" s="285">
        <f t="shared" si="8"/>
        <v>1150.2127035548222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964.35317527204825</v>
      </c>
      <c r="F24" s="9">
        <f t="shared" si="4"/>
        <v>1.9733793043461671E-3</v>
      </c>
      <c r="G24" s="285">
        <f t="shared" si="5"/>
        <v>1835.1974573904497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194">
        <f t="shared" si="7"/>
        <v>3362.8726112050913</v>
      </c>
      <c r="T24" s="9">
        <f t="shared" si="11"/>
        <v>5.6589553580515086E-4</v>
      </c>
      <c r="U24" s="285">
        <f t="shared" si="8"/>
        <v>6399.6629283359271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4487.9643013937275</v>
      </c>
      <c r="F25" s="9">
        <f t="shared" si="4"/>
        <v>4.9569388577984613E-4</v>
      </c>
      <c r="G25" s="285">
        <f t="shared" si="5"/>
        <v>9984.1787923951197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9">
        <f t="shared" si="7"/>
        <v>15693.508971967054</v>
      </c>
      <c r="T25" s="9">
        <f t="shared" si="11"/>
        <v>1.4175647191287435E-4</v>
      </c>
      <c r="U25" s="285">
        <f t="shared" si="8"/>
        <v>34912.666174175509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21464.787553787923</v>
      </c>
      <c r="F26" s="9">
        <f t="shared" si="4"/>
        <v>1.1624310612044936E-4</v>
      </c>
      <c r="G26" s="285">
        <f t="shared" si="5"/>
        <v>53557.512158670666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9">
        <f t="shared" si="7"/>
        <v>75110.270426311647</v>
      </c>
      <c r="T26" s="9">
        <f t="shared" si="11"/>
        <v>3.3219605831612174E-5</v>
      </c>
      <c r="U26" s="285">
        <f t="shared" si="8"/>
        <v>187410.15775338214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104268.09501430579</v>
      </c>
      <c r="F27" s="9">
        <f t="shared" si="4"/>
        <v>2.6089961050081483E-5</v>
      </c>
      <c r="G27" s="285">
        <f t="shared" si="5"/>
        <v>283645.76833601965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9">
        <f t="shared" si="7"/>
        <v>364919.64746827463</v>
      </c>
      <c r="T27" s="9">
        <f t="shared" si="11"/>
        <v>7.4546562690240867E-6</v>
      </c>
      <c r="U27" s="285">
        <f t="shared" si="8"/>
        <v>992709.35920375935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511315.06838824082</v>
      </c>
      <c r="F28" s="9">
        <f t="shared" si="4"/>
        <v>5.6836456728379161E-6</v>
      </c>
      <c r="G28" s="285">
        <f t="shared" si="5"/>
        <v>1485949.9392390209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9">
        <f t="shared" si="7"/>
        <v>1789581.7958400261</v>
      </c>
      <c r="T28" s="9">
        <f t="shared" si="11"/>
        <v>1.6239177681942807E-6</v>
      </c>
      <c r="U28" s="285">
        <f t="shared" si="8"/>
        <v>5200763.9226712482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2522660.0679048486</v>
      </c>
      <c r="F29" s="9">
        <f t="shared" si="4"/>
        <v>1.2122331342271576E-6</v>
      </c>
      <c r="G29" s="285">
        <f t="shared" si="5"/>
        <v>7714425.9704767372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9">
        <f t="shared" si="7"/>
        <v>8829286.9888198823</v>
      </c>
      <c r="T29" s="9">
        <f t="shared" si="11"/>
        <v>3.4635323606291868E-7</v>
      </c>
      <c r="U29" s="285">
        <f t="shared" si="8"/>
        <v>27000419.800482437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12496135.538177572</v>
      </c>
      <c r="F30" s="10">
        <f t="shared" si="4"/>
        <v>2.5458055516247558E-7</v>
      </c>
      <c r="G30" s="286">
        <f t="shared" si="5"/>
        <v>39753620.125155464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10">
        <f t="shared" si="7"/>
        <v>43736448.791533299</v>
      </c>
      <c r="T30" s="10">
        <f t="shared" si="11"/>
        <v>7.2737344036734696E-8</v>
      </c>
      <c r="U30" s="286">
        <f t="shared" si="8"/>
        <v>139137589.02262178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31.586896549486926</v>
      </c>
      <c r="F33" s="8">
        <f t="shared" ref="F33:F42" si="14">U7/E33</f>
        <v>1.82669098301062E-2</v>
      </c>
      <c r="G33" s="287">
        <f>E33*U7</f>
        <v>18.225481092890966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9">
        <f>R33/R7</f>
        <v>94.760689648460783</v>
      </c>
      <c r="T33" s="8">
        <f>U7/S33</f>
        <v>6.0889699433687335E-3</v>
      </c>
      <c r="U33" s="287">
        <f>S33*U7</f>
        <v>54.676443278672899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65.839103168320946</v>
      </c>
      <c r="F34" s="9">
        <f t="shared" si="14"/>
        <v>1.646507894094151E-2</v>
      </c>
      <c r="G34" s="285">
        <f t="shared" ref="G34:G42" si="16">E34*U8</f>
        <v>71.372618478642011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0">
        <f>R34/R8</f>
        <v>197.51730950496284</v>
      </c>
      <c r="T34" s="9">
        <f t="shared" ref="T34:T42" si="18">U8/S34</f>
        <v>5.488359646980503E-3</v>
      </c>
      <c r="U34" s="285">
        <f t="shared" ref="U34:U42" si="19">S34*U8</f>
        <v>214.11785543592603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303.18990117378939</v>
      </c>
      <c r="F35" s="9">
        <f t="shared" si="14"/>
        <v>5.0284411855007023E-3</v>
      </c>
      <c r="G35" s="285">
        <f t="shared" si="16"/>
        <v>462.23501170894724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0">
        <f t="shared" ref="S35:S42" si="21">R35/R9</f>
        <v>803.80578450725557</v>
      </c>
      <c r="T35" s="9">
        <f t="shared" si="18"/>
        <v>1.8966927278643E-3</v>
      </c>
      <c r="U35" s="285">
        <f t="shared" si="19"/>
        <v>1225.4602636004647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1601.0735409965416</v>
      </c>
      <c r="F36" s="9">
        <f t="shared" si="14"/>
        <v>1.1885991176756837E-3</v>
      </c>
      <c r="G36" s="285">
        <f t="shared" si="16"/>
        <v>3046.8983427187595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0">
        <f t="shared" si="21"/>
        <v>3597.7791538995643</v>
      </c>
      <c r="T36" s="9">
        <f t="shared" si="18"/>
        <v>5.289470300309314E-4</v>
      </c>
      <c r="U36" s="285">
        <f t="shared" si="19"/>
        <v>6846.6982064182157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8935.7035706366787</v>
      </c>
      <c r="F37" s="9">
        <f t="shared" si="14"/>
        <v>2.4896265260068159E-4</v>
      </c>
      <c r="G37" s="285">
        <f t="shared" si="16"/>
        <v>19878.87070700949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0">
        <f t="shared" si="21"/>
        <v>16808.31700585999</v>
      </c>
      <c r="T37" s="9">
        <f t="shared" si="18"/>
        <v>1.3235450420309738E-4</v>
      </c>
      <c r="U37" s="285">
        <f t="shared" si="19"/>
        <v>37392.731072670584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51276.992489604476</v>
      </c>
      <c r="F38" s="9">
        <f t="shared" si="14"/>
        <v>4.8659904887629972E-5</v>
      </c>
      <c r="G38" s="285">
        <f t="shared" si="16"/>
        <v>127942.94571237992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0">
        <f t="shared" si="21"/>
        <v>80468.22430878559</v>
      </c>
      <c r="T38" s="9">
        <f t="shared" si="18"/>
        <v>3.1007687803488029E-5</v>
      </c>
      <c r="U38" s="285">
        <f t="shared" si="19"/>
        <v>200778.96839206721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298891.90699738555</v>
      </c>
      <c r="F39" s="9">
        <f t="shared" si="14"/>
        <v>9.101452645598827E-6</v>
      </c>
      <c r="G39" s="285">
        <f t="shared" si="16"/>
        <v>813090.75991135789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0">
        <f t="shared" si="21"/>
        <v>390977.32868095324</v>
      </c>
      <c r="T39" s="9">
        <f t="shared" si="18"/>
        <v>6.9578216897310275E-6</v>
      </c>
      <c r="U39" s="285">
        <f t="shared" si="19"/>
        <v>1063595.3863016095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1758852.4178563838</v>
      </c>
      <c r="F40" s="9">
        <f t="shared" si="14"/>
        <v>1.6522896670566158E-6</v>
      </c>
      <c r="G40" s="285">
        <f t="shared" si="16"/>
        <v>5111460.2424734747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0">
        <f t="shared" si="21"/>
        <v>1917400.0911776782</v>
      </c>
      <c r="T40" s="9">
        <f t="shared" si="18"/>
        <v>1.5156636787873958E-6</v>
      </c>
      <c r="U40" s="285">
        <f t="shared" si="19"/>
        <v>5572220.9751483407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10413101.780746888</v>
      </c>
      <c r="F41" s="9">
        <f t="shared" si="14"/>
        <v>2.9367350719265206E-7</v>
      </c>
      <c r="G41" s="285">
        <f t="shared" si="16"/>
        <v>31843807.983740333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0">
        <f t="shared" si="21"/>
        <v>9459940.3813725486</v>
      </c>
      <c r="T41" s="9">
        <f t="shared" si="18"/>
        <v>3.2326336080590548E-7</v>
      </c>
      <c r="U41" s="285">
        <f t="shared" si="19"/>
        <v>28928990.745008547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61898227.355479933</v>
      </c>
      <c r="F42" s="10">
        <f t="shared" si="14"/>
        <v>5.1395221779532017E-8</v>
      </c>
      <c r="G42" s="286">
        <f t="shared" si="16"/>
        <v>196915167.02843952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1">
        <f t="shared" si="21"/>
        <v>46860469.88003359</v>
      </c>
      <c r="T42" s="10">
        <f t="shared" si="18"/>
        <v>6.7888203657348959E-8</v>
      </c>
      <c r="U42" s="286">
        <f t="shared" si="19"/>
        <v>149075953.34619945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31.586896549486926</v>
      </c>
      <c r="F45" s="8">
        <f t="shared" ref="F45:F54" si="24">U7/E45</f>
        <v>1.82669098301062E-2</v>
      </c>
      <c r="G45" s="284">
        <f>E45*U7</f>
        <v>18.225481092890966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9">
        <f>R45/R7</f>
        <v>94.760689648460783</v>
      </c>
      <c r="T45" s="8">
        <f>U7/S45</f>
        <v>6.0889699433687335E-3</v>
      </c>
      <c r="U45" s="287">
        <f>S45*U7</f>
        <v>54.676443278672899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103.46144783593292</v>
      </c>
      <c r="F46" s="9">
        <f t="shared" si="24"/>
        <v>1.047777750787187E-2</v>
      </c>
      <c r="G46" s="285">
        <f t="shared" ref="G46:G54" si="26">E46*U8</f>
        <v>112.15697189500888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0">
        <f t="shared" ref="S46:S54" si="28">R46/R8</f>
        <v>329.19551584160473</v>
      </c>
      <c r="T46" s="9">
        <f t="shared" ref="T46:T54" si="29">U8/S46</f>
        <v>3.2930157881883018E-3</v>
      </c>
      <c r="U46" s="285">
        <f t="shared" ref="U46:U54" si="30">S46*U8</f>
        <v>356.86309239321008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782.65300070443311</v>
      </c>
      <c r="F47" s="9">
        <f t="shared" si="24"/>
        <v>1.9479546934822538E-3</v>
      </c>
      <c r="G47" s="285">
        <f t="shared" si="26"/>
        <v>1193.2113092951895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0">
        <f t="shared" si="28"/>
        <v>2517.1812725358795</v>
      </c>
      <c r="T47" s="9">
        <f t="shared" si="29"/>
        <v>6.0566658536843183E-4</v>
      </c>
      <c r="U47" s="285">
        <f t="shared" si="30"/>
        <v>3837.6255623277716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6867.925498251574</v>
      </c>
      <c r="F48" s="9">
        <f t="shared" si="24"/>
        <v>2.7709016334653651E-4</v>
      </c>
      <c r="G48" s="285">
        <f t="shared" si="26"/>
        <v>13069.899840774293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0">
        <f t="shared" si="28"/>
        <v>22124.487271145259</v>
      </c>
      <c r="T48" s="9">
        <f t="shared" si="29"/>
        <v>8.6014856518022381E-5</v>
      </c>
      <c r="U48" s="285">
        <f t="shared" si="30"/>
        <v>42103.664743592431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63848.618889610378</v>
      </c>
      <c r="F49" s="9">
        <f t="shared" si="24"/>
        <v>3.4842671658181969E-5</v>
      </c>
      <c r="G49" s="285">
        <f t="shared" si="26"/>
        <v>142041.24271741635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0">
        <f t="shared" si="28"/>
        <v>205728.05371856189</v>
      </c>
      <c r="T49" s="9">
        <f t="shared" si="29"/>
        <v>1.0813578525573584E-5</v>
      </c>
      <c r="U49" s="285">
        <f t="shared" si="30"/>
        <v>457674.24448980496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610592.42444673064</v>
      </c>
      <c r="F50" s="9">
        <f t="shared" si="24"/>
        <v>4.0864142389725155E-6</v>
      </c>
      <c r="G50" s="285">
        <f t="shared" si="26"/>
        <v>1523509.6603845512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0">
        <f t="shared" si="28"/>
        <v>1967457.1516563781</v>
      </c>
      <c r="T50" s="9">
        <f t="shared" si="29"/>
        <v>1.2682022454045556E-6</v>
      </c>
      <c r="U50" s="285">
        <f t="shared" si="30"/>
        <v>4909068.4013271239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5931771.4054293334</v>
      </c>
      <c r="F51" s="9">
        <f t="shared" si="24"/>
        <v>4.5860677220290456E-7</v>
      </c>
      <c r="G51" s="285">
        <f t="shared" si="26"/>
        <v>16136497.532210492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0">
        <f t="shared" si="28"/>
        <v>19113477.335235942</v>
      </c>
      <c r="T51" s="9">
        <f t="shared" si="29"/>
        <v>1.4232630148750757E-7</v>
      </c>
      <c r="U51" s="285">
        <f t="shared" si="30"/>
        <v>51995358.346023887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58176440.575431459</v>
      </c>
      <c r="F52" s="9">
        <f t="shared" si="24"/>
        <v>4.9953789663937254E-8</v>
      </c>
      <c r="G52" s="285">
        <f t="shared" si="26"/>
        <v>169068513.10035241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0">
        <f t="shared" si="28"/>
        <v>187457410.32371524</v>
      </c>
      <c r="T52" s="9">
        <f t="shared" si="29"/>
        <v>1.5502901010331481E-8</v>
      </c>
      <c r="U52" s="285">
        <f t="shared" si="30"/>
        <v>544776292.93906212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574045606.56720865</v>
      </c>
      <c r="F53" s="9">
        <f t="shared" si="24"/>
        <v>5.3271936684493305E-9</v>
      </c>
      <c r="G53" s="285">
        <f t="shared" si="26"/>
        <v>1755461384.5448084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0">
        <f t="shared" si="28"/>
        <v>1849702499.7170734</v>
      </c>
      <c r="T53" s="9">
        <f t="shared" si="29"/>
        <v>1.6532670097887322E-9</v>
      </c>
      <c r="U53" s="285">
        <f t="shared" si="30"/>
        <v>5656486651.9349661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5687130711.1685085</v>
      </c>
      <c r="F54" s="10">
        <f t="shared" si="24"/>
        <v>5.5938104542723712E-10</v>
      </c>
      <c r="G54" s="286">
        <f t="shared" si="26"/>
        <v>18092316076.692463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1">
        <f t="shared" si="28"/>
        <v>18325198946.835377</v>
      </c>
      <c r="T54" s="10">
        <f t="shared" si="29"/>
        <v>1.7360101420586042E-10</v>
      </c>
      <c r="U54" s="286">
        <f t="shared" si="30"/>
        <v>58297462877.602196</v>
      </c>
    </row>
  </sheetData>
  <mergeCells count="2">
    <mergeCell ref="A18:F18"/>
    <mergeCell ref="O18:T18"/>
  </mergeCells>
  <conditionalFormatting sqref="F45:F54">
    <cfRule type="cellIs" dxfId="685" priority="57" operator="equal">
      <formula>MAX($F$45:$F$54)</formula>
    </cfRule>
  </conditionalFormatting>
  <conditionalFormatting sqref="F21:F30">
    <cfRule type="cellIs" dxfId="684" priority="55" operator="equal">
      <formula>MAX($F$21:$F$30)</formula>
    </cfRule>
  </conditionalFormatting>
  <conditionalFormatting sqref="E33:E42">
    <cfRule type="cellIs" dxfId="683" priority="51" stopIfTrue="1" operator="lessThan">
      <formula>0</formula>
    </cfRule>
    <cfRule type="cellIs" dxfId="682" priority="52" operator="equal">
      <formula>MIN($E$33:$E$42)</formula>
    </cfRule>
  </conditionalFormatting>
  <conditionalFormatting sqref="E21:E30">
    <cfRule type="cellIs" dxfId="681" priority="47" stopIfTrue="1" operator="lessThan">
      <formula>0</formula>
    </cfRule>
    <cfRule type="cellIs" dxfId="680" priority="48" operator="equal">
      <formula>MIN($E$21:$E$30)</formula>
    </cfRule>
  </conditionalFormatting>
  <conditionalFormatting sqref="E45:E54">
    <cfRule type="cellIs" dxfId="679" priority="43" stopIfTrue="1" operator="lessThan">
      <formula>0</formula>
    </cfRule>
    <cfRule type="cellIs" dxfId="678" priority="44" operator="equal">
      <formula>MIN($E$45:$E$54)</formula>
    </cfRule>
  </conditionalFormatting>
  <conditionalFormatting sqref="F33:F42">
    <cfRule type="cellIs" dxfId="677" priority="29" operator="lessThanOrEqual">
      <formula>0</formula>
    </cfRule>
    <cfRule type="cellIs" dxfId="676" priority="30" operator="equal">
      <formula>MAX($F$33:$F$42)</formula>
    </cfRule>
  </conditionalFormatting>
  <conditionalFormatting sqref="S7:T16">
    <cfRule type="cellIs" dxfId="675" priority="11" operator="lessThanOrEqual">
      <formula>0</formula>
    </cfRule>
    <cfRule type="cellIs" dxfId="674" priority="12" operator="greaterThan">
      <formula>0</formula>
    </cfRule>
  </conditionalFormatting>
  <conditionalFormatting sqref="U7:U16">
    <cfRule type="cellIs" dxfId="673" priority="13" operator="lessThanOrEqual">
      <formula>0</formula>
    </cfRule>
    <cfRule type="cellIs" dxfId="672" priority="14" operator="greaterThan">
      <formula>0</formula>
    </cfRule>
  </conditionalFormatting>
  <conditionalFormatting sqref="R7:R16">
    <cfRule type="cellIs" dxfId="671" priority="15" operator="lessThanOrEqual">
      <formula>0</formula>
    </cfRule>
    <cfRule type="cellIs" dxfId="670" priority="16" operator="greaterThan">
      <formula>0</formula>
    </cfRule>
  </conditionalFormatting>
  <conditionalFormatting sqref="S21:S30">
    <cfRule type="cellIs" dxfId="669" priority="9" stopIfTrue="1" operator="lessThan">
      <formula>0</formula>
    </cfRule>
    <cfRule type="cellIs" dxfId="668" priority="10" operator="equal">
      <formula>MIN($E$21:$E$30)</formula>
    </cfRule>
  </conditionalFormatting>
  <conditionalFormatting sqref="T21:T30">
    <cfRule type="cellIs" dxfId="667" priority="7" operator="equal">
      <formula>MAX($T$21:$T$30)</formula>
    </cfRule>
  </conditionalFormatting>
  <conditionalFormatting sqref="S33:S42">
    <cfRule type="cellIs" dxfId="666" priority="5" stopIfTrue="1" operator="lessThan">
      <formula>0</formula>
    </cfRule>
    <cfRule type="cellIs" dxfId="665" priority="6" operator="equal">
      <formula>MIN($E$21:$E$30)</formula>
    </cfRule>
  </conditionalFormatting>
  <conditionalFormatting sqref="T33:T42">
    <cfRule type="cellIs" dxfId="664" priority="4" operator="equal">
      <formula>MAX($T$21:$T$30)</formula>
    </cfRule>
  </conditionalFormatting>
  <conditionalFormatting sqref="S45:S54">
    <cfRule type="cellIs" dxfId="663" priority="2" stopIfTrue="1" operator="lessThan">
      <formula>0</formula>
    </cfRule>
    <cfRule type="cellIs" dxfId="662" priority="3" operator="equal">
      <formula>MIN($E$21:$E$30)</formula>
    </cfRule>
  </conditionalFormatting>
  <conditionalFormatting sqref="T45:T54">
    <cfRule type="cellIs" dxfId="661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W54"/>
  <sheetViews>
    <sheetView topLeftCell="A10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  <col min="19" max="19" width="8.6640625" customWidth="1"/>
  </cols>
  <sheetData>
    <row r="1" spans="1:23" x14ac:dyDescent="0.2">
      <c r="C1" t="s">
        <v>95</v>
      </c>
      <c r="D1">
        <f>C2+E2</f>
        <v>1.0000000000000002</v>
      </c>
    </row>
    <row r="2" spans="1:23" x14ac:dyDescent="0.2">
      <c r="A2" t="s">
        <v>40</v>
      </c>
      <c r="B2" s="149" t="s">
        <v>125</v>
      </c>
      <c r="C2" s="155">
        <f>Analysis!B13</f>
        <v>0.58713165011217827</v>
      </c>
      <c r="D2" s="149" t="s">
        <v>126</v>
      </c>
      <c r="E2" s="155">
        <f>Analysis!I13</f>
        <v>0.41286834988782201</v>
      </c>
      <c r="F2" s="149" t="s">
        <v>47</v>
      </c>
      <c r="G2" s="155">
        <f>Analysis!S13</f>
        <v>4.6554501162151647</v>
      </c>
      <c r="H2" t="s">
        <v>155</v>
      </c>
      <c r="I2" s="169">
        <f>Analysis!T13</f>
        <v>-4.7073883403922236</v>
      </c>
      <c r="J2" t="s">
        <v>48</v>
      </c>
      <c r="K2" s="169">
        <f>C2*G2+E2*I2</f>
        <v>0.7898304523694315</v>
      </c>
      <c r="L2" t="s">
        <v>47</v>
      </c>
      <c r="M2" s="176">
        <v>1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0.58713165011217827</v>
      </c>
      <c r="C4" t="s">
        <v>124</v>
      </c>
      <c r="D4">
        <f>$E$2</f>
        <v>0.41286834988782201</v>
      </c>
      <c r="E4" t="s">
        <v>47</v>
      </c>
      <c r="F4">
        <f>G2</f>
        <v>4.6554501162151647</v>
      </c>
      <c r="G4" t="s">
        <v>155</v>
      </c>
      <c r="H4">
        <f>I2</f>
        <v>-4.7073883403922236</v>
      </c>
      <c r="I4" t="s">
        <v>48</v>
      </c>
      <c r="J4">
        <f>K2</f>
        <v>0.7898304523694315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0.58713165011217827</v>
      </c>
      <c r="C7" s="95">
        <v>1</v>
      </c>
      <c r="D7" s="109">
        <f>C7*D4</f>
        <v>0.41286834988782201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1.0000000000000002</v>
      </c>
      <c r="R7" s="187">
        <f>B7-D7</f>
        <v>0.17426330022435627</v>
      </c>
      <c r="S7" s="109">
        <f>SUM(C7)*$B$4*$F$4</f>
        <v>2.733362108748342</v>
      </c>
      <c r="T7" s="57">
        <f>SUM(C7)*$D$4*$H$4</f>
        <v>-1.9435316563789105</v>
      </c>
      <c r="U7" s="263">
        <f>S7+T7</f>
        <v>0.7898304523694315</v>
      </c>
      <c r="V7" s="109">
        <f>(U7+W7*D7)/B7</f>
        <v>2.0484312198592329</v>
      </c>
      <c r="W7" s="57">
        <f>COUNT(D7:M7)</f>
        <v>1</v>
      </c>
    </row>
    <row r="8" spans="1:23" x14ac:dyDescent="0.2">
      <c r="A8" s="99">
        <v>2</v>
      </c>
      <c r="B8" s="97">
        <f>C8*B4</f>
        <v>0.7749972394933351</v>
      </c>
      <c r="C8" s="97">
        <f>1/(1-B4*D4)</f>
        <v>1.3199718314372304</v>
      </c>
      <c r="D8" s="93">
        <f>C8*D4</f>
        <v>0.54497459194389564</v>
      </c>
      <c r="E8" s="1">
        <f>D8*D4</f>
        <v>0.22500276050666532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1.0000000000000004</v>
      </c>
      <c r="R8" s="188">
        <f>B8-E8</f>
        <v>0.54999447898666975</v>
      </c>
      <c r="S8" s="93">
        <f>SUM(C8:D8)*$B$4*$F$4</f>
        <v>5.0975738885157122</v>
      </c>
      <c r="T8" s="9">
        <f>SUM(C8:D8)*$D$4*$H$4</f>
        <v>-3.6245824112918443</v>
      </c>
      <c r="U8" s="264">
        <f>S8+T8</f>
        <v>1.4729914772238679</v>
      </c>
      <c r="V8" s="93">
        <f>(U8+W8*E8)/B8</f>
        <v>2.4812952875733902</v>
      </c>
      <c r="W8" s="9">
        <f>COUNT(D8:M8)</f>
        <v>2</v>
      </c>
    </row>
    <row r="9" spans="1:23" x14ac:dyDescent="0.2">
      <c r="A9" s="99">
        <v>3</v>
      </c>
      <c r="B9" s="97">
        <f>C9*B4</f>
        <v>0.86339313171845988</v>
      </c>
      <c r="C9" s="97">
        <f>1/(1-D4*B4/(1-D4*B4))</f>
        <v>1.4705273196454298</v>
      </c>
      <c r="D9" s="93">
        <f>C9*D4*C8</f>
        <v>0.8014000259661187</v>
      </c>
      <c r="E9" s="1">
        <f>D9*(D4)</f>
        <v>0.33087270632068916</v>
      </c>
      <c r="F9" s="1">
        <f>E9*D4</f>
        <v>0.13660686828154087</v>
      </c>
      <c r="G9" s="1"/>
      <c r="H9" s="1"/>
      <c r="I9" s="1"/>
      <c r="J9" s="1"/>
      <c r="K9" s="1"/>
      <c r="L9" s="1"/>
      <c r="M9" s="260"/>
      <c r="N9" s="97">
        <f>B9+F9</f>
        <v>1.0000000000000007</v>
      </c>
      <c r="R9" s="188">
        <f>B9-F9</f>
        <v>0.72678626343691899</v>
      </c>
      <c r="S9" s="93">
        <f>SUM(C9:E9)*$B$4*$F$4</f>
        <v>7.1143950385997945</v>
      </c>
      <c r="T9" s="9">
        <f>SUM(C9:E9)*$D$4*$H$4</f>
        <v>-5.0586242961549761</v>
      </c>
      <c r="U9" s="264">
        <f t="shared" ref="U9:U16" si="0">S9+T9</f>
        <v>2.0557707424448184</v>
      </c>
      <c r="V9" s="93">
        <f>(U9+W9*F9)/B9</f>
        <v>2.8556995147529562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0.91235769816038026</v>
      </c>
      <c r="C10" s="97">
        <f>1/(1-D4*B4/(1-D4*B4/(1-D4*B4)))</f>
        <v>1.5539235501715225</v>
      </c>
      <c r="D10" s="93">
        <f>C10*D4*C9</f>
        <v>0.94344011273398221</v>
      </c>
      <c r="E10" s="1">
        <f>D10*D4*C8</f>
        <v>0.51415089046070483</v>
      </c>
      <c r="F10" s="1">
        <f>E10*D4</f>
        <v>0.21227662973786554</v>
      </c>
      <c r="G10" s="1">
        <f>F10*D4</f>
        <v>8.7642301839620712E-2</v>
      </c>
      <c r="H10" s="1"/>
      <c r="I10" s="1"/>
      <c r="J10" s="1"/>
      <c r="K10" s="1"/>
      <c r="L10" s="1"/>
      <c r="M10" s="260"/>
      <c r="N10" s="97">
        <f>B10+G10</f>
        <v>1.0000000000000009</v>
      </c>
      <c r="R10" s="188">
        <f>B10-G10</f>
        <v>0.82471539632075952</v>
      </c>
      <c r="S10" s="93">
        <f>SUM(C10:F10)*$B$4*$F$4</f>
        <v>8.8117886664136673</v>
      </c>
      <c r="T10" s="9">
        <f>SUM(C10:F10)*$D$4*$H$4</f>
        <v>-6.2655402179179909</v>
      </c>
      <c r="U10" s="264">
        <f t="shared" si="0"/>
        <v>2.5462484484956764</v>
      </c>
      <c r="V10" s="93">
        <f>(U10+W10*G10)/B10</f>
        <v>3.1750898377852428</v>
      </c>
      <c r="W10" s="9">
        <f t="shared" si="1"/>
        <v>4</v>
      </c>
    </row>
    <row r="11" spans="1:23" x14ac:dyDescent="0.2">
      <c r="A11" s="99">
        <v>5</v>
      </c>
      <c r="B11" s="97">
        <f>C11*B4</f>
        <v>0.9419480482979159</v>
      </c>
      <c r="C11" s="97">
        <f>1/(1-D4*B4/(1-D4*B4/(1-D4*B4/(1-D4*B4))))</f>
        <v>1.6043217021564855</v>
      </c>
      <c r="D11" s="93">
        <f>C11*D4*C10</f>
        <v>1.0292780197439924</v>
      </c>
      <c r="E11" s="1">
        <f>D11*D4*C9</f>
        <v>0.62490987466834902</v>
      </c>
      <c r="F11" s="1">
        <f>E11*D4*C8</f>
        <v>0.34056000394909453</v>
      </c>
      <c r="G11" s="1">
        <f>F11*D4</f>
        <v>0.1406064468682528</v>
      </c>
      <c r="H11" s="1">
        <f>G11*D4</f>
        <v>5.8051951702085249E-2</v>
      </c>
      <c r="I11" s="1"/>
      <c r="J11" s="1"/>
      <c r="K11" s="1"/>
      <c r="L11" s="1"/>
      <c r="M11" s="260"/>
      <c r="N11" s="97">
        <f>B11+H11</f>
        <v>1.0000000000000011</v>
      </c>
      <c r="R11" s="188">
        <f>B11-H11</f>
        <v>0.88389609659583068</v>
      </c>
      <c r="S11" s="93">
        <f>SUM(C11:G11)*$B$4*$F$4</f>
        <v>10.221888806919134</v>
      </c>
      <c r="T11" s="9">
        <f>SUM(C11:G11)*$D$4*$H$4</f>
        <v>-7.268178782696987</v>
      </c>
      <c r="U11" s="264">
        <f t="shared" si="0"/>
        <v>2.953710024222147</v>
      </c>
      <c r="V11" s="93">
        <f>(U11+W11*H11)/B11</f>
        <v>3.4438945848386986</v>
      </c>
      <c r="W11" s="9">
        <f t="shared" si="1"/>
        <v>5</v>
      </c>
    </row>
    <row r="12" spans="1:23" x14ac:dyDescent="0.2">
      <c r="A12" s="99">
        <v>6</v>
      </c>
      <c r="B12" s="97">
        <f>C12*B4</f>
        <v>0.96077919400377254</v>
      </c>
      <c r="C12" s="97">
        <f>1/(1-D4*B4/(1-D4*B4/(1-D4*B4/(1-D4*B4/(1-D4*B4)))))</f>
        <v>1.6363948252835707</v>
      </c>
      <c r="D12" s="93">
        <f>C12*D4*C11</f>
        <v>1.083904819578335</v>
      </c>
      <c r="E12" s="1">
        <f>D12*D4*C10</f>
        <v>0.69539631907175836</v>
      </c>
      <c r="F12" s="1">
        <f>E12*D4*C9</f>
        <v>0.42219887946703644</v>
      </c>
      <c r="G12" s="1">
        <f>F12*D4*C8</f>
        <v>0.23008766205671816</v>
      </c>
      <c r="H12" s="1">
        <f>G12*D4</f>
        <v>9.4995913362904055E-2</v>
      </c>
      <c r="I12" s="1">
        <f>H12*D4</f>
        <v>3.9220805996228694E-2</v>
      </c>
      <c r="J12" s="1"/>
      <c r="K12" s="1"/>
      <c r="L12" s="1"/>
      <c r="M12" s="260"/>
      <c r="N12" s="97">
        <f>B12+I12</f>
        <v>1.0000000000000013</v>
      </c>
      <c r="R12" s="188">
        <f>B12-I12</f>
        <v>0.92155838800754386</v>
      </c>
      <c r="S12" s="93">
        <f>SUM(C12:H12)*$B$4*$F$4</f>
        <v>11.378927469540557</v>
      </c>
      <c r="T12" s="9">
        <f>SUM(C12:H12)*$D$4*$H$4</f>
        <v>-8.0908803417995205</v>
      </c>
      <c r="U12" s="264">
        <f t="shared" si="0"/>
        <v>3.2880471277410361</v>
      </c>
      <c r="V12" s="93">
        <f>(U12+W12*I12)/B12</f>
        <v>3.6672026056640163</v>
      </c>
      <c r="W12" s="9">
        <f t="shared" si="1"/>
        <v>6</v>
      </c>
    </row>
    <row r="13" spans="1:23" x14ac:dyDescent="0.2">
      <c r="A13" s="99">
        <v>7</v>
      </c>
      <c r="B13" s="97">
        <f>C13*B4</f>
        <v>0.97316033969536142</v>
      </c>
      <c r="C13" s="97">
        <f>1/(1-D4*B4/(1-D4*B4/(1-D4*B4/(1-D4*B4/(1-D4*B4/(1-D4*B4))))))</f>
        <v>1.6574823372397449</v>
      </c>
      <c r="D13" s="93">
        <f>C13*D4*C12</f>
        <v>1.1198209756093462</v>
      </c>
      <c r="E13" s="1">
        <f>D13*D4*C11</f>
        <v>0.74173991128183125</v>
      </c>
      <c r="F13" s="1">
        <f>E13*D4*C10</f>
        <v>0.47587499815219747</v>
      </c>
      <c r="G13" s="1">
        <f>F13*D4*C9</f>
        <v>0.28891998055788293</v>
      </c>
      <c r="H13" s="1">
        <f>G13*D4*C8</f>
        <v>0.15745404850897052</v>
      </c>
      <c r="I13" s="1">
        <f>H13*D4</f>
        <v>6.5007793191055735E-2</v>
      </c>
      <c r="J13" s="1">
        <f>I13*D4</f>
        <v>2.6839660304639971E-2</v>
      </c>
      <c r="K13" s="1"/>
      <c r="L13" s="1"/>
      <c r="M13" s="260"/>
      <c r="N13" s="97">
        <f>B13+J13</f>
        <v>1.0000000000000013</v>
      </c>
      <c r="R13" s="188">
        <f>B13-J13</f>
        <v>0.9463206793907214</v>
      </c>
      <c r="S13" s="93">
        <f>SUM(C13:I13)*$B$4*$F$4</f>
        <v>12.317349792399412</v>
      </c>
      <c r="T13" s="9">
        <f>SUM(C13:I13)*$D$4*$H$4</f>
        <v>-8.7581367897071836</v>
      </c>
      <c r="U13" s="264">
        <f t="shared" si="0"/>
        <v>3.5592130026922284</v>
      </c>
      <c r="V13" s="93">
        <f>(U13+W13*J13)/B13</f>
        <v>3.8504349920360492</v>
      </c>
      <c r="W13" s="9">
        <f t="shared" si="1"/>
        <v>7</v>
      </c>
    </row>
    <row r="14" spans="1:23" x14ac:dyDescent="0.2">
      <c r="A14" s="99">
        <v>8</v>
      </c>
      <c r="B14" s="97">
        <f>C14*B4</f>
        <v>0.98147608263095165</v>
      </c>
      <c r="C14" s="97">
        <f>1/(1-D4*B4/(1-D4*B4/(1-D4*B4/(1-D4*B4/(1-D4*B4/(1-D4*B4/(1-D4*B4)))))))</f>
        <v>1.6716456734080496</v>
      </c>
      <c r="D14" s="93">
        <f>C14*D4*C13</f>
        <v>1.1439439064130235</v>
      </c>
      <c r="E14" s="1">
        <f>D14*D4*C12</f>
        <v>0.77286638447991374</v>
      </c>
      <c r="F14" s="1">
        <f>E14*D4*C11</f>
        <v>0.51192633103242291</v>
      </c>
      <c r="G14" s="1">
        <f>F14*D4*C10</f>
        <v>0.32843445273575467</v>
      </c>
      <c r="H14" s="1">
        <f>G14*D4*C9</f>
        <v>0.19940378474896134</v>
      </c>
      <c r="I14" s="1">
        <f>H14*D4*C8</f>
        <v>0.1086699962256336</v>
      </c>
      <c r="J14" s="1">
        <f>I14*D4</f>
        <v>4.4866402023993189E-2</v>
      </c>
      <c r="K14" s="1">
        <f>J14*D4</f>
        <v>1.8523917369049705E-2</v>
      </c>
      <c r="L14" s="1"/>
      <c r="M14" s="260"/>
      <c r="N14" s="97">
        <f>B14+K14</f>
        <v>1.0000000000000013</v>
      </c>
      <c r="R14" s="188">
        <f>B14-K14</f>
        <v>0.96295216526190197</v>
      </c>
      <c r="S14" s="93">
        <f>SUM(C14:J14)*$B$4*$F$4</f>
        <v>13.070273208625352</v>
      </c>
      <c r="T14" s="9">
        <f>SUM(C14:J14)*$D$4*$H$4</f>
        <v>-9.2934959686394443</v>
      </c>
      <c r="U14" s="264">
        <f t="shared" si="0"/>
        <v>3.7767772399859076</v>
      </c>
      <c r="V14" s="93">
        <f>(U14+W14*K14)/B14</f>
        <v>3.9990465874797549</v>
      </c>
      <c r="W14" s="9">
        <f t="shared" si="1"/>
        <v>8</v>
      </c>
    </row>
    <row r="15" spans="1:23" x14ac:dyDescent="0.2">
      <c r="A15" s="99">
        <v>9</v>
      </c>
      <c r="B15" s="97">
        <f>C15*B4</f>
        <v>0.98714155741878762</v>
      </c>
      <c r="C15" s="97">
        <f>1/(1-D4*B4/(1-D4*B4/(1-D4*B4/(1-D4*B4/(1-D4*B4/(1-D4*B4/(1-D4*B4/(1-D4*B4))))))))</f>
        <v>1.6812950847227923</v>
      </c>
      <c r="D15" s="93">
        <f>C15*D4*C14</f>
        <v>1.1603787405986765</v>
      </c>
      <c r="E15" s="1">
        <f>D15*D4*C13</f>
        <v>0.79407269767452293</v>
      </c>
      <c r="F15" s="1">
        <f>E15*D4*C12</f>
        <v>0.53648792692142544</v>
      </c>
      <c r="G15" s="1">
        <f>F15*D4*C11</f>
        <v>0.35535546840595406</v>
      </c>
      <c r="H15" s="1">
        <f>G15*D4*C10</f>
        <v>0.2279839338546846</v>
      </c>
      <c r="I15" s="1">
        <f>H15*D4*C9</f>
        <v>0.13841684054126005</v>
      </c>
      <c r="J15" s="1">
        <f>I15*D4*C8</f>
        <v>7.5433661192136472E-2</v>
      </c>
      <c r="K15" s="1">
        <f>J15*D4</f>
        <v>3.1144171222394421E-2</v>
      </c>
      <c r="L15" s="1">
        <f>K15*D4</f>
        <v>1.2858442581213776E-2</v>
      </c>
      <c r="M15" s="260"/>
      <c r="N15" s="97">
        <f>B15+L15</f>
        <v>1.0000000000000013</v>
      </c>
      <c r="R15" s="188">
        <f>B15-L15</f>
        <v>0.97428311483757379</v>
      </c>
      <c r="S15" s="93">
        <f>SUM(C15:K15)*$B$4*$F$4</f>
        <v>13.66836452880044</v>
      </c>
      <c r="T15" s="9">
        <f>SUM(C15:K15)*$D$4*$H$4</f>
        <v>-9.7187632284896317</v>
      </c>
      <c r="U15" s="264">
        <f t="shared" si="0"/>
        <v>3.9496013003108086</v>
      </c>
      <c r="V15" s="93">
        <f>(U15+W15*L15)/B15</f>
        <v>4.1182819758615903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0.99103902582005121</v>
      </c>
      <c r="C16" s="145">
        <f>1/(1-D4*B4/(1-D4*B4/(1-D4*B4/(1-D4*B4/(1-D4*B4/(1-D4*B4/(1-D4*B4/(1-D4*B4/(1-D4*B4)))))))))</f>
        <v>1.6879332354689136</v>
      </c>
      <c r="D16" s="94">
        <f>C16*D4*C15</f>
        <v>1.1716848092544083</v>
      </c>
      <c r="E16" s="111">
        <f>D16*D4*C14</f>
        <v>0.80866122532285767</v>
      </c>
      <c r="F16" s="111">
        <f>E16*D4*C13</f>
        <v>0.55338466504962713</v>
      </c>
      <c r="G16" s="111">
        <f>F16*D4*C12</f>
        <v>0.37387532981806376</v>
      </c>
      <c r="H16" s="111">
        <f>G16*D4*C11</f>
        <v>0.24764516829916888</v>
      </c>
      <c r="I16" s="111">
        <f>H16*D4*C10</f>
        <v>0.15888068339629913</v>
      </c>
      <c r="J16" s="111">
        <f>I16*D4*C9</f>
        <v>9.646189469109416E-2</v>
      </c>
      <c r="K16" s="111">
        <f>J16*D4*C8</f>
        <v>5.2569281697414073E-2</v>
      </c>
      <c r="L16" s="111">
        <f>K16*D4</f>
        <v>2.1704192589199429E-2</v>
      </c>
      <c r="M16" s="262">
        <f>L16*D4</f>
        <v>8.960974179950263E-3</v>
      </c>
      <c r="N16" s="145">
        <f>B16+M16</f>
        <v>1.0000000000000016</v>
      </c>
      <c r="R16" s="189">
        <f>B16-M16</f>
        <v>0.98207805164010098</v>
      </c>
      <c r="S16" s="94">
        <f>SUM(C16:L16)*$B$4*$F$4</f>
        <v>14.139136843418653</v>
      </c>
      <c r="T16" s="10">
        <f>SUM(C16:L16)*$D$4*$H$4</f>
        <v>-10.053501495870623</v>
      </c>
      <c r="U16" s="265">
        <f t="shared" si="0"/>
        <v>4.0856353475480294</v>
      </c>
      <c r="V16" s="94">
        <f>(U16+W16*M16)/B16</f>
        <v>4.2129976525320574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34.43065747220021</v>
      </c>
      <c r="F21" s="8">
        <f t="shared" ref="F21:F30" si="4">U7/E21</f>
        <v>2.2939743541265559E-2</v>
      </c>
      <c r="G21" s="284">
        <f>E21*U7</f>
        <v>27.194381766644838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9">
        <f>R21/R7</f>
        <v>120.50730115270072</v>
      </c>
      <c r="T21" s="8">
        <f>U7/S21</f>
        <v>6.5542124403615886E-3</v>
      </c>
      <c r="U21" s="284">
        <f>S21*U7</f>
        <v>95.180336183256927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76.3644029252482</v>
      </c>
      <c r="F22" s="9">
        <f t="shared" si="4"/>
        <v>1.9288980477798718E-2</v>
      </c>
      <c r="G22" s="285">
        <f t="shared" ref="G22:G30" si="5">E22*U8</f>
        <v>112.48411467218001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0">
        <f t="shared" ref="S22:S30" si="7">R22/R8</f>
        <v>294.54841128310017</v>
      </c>
      <c r="T22" s="9">
        <f>U8/S22</f>
        <v>5.0008467905404089E-3</v>
      </c>
      <c r="U22" s="285">
        <f t="shared" ref="U22:U30" si="8">S22*U8</f>
        <v>433.86729944983711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354.98744676314726</v>
      </c>
      <c r="F23" s="9">
        <f t="shared" si="4"/>
        <v>5.7911082805597296E-3</v>
      </c>
      <c r="G23" s="285">
        <f t="shared" si="5"/>
        <v>729.77280699086566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0">
        <f t="shared" si="7"/>
        <v>1407.5665040259676</v>
      </c>
      <c r="T23" s="9">
        <f t="shared" ref="T23:T30" si="11">U9/S23</f>
        <v>1.4605141118127179E-3</v>
      </c>
      <c r="U23" s="285">
        <f t="shared" si="8"/>
        <v>2893.6340370219209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1884.2863937459429</v>
      </c>
      <c r="F24" s="9">
        <f t="shared" si="4"/>
        <v>1.3513064982832888E-3</v>
      </c>
      <c r="G24" s="285">
        <f t="shared" si="5"/>
        <v>4797.8613065971203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0">
        <f t="shared" si="7"/>
        <v>7522.5951009007913</v>
      </c>
      <c r="T24" s="9">
        <f t="shared" si="11"/>
        <v>3.3848006098198433E-4</v>
      </c>
      <c r="U24" s="285">
        <f t="shared" si="8"/>
        <v>19154.396104329815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10555.539317271388</v>
      </c>
      <c r="F25" s="9">
        <f t="shared" si="4"/>
        <v>2.7982559066301523E-4</v>
      </c>
      <c r="G25" s="285">
        <f t="shared" si="5"/>
        <v>31178.002292495497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0">
        <f t="shared" si="7"/>
        <v>42205.186948639777</v>
      </c>
      <c r="T25" s="9">
        <f t="shared" si="11"/>
        <v>6.9984526494730801E-5</v>
      </c>
      <c r="U25" s="285">
        <f t="shared" si="8"/>
        <v>124661.88376436704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60751.440959747088</v>
      </c>
      <c r="F26" s="9">
        <f t="shared" si="4"/>
        <v>5.41229487860155E-5</v>
      </c>
      <c r="G26" s="285">
        <f t="shared" si="5"/>
        <v>199753.60095382555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0">
        <f t="shared" si="7"/>
        <v>242986.23170707547</v>
      </c>
      <c r="T26" s="9">
        <f t="shared" si="11"/>
        <v>1.3531824847198914E-5</v>
      </c>
      <c r="U26" s="285">
        <f t="shared" si="8"/>
        <v>798950.18124506739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354976.91989176424</v>
      </c>
      <c r="F27" s="9">
        <f t="shared" si="4"/>
        <v>1.0026603993796176E-5</v>
      </c>
      <c r="G27" s="285">
        <f t="shared" si="5"/>
        <v>1263438.4689344049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0">
        <f t="shared" si="7"/>
        <v>1419885.4883580329</v>
      </c>
      <c r="T27" s="9">
        <f t="shared" si="11"/>
        <v>2.5066901745774802E-6</v>
      </c>
      <c r="U27" s="285">
        <f t="shared" si="8"/>
        <v>5053674.8924979158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2093082.162032231</v>
      </c>
      <c r="F28" s="9">
        <f t="shared" si="4"/>
        <v>1.8044094534344179E-6</v>
      </c>
      <c r="G28" s="285">
        <f t="shared" si="5"/>
        <v>7905105.0709838253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0">
        <f t="shared" si="7"/>
        <v>8372303.7247725353</v>
      </c>
      <c r="T28" s="9">
        <f t="shared" si="11"/>
        <v>4.5110370623690167E-7</v>
      </c>
      <c r="U28" s="285">
        <f t="shared" si="8"/>
        <v>31620326.153970148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12412443.381014671</v>
      </c>
      <c r="F29" s="9">
        <f t="shared" si="4"/>
        <v>3.1819692377021287E-7</v>
      </c>
      <c r="G29" s="285">
        <f t="shared" si="5"/>
        <v>49024202.517689832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0">
        <f t="shared" si="7"/>
        <v>49649745.811374776</v>
      </c>
      <c r="T29" s="9">
        <f t="shared" si="11"/>
        <v>7.9549275344043222E-8</v>
      </c>
      <c r="U29" s="285">
        <f t="shared" si="8"/>
        <v>196096700.61670694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73883547.116060197</v>
      </c>
      <c r="F30" s="10">
        <f t="shared" si="4"/>
        <v>5.5298310747453646E-8</v>
      </c>
      <c r="G30" s="286">
        <f t="shared" si="5"/>
        <v>301861231.69960582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1">
        <f t="shared" si="7"/>
        <v>295534157.91677058</v>
      </c>
      <c r="T30" s="10">
        <f t="shared" si="11"/>
        <v>1.3824579115821329E-8</v>
      </c>
      <c r="U30" s="286">
        <f t="shared" si="8"/>
        <v>1207444801.9925992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34.43065747220021</v>
      </c>
      <c r="F33" s="8">
        <f t="shared" ref="F33:F42" si="14">U7/E33</f>
        <v>2.2939743541265559E-2</v>
      </c>
      <c r="G33" s="287">
        <f>E33*U7</f>
        <v>27.194381766644838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9">
        <f>R33/R7</f>
        <v>120.50730115270072</v>
      </c>
      <c r="T33" s="8">
        <f>U7/S33</f>
        <v>6.5542124403615886E-3</v>
      </c>
      <c r="U33" s="287">
        <f>S33*U7</f>
        <v>95.180336183256927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87.273603343140792</v>
      </c>
      <c r="F34" s="9">
        <f t="shared" si="14"/>
        <v>1.687785791807388E-2</v>
      </c>
      <c r="G34" s="285">
        <f t="shared" ref="G34:G42" si="16">E34*U8</f>
        <v>128.55327391106286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0">
        <f>R34/R8</f>
        <v>305.4576117009928</v>
      </c>
      <c r="T34" s="9">
        <f t="shared" ref="T34:T42" si="18">U8/S34</f>
        <v>4.8222451194496795E-3</v>
      </c>
      <c r="U34" s="285">
        <f t="shared" ref="U34:U42" si="19">S34*U8</f>
        <v>449.93645868872005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470.56475501161378</v>
      </c>
      <c r="F35" s="9">
        <f t="shared" si="14"/>
        <v>4.3687308081415506E-3</v>
      </c>
      <c r="G35" s="285">
        <f t="shared" si="16"/>
        <v>967.3732557785894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0">
        <f t="shared" ref="S35:S42" si="21">R35/R9</f>
        <v>1473.6106801679484</v>
      </c>
      <c r="T35" s="9">
        <f t="shared" si="18"/>
        <v>1.39505689671747E-3</v>
      </c>
      <c r="U35" s="285">
        <f t="shared" si="19"/>
        <v>3029.405722043477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2910.0948165960508</v>
      </c>
      <c r="F36" s="9">
        <f t="shared" si="14"/>
        <v>8.7497095763842947E-4</v>
      </c>
      <c r="G36" s="285">
        <f t="shared" si="16"/>
        <v>7409.8244117330041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0">
        <f t="shared" si="21"/>
        <v>7893.6321900167877</v>
      </c>
      <c r="T36" s="9">
        <f t="shared" si="18"/>
        <v>3.2256993829988184E-4</v>
      </c>
      <c r="U36" s="285">
        <f t="shared" si="19"/>
        <v>20099.148716825774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19013.547027445118</v>
      </c>
      <c r="F37" s="9">
        <f t="shared" si="14"/>
        <v>1.5534765922205952E-4</v>
      </c>
      <c r="G37" s="285">
        <f t="shared" si="16"/>
        <v>56160.504450983848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0">
        <f t="shared" si="21"/>
        <v>44309.506683915752</v>
      </c>
      <c r="T37" s="9">
        <f t="shared" si="18"/>
        <v>6.6660864570048056E-5</v>
      </c>
      <c r="U37" s="285">
        <f t="shared" si="19"/>
        <v>130877.43406062017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127662.01418269434</v>
      </c>
      <c r="F38" s="9">
        <f t="shared" si="14"/>
        <v>2.575587694422229E-5</v>
      </c>
      <c r="G38" s="285">
        <f t="shared" si="16"/>
        <v>419758.71905504353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0">
        <f t="shared" si="21"/>
        <v>255128.70704625972</v>
      </c>
      <c r="T38" s="9">
        <f t="shared" si="18"/>
        <v>1.2887797558370608E-5</v>
      </c>
      <c r="U38" s="285">
        <f t="shared" si="19"/>
        <v>838875.21240773855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870256.79342675768</v>
      </c>
      <c r="F39" s="9">
        <f t="shared" si="14"/>
        <v>4.0898422506733098E-6</v>
      </c>
      <c r="G39" s="285">
        <f t="shared" si="16"/>
        <v>3097429.2948457603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0">
        <f t="shared" si="21"/>
        <v>1490871.9958527763</v>
      </c>
      <c r="T39" s="9">
        <f t="shared" si="18"/>
        <v>2.3873364129134136E-6</v>
      </c>
      <c r="U39" s="285">
        <f t="shared" si="19"/>
        <v>5306330.9929889152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5986590.2045426108</v>
      </c>
      <c r="F40" s="9">
        <f t="shared" si="14"/>
        <v>6.3087285264992717E-7</v>
      </c>
      <c r="G40" s="285">
        <f t="shared" si="16"/>
        <v>22610017.629639111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0">
        <f t="shared" si="21"/>
        <v>8790910.1878364254</v>
      </c>
      <c r="T40" s="9">
        <f t="shared" si="18"/>
        <v>4.2962300368074047E-7</v>
      </c>
      <c r="U40" s="285">
        <f t="shared" si="19"/>
        <v>33201309.516180851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41418767.692312405</v>
      </c>
      <c r="F41" s="9">
        <f t="shared" si="14"/>
        <v>9.5357769445272047E-8</v>
      </c>
      <c r="G41" s="285">
        <f t="shared" si="16"/>
        <v>163587618.73482838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0">
        <f t="shared" si="21"/>
        <v>52132223.402504146</v>
      </c>
      <c r="T41" s="9">
        <f t="shared" si="18"/>
        <v>7.5761228709096099E-8</v>
      </c>
      <c r="U41" s="285">
        <f t="shared" si="19"/>
        <v>205901497.33862394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287630140.52524394</v>
      </c>
      <c r="F42" s="10">
        <f t="shared" si="14"/>
        <v>1.4204475720406821E-8</v>
      </c>
      <c r="G42" s="286">
        <f t="shared" si="16"/>
        <v>1175151869.1501436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1">
        <f t="shared" si="21"/>
        <v>310310855.12099457</v>
      </c>
      <c r="T42" s="10">
        <f t="shared" si="18"/>
        <v>1.3166266278229237E-8</v>
      </c>
      <c r="U42" s="286">
        <f t="shared" si="19"/>
        <v>1267816998.4101908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34.43065747220021</v>
      </c>
      <c r="F45" s="8">
        <f t="shared" ref="F45:F54" si="24">U7/E45</f>
        <v>2.2939743541265559E-2</v>
      </c>
      <c r="G45" s="284">
        <f>E45*U7</f>
        <v>27.194381766644838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9">
        <f>R45/R7</f>
        <v>120.50730115270072</v>
      </c>
      <c r="T45" s="8">
        <f>U7/S45</f>
        <v>6.5542124403615886E-3</v>
      </c>
      <c r="U45" s="287">
        <f>S45*U7</f>
        <v>95.180336183256927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141.81960543260379</v>
      </c>
      <c r="F46" s="9">
        <f t="shared" si="24"/>
        <v>1.0386374103430079E-2</v>
      </c>
      <c r="G46" s="285">
        <f t="shared" ref="G46:G54" si="26">E46*U8</f>
        <v>208.89907010547714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0">
        <f t="shared" ref="S46:S54" si="28">R46/R8</f>
        <v>523.64162005884475</v>
      </c>
      <c r="T46" s="9">
        <f t="shared" ref="T46:T54" si="29">U8/S46</f>
        <v>2.8129763196789799E-3</v>
      </c>
      <c r="U46" s="285">
        <f t="shared" ref="U46:U54" si="30">S46*U8</f>
        <v>771.3196434663771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1296.1169567863749</v>
      </c>
      <c r="F47" s="9">
        <f t="shared" si="24"/>
        <v>1.5860997201533019E-3</v>
      </c>
      <c r="G47" s="285">
        <f t="shared" si="26"/>
        <v>2664.5193185480443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0">
        <f t="shared" si="28"/>
        <v>4825.3526193734788</v>
      </c>
      <c r="T47" s="9">
        <f t="shared" si="29"/>
        <v>4.2603533971611354E-4</v>
      </c>
      <c r="U47" s="285">
        <f t="shared" si="30"/>
        <v>9919.818736887466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13713.821823208889</v>
      </c>
      <c r="F48" s="9">
        <f t="shared" si="24"/>
        <v>1.8567022973759776E-4</v>
      </c>
      <c r="G48" s="285">
        <f t="shared" si="26"/>
        <v>34918.79754029178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0">
        <f t="shared" si="28"/>
        <v>51108.540216468144</v>
      </c>
      <c r="T48" s="9">
        <f t="shared" si="29"/>
        <v>4.982041039934118E-5</v>
      </c>
      <c r="U48" s="285">
        <f t="shared" si="30"/>
        <v>130135.0412310609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153554.24752154088</v>
      </c>
      <c r="F49" s="9">
        <f t="shared" si="24"/>
        <v>1.9235612637858129E-5</v>
      </c>
      <c r="G49" s="285">
        <f t="shared" si="26"/>
        <v>453554.72016626404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0">
        <f t="shared" si="28"/>
        <v>572330.84516190435</v>
      </c>
      <c r="T49" s="9">
        <f t="shared" si="29"/>
        <v>5.1608436784262152E-6</v>
      </c>
      <c r="U49" s="285">
        <f t="shared" si="30"/>
        <v>1690499.3545262504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1767351.9347172035</v>
      </c>
      <c r="F50" s="9">
        <f t="shared" si="24"/>
        <v>1.8604371111106183E-6</v>
      </c>
      <c r="G50" s="285">
        <f t="shared" si="26"/>
        <v>5811136.4526544642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0">
        <f t="shared" si="28"/>
        <v>6587393.7875223439</v>
      </c>
      <c r="T50" s="9">
        <f t="shared" si="29"/>
        <v>4.9914233668088316E-7</v>
      </c>
      <c r="U50" s="285">
        <f t="shared" si="30"/>
        <v>21659661.222361989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20653275.814054489</v>
      </c>
      <c r="F51" s="9">
        <f t="shared" si="24"/>
        <v>1.723316453397768E-7</v>
      </c>
      <c r="G51" s="285">
        <f t="shared" si="26"/>
        <v>73509407.825571656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0">
        <f t="shared" si="28"/>
        <v>76980381.583653539</v>
      </c>
      <c r="T51" s="9">
        <f t="shared" si="29"/>
        <v>4.6235325539721828E-8</v>
      </c>
      <c r="U51" s="285">
        <f t="shared" si="30"/>
        <v>273989575.08474904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243558796.02411142</v>
      </c>
      <c r="F52" s="9">
        <f t="shared" si="24"/>
        <v>1.550663454426019E-8</v>
      </c>
      <c r="G52" s="285">
        <f t="shared" si="26"/>
        <v>919867317.42223418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0">
        <f t="shared" si="28"/>
        <v>907810046.5792532</v>
      </c>
      <c r="T52" s="9">
        <f t="shared" si="29"/>
        <v>4.1603166369630931E-9</v>
      </c>
      <c r="U52" s="285">
        <f t="shared" si="30"/>
        <v>3428596322.1510701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2888714382.029707</v>
      </c>
      <c r="F53" s="9">
        <f t="shared" si="24"/>
        <v>1.3672522714189857E-9</v>
      </c>
      <c r="G53" s="285">
        <f t="shared" si="26"/>
        <v>11409270079.491064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0">
        <f t="shared" si="28"/>
        <v>10767026320.423141</v>
      </c>
      <c r="T53" s="9">
        <f t="shared" si="29"/>
        <v>3.6682378056595947E-10</v>
      </c>
      <c r="U53" s="285">
        <f t="shared" si="30"/>
        <v>42525461155.62394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34389433407.658234</v>
      </c>
      <c r="F54" s="10">
        <f t="shared" si="24"/>
        <v>1.1880496253358431E-10</v>
      </c>
      <c r="G54" s="286">
        <f t="shared" si="26"/>
        <v>140502684712.47757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1">
        <f t="shared" si="28"/>
        <v>128178797232.84094</v>
      </c>
      <c r="T54" s="10">
        <f t="shared" si="29"/>
        <v>3.1874502146609631E-11</v>
      </c>
      <c r="U54" s="286">
        <f t="shared" si="30"/>
        <v>523691824780.68646</v>
      </c>
    </row>
  </sheetData>
  <mergeCells count="2">
    <mergeCell ref="A18:F18"/>
    <mergeCell ref="O18:T18"/>
  </mergeCells>
  <conditionalFormatting sqref="E33:E42">
    <cfRule type="cellIs" dxfId="660" priority="59" stopIfTrue="1" operator="lessThan">
      <formula>0</formula>
    </cfRule>
    <cfRule type="cellIs" dxfId="659" priority="60" operator="equal">
      <formula>MIN($E$33:$E$42)</formula>
    </cfRule>
  </conditionalFormatting>
  <conditionalFormatting sqref="F45:F54">
    <cfRule type="cellIs" dxfId="658" priority="47" operator="equal">
      <formula>MAX($F$45:$F$54)</formula>
    </cfRule>
  </conditionalFormatting>
  <conditionalFormatting sqref="F21:F30">
    <cfRule type="cellIs" dxfId="657" priority="45" operator="equal">
      <formula>MAX($F$21:$F$30)</formula>
    </cfRule>
  </conditionalFormatting>
  <conditionalFormatting sqref="E21:E30">
    <cfRule type="cellIs" dxfId="656" priority="41" stopIfTrue="1" operator="lessThan">
      <formula>0</formula>
    </cfRule>
    <cfRule type="cellIs" dxfId="655" priority="42" operator="equal">
      <formula>MIN($E$21:$E$30)</formula>
    </cfRule>
  </conditionalFormatting>
  <conditionalFormatting sqref="E45:E54">
    <cfRule type="cellIs" dxfId="654" priority="37" stopIfTrue="1" operator="lessThan">
      <formula>0</formula>
    </cfRule>
    <cfRule type="cellIs" dxfId="653" priority="38" operator="equal">
      <formula>MIN($E$45:$E$54)</formula>
    </cfRule>
  </conditionalFormatting>
  <conditionalFormatting sqref="F33:F42">
    <cfRule type="cellIs" dxfId="652" priority="23" operator="lessThanOrEqual">
      <formula>0</formula>
    </cfRule>
    <cfRule type="cellIs" dxfId="651" priority="24" operator="equal">
      <formula>MAX($F$33:$F$42)</formula>
    </cfRule>
  </conditionalFormatting>
  <conditionalFormatting sqref="R7:R16">
    <cfRule type="cellIs" dxfId="650" priority="17" operator="lessThanOrEqual">
      <formula>0</formula>
    </cfRule>
    <cfRule type="cellIs" dxfId="649" priority="18" operator="greaterThan">
      <formula>0</formula>
    </cfRule>
  </conditionalFormatting>
  <conditionalFormatting sqref="S7:T16">
    <cfRule type="cellIs" dxfId="648" priority="11" operator="lessThanOrEqual">
      <formula>0</formula>
    </cfRule>
    <cfRule type="cellIs" dxfId="647" priority="12" operator="greaterThan">
      <formula>0</formula>
    </cfRule>
  </conditionalFormatting>
  <conditionalFormatting sqref="U7:U16">
    <cfRule type="cellIs" dxfId="646" priority="13" operator="lessThanOrEqual">
      <formula>0</formula>
    </cfRule>
    <cfRule type="cellIs" dxfId="645" priority="14" operator="greaterThan">
      <formula>0</formula>
    </cfRule>
  </conditionalFormatting>
  <conditionalFormatting sqref="S21:S30">
    <cfRule type="cellIs" dxfId="644" priority="9" stopIfTrue="1" operator="lessThan">
      <formula>0</formula>
    </cfRule>
    <cfRule type="cellIs" dxfId="643" priority="10" operator="equal">
      <formula>MIN($E$21:$E$30)</formula>
    </cfRule>
  </conditionalFormatting>
  <conditionalFormatting sqref="T21:T30">
    <cfRule type="cellIs" dxfId="642" priority="7" operator="equal">
      <formula>MAX($T$21:$T$30)</formula>
    </cfRule>
  </conditionalFormatting>
  <conditionalFormatting sqref="S33:S42">
    <cfRule type="cellIs" dxfId="641" priority="5" stopIfTrue="1" operator="lessThan">
      <formula>0</formula>
    </cfRule>
    <cfRule type="cellIs" dxfId="640" priority="6" operator="equal">
      <formula>MIN($E$21:$E$30)</formula>
    </cfRule>
  </conditionalFormatting>
  <conditionalFormatting sqref="T33:T42">
    <cfRule type="cellIs" dxfId="639" priority="4" operator="equal">
      <formula>MAX($T$21:$T$30)</formula>
    </cfRule>
  </conditionalFormatting>
  <conditionalFormatting sqref="S45:S54">
    <cfRule type="cellIs" dxfId="638" priority="2" stopIfTrue="1" operator="lessThan">
      <formula>0</formula>
    </cfRule>
    <cfRule type="cellIs" dxfId="637" priority="3" operator="equal">
      <formula>MIN($E$21:$E$30)</formula>
    </cfRule>
  </conditionalFormatting>
  <conditionalFormatting sqref="T45:T54">
    <cfRule type="cellIs" dxfId="636" priority="1" operator="equal">
      <formula>MAX($T$21:$T$30)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W54"/>
  <sheetViews>
    <sheetView topLeftCell="A16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Analysis!B14</f>
        <v>0.5917672039775248</v>
      </c>
      <c r="D2" s="149" t="s">
        <v>126</v>
      </c>
      <c r="E2" s="155">
        <f>Analysis!J14</f>
        <v>0.40823279602247559</v>
      </c>
      <c r="F2" s="149" t="s">
        <v>47</v>
      </c>
      <c r="G2" s="155">
        <f>Analysis!S14</f>
        <v>5.5810430671027076</v>
      </c>
      <c r="H2" t="s">
        <v>155</v>
      </c>
      <c r="I2" s="169">
        <f>Analysis!T14</f>
        <v>-5.6433076083876363</v>
      </c>
      <c r="J2" t="s">
        <v>48</v>
      </c>
      <c r="K2" s="169">
        <f>C2*G2+E2*I2</f>
        <v>0.99889500731052427</v>
      </c>
      <c r="L2" t="s">
        <v>47</v>
      </c>
      <c r="M2" s="176">
        <v>1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0.5917672039775248</v>
      </c>
      <c r="C4" t="s">
        <v>124</v>
      </c>
      <c r="D4">
        <f>$E$2</f>
        <v>0.40823279602247559</v>
      </c>
      <c r="E4" t="s">
        <v>47</v>
      </c>
      <c r="F4">
        <f>G2</f>
        <v>5.5810430671027076</v>
      </c>
      <c r="G4" t="s">
        <v>155</v>
      </c>
      <c r="H4">
        <f>I2</f>
        <v>-5.6433076083876363</v>
      </c>
      <c r="I4" t="s">
        <v>48</v>
      </c>
      <c r="J4">
        <f>K2</f>
        <v>0.99889500731052427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0.5917672039775248</v>
      </c>
      <c r="C7" s="95">
        <v>1</v>
      </c>
      <c r="D7" s="109">
        <f>C7*D4</f>
        <v>0.40823279602247559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1.0000000000000004</v>
      </c>
      <c r="R7" s="187">
        <f>B7-D7</f>
        <v>0.18353440795504922</v>
      </c>
      <c r="S7" s="109">
        <f>SUM(C7)*$B$4*$F$4</f>
        <v>3.3026782510975186</v>
      </c>
      <c r="T7" s="57">
        <f>SUM(C7)*$D$4*$H$4</f>
        <v>-2.3037832437869943</v>
      </c>
      <c r="U7" s="263">
        <f>S7+T7</f>
        <v>0.99889500731052427</v>
      </c>
      <c r="V7" s="109">
        <f>(U7+W7*D7)/B7</f>
        <v>2.3778401267847928</v>
      </c>
      <c r="W7" s="57">
        <f>COUNT(D7:M7)</f>
        <v>1</v>
      </c>
    </row>
    <row r="8" spans="1:23" x14ac:dyDescent="0.2">
      <c r="A8" s="99">
        <v>2</v>
      </c>
      <c r="B8" s="97">
        <f>C8*B4</f>
        <v>0.78026192910508452</v>
      </c>
      <c r="C8" s="97">
        <f>1/(1-B4*D4)</f>
        <v>1.3185285089484593</v>
      </c>
      <c r="D8" s="93">
        <f>C8*D4</f>
        <v>0.53826657984337523</v>
      </c>
      <c r="E8" s="1">
        <f>D8*D4</f>
        <v>0.21973807089491618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1.0000000000000007</v>
      </c>
      <c r="R8" s="188">
        <f>B8-E8</f>
        <v>0.56052385821016837</v>
      </c>
      <c r="S8" s="93">
        <f>SUM(C8:D8)*$B$4*$F$4</f>
        <v>6.132396756497478</v>
      </c>
      <c r="T8" s="9">
        <f>SUM(C8:D8)*$D$4*$H$4</f>
        <v>-4.2776534127046126</v>
      </c>
      <c r="U8" s="264">
        <f>S8+T8</f>
        <v>1.8547433437928653</v>
      </c>
      <c r="V8" s="93">
        <f>(U8+W8*E8)/B8</f>
        <v>2.9403196542141115</v>
      </c>
      <c r="W8" s="9">
        <f>COUNT(D8:M8)</f>
        <v>2</v>
      </c>
    </row>
    <row r="9" spans="1:23" x14ac:dyDescent="0.2">
      <c r="A9" s="99">
        <v>3</v>
      </c>
      <c r="B9" s="97">
        <f>C9*B4</f>
        <v>0.86836677945896423</v>
      </c>
      <c r="C9" s="97">
        <f>1/(1-D4*B4/(1-D4*B4))</f>
        <v>1.4674128164289832</v>
      </c>
      <c r="D9" s="93">
        <f>C9*D4*C8</f>
        <v>0.7898592779175635</v>
      </c>
      <c r="E9" s="1">
        <f>D9*(D4)</f>
        <v>0.32244646148858053</v>
      </c>
      <c r="F9" s="1">
        <f>E9*D4</f>
        <v>0.13163322054103671</v>
      </c>
      <c r="G9" s="1"/>
      <c r="H9" s="1"/>
      <c r="I9" s="1"/>
      <c r="J9" s="1"/>
      <c r="K9" s="1"/>
      <c r="L9" s="1"/>
      <c r="M9" s="260"/>
      <c r="N9" s="97">
        <f>B9+F9</f>
        <v>1.0000000000000009</v>
      </c>
      <c r="R9" s="188">
        <f>B9-F9</f>
        <v>0.73673355891792758</v>
      </c>
      <c r="S9" s="93">
        <f>SUM(C9:E9)*$B$4*$F$4</f>
        <v>8.5199803683093744</v>
      </c>
      <c r="T9" s="9">
        <f>SUM(C9:E9)*$D$4*$H$4</f>
        <v>-5.9431123826193506</v>
      </c>
      <c r="U9" s="264">
        <f t="shared" ref="U9:U16" si="0">S9+T9</f>
        <v>2.5768679856900238</v>
      </c>
      <c r="V9" s="93">
        <f>(U9+W9*F9)/B9</f>
        <v>3.4222493508615028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0.91675190101988369</v>
      </c>
      <c r="C10" s="97">
        <f>1/(1-D4*B4/(1-D4*B4/(1-D4*B4)))</f>
        <v>1.5491765931906929</v>
      </c>
      <c r="D10" s="93">
        <f>C10*D4*C9</f>
        <v>0.92802809871760072</v>
      </c>
      <c r="E10" s="1">
        <f>D10*D4*C8</f>
        <v>0.49952651069527321</v>
      </c>
      <c r="F10" s="1">
        <f>E10*D4</f>
        <v>0.20392310414848244</v>
      </c>
      <c r="G10" s="1">
        <f>F10*D4</f>
        <v>8.324809898011748E-2</v>
      </c>
      <c r="H10" s="1"/>
      <c r="I10" s="1"/>
      <c r="J10" s="1"/>
      <c r="K10" s="1"/>
      <c r="L10" s="1"/>
      <c r="M10" s="260"/>
      <c r="N10" s="97">
        <f>B10+G10</f>
        <v>1.0000000000000011</v>
      </c>
      <c r="R10" s="188">
        <f>B10-G10</f>
        <v>0.83350380203976626</v>
      </c>
      <c r="S10" s="93">
        <f>SUM(C10:F10)*$B$4*$F$4</f>
        <v>10.504677803169649</v>
      </c>
      <c r="T10" s="9">
        <f>SUM(C10:F10)*$D$4*$H$4</f>
        <v>-7.32753809617431</v>
      </c>
      <c r="U10" s="264">
        <f t="shared" si="0"/>
        <v>3.1771397069953391</v>
      </c>
      <c r="V10" s="93">
        <f>(U10+W10*G10)/B10</f>
        <v>3.8288790009715798</v>
      </c>
      <c r="W10" s="9">
        <f t="shared" si="1"/>
        <v>4</v>
      </c>
    </row>
    <row r="11" spans="1:23" x14ac:dyDescent="0.2">
      <c r="A11" s="99">
        <v>5</v>
      </c>
      <c r="B11" s="97">
        <f>C11*B4</f>
        <v>0.94568996243313697</v>
      </c>
      <c r="C11" s="97">
        <f>1/(1-D4*B4/(1-D4*B4/(1-D4*B4/(1-D4*B4))))</f>
        <v>1.5980776833808013</v>
      </c>
      <c r="D11" s="93">
        <f>C11*D4*C10</f>
        <v>1.010663786977144</v>
      </c>
      <c r="E11" s="1">
        <f>D11*D4*C9</f>
        <v>0.6054341362977701</v>
      </c>
      <c r="F11" s="1">
        <f>E11*D4*C8</f>
        <v>0.32588496186542859</v>
      </c>
      <c r="G11" s="1">
        <f>F11*D4</f>
        <v>0.13303692916400175</v>
      </c>
      <c r="H11" s="1">
        <f>G11*D4</f>
        <v>5.4310037566864464E-2</v>
      </c>
      <c r="I11" s="1"/>
      <c r="J11" s="1"/>
      <c r="K11" s="1"/>
      <c r="L11" s="1"/>
      <c r="M11" s="260"/>
      <c r="N11" s="97">
        <f>B11+H11</f>
        <v>1.0000000000000013</v>
      </c>
      <c r="R11" s="188">
        <f>B11-H11</f>
        <v>0.89137992486627249</v>
      </c>
      <c r="S11" s="93">
        <f>SUM(C11:G11)*$B$4*$F$4</f>
        <v>12.131059219765449</v>
      </c>
      <c r="T11" s="9">
        <f>SUM(C11:G11)*$D$4*$H$4</f>
        <v>-8.4620204679629776</v>
      </c>
      <c r="U11" s="264">
        <f t="shared" si="0"/>
        <v>3.6690387518024714</v>
      </c>
      <c r="V11" s="93">
        <f>(U11+W11*H11)/B11</f>
        <v>4.166893058162711</v>
      </c>
      <c r="W11" s="9">
        <f t="shared" si="1"/>
        <v>5</v>
      </c>
    </row>
    <row r="12" spans="1:23" x14ac:dyDescent="0.2">
      <c r="A12" s="99">
        <v>6</v>
      </c>
      <c r="B12" s="97">
        <f>C12*B4</f>
        <v>0.96388702748395172</v>
      </c>
      <c r="C12" s="97">
        <f>1/(1-D4*B4/(1-D4*B4/(1-D4*B4/(1-D4*B4/(1-D4*B4)))))</f>
        <v>1.6288280611112744</v>
      </c>
      <c r="D12" s="93">
        <f>C12*D4*C11</f>
        <v>1.0626274266039881</v>
      </c>
      <c r="E12" s="1">
        <f>D12*D4*C10</f>
        <v>0.67203182316228693</v>
      </c>
      <c r="F12" s="1">
        <f>E12*D4*C9</f>
        <v>0.40257800038310493</v>
      </c>
      <c r="G12" s="1">
        <f>F12*D4*C8</f>
        <v>0.2166942833863989</v>
      </c>
      <c r="H12" s="1">
        <f>G12*D4</f>
        <v>8.8461713188916297E-2</v>
      </c>
      <c r="I12" s="1">
        <f>H12*D4</f>
        <v>3.6112972516049606E-2</v>
      </c>
      <c r="J12" s="1"/>
      <c r="K12" s="1"/>
      <c r="L12" s="1"/>
      <c r="M12" s="260"/>
      <c r="N12" s="97">
        <f>B12+I12</f>
        <v>1.0000000000000013</v>
      </c>
      <c r="R12" s="188">
        <f>B12-I12</f>
        <v>0.92777405496790211</v>
      </c>
      <c r="S12" s="93">
        <f>SUM(C12:H12)*$B$4*$F$4</f>
        <v>13.445934068794651</v>
      </c>
      <c r="T12" s="9">
        <f>SUM(C12:H12)*$D$4*$H$4</f>
        <v>-9.3792114307410781</v>
      </c>
      <c r="U12" s="264">
        <f t="shared" si="0"/>
        <v>4.066722638053573</v>
      </c>
      <c r="V12" s="93">
        <f>(U12+W12*I12)/B12</f>
        <v>4.4438822714845463</v>
      </c>
      <c r="W12" s="9">
        <f t="shared" si="1"/>
        <v>6</v>
      </c>
    </row>
    <row r="13" spans="1:23" x14ac:dyDescent="0.2">
      <c r="A13" s="99">
        <v>7</v>
      </c>
      <c r="B13" s="97">
        <f>C13*B4</f>
        <v>0.97569288726548686</v>
      </c>
      <c r="C13" s="97">
        <f>1/(1-D4*B4/(1-D4*B4/(1-D4*B4/(1-D4*B4/(1-D4*B4/(1-D4*B4))))))</f>
        <v>1.6487782369611403</v>
      </c>
      <c r="D13" s="93">
        <f>C13*D4*C12</f>
        <v>1.0963403051071765</v>
      </c>
      <c r="E13" s="1">
        <f>D13*D4*C11</f>
        <v>0.71523895303193852</v>
      </c>
      <c r="F13" s="1">
        <f>E13*D4*C10</f>
        <v>0.45233477469979605</v>
      </c>
      <c r="G13" s="1">
        <f>F13*D4*C9</f>
        <v>0.27096935416763951</v>
      </c>
      <c r="H13" s="1">
        <f>G13*D4*C8</f>
        <v>0.14585374751018357</v>
      </c>
      <c r="I13" s="1">
        <f>H13*D4</f>
        <v>5.9542283156438426E-2</v>
      </c>
      <c r="J13" s="1">
        <f>I13*D4</f>
        <v>2.4307112734514812E-2</v>
      </c>
      <c r="K13" s="1"/>
      <c r="L13" s="1"/>
      <c r="M13" s="260"/>
      <c r="N13" s="97">
        <f>B13+J13</f>
        <v>1.0000000000000018</v>
      </c>
      <c r="R13" s="188">
        <f>B13-J13</f>
        <v>0.95138577453097206</v>
      </c>
      <c r="S13" s="93">
        <f>SUM(C13:I13)*$B$4*$F$4</f>
        <v>14.495645258773827</v>
      </c>
      <c r="T13" s="9">
        <f>SUM(C13:I13)*$D$4*$H$4</f>
        <v>-10.111437480761573</v>
      </c>
      <c r="U13" s="264">
        <f t="shared" si="0"/>
        <v>4.3842077780122537</v>
      </c>
      <c r="V13" s="93">
        <f>(U13+W13*J13)/B13</f>
        <v>4.6678187640765421</v>
      </c>
      <c r="W13" s="9">
        <f t="shared" si="1"/>
        <v>7</v>
      </c>
    </row>
    <row r="14" spans="1:23" x14ac:dyDescent="0.2">
      <c r="A14" s="99">
        <v>8</v>
      </c>
      <c r="B14" s="97">
        <f>C14*B4</f>
        <v>0.98350818880030089</v>
      </c>
      <c r="C14" s="97">
        <f>1/(1-D4*B4/(1-D4*B4/(1-D4*B4/(1-D4*B4/(1-D4*B4/(1-D4*B4/(1-D4*B4)))))))</f>
        <v>1.66198495318719</v>
      </c>
      <c r="D14" s="93">
        <f>C14*D4*C13</f>
        <v>1.1186577234049151</v>
      </c>
      <c r="E14" s="1">
        <f>D14*D4*C12</f>
        <v>0.74384142287605259</v>
      </c>
      <c r="F14" s="1">
        <f>E14*D4*C11</f>
        <v>0.48527301061657624</v>
      </c>
      <c r="G14" s="1">
        <f>F14*D4*C10</f>
        <v>0.30689863435799036</v>
      </c>
      <c r="H14" s="1">
        <f>G14*D4*C9</f>
        <v>0.18384641066366519</v>
      </c>
      <c r="I14" s="1">
        <f>H14*D4*C8</f>
        <v>9.8958378684411707E-2</v>
      </c>
      <c r="J14" s="1">
        <f>I14*D4</f>
        <v>4.039805562018834E-2</v>
      </c>
      <c r="K14" s="1">
        <f>J14*D4</f>
        <v>1.649181119970097E-2</v>
      </c>
      <c r="L14" s="1"/>
      <c r="M14" s="260"/>
      <c r="N14" s="97">
        <f>B14+K14</f>
        <v>1.0000000000000018</v>
      </c>
      <c r="R14" s="188">
        <f>B14-K14</f>
        <v>0.96701637760059989</v>
      </c>
      <c r="S14" s="93">
        <f>SUM(C14:J14)*$B$4*$F$4</f>
        <v>15.323960051415684</v>
      </c>
      <c r="T14" s="9">
        <f>SUM(C14:J14)*$D$4*$H$4</f>
        <v>-10.689228471826196</v>
      </c>
      <c r="U14" s="264">
        <f t="shared" si="0"/>
        <v>4.6347315795894879</v>
      </c>
      <c r="V14" s="93">
        <f>(U14+W14*K14)/B14</f>
        <v>4.8465952022235337</v>
      </c>
      <c r="W14" s="9">
        <f t="shared" si="1"/>
        <v>8</v>
      </c>
    </row>
    <row r="15" spans="1:23" x14ac:dyDescent="0.2">
      <c r="A15" s="99">
        <v>9</v>
      </c>
      <c r="B15" s="97">
        <f>C15*B4</f>
        <v>0.98875104169131489</v>
      </c>
      <c r="C15" s="97">
        <f>1/(1-D4*B4/(1-D4*B4/(1-D4*B4/(1-D4*B4/(1-D4*B4/(1-D4*B4/(1-D4*B4/(1-D4*B4))))))))</f>
        <v>1.67084460755089</v>
      </c>
      <c r="D15" s="93">
        <f>C15*D4*C14</f>
        <v>1.1336292431244106</v>
      </c>
      <c r="E15" s="1">
        <f>D15*D4*C13</f>
        <v>0.76302923553361357</v>
      </c>
      <c r="F15" s="1">
        <f>E15*D4*C12</f>
        <v>0.50736944856358734</v>
      </c>
      <c r="G15" s="1">
        <f>F15*D4*C11</f>
        <v>0.33100159822687225</v>
      </c>
      <c r="H15" s="1">
        <f>G15*D4*C10</f>
        <v>0.20933358386667575</v>
      </c>
      <c r="I15" s="1">
        <f>H15*D4*C9</f>
        <v>0.12540045382006335</v>
      </c>
      <c r="J15" s="1">
        <f>I15*D4*C8</f>
        <v>6.7498873388532624E-2</v>
      </c>
      <c r="K15" s="1">
        <f>J15*D4</f>
        <v>2.7555253811767745E-2</v>
      </c>
      <c r="L15" s="1">
        <f>K15*D4</f>
        <v>1.1248958308686925E-2</v>
      </c>
      <c r="M15" s="260"/>
      <c r="N15" s="97">
        <f>B15+L15</f>
        <v>1.0000000000000018</v>
      </c>
      <c r="R15" s="188">
        <f>B15-L15</f>
        <v>0.97750208338262801</v>
      </c>
      <c r="S15" s="93">
        <f>SUM(C15:K15)*$B$4*$F$4</f>
        <v>15.970636700881705</v>
      </c>
      <c r="T15" s="9">
        <f>SUM(C15:K15)*$D$4*$H$4</f>
        <v>-11.140317774483231</v>
      </c>
      <c r="U15" s="264">
        <f t="shared" si="0"/>
        <v>4.8303189263984745</v>
      </c>
      <c r="V15" s="93">
        <f>(U15+W15*L15)/B15</f>
        <v>4.9876655934955521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0.99229962046283227</v>
      </c>
      <c r="C16" s="145">
        <f>1/(1-D4*B4/(1-D4*B4/(1-D4*B4/(1-D4*B4/(1-D4*B4/(1-D4*B4/(1-D4*B4/(1-D4*B4/(1-D4*B4)))))))))</f>
        <v>1.6768411865225967</v>
      </c>
      <c r="D16" s="94">
        <f>C16*D4*C15</f>
        <v>1.1437625842954</v>
      </c>
      <c r="E16" s="111">
        <f>D16*D4*C14</f>
        <v>0.77601633741953024</v>
      </c>
      <c r="F16" s="111">
        <f>E16*D4*C13</f>
        <v>0.52232522784156532</v>
      </c>
      <c r="G16" s="111">
        <f>F16*D4*C12</f>
        <v>0.34731547689059761</v>
      </c>
      <c r="H16" s="111">
        <f>G16*D4*C11</f>
        <v>0.22658435241850838</v>
      </c>
      <c r="I16" s="111">
        <f>H16*D4*C10</f>
        <v>0.14329753932899744</v>
      </c>
      <c r="J16" s="111">
        <f>I16*D4*C9</f>
        <v>8.5841823042591428E-2</v>
      </c>
      <c r="K16" s="111">
        <f>J16*D4*C8</f>
        <v>4.6205784496655924E-2</v>
      </c>
      <c r="L16" s="111">
        <f>K16*D4</f>
        <v>1.8862716597481802E-2</v>
      </c>
      <c r="M16" s="262">
        <f>L16*D4</f>
        <v>7.700379537169553E-3</v>
      </c>
      <c r="N16" s="145">
        <f>B16+M16</f>
        <v>1.0000000000000018</v>
      </c>
      <c r="R16" s="189">
        <f>B16-M16</f>
        <v>0.98459924092566276</v>
      </c>
      <c r="S16" s="94">
        <f>SUM(C16:L16)*$B$4*$F$4</f>
        <v>16.470631575465863</v>
      </c>
      <c r="T16" s="10">
        <f>SUM(C16:L16)*$D$4*$H$4</f>
        <v>-11.489089203750851</v>
      </c>
      <c r="U16" s="265">
        <f t="shared" si="0"/>
        <v>4.9815423717150118</v>
      </c>
      <c r="V16" s="94">
        <f>(U16+W16*M16)/B16</f>
        <v>5.0978011709077142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38.139987362557228</v>
      </c>
      <c r="F21" s="8">
        <f t="shared" ref="F21:F30" si="4">U7/E21</f>
        <v>2.6190229110855948E-2</v>
      </c>
      <c r="G21" s="284">
        <f>E21*U7</f>
        <v>38.097842955344909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9">
        <f>R21/R7</f>
        <v>152.55994945022891</v>
      </c>
      <c r="T21" s="8">
        <f>U7/S21</f>
        <v>6.5475572777139871E-3</v>
      </c>
      <c r="U21" s="284">
        <f>S21*U7</f>
        <v>152.39137182137964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99.906541318001857</v>
      </c>
      <c r="F22" s="9">
        <f t="shared" si="4"/>
        <v>1.8564783840221529E-2</v>
      </c>
      <c r="G22" s="285">
        <f t="shared" ref="G22:G30" si="5">E22*U8</f>
        <v>185.30099251093083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0">
        <f t="shared" ref="S22:S30" si="7">R22/R8</f>
        <v>437.09111826625809</v>
      </c>
      <c r="T22" s="9">
        <f>U8/S22</f>
        <v>4.243379163479207E-3</v>
      </c>
      <c r="U22" s="285">
        <f t="shared" ref="U22:U30" si="8">S22*U8</f>
        <v>810.69184223532227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541.57978168665011</v>
      </c>
      <c r="F23" s="9">
        <f t="shared" si="4"/>
        <v>4.7580579497721364E-3</v>
      </c>
      <c r="G23" s="285">
        <f t="shared" si="5"/>
        <v>1395.579601125321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0">
        <f t="shared" si="7"/>
        <v>2422.8569180718559</v>
      </c>
      <c r="T23" s="9">
        <f t="shared" ref="T23:T30" si="11">U9/S23</f>
        <v>1.063565894654948E-3</v>
      </c>
      <c r="U23" s="285">
        <f t="shared" si="8"/>
        <v>6243.3824260869624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3359.3128107487778</v>
      </c>
      <c r="F24" s="9">
        <f t="shared" si="4"/>
        <v>9.4577072335432996E-4</v>
      </c>
      <c r="G24" s="285">
        <f t="shared" si="5"/>
        <v>10673.006119248061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0">
        <f t="shared" si="7"/>
        <v>15100.111084315757</v>
      </c>
      <c r="T24" s="9">
        <f t="shared" si="11"/>
        <v>2.1040505525124137E-4</v>
      </c>
      <c r="U24" s="285">
        <f t="shared" si="8"/>
        <v>47975.162506020039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21996.232417890162</v>
      </c>
      <c r="F25" s="9">
        <f t="shared" si="4"/>
        <v>1.6680305436390724E-4</v>
      </c>
      <c r="G25" s="285">
        <f t="shared" si="5"/>
        <v>80705.029134892771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0">
        <f t="shared" si="7"/>
        <v>98963.413398876059</v>
      </c>
      <c r="T25" s="9">
        <f t="shared" si="11"/>
        <v>3.7074698879011599E-5</v>
      </c>
      <c r="U25" s="285">
        <f t="shared" si="8"/>
        <v>363100.59877112421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147941.19243262155</v>
      </c>
      <c r="F26" s="9">
        <f t="shared" si="4"/>
        <v>2.7488778285369872E-5</v>
      </c>
      <c r="G26" s="285">
        <f t="shared" si="5"/>
        <v>601635.79636638204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0">
        <f t="shared" si="7"/>
        <v>665712.73112543335</v>
      </c>
      <c r="T26" s="9">
        <f t="shared" si="11"/>
        <v>6.1088250951405083E-6</v>
      </c>
      <c r="U26" s="285">
        <f t="shared" si="8"/>
        <v>2707269.0341082714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1009894.2255823287</v>
      </c>
      <c r="F27" s="9">
        <f t="shared" si="4"/>
        <v>4.341254427397301E-6</v>
      </c>
      <c r="G27" s="285">
        <f t="shared" si="5"/>
        <v>4427586.1187677076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0">
        <f t="shared" si="7"/>
        <v>4544498.263211363</v>
      </c>
      <c r="T27" s="9">
        <f t="shared" si="11"/>
        <v>9.6472867280053919E-7</v>
      </c>
      <c r="U27" s="285">
        <f t="shared" si="8"/>
        <v>19924024.632734437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6955001.1310954532</v>
      </c>
      <c r="F28" s="9">
        <f t="shared" si="4"/>
        <v>6.6638832866149239E-7</v>
      </c>
      <c r="G28" s="285">
        <f t="shared" si="5"/>
        <v>32234563.378368706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0">
        <f t="shared" si="7"/>
        <v>31297476.13488736</v>
      </c>
      <c r="T28" s="9">
        <f t="shared" si="11"/>
        <v>1.4808643226100725E-7</v>
      </c>
      <c r="U28" s="285">
        <f t="shared" si="8"/>
        <v>145055401.00381079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48162768.960126683</v>
      </c>
      <c r="F29" s="9">
        <f t="shared" si="4"/>
        <v>1.0029155363549449E-7</v>
      </c>
      <c r="G29" s="285">
        <f t="shared" si="5"/>
        <v>232641534.45585689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0">
        <f t="shared" si="7"/>
        <v>216732428.09557483</v>
      </c>
      <c r="T29" s="9">
        <f t="shared" si="11"/>
        <v>2.2287015232756939E-8</v>
      </c>
      <c r="U29" s="285">
        <f t="shared" si="8"/>
        <v>1046886749.3943516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334709232.24577355</v>
      </c>
      <c r="F30" s="10">
        <f t="shared" si="4"/>
        <v>1.4883193804636725E-8</v>
      </c>
      <c r="G30" s="286">
        <f t="shared" si="5"/>
        <v>1667368222.6365216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1">
        <f t="shared" si="7"/>
        <v>1506191509.5585232</v>
      </c>
      <c r="T30" s="10">
        <f t="shared" si="11"/>
        <v>3.307376479087405E-9</v>
      </c>
      <c r="U30" s="286">
        <f t="shared" si="8"/>
        <v>7503156824.7831793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38.139987362557228</v>
      </c>
      <c r="F33" s="8">
        <f t="shared" ref="F33:F42" si="14">U7/E33</f>
        <v>2.6190229110855948E-2</v>
      </c>
      <c r="G33" s="287">
        <f>E33*U7</f>
        <v>38.097842955344909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9">
        <f>R33/R7</f>
        <v>152.55994945022891</v>
      </c>
      <c r="T33" s="8">
        <f>U7/S33</f>
        <v>6.5475572777139871E-3</v>
      </c>
      <c r="U33" s="287">
        <f>S33*U7</f>
        <v>152.39137182137964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112.39485898275208</v>
      </c>
      <c r="F34" s="9">
        <f t="shared" si="14"/>
        <v>1.6502030080196916E-2</v>
      </c>
      <c r="G34" s="285">
        <f t="shared" ref="G34:G42" si="16">E34*U8</f>
        <v>208.46361657479716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0">
        <f>R34/R8</f>
        <v>449.57943593100833</v>
      </c>
      <c r="T34" s="9">
        <f t="shared" ref="T34:T42" si="18">U8/S34</f>
        <v>4.125507520049229E-3</v>
      </c>
      <c r="U34" s="285">
        <f t="shared" ref="U34:U42" si="19">S34*U8</f>
        <v>833.85446629918863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693.60217654606072</v>
      </c>
      <c r="F35" s="9">
        <f t="shared" si="14"/>
        <v>3.7151959333837229E-3</v>
      </c>
      <c r="G35" s="285">
        <f t="shared" si="16"/>
        <v>1787.3212435464638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0">
        <f t="shared" ref="S35:S42" si="21">R35/R9</f>
        <v>2508.3695151802744</v>
      </c>
      <c r="T35" s="9">
        <f t="shared" si="18"/>
        <v>1.0273079664280748E-3</v>
      </c>
      <c r="U35" s="285">
        <f t="shared" si="19"/>
        <v>6463.7370999488558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4912.9949857200872</v>
      </c>
      <c r="F36" s="9">
        <f t="shared" si="14"/>
        <v>6.4668083648159326E-4</v>
      </c>
      <c r="G36" s="285">
        <f t="shared" si="16"/>
        <v>15609.271449400288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0">
        <f t="shared" si="21"/>
        <v>15654.397698089304</v>
      </c>
      <c r="T36" s="9">
        <f t="shared" si="18"/>
        <v>2.0295509084856868E-4</v>
      </c>
      <c r="U36" s="285">
        <f t="shared" si="19"/>
        <v>49736.208515695966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36759.858603407301</v>
      </c>
      <c r="F37" s="9">
        <f t="shared" si="14"/>
        <v>9.981101373067809E-5</v>
      </c>
      <c r="G37" s="285">
        <f t="shared" si="16"/>
        <v>134873.34572668085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0">
        <f t="shared" si="21"/>
        <v>102622.90797464785</v>
      </c>
      <c r="T37" s="9">
        <f t="shared" si="18"/>
        <v>3.5752628961838394E-5</v>
      </c>
      <c r="U37" s="285">
        <f t="shared" si="19"/>
        <v>376527.42618164187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282550.4750820708</v>
      </c>
      <c r="F38" s="9">
        <f t="shared" si="14"/>
        <v>1.4392906743024713E-5</v>
      </c>
      <c r="G38" s="285">
        <f t="shared" si="16"/>
        <v>1149054.4134090494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0">
        <f t="shared" si="21"/>
        <v>690362.05159041565</v>
      </c>
      <c r="T38" s="9">
        <f t="shared" si="18"/>
        <v>5.8907099958418857E-6</v>
      </c>
      <c r="U38" s="285">
        <f t="shared" si="19"/>
        <v>2807510.9836558518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2204311.91651345</v>
      </c>
      <c r="F39" s="9">
        <f t="shared" si="14"/>
        <v>1.9889235026895535E-6</v>
      </c>
      <c r="G39" s="285">
        <f t="shared" si="16"/>
        <v>9664161.4495433643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0">
        <f t="shared" si="21"/>
        <v>4712805.3835053788</v>
      </c>
      <c r="T39" s="9">
        <f t="shared" si="18"/>
        <v>9.3027558348935799E-7</v>
      </c>
      <c r="U39" s="285">
        <f t="shared" si="19"/>
        <v>20661918.018622305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17349463.141077615</v>
      </c>
      <c r="F40" s="9">
        <f t="shared" si="14"/>
        <v>2.67139769219488E-7</v>
      </c>
      <c r="G40" s="285">
        <f t="shared" si="16"/>
        <v>80410104.708876252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0">
        <f t="shared" si="21"/>
        <v>32456633.33838921</v>
      </c>
      <c r="T40" s="9">
        <f t="shared" si="18"/>
        <v>1.4279766885456965E-7</v>
      </c>
      <c r="U40" s="285">
        <f t="shared" si="19"/>
        <v>150427783.50058946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137306844.94864914</v>
      </c>
      <c r="F41" s="9">
        <f t="shared" si="14"/>
        <v>3.5179010399699644E-8</v>
      </c>
      <c r="G41" s="285">
        <f t="shared" si="16"/>
        <v>663235851.87952065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0">
        <f t="shared" si="21"/>
        <v>224759545.51393083</v>
      </c>
      <c r="T41" s="9">
        <f t="shared" si="18"/>
        <v>2.1491051315989985E-8</v>
      </c>
      <c r="U41" s="285">
        <f t="shared" si="19"/>
        <v>1085660286.5846593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1090536919.3566823</v>
      </c>
      <c r="F42" s="10">
        <f t="shared" si="14"/>
        <v>4.5679722376145405E-9</v>
      </c>
      <c r="G42" s="286">
        <f t="shared" si="16"/>
        <v>5432555871.69487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1">
        <f t="shared" si="21"/>
        <v>1561976369.7503328</v>
      </c>
      <c r="T42" s="10">
        <f t="shared" si="18"/>
        <v>3.1892559120540756E-9</v>
      </c>
      <c r="U42" s="286">
        <f t="shared" si="19"/>
        <v>7781051469.5288773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38.139987362557228</v>
      </c>
      <c r="F45" s="8">
        <f t="shared" ref="F45:F54" si="24">U7/E45</f>
        <v>2.6190229110855948E-2</v>
      </c>
      <c r="G45" s="284">
        <f>E45*U7</f>
        <v>38.097842955344909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9">
        <f>R45/R7</f>
        <v>152.55994945022891</v>
      </c>
      <c r="T45" s="8">
        <f>U7/S45</f>
        <v>6.5475572777139871E-3</v>
      </c>
      <c r="U45" s="287">
        <f>S45*U7</f>
        <v>152.39137182137964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187.32476497125347</v>
      </c>
      <c r="F46" s="9">
        <f t="shared" si="24"/>
        <v>9.9012180481181482E-3</v>
      </c>
      <c r="G46" s="285">
        <f t="shared" ref="G46:G54" si="26">E46*U8</f>
        <v>347.43936095799529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0">
        <f t="shared" ref="S46:S54" si="28">R46/R8</f>
        <v>786.76401287926467</v>
      </c>
      <c r="T46" s="9">
        <f t="shared" ref="T46:T54" si="29">U8/S46</f>
        <v>2.357432868599559E-3</v>
      </c>
      <c r="U46" s="285">
        <f t="shared" ref="U46:U54" si="30">S46*U8</f>
        <v>1459.2453160235802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2004.7953322084768</v>
      </c>
      <c r="F47" s="9">
        <f t="shared" si="24"/>
        <v>1.2853521475687762E-3</v>
      </c>
      <c r="G47" s="285">
        <f t="shared" si="26"/>
        <v>5166.0929094288194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0">
        <f t="shared" si="28"/>
        <v>8475.248513412138</v>
      </c>
      <c r="T47" s="9">
        <f t="shared" si="29"/>
        <v>3.040463039652599E-4</v>
      </c>
      <c r="U47" s="285">
        <f t="shared" si="30"/>
        <v>21839.596564978707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24816.923389406595</v>
      </c>
      <c r="F48" s="9">
        <f t="shared" si="24"/>
        <v>1.280231097603154E-4</v>
      </c>
      <c r="G48" s="285">
        <f t="shared" si="26"/>
        <v>78846.832705945053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0">
        <f t="shared" si="28"/>
        <v>104986.92361792618</v>
      </c>
      <c r="T48" s="9">
        <f t="shared" si="29"/>
        <v>3.0262242167965124E-5</v>
      </c>
      <c r="U48" s="285">
        <f t="shared" si="30"/>
        <v>333558.12374180002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324886.1590005476</v>
      </c>
      <c r="F49" s="9">
        <f t="shared" si="24"/>
        <v>1.1293305824691311E-5</v>
      </c>
      <c r="G49" s="285">
        <f t="shared" si="26"/>
        <v>1192019.9072972685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0">
        <f t="shared" si="28"/>
        <v>1374509.3038569493</v>
      </c>
      <c r="T49" s="9">
        <f t="shared" si="29"/>
        <v>2.6693444282311843E-6</v>
      </c>
      <c r="U49" s="285">
        <f t="shared" si="30"/>
        <v>5043127.9005641853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4369991.7865673313</v>
      </c>
      <c r="F50" s="9">
        <f t="shared" si="24"/>
        <v>9.3060189507770704E-7</v>
      </c>
      <c r="G50" s="285">
        <f t="shared" si="26"/>
        <v>17771544.526541546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0">
        <f t="shared" si="28"/>
        <v>18488416.342482697</v>
      </c>
      <c r="T50" s="9">
        <f t="shared" si="29"/>
        <v>2.1996057221564482E-7</v>
      </c>
      <c r="U50" s="285">
        <f t="shared" si="30"/>
        <v>75187261.28173402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59661515.359511152</v>
      </c>
      <c r="F51" s="9">
        <f t="shared" si="24"/>
        <v>7.3484686930824489E-8</v>
      </c>
      <c r="G51" s="285">
        <f t="shared" si="26"/>
        <v>261568479.68716633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0">
        <f t="shared" si="28"/>
        <v>252414091.5585891</v>
      </c>
      <c r="T51" s="9">
        <f t="shared" si="29"/>
        <v>1.7369108637877348E-8</v>
      </c>
      <c r="U51" s="285">
        <f t="shared" si="30"/>
        <v>1106635823.4910636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821760275.63435042</v>
      </c>
      <c r="F52" s="9">
        <f t="shared" si="24"/>
        <v>5.6400044112764505E-9</v>
      </c>
      <c r="G52" s="285">
        <f t="shared" si="26"/>
        <v>3808638300.3346858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0">
        <f t="shared" si="28"/>
        <v>3476678075.858386</v>
      </c>
      <c r="T52" s="9">
        <f t="shared" si="29"/>
        <v>1.3330919568804714E-9</v>
      </c>
      <c r="U52" s="285">
        <f t="shared" si="30"/>
        <v>16113469670.247278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11381233069.6028</v>
      </c>
      <c r="F53" s="9">
        <f t="shared" si="24"/>
        <v>4.2441086100761578E-10</v>
      </c>
      <c r="G53" s="285">
        <f t="shared" si="26"/>
        <v>54974985501.854614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0">
        <f t="shared" si="28"/>
        <v>48151370664.215698</v>
      </c>
      <c r="T53" s="9">
        <f t="shared" si="29"/>
        <v>1.0031529445096746E-10</v>
      </c>
      <c r="U53" s="285">
        <f t="shared" si="30"/>
        <v>232586477051.38937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158188733091.61865</v>
      </c>
      <c r="F54" s="10">
        <f t="shared" si="24"/>
        <v>3.1491132613280598E-11</v>
      </c>
      <c r="G54" s="286">
        <f t="shared" si="26"/>
        <v>788023876623.81494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1">
        <f t="shared" si="28"/>
        <v>669260024601.9801</v>
      </c>
      <c r="T54" s="10">
        <f t="shared" si="29"/>
        <v>7.4433586178669743E-12</v>
      </c>
      <c r="U54" s="286">
        <f t="shared" si="30"/>
        <v>3333947170249.7949</v>
      </c>
    </row>
  </sheetData>
  <mergeCells count="2">
    <mergeCell ref="A18:F18"/>
    <mergeCell ref="O18:T18"/>
  </mergeCells>
  <conditionalFormatting sqref="F45:F54">
    <cfRule type="cellIs" dxfId="635" priority="59" operator="equal">
      <formula>MAX($F$45:$F$54)</formula>
    </cfRule>
  </conditionalFormatting>
  <conditionalFormatting sqref="F21:F30">
    <cfRule type="cellIs" dxfId="634" priority="57" operator="equal">
      <formula>MAX($F$21:$F$30)</formula>
    </cfRule>
  </conditionalFormatting>
  <conditionalFormatting sqref="E33:E42">
    <cfRule type="cellIs" dxfId="633" priority="53" stopIfTrue="1" operator="lessThan">
      <formula>0</formula>
    </cfRule>
    <cfRule type="cellIs" dxfId="632" priority="54" operator="equal">
      <formula>MIN($E$33:$E$42)</formula>
    </cfRule>
  </conditionalFormatting>
  <conditionalFormatting sqref="E21:E30">
    <cfRule type="cellIs" dxfId="631" priority="49" stopIfTrue="1" operator="lessThan">
      <formula>0</formula>
    </cfRule>
    <cfRule type="cellIs" dxfId="630" priority="50" operator="equal">
      <formula>MIN($E$21:$E$30)</formula>
    </cfRule>
  </conditionalFormatting>
  <conditionalFormatting sqref="E45:E54">
    <cfRule type="cellIs" dxfId="629" priority="45" stopIfTrue="1" operator="lessThan">
      <formula>0</formula>
    </cfRule>
    <cfRule type="cellIs" dxfId="628" priority="46" operator="equal">
      <formula>MIN($E$45:$E$54)</formula>
    </cfRule>
  </conditionalFormatting>
  <conditionalFormatting sqref="F33:F42">
    <cfRule type="cellIs" dxfId="627" priority="31" operator="lessThanOrEqual">
      <formula>0</formula>
    </cfRule>
    <cfRule type="cellIs" dxfId="626" priority="32" operator="equal">
      <formula>MAX($F$33:$F$42)</formula>
    </cfRule>
  </conditionalFormatting>
  <conditionalFormatting sqref="S7:T16">
    <cfRule type="cellIs" dxfId="625" priority="13" operator="lessThanOrEqual">
      <formula>0</formula>
    </cfRule>
    <cfRule type="cellIs" dxfId="624" priority="14" operator="greaterThan">
      <formula>0</formula>
    </cfRule>
  </conditionalFormatting>
  <conditionalFormatting sqref="U7:U16">
    <cfRule type="cellIs" dxfId="623" priority="15" operator="lessThanOrEqual">
      <formula>0</formula>
    </cfRule>
    <cfRule type="cellIs" dxfId="622" priority="16" operator="greaterThan">
      <formula>0</formula>
    </cfRule>
  </conditionalFormatting>
  <conditionalFormatting sqref="R7:R16">
    <cfRule type="cellIs" dxfId="621" priority="17" operator="lessThanOrEqual">
      <formula>0</formula>
    </cfRule>
    <cfRule type="cellIs" dxfId="620" priority="18" operator="greaterThan">
      <formula>0</formula>
    </cfRule>
  </conditionalFormatting>
  <conditionalFormatting sqref="T21:T30">
    <cfRule type="cellIs" dxfId="619" priority="9" operator="equal">
      <formula>MAX($T$21:$T$30)</formula>
    </cfRule>
  </conditionalFormatting>
  <conditionalFormatting sqref="S33:S42">
    <cfRule type="cellIs" dxfId="618" priority="7" stopIfTrue="1" operator="lessThan">
      <formula>0</formula>
    </cfRule>
    <cfRule type="cellIs" dxfId="617" priority="8" operator="equal">
      <formula>MIN($E$21:$E$30)</formula>
    </cfRule>
  </conditionalFormatting>
  <conditionalFormatting sqref="T33:T42">
    <cfRule type="cellIs" dxfId="616" priority="6" operator="equal">
      <formula>MAX($T$21:$T$30)</formula>
    </cfRule>
  </conditionalFormatting>
  <conditionalFormatting sqref="S45:S54">
    <cfRule type="cellIs" dxfId="615" priority="4" stopIfTrue="1" operator="lessThan">
      <formula>0</formula>
    </cfRule>
    <cfRule type="cellIs" dxfId="614" priority="5" operator="equal">
      <formula>MIN($E$21:$E$30)</formula>
    </cfRule>
  </conditionalFormatting>
  <conditionalFormatting sqref="T45:T54">
    <cfRule type="cellIs" dxfId="613" priority="3" operator="equal">
      <formula>MAX($T$21:$T$30)</formula>
    </cfRule>
  </conditionalFormatting>
  <conditionalFormatting sqref="S21:S30">
    <cfRule type="cellIs" dxfId="612" priority="1" stopIfTrue="1" operator="lessThan">
      <formula>0</formula>
    </cfRule>
    <cfRule type="cellIs" dxfId="61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W54"/>
  <sheetViews>
    <sheetView topLeftCell="A18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Analysis!B15</f>
        <v>0.59449206271544663</v>
      </c>
      <c r="D2" s="149" t="s">
        <v>126</v>
      </c>
      <c r="E2" s="155">
        <f>Analysis!K15</f>
        <v>0.40550793728455392</v>
      </c>
      <c r="F2" s="149" t="s">
        <v>47</v>
      </c>
      <c r="G2" s="155">
        <f>Analysis!S15</f>
        <v>6.5261564421981575</v>
      </c>
      <c r="H2" t="s">
        <v>155</v>
      </c>
      <c r="I2" s="169">
        <f>Analysis!T15</f>
        <v>-6.5989650789245706</v>
      </c>
      <c r="J2" t="s">
        <v>48</v>
      </c>
      <c r="K2" s="169">
        <f>C2*G2+E2*I2</f>
        <v>1.2038154875585767</v>
      </c>
      <c r="L2" t="s">
        <v>47</v>
      </c>
      <c r="M2" s="176">
        <v>1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0.59449206271544663</v>
      </c>
      <c r="C4" t="s">
        <v>124</v>
      </c>
      <c r="D4">
        <f>$E$2</f>
        <v>0.40550793728455392</v>
      </c>
      <c r="E4" t="s">
        <v>47</v>
      </c>
      <c r="F4">
        <f>G2</f>
        <v>6.5261564421981575</v>
      </c>
      <c r="G4" t="s">
        <v>155</v>
      </c>
      <c r="H4">
        <f>I2</f>
        <v>-6.5989650789245706</v>
      </c>
      <c r="I4" t="s">
        <v>48</v>
      </c>
      <c r="J4">
        <f>K2</f>
        <v>1.2038154875585767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0.59449206271544663</v>
      </c>
      <c r="C7" s="95">
        <v>1</v>
      </c>
      <c r="D7" s="109">
        <f>C7*D4</f>
        <v>0.40550793728455392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1.0000000000000004</v>
      </c>
      <c r="R7" s="187">
        <f>B7-D7</f>
        <v>0.18898412543089271</v>
      </c>
      <c r="S7" s="109">
        <f>SUM(C7)*$B$4*$F$4</f>
        <v>3.879748204926083</v>
      </c>
      <c r="T7" s="57">
        <f>SUM(C7)*$D$4*$H$4</f>
        <v>-2.6759327173675063</v>
      </c>
      <c r="U7" s="263">
        <f>S7+T7</f>
        <v>1.2038154875585767</v>
      </c>
      <c r="V7" s="109">
        <f>(U7+W7*D7)/B7</f>
        <v>2.7070562010403707</v>
      </c>
      <c r="W7" s="57">
        <f>COUNT(D7:M7)</f>
        <v>1</v>
      </c>
    </row>
    <row r="8" spans="1:23" x14ac:dyDescent="0.2">
      <c r="A8" s="99">
        <v>2</v>
      </c>
      <c r="B8" s="97">
        <f>C8*B4</f>
        <v>0.78333053370434891</v>
      </c>
      <c r="C8" s="97">
        <f>1/(1-B4*D4)</f>
        <v>1.3176467489344592</v>
      </c>
      <c r="D8" s="93">
        <f>C8*D4</f>
        <v>0.53431621523011108</v>
      </c>
      <c r="E8" s="1">
        <f>D8*D4</f>
        <v>0.21666946629565209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1.0000000000000009</v>
      </c>
      <c r="R8" s="188">
        <f>B8-E8</f>
        <v>0.56666106740869682</v>
      </c>
      <c r="S8" s="93">
        <f>SUM(C8:D8)*$B$4*$F$4</f>
        <v>7.1851499858070804</v>
      </c>
      <c r="T8" s="9">
        <f>SUM(C8:D8)*$D$4*$H$4</f>
        <v>-4.9557282871608805</v>
      </c>
      <c r="U8" s="264">
        <f>S8+T8</f>
        <v>2.2294216986461999</v>
      </c>
      <c r="V8" s="93">
        <f>(U8+W8*E8)/B8</f>
        <v>3.3992810399530593</v>
      </c>
      <c r="W8" s="9">
        <f>COUNT(D8:M8)</f>
        <v>2</v>
      </c>
    </row>
    <row r="9" spans="1:23" x14ac:dyDescent="0.2">
      <c r="A9" s="99">
        <v>3</v>
      </c>
      <c r="B9" s="97">
        <f>C9*B4</f>
        <v>0.8712379721018505</v>
      </c>
      <c r="C9" s="97">
        <f>1/(1-D4*B4/(1-D4*B4))</f>
        <v>1.4655165758182178</v>
      </c>
      <c r="D9" s="93">
        <f>C9*D4*C8</f>
        <v>0.78304927014818226</v>
      </c>
      <c r="E9" s="1">
        <f>D9*(D4)</f>
        <v>0.31753269432996484</v>
      </c>
      <c r="F9" s="1">
        <f>E9*D4</f>
        <v>0.1287620278981508</v>
      </c>
      <c r="G9" s="1"/>
      <c r="H9" s="1"/>
      <c r="I9" s="1"/>
      <c r="J9" s="1"/>
      <c r="K9" s="1"/>
      <c r="L9" s="1"/>
      <c r="M9" s="260"/>
      <c r="N9" s="97">
        <f>B9+F9</f>
        <v>1.0000000000000013</v>
      </c>
      <c r="R9" s="188">
        <f>B9-F9</f>
        <v>0.74247594420369967</v>
      </c>
      <c r="S9" s="93">
        <f>SUM(C9:E9)*$B$4*$F$4</f>
        <v>9.9558162053782642</v>
      </c>
      <c r="T9" s="9">
        <f>SUM(C9:E9)*$D$4*$H$4</f>
        <v>-6.8667070399680439</v>
      </c>
      <c r="U9" s="264">
        <f t="shared" ref="U9:U16" si="0">S9+T9</f>
        <v>3.0891091654102203</v>
      </c>
      <c r="V9" s="93">
        <f>(U9+W9*F9)/B9</f>
        <v>3.989030965581454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0.91926158516334178</v>
      </c>
      <c r="C10" s="97">
        <f>1/(1-D4*B4/(1-D4*B4/(1-D4*B4)))</f>
        <v>1.5462974912809659</v>
      </c>
      <c r="D10" s="93">
        <f>C10*D4*C9</f>
        <v>0.91893151404857532</v>
      </c>
      <c r="E10" s="1">
        <f>D10*D4*C8</f>
        <v>0.49100000864211041</v>
      </c>
      <c r="F10" s="1">
        <f>E10*D4</f>
        <v>0.19910440071116034</v>
      </c>
      <c r="G10" s="1">
        <f>F10*D4</f>
        <v>8.0738414836659902E-2</v>
      </c>
      <c r="H10" s="1"/>
      <c r="I10" s="1"/>
      <c r="J10" s="1"/>
      <c r="K10" s="1"/>
      <c r="L10" s="1"/>
      <c r="M10" s="260"/>
      <c r="N10" s="97">
        <f>B10+G10</f>
        <v>1.0000000000000018</v>
      </c>
      <c r="R10" s="188">
        <f>B10-G10</f>
        <v>0.83852317032668189</v>
      </c>
      <c r="S10" s="93">
        <f>SUM(C10:F10)*$B$4*$F$4</f>
        <v>12.241899151558927</v>
      </c>
      <c r="T10" s="9">
        <f>SUM(C10:F10)*$D$4*$H$4</f>
        <v>-8.4434599185526693</v>
      </c>
      <c r="U10" s="264">
        <f t="shared" si="0"/>
        <v>3.798439233006258</v>
      </c>
      <c r="V10" s="93">
        <f>(U10+W10*G10)/B10</f>
        <v>4.4833733497311057</v>
      </c>
      <c r="W10" s="9">
        <f t="shared" si="1"/>
        <v>4</v>
      </c>
    </row>
    <row r="11" spans="1:23" x14ac:dyDescent="0.2">
      <c r="A11" s="99">
        <v>5</v>
      </c>
      <c r="B11" s="97">
        <f>C11*B4</f>
        <v>0.94780231041487151</v>
      </c>
      <c r="C11" s="97">
        <f>1/(1-D4*B4/(1-D4*B4/(1-D4*B4/(1-D4*B4))))</f>
        <v>1.5943060805313674</v>
      </c>
      <c r="D11" s="93">
        <f>C11*D4*C10</f>
        <v>0.9996871578348252</v>
      </c>
      <c r="E11" s="1">
        <f>D11*D4*C9</f>
        <v>0.59409268831126438</v>
      </c>
      <c r="F11" s="1">
        <f>E11*D4*C8</f>
        <v>0.31743335671435685</v>
      </c>
      <c r="G11" s="1">
        <f>F11*D4</f>
        <v>0.12872174570655084</v>
      </c>
      <c r="H11" s="1">
        <f>G11*D4</f>
        <v>5.2197689585130318E-2</v>
      </c>
      <c r="I11" s="1"/>
      <c r="J11" s="1"/>
      <c r="K11" s="1"/>
      <c r="L11" s="1"/>
      <c r="M11" s="260"/>
      <c r="N11" s="97">
        <f>B11+H11</f>
        <v>1.0000000000000018</v>
      </c>
      <c r="R11" s="188">
        <f>B11-H11</f>
        <v>0.89560462082974124</v>
      </c>
      <c r="S11" s="93">
        <f>SUM(C11:G11)*$B$4*$F$4</f>
        <v>14.099940108913103</v>
      </c>
      <c r="T11" s="9">
        <f>SUM(C11:G11)*$D$4*$H$4</f>
        <v>-9.7249844725636692</v>
      </c>
      <c r="U11" s="264">
        <f t="shared" si="0"/>
        <v>4.3749556363494335</v>
      </c>
      <c r="V11" s="93">
        <f>(U11+W11*H11)/B11</f>
        <v>4.8912563657350043</v>
      </c>
      <c r="W11" s="9">
        <f t="shared" si="1"/>
        <v>5</v>
      </c>
    </row>
    <row r="12" spans="1:23" x14ac:dyDescent="0.2">
      <c r="A12" s="99">
        <v>6</v>
      </c>
      <c r="B12" s="97">
        <f>C12*B4</f>
        <v>0.96561962091602782</v>
      </c>
      <c r="C12" s="97">
        <f>1/(1-D4*B4/(1-D4*B4/(1-D4*B4/(1-D4*B4/(1-D4*B4)))))</f>
        <v>1.6242767254206742</v>
      </c>
      <c r="D12" s="93">
        <f>C12*D4*C11</f>
        <v>1.0501010266969437</v>
      </c>
      <c r="E12" s="1">
        <f>D12*D4*C10</f>
        <v>0.65845104878996641</v>
      </c>
      <c r="F12" s="1">
        <f>E12*D4*C9</f>
        <v>0.39130336989047937</v>
      </c>
      <c r="G12" s="1">
        <f>F12*D4*C8</f>
        <v>0.20907973560666915</v>
      </c>
      <c r="H12" s="1">
        <f>G12*D4</f>
        <v>8.4783492313860315E-2</v>
      </c>
      <c r="I12" s="1">
        <f>H12*D4</f>
        <v>3.438037908397433E-2</v>
      </c>
      <c r="J12" s="1"/>
      <c r="K12" s="1"/>
      <c r="L12" s="1"/>
      <c r="M12" s="260"/>
      <c r="N12" s="97">
        <f>B12+I12</f>
        <v>1.0000000000000022</v>
      </c>
      <c r="R12" s="188">
        <f>B12-I12</f>
        <v>0.93123924183205353</v>
      </c>
      <c r="S12" s="93">
        <f>SUM(C12:H12)*$B$4*$F$4</f>
        <v>15.588810435579724</v>
      </c>
      <c r="T12" s="9">
        <f>SUM(C12:H12)*$D$4*$H$4</f>
        <v>-10.751885345663183</v>
      </c>
      <c r="U12" s="264">
        <f t="shared" si="0"/>
        <v>4.8369250899165408</v>
      </c>
      <c r="V12" s="93">
        <f>(U12+W12*I12)/B12</f>
        <v>5.2227681119778682</v>
      </c>
      <c r="W12" s="9">
        <f t="shared" si="1"/>
        <v>6</v>
      </c>
    </row>
    <row r="13" spans="1:23" x14ac:dyDescent="0.2">
      <c r="A13" s="99">
        <v>7</v>
      </c>
      <c r="B13" s="97">
        <f>C13*B4</f>
        <v>0.97708621437205367</v>
      </c>
      <c r="C13" s="97">
        <f>1/(1-D4*B4/(1-D4*B4/(1-D4*B4/(1-D4*B4/(1-D4*B4/(1-D4*B4))))))</f>
        <v>1.6435647768097041</v>
      </c>
      <c r="D13" s="93">
        <f>C13*D4*C12</f>
        <v>1.0825456169593066</v>
      </c>
      <c r="E13" s="1">
        <f>D13*D4*C11</f>
        <v>0.69986982268728071</v>
      </c>
      <c r="F13" s="1">
        <f>E13*D4*C10</f>
        <v>0.43884350843310066</v>
      </c>
      <c r="G13" s="1">
        <f>F13*D4*C9</f>
        <v>0.26079530744161528</v>
      </c>
      <c r="H13" s="1">
        <f>G13*D4*C8</f>
        <v>0.13934716162197711</v>
      </c>
      <c r="I13" s="1">
        <f>H13*D4</f>
        <v>5.650638007578529E-2</v>
      </c>
      <c r="J13" s="1">
        <f>I13*D4</f>
        <v>2.2913785627948709E-2</v>
      </c>
      <c r="K13" s="1"/>
      <c r="L13" s="1"/>
      <c r="M13" s="260"/>
      <c r="N13" s="97">
        <f>B13+J13</f>
        <v>1.0000000000000024</v>
      </c>
      <c r="R13" s="188">
        <f>B13-J13</f>
        <v>0.95417242874410502</v>
      </c>
      <c r="S13" s="93">
        <f>SUM(C13:I13)*$B$4*$F$4</f>
        <v>16.766225461725423</v>
      </c>
      <c r="T13" s="9">
        <f>SUM(C13:I13)*$D$4*$H$4</f>
        <v>-11.563969848049959</v>
      </c>
      <c r="U13" s="264">
        <f t="shared" si="0"/>
        <v>5.2022556136754634</v>
      </c>
      <c r="V13" s="93">
        <f>(U13+W13*J13)/B13</f>
        <v>5.488412418670273</v>
      </c>
      <c r="W13" s="9">
        <f t="shared" si="1"/>
        <v>7</v>
      </c>
    </row>
    <row r="14" spans="1:23" x14ac:dyDescent="0.2">
      <c r="A14" s="99">
        <v>8</v>
      </c>
      <c r="B14" s="97">
        <f>C14*B4</f>
        <v>0.98461084550227174</v>
      </c>
      <c r="C14" s="97">
        <f>1/(1-D4*B4/(1-D4*B4/(1-D4*B4/(1-D4*B4/(1-D4*B4/(1-D4*B4/(1-D4*B4)))))))</f>
        <v>1.6562220208708747</v>
      </c>
      <c r="D14" s="93">
        <f>C14*D4*C13</f>
        <v>1.1038364715476023</v>
      </c>
      <c r="E14" s="1">
        <f>D14*D4*C12</f>
        <v>0.72704973419617025</v>
      </c>
      <c r="F14" s="1">
        <f>E14*D4*C11</f>
        <v>0.47004039422002092</v>
      </c>
      <c r="G14" s="1">
        <f>F14*D4*C10</f>
        <v>0.29473220450163651</v>
      </c>
      <c r="H14" s="1">
        <f>G14*D4*C9</f>
        <v>0.1751530429614796</v>
      </c>
      <c r="I14" s="1">
        <f>H14*D4*C8</f>
        <v>9.3587111001214821E-2</v>
      </c>
      <c r="J14" s="1">
        <f>I14*D4</f>
        <v>3.7950316338523207E-2</v>
      </c>
      <c r="K14" s="1">
        <f>J14*D4</f>
        <v>1.538915449773085E-2</v>
      </c>
      <c r="L14" s="1"/>
      <c r="M14" s="260"/>
      <c r="N14" s="97">
        <f>B14+K14</f>
        <v>1.0000000000000027</v>
      </c>
      <c r="R14" s="188">
        <f>B14-K14</f>
        <v>0.96922169100454092</v>
      </c>
      <c r="S14" s="93">
        <f>SUM(C14:J14)*$B$4*$F$4</f>
        <v>17.686108801277246</v>
      </c>
      <c r="T14" s="9">
        <f>SUM(C14:J14)*$D$4*$H$4</f>
        <v>-12.198430074448828</v>
      </c>
      <c r="U14" s="264">
        <f t="shared" si="0"/>
        <v>5.4876787268284186</v>
      </c>
      <c r="V14" s="93">
        <f>(U14+W14*K14)/B14</f>
        <v>5.6984868574630383</v>
      </c>
      <c r="W14" s="9">
        <f t="shared" si="1"/>
        <v>8</v>
      </c>
    </row>
    <row r="15" spans="1:23" x14ac:dyDescent="0.2">
      <c r="A15" s="99">
        <v>9</v>
      </c>
      <c r="B15" s="97">
        <f>C15*B4</f>
        <v>0.98961197466119732</v>
      </c>
      <c r="C15" s="97">
        <f>1/(1-D4*B4/(1-D4*B4/(1-D4*B4/(1-D4*B4/(1-D4*B4/(1-D4*B4/(1-D4*B4/(1-D4*B4))))))))</f>
        <v>1.6646344614610518</v>
      </c>
      <c r="D15" s="93">
        <f>C15*D4*C14</f>
        <v>1.1179871072209397</v>
      </c>
      <c r="E15" s="1">
        <f>D15*D4*C13</f>
        <v>0.74511444004444038</v>
      </c>
      <c r="F15" s="1">
        <f>E15*D4*C12</f>
        <v>0.49077491960427283</v>
      </c>
      <c r="G15" s="1">
        <f>F15*D4*C11</f>
        <v>0.31728783580278291</v>
      </c>
      <c r="H15" s="1">
        <f>G15*D4*C10</f>
        <v>0.1989508656226982</v>
      </c>
      <c r="I15" s="1">
        <f>H15*D4*C9</f>
        <v>0.11823224263041986</v>
      </c>
      <c r="J15" s="1">
        <f>I15*D4*C8</f>
        <v>6.3173404400454131E-2</v>
      </c>
      <c r="K15" s="1">
        <f>J15*D4</f>
        <v>2.5617316909671117E-2</v>
      </c>
      <c r="L15" s="1">
        <f>K15*D4</f>
        <v>1.0388025338805458E-2</v>
      </c>
      <c r="M15" s="260"/>
      <c r="N15" s="97">
        <f>B15+L15</f>
        <v>1.0000000000000029</v>
      </c>
      <c r="R15" s="188">
        <f>B15-L15</f>
        <v>0.97922394932239187</v>
      </c>
      <c r="S15" s="93">
        <f>SUM(C15:K15)*$B$4*$F$4</f>
        <v>18.396883708562591</v>
      </c>
      <c r="T15" s="9">
        <f>SUM(C15:K15)*$D$4*$H$4</f>
        <v>-12.688664421789662</v>
      </c>
      <c r="U15" s="264">
        <f t="shared" si="0"/>
        <v>5.7082192867729287</v>
      </c>
      <c r="V15" s="93">
        <f>(U15+W15*L15)/B15</f>
        <v>5.8626124818350611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0.99296409697626353</v>
      </c>
      <c r="C16" s="145">
        <f>1/(1-D4*B4/(1-D4*B4/(1-D4*B4/(1-D4*B4/(1-D4*B4/(1-D4*B4/(1-D4*B4/(1-D4*B4/(1-D4*B4)))))))))</f>
        <v>1.6702730940438903</v>
      </c>
      <c r="D16" s="94">
        <f>C16*D4*C15</f>
        <v>1.1274718975763955</v>
      </c>
      <c r="E16" s="111">
        <f>D16*D4*C14</f>
        <v>0.75722272632635312</v>
      </c>
      <c r="F16" s="111">
        <f>E16*D4*C13</f>
        <v>0.5046727140871069</v>
      </c>
      <c r="G16" s="111">
        <f>F16*D4*C12</f>
        <v>0.33240626858311562</v>
      </c>
      <c r="H16" s="111">
        <f>G16*D4*C11</f>
        <v>0.21490190584934105</v>
      </c>
      <c r="I16" s="111">
        <f>H16*D4*C10</f>
        <v>0.1347512112606461</v>
      </c>
      <c r="J16" s="111">
        <f>I16*D4*C9</f>
        <v>8.0079761677066097E-2</v>
      </c>
      <c r="K16" s="111">
        <f>J16*D4*C8</f>
        <v>4.2787915175819251E-2</v>
      </c>
      <c r="L16" s="111">
        <f>K16*D4</f>
        <v>1.7350839223652926E-2</v>
      </c>
      <c r="M16" s="262">
        <f>L16*D4</f>
        <v>7.0359030237394293E-3</v>
      </c>
      <c r="N16" s="145">
        <f>B16+M16</f>
        <v>1.0000000000000029</v>
      </c>
      <c r="R16" s="189">
        <f>B16-M16</f>
        <v>0.98592819395252407</v>
      </c>
      <c r="S16" s="94">
        <f>SUM(C16:L16)*$B$4*$F$4</f>
        <v>18.940613892169424</v>
      </c>
      <c r="T16" s="10">
        <f>SUM(C16:L16)*$D$4*$H$4</f>
        <v>-13.063684992940745</v>
      </c>
      <c r="U16" s="265">
        <f t="shared" si="0"/>
        <v>5.8769288992286786</v>
      </c>
      <c r="V16" s="94">
        <f>(U16+W16*M16)/B16</f>
        <v>5.9894289708726909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42.331597861776075</v>
      </c>
      <c r="F21" s="8">
        <f t="shared" ref="F21:F30" si="4">U7/E21</f>
        <v>2.8437752137052668E-2</v>
      </c>
      <c r="G21" s="284">
        <f>E21*U7</f>
        <v>50.959433119107565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9">
        <f>R21/R7</f>
        <v>190.49219037799236</v>
      </c>
      <c r="T21" s="8">
        <f>U7/S21</f>
        <v>6.3195004749005924E-3</v>
      </c>
      <c r="U21" s="284">
        <f>S21*U7</f>
        <v>229.31744903598408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127.0600790155766</v>
      </c>
      <c r="F22" s="9">
        <f t="shared" si="4"/>
        <v>1.7546201103596747E-2</v>
      </c>
      <c r="G22" s="285">
        <f t="shared" ref="G22:G30" si="5">E22*U8</f>
        <v>283.2704971890272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0">
        <f t="shared" ref="S22:S30" si="7">R22/R8</f>
        <v>621.18260852059677</v>
      </c>
      <c r="T22" s="9">
        <f>U8/S22</f>
        <v>3.5889956802811524E-3</v>
      </c>
      <c r="U22" s="285">
        <f t="shared" ref="U22:U30" si="8">S22*U8</f>
        <v>1384.8779862574663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786.5574697188822</v>
      </c>
      <c r="F23" s="9">
        <f t="shared" si="4"/>
        <v>3.9273788430415346E-3</v>
      </c>
      <c r="G23" s="285">
        <f t="shared" si="5"/>
        <v>2429.761888830471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0">
        <f t="shared" si="7"/>
        <v>3916.6252088056672</v>
      </c>
      <c r="T23" s="9">
        <f t="shared" ref="T23:T30" si="11">U9/S23</f>
        <v>7.8871707164245388E-4</v>
      </c>
      <c r="U23" s="285">
        <f t="shared" si="8"/>
        <v>12098.882829998305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5581.2411220273252</v>
      </c>
      <c r="F24" s="9">
        <f t="shared" si="4"/>
        <v>6.8057250169949949E-4</v>
      </c>
      <c r="G24" s="285">
        <f t="shared" si="5"/>
        <v>21200.005246776458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0">
        <f t="shared" si="7"/>
        <v>27887.124443907473</v>
      </c>
      <c r="T24" s="9">
        <f t="shared" si="11"/>
        <v>1.3620763376469627E-4</v>
      </c>
      <c r="U24" s="285">
        <f t="shared" si="8"/>
        <v>105927.54758346597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41813.09377937996</v>
      </c>
      <c r="F25" s="9">
        <f t="shared" si="4"/>
        <v>1.0463123488142687E-4</v>
      </c>
      <c r="G25" s="285">
        <f t="shared" si="5"/>
        <v>182930.43030330579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0">
        <f t="shared" si="7"/>
        <v>209043.13761417207</v>
      </c>
      <c r="T25" s="9">
        <f t="shared" si="11"/>
        <v>2.0928482447600011E-5</v>
      </c>
      <c r="U25" s="285">
        <f t="shared" si="8"/>
        <v>914554.45314529235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321713.24675988109</v>
      </c>
      <c r="F26" s="9">
        <f t="shared" si="4"/>
        <v>1.5034895636506705E-5</v>
      </c>
      <c r="G26" s="285">
        <f t="shared" si="5"/>
        <v>1556102.8750113801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0">
        <f t="shared" si="7"/>
        <v>1608540.4616895951</v>
      </c>
      <c r="T26" s="9">
        <f t="shared" si="11"/>
        <v>3.0070273052602496E-6</v>
      </c>
      <c r="U26" s="285">
        <f t="shared" si="8"/>
        <v>7780389.7172923386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2511856.272303558</v>
      </c>
      <c r="F27" s="9">
        <f t="shared" si="4"/>
        <v>2.0710801294791481E-6</v>
      </c>
      <c r="G27" s="285">
        <f t="shared" si="5"/>
        <v>13067318.393337108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0">
        <f t="shared" si="7"/>
        <v>12559252.016716834</v>
      </c>
      <c r="T27" s="9">
        <f t="shared" si="11"/>
        <v>4.1421699371515649E-7</v>
      </c>
      <c r="U27" s="285">
        <f t="shared" si="8"/>
        <v>65336439.307530038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19782842.437345088</v>
      </c>
      <c r="F28" s="9">
        <f t="shared" si="4"/>
        <v>2.7739586685829565E-7</v>
      </c>
      <c r="G28" s="285">
        <f t="shared" si="5"/>
        <v>108561883.59961709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0">
        <f t="shared" si="7"/>
        <v>98914179.170543179</v>
      </c>
      <c r="T28" s="9">
        <f t="shared" si="11"/>
        <v>5.5479191889838367E-8</v>
      </c>
      <c r="U28" s="285">
        <f t="shared" si="8"/>
        <v>542809236.81588447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156646176.90993437</v>
      </c>
      <c r="F29" s="9">
        <f t="shared" si="4"/>
        <v>3.6440208113441151E-8</v>
      </c>
      <c r="G29" s="285">
        <f t="shared" si="5"/>
        <v>894170728.23653162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0">
        <f t="shared" si="7"/>
        <v>783230847.78586507</v>
      </c>
      <c r="T29" s="9">
        <f t="shared" si="11"/>
        <v>7.2880419647791415E-9</v>
      </c>
      <c r="U29" s="285">
        <f t="shared" si="8"/>
        <v>4470853431.326787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1244647956.6432714</v>
      </c>
      <c r="F30" s="10">
        <f t="shared" si="4"/>
        <v>4.721759970649327E-9</v>
      </c>
      <c r="G30" s="286">
        <f t="shared" si="5"/>
        <v>7314707545.7627649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1">
        <f t="shared" si="7"/>
        <v>6223239742.6454506</v>
      </c>
      <c r="T30" s="10">
        <f t="shared" si="11"/>
        <v>9.4435200028633991E-10</v>
      </c>
      <c r="U30" s="286">
        <f t="shared" si="8"/>
        <v>36573537490.381493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42.331597861776075</v>
      </c>
      <c r="F33" s="8">
        <f t="shared" ref="F33:F42" si="14">U7/E33</f>
        <v>2.8437752137052668E-2</v>
      </c>
      <c r="G33" s="287">
        <f>E33*U7</f>
        <v>50.959433119107565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9">
        <f>R33/R7</f>
        <v>190.49219037799236</v>
      </c>
      <c r="T33" s="8">
        <f>U7/S33</f>
        <v>6.3195004749005924E-3</v>
      </c>
      <c r="U33" s="287">
        <f>S33*U7</f>
        <v>229.31744903598408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141.17786557286288</v>
      </c>
      <c r="F34" s="9">
        <f t="shared" si="14"/>
        <v>1.5791580993237072E-2</v>
      </c>
      <c r="G34" s="285">
        <f t="shared" ref="G34:G42" si="16">E34*U8</f>
        <v>314.74499687669686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0">
        <f>R34/R8</f>
        <v>635.30039507788308</v>
      </c>
      <c r="T34" s="9">
        <f t="shared" ref="T34:T42" si="18">U8/S34</f>
        <v>3.5092402207193489E-3</v>
      </c>
      <c r="U34" s="285">
        <f t="shared" ref="U34:U42" si="19">S34*U8</f>
        <v>1416.3524859451359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980.50314718381208</v>
      </c>
      <c r="F35" s="9">
        <f t="shared" si="14"/>
        <v>3.1505346762860662E-3</v>
      </c>
      <c r="G35" s="285">
        <f t="shared" si="16"/>
        <v>3028.88125867908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0">
        <f t="shared" ref="S35:S42" si="21">R35/R9</f>
        <v>4024.3728073972948</v>
      </c>
      <c r="T35" s="9">
        <f t="shared" si="18"/>
        <v>7.67600148706913E-4</v>
      </c>
      <c r="U35" s="285">
        <f t="shared" si="19"/>
        <v>12431.726924358642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7823.2781539528323</v>
      </c>
      <c r="F36" s="9">
        <f t="shared" si="14"/>
        <v>4.8553038231000871E-4</v>
      </c>
      <c r="G36" s="285">
        <f t="shared" si="16"/>
        <v>29716.246670695211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0">
        <f t="shared" si="21"/>
        <v>28678.992842417334</v>
      </c>
      <c r="T36" s="9">
        <f t="shared" si="18"/>
        <v>1.3244674434271695E-4</v>
      </c>
      <c r="U36" s="285">
        <f t="shared" si="19"/>
        <v>108935.41157574367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65930.879125315842</v>
      </c>
      <c r="F37" s="9">
        <f t="shared" si="14"/>
        <v>6.6356701054052199E-5</v>
      </c>
      <c r="G37" s="285">
        <f t="shared" si="16"/>
        <v>288444.67123877374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0">
        <f t="shared" si="21"/>
        <v>215010.05635901843</v>
      </c>
      <c r="T37" s="9">
        <f t="shared" si="18"/>
        <v>2.0347679129222876E-5</v>
      </c>
      <c r="U37" s="285">
        <f t="shared" si="19"/>
        <v>940659.45793969708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570680.41822902882</v>
      </c>
      <c r="F38" s="9">
        <f t="shared" si="14"/>
        <v>8.4757158917889453E-6</v>
      </c>
      <c r="G38" s="285">
        <f t="shared" si="16"/>
        <v>2760338.4332560543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0">
        <f t="shared" si="21"/>
        <v>1654492.1334810611</v>
      </c>
      <c r="T38" s="9">
        <f t="shared" si="18"/>
        <v>2.9235104791581102E-6</v>
      </c>
      <c r="U38" s="285">
        <f t="shared" si="19"/>
        <v>8002654.5115040904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5012687.2836761894</v>
      </c>
      <c r="F39" s="9">
        <f t="shared" si="14"/>
        <v>1.0378177052090609E-6</v>
      </c>
      <c r="G39" s="285">
        <f t="shared" si="16"/>
        <v>26077280.561104067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0">
        <f t="shared" si="21"/>
        <v>12918080.242817068</v>
      </c>
      <c r="T39" s="9">
        <f t="shared" si="18"/>
        <v>4.0271120134650895E-7</v>
      </c>
      <c r="U39" s="285">
        <f t="shared" si="19"/>
        <v>67203155.461105183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44413698.537209399</v>
      </c>
      <c r="F40" s="9">
        <f t="shared" si="14"/>
        <v>1.2355824683753574E-7</v>
      </c>
      <c r="G40" s="285">
        <f t="shared" si="16"/>
        <v>243728108.64241448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0">
        <f t="shared" si="21"/>
        <v>101740290.0855404</v>
      </c>
      <c r="T40" s="9">
        <f t="shared" si="18"/>
        <v>5.3938107727179976E-8</v>
      </c>
      <c r="U40" s="285">
        <f t="shared" si="19"/>
        <v>558318025.56377232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395640331.57899082</v>
      </c>
      <c r="F41" s="9">
        <f t="shared" si="14"/>
        <v>1.4427799269077463E-8</v>
      </c>
      <c r="G41" s="285">
        <f t="shared" si="16"/>
        <v>2258401771.3444319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0">
        <f t="shared" si="21"/>
        <v>805608862.55476809</v>
      </c>
      <c r="T41" s="9">
        <f t="shared" si="18"/>
        <v>7.0855964377934886E-9</v>
      </c>
      <c r="U41" s="285">
        <f t="shared" si="19"/>
        <v>4598592046.8303289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3536550046.3291354</v>
      </c>
      <c r="F42" s="10">
        <f t="shared" si="14"/>
        <v>1.6617689053570179E-9</v>
      </c>
      <c r="G42" s="286">
        <f t="shared" si="16"/>
        <v>20784053170.840218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1">
        <f t="shared" si="21"/>
        <v>6401046582.0028019</v>
      </c>
      <c r="T42" s="10">
        <f t="shared" si="18"/>
        <v>9.181200017747514E-10</v>
      </c>
      <c r="U42" s="286">
        <f t="shared" si="19"/>
        <v>37618495643.081223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42.331597861776075</v>
      </c>
      <c r="F45" s="8">
        <f t="shared" ref="F45:F54" si="24">U7/E45</f>
        <v>2.8437752137052668E-2</v>
      </c>
      <c r="G45" s="284">
        <f>E45*U7</f>
        <v>50.959433119107565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9">
        <f>R45/R7</f>
        <v>190.49219037799236</v>
      </c>
      <c r="T45" s="8">
        <f>U7/S45</f>
        <v>6.3195004749005924E-3</v>
      </c>
      <c r="U45" s="287">
        <f>S45*U7</f>
        <v>229.31744903598408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240.00237147386693</v>
      </c>
      <c r="F46" s="9">
        <f t="shared" si="24"/>
        <v>9.2891652901394527E-3</v>
      </c>
      <c r="G46" s="285">
        <f t="shared" ref="G46:G54" si="26">E46*U8</f>
        <v>535.06649469038473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0">
        <f t="shared" ref="S46:S54" si="28">R46/R8</f>
        <v>1129.4229245829031</v>
      </c>
      <c r="T46" s="9">
        <f t="shared" ref="T46:T54" si="29">U8/S46</f>
        <v>1.973947624154634E-3</v>
      </c>
      <c r="U46" s="285">
        <f t="shared" ref="U46:U54" si="30">S46*U8</f>
        <v>2517.9599750135749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2941.5094415514363</v>
      </c>
      <c r="F47" s="9">
        <f t="shared" si="24"/>
        <v>1.0501782254286887E-3</v>
      </c>
      <c r="G47" s="285">
        <f t="shared" si="26"/>
        <v>9086.643776037241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0">
        <f t="shared" si="28"/>
        <v>13915.602358108717</v>
      </c>
      <c r="T47" s="9">
        <f t="shared" si="29"/>
        <v>2.2198889318004802E-4</v>
      </c>
      <c r="U47" s="285">
        <f t="shared" si="30"/>
        <v>42986.814786637711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41682.807627585273</v>
      </c>
      <c r="F48" s="9">
        <f t="shared" si="24"/>
        <v>9.1127240442711636E-5</v>
      </c>
      <c r="G48" s="285">
        <f t="shared" si="26"/>
        <v>158329.61183447239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0">
        <f t="shared" si="28"/>
        <v>197289.71822633001</v>
      </c>
      <c r="T48" s="9">
        <f t="shared" si="29"/>
        <v>1.9253102833512607E-5</v>
      </c>
      <c r="U48" s="285">
        <f t="shared" si="30"/>
        <v>749393.00597964169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624427.32763246226</v>
      </c>
      <c r="F49" s="9">
        <f t="shared" si="24"/>
        <v>7.0063487658959905E-6</v>
      </c>
      <c r="G49" s="285">
        <f t="shared" si="26"/>
        <v>2731841.8565162551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0">
        <f t="shared" si="28"/>
        <v>2955612.2628617152</v>
      </c>
      <c r="T49" s="9">
        <f t="shared" si="29"/>
        <v>1.4802197471306559E-6</v>
      </c>
      <c r="U49" s="285">
        <f t="shared" si="30"/>
        <v>12930672.528270364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9608538.3841821812</v>
      </c>
      <c r="F50" s="9">
        <f t="shared" si="24"/>
        <v>5.0339863322804735E-7</v>
      </c>
      <c r="G50" s="285">
        <f t="shared" si="26"/>
        <v>46475780.387876928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0">
        <f t="shared" si="28"/>
        <v>45480402.99147775</v>
      </c>
      <c r="T50" s="9">
        <f t="shared" si="29"/>
        <v>1.0635185204543807E-7</v>
      </c>
      <c r="U50" s="285">
        <f t="shared" si="30"/>
        <v>219985302.32899404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150041618.98540342</v>
      </c>
      <c r="F51" s="9">
        <f t="shared" si="24"/>
        <v>3.4672083978123145E-8</v>
      </c>
      <c r="G51" s="285">
        <f t="shared" si="26"/>
        <v>780554854.65176988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0">
        <f t="shared" si="28"/>
        <v>710196982.83666909</v>
      </c>
      <c r="T51" s="9">
        <f t="shared" si="29"/>
        <v>7.3250883056368556E-9</v>
      </c>
      <c r="U51" s="285">
        <f t="shared" si="30"/>
        <v>3694626240.7774386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2363390383.500268</v>
      </c>
      <c r="F52" s="9">
        <f t="shared" si="24"/>
        <v>2.321951872674105E-9</v>
      </c>
      <c r="G52" s="285">
        <f t="shared" si="26"/>
        <v>12969527130.725279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0">
        <f t="shared" si="28"/>
        <v>11186714466.493715</v>
      </c>
      <c r="T52" s="9">
        <f t="shared" si="29"/>
        <v>4.9055321321242566E-10</v>
      </c>
      <c r="U52" s="285">
        <f t="shared" si="30"/>
        <v>61389095000.881287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37427993481.329285</v>
      </c>
      <c r="F53" s="9">
        <f t="shared" si="24"/>
        <v>1.5251203059069776E-10</v>
      </c>
      <c r="G53" s="285">
        <f t="shared" si="26"/>
        <v>213647194255.33527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0">
        <f t="shared" si="28"/>
        <v>177159169127.80215</v>
      </c>
      <c r="T53" s="9">
        <f t="shared" si="29"/>
        <v>3.222085153636634E-11</v>
      </c>
      <c r="U53" s="285">
        <f t="shared" si="30"/>
        <v>1011263386043.9874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594775770767.98511</v>
      </c>
      <c r="F54" s="10">
        <f t="shared" si="24"/>
        <v>9.8809151079578821E-12</v>
      </c>
      <c r="G54" s="286">
        <f t="shared" si="26"/>
        <v>3495454915787.3838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1">
        <f t="shared" si="28"/>
        <v>2815271981616.1963</v>
      </c>
      <c r="T54" s="10">
        <f t="shared" si="29"/>
        <v>2.0875172763431693E-12</v>
      </c>
      <c r="U54" s="286">
        <f t="shared" si="30"/>
        <v>16545153267949.014</v>
      </c>
    </row>
  </sheetData>
  <mergeCells count="2">
    <mergeCell ref="A18:F18"/>
    <mergeCell ref="O18:T18"/>
  </mergeCells>
  <conditionalFormatting sqref="F45:F54">
    <cfRule type="cellIs" dxfId="610" priority="59" operator="equal">
      <formula>MAX($F$45:$F$54)</formula>
    </cfRule>
  </conditionalFormatting>
  <conditionalFormatting sqref="F21:F30">
    <cfRule type="cellIs" dxfId="609" priority="57" operator="equal">
      <formula>MAX($F$21:$F$30)</formula>
    </cfRule>
  </conditionalFormatting>
  <conditionalFormatting sqref="E33:E42">
    <cfRule type="cellIs" dxfId="608" priority="53" stopIfTrue="1" operator="lessThan">
      <formula>0</formula>
    </cfRule>
    <cfRule type="cellIs" dxfId="607" priority="54" operator="equal">
      <formula>MIN($E$33:$E$42)</formula>
    </cfRule>
  </conditionalFormatting>
  <conditionalFormatting sqref="E21:E30">
    <cfRule type="cellIs" dxfId="606" priority="49" stopIfTrue="1" operator="lessThan">
      <formula>0</formula>
    </cfRule>
    <cfRule type="cellIs" dxfId="605" priority="50" operator="equal">
      <formula>MIN($E$21:$E$30)</formula>
    </cfRule>
  </conditionalFormatting>
  <conditionalFormatting sqref="E45:E54">
    <cfRule type="cellIs" dxfId="604" priority="45" stopIfTrue="1" operator="lessThan">
      <formula>0</formula>
    </cfRule>
    <cfRule type="cellIs" dxfId="603" priority="46" operator="equal">
      <formula>MIN($E$45:$E$54)</formula>
    </cfRule>
  </conditionalFormatting>
  <conditionalFormatting sqref="F33:F42">
    <cfRule type="cellIs" dxfId="602" priority="31" operator="lessThanOrEqual">
      <formula>0</formula>
    </cfRule>
    <cfRule type="cellIs" dxfId="601" priority="32" operator="equal">
      <formula>MAX($F$33:$F$42)</formula>
    </cfRule>
  </conditionalFormatting>
  <conditionalFormatting sqref="S7:T16">
    <cfRule type="cellIs" dxfId="600" priority="13" operator="lessThanOrEqual">
      <formula>0</formula>
    </cfRule>
    <cfRule type="cellIs" dxfId="599" priority="14" operator="greaterThan">
      <formula>0</formula>
    </cfRule>
  </conditionalFormatting>
  <conditionalFormatting sqref="U7:U16">
    <cfRule type="cellIs" dxfId="598" priority="15" operator="lessThanOrEqual">
      <formula>0</formula>
    </cfRule>
    <cfRule type="cellIs" dxfId="597" priority="16" operator="greaterThan">
      <formula>0</formula>
    </cfRule>
  </conditionalFormatting>
  <conditionalFormatting sqref="R7:R16">
    <cfRule type="cellIs" dxfId="596" priority="17" operator="lessThanOrEqual">
      <formula>0</formula>
    </cfRule>
    <cfRule type="cellIs" dxfId="595" priority="18" operator="greaterThan">
      <formula>0</formula>
    </cfRule>
  </conditionalFormatting>
  <conditionalFormatting sqref="T21:T30">
    <cfRule type="cellIs" dxfId="594" priority="9" operator="equal">
      <formula>MAX($T$21:$T$30)</formula>
    </cfRule>
  </conditionalFormatting>
  <conditionalFormatting sqref="S33:S42">
    <cfRule type="cellIs" dxfId="593" priority="7" stopIfTrue="1" operator="lessThan">
      <formula>0</formula>
    </cfRule>
    <cfRule type="cellIs" dxfId="592" priority="8" operator="equal">
      <formula>MIN($E$21:$E$30)</formula>
    </cfRule>
  </conditionalFormatting>
  <conditionalFormatting sqref="T33:T42">
    <cfRule type="cellIs" dxfId="591" priority="6" operator="equal">
      <formula>MAX($T$21:$T$30)</formula>
    </cfRule>
  </conditionalFormatting>
  <conditionalFormatting sqref="S45:S54">
    <cfRule type="cellIs" dxfId="590" priority="4" stopIfTrue="1" operator="lessThan">
      <formula>0</formula>
    </cfRule>
    <cfRule type="cellIs" dxfId="589" priority="5" operator="equal">
      <formula>MIN($E$21:$E$30)</formula>
    </cfRule>
  </conditionalFormatting>
  <conditionalFormatting sqref="T45:T54">
    <cfRule type="cellIs" dxfId="588" priority="3" operator="equal">
      <formula>MAX($T$21:$T$30)</formula>
    </cfRule>
  </conditionalFormatting>
  <conditionalFormatting sqref="S21:S30">
    <cfRule type="cellIs" dxfId="587" priority="1" stopIfTrue="1" operator="lessThan">
      <formula>0</formula>
    </cfRule>
    <cfRule type="cellIs" dxfId="58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W54"/>
  <sheetViews>
    <sheetView topLeftCell="A18" workbookViewId="0">
      <selection activeCell="U20" sqref="U20:U54"/>
    </sheetView>
  </sheetViews>
  <sheetFormatPr baseColWidth="10" defaultColWidth="8.6640625" defaultRowHeight="16" x14ac:dyDescent="0.2"/>
  <cols>
    <col min="13" max="13" width="9.1640625" bestFit="1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Analysis!B16</f>
        <v>0.59610552421568264</v>
      </c>
      <c r="D2" s="149" t="s">
        <v>126</v>
      </c>
      <c r="E2" s="155">
        <f>Analysis!L16</f>
        <v>0.40389447578431797</v>
      </c>
      <c r="F2" s="149" t="s">
        <v>47</v>
      </c>
      <c r="G2" s="155">
        <f>Analysis!S16</f>
        <v>7.4852214372108365</v>
      </c>
      <c r="H2" t="s">
        <v>155</v>
      </c>
      <c r="I2" s="169">
        <f>Analysis!T16</f>
        <v>-7.5687298197121731</v>
      </c>
      <c r="J2" t="s">
        <v>48</v>
      </c>
      <c r="K2" s="169">
        <f>C2*G2+E2*I2</f>
        <v>1.4050136858132474</v>
      </c>
      <c r="L2" t="s">
        <v>47</v>
      </c>
      <c r="M2" s="176">
        <v>1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0.59610552421568264</v>
      </c>
      <c r="C4" t="s">
        <v>124</v>
      </c>
      <c r="D4">
        <f>$E$2</f>
        <v>0.40389447578431797</v>
      </c>
      <c r="E4" t="s">
        <v>47</v>
      </c>
      <c r="F4">
        <f>G2</f>
        <v>7.4852214372108365</v>
      </c>
      <c r="G4" t="s">
        <v>155</v>
      </c>
      <c r="H4">
        <f>I2</f>
        <v>-7.5687298197121731</v>
      </c>
      <c r="I4" t="s">
        <v>48</v>
      </c>
      <c r="J4">
        <f>K2</f>
        <v>1.4050136858132474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0.59610552421568264</v>
      </c>
      <c r="C7" s="95">
        <v>1</v>
      </c>
      <c r="D7" s="109">
        <f>C7*D4</f>
        <v>0.40389447578431797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1.0000000000000007</v>
      </c>
      <c r="R7" s="187">
        <f>B7-D7</f>
        <v>0.19221104843136466</v>
      </c>
      <c r="S7" s="109">
        <f>SUM(C7)*$B$4*$F$4</f>
        <v>4.4619818486990308</v>
      </c>
      <c r="T7" s="57">
        <f>SUM(C7)*$D$4*$H$4</f>
        <v>-3.0569681628857834</v>
      </c>
      <c r="U7" s="263">
        <f>S7+T7</f>
        <v>1.4050136858132474</v>
      </c>
      <c r="V7" s="109">
        <f>(U7+W7*D7)/B7</f>
        <v>3.0345435298181651</v>
      </c>
      <c r="W7" s="57">
        <f>COUNT(D7:M7)</f>
        <v>1</v>
      </c>
    </row>
    <row r="8" spans="1:23" x14ac:dyDescent="0.2">
      <c r="A8" s="99">
        <v>2</v>
      </c>
      <c r="B8" s="97">
        <f>C8*B4</f>
        <v>0.78513836386450631</v>
      </c>
      <c r="C8" s="97">
        <f>1/(1-B4*D4)</f>
        <v>1.3171130478912119</v>
      </c>
      <c r="D8" s="93">
        <f>C8*D4</f>
        <v>0.53197468402670633</v>
      </c>
      <c r="E8" s="1">
        <f>D8*D4</f>
        <v>0.21486163613549475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1.0000000000000011</v>
      </c>
      <c r="R8" s="188">
        <f>B8-E8</f>
        <v>0.5702767277290115</v>
      </c>
      <c r="S8" s="93">
        <f>SUM(C8:D8)*$B$4*$F$4</f>
        <v>8.250595896469811</v>
      </c>
      <c r="T8" s="9">
        <f>SUM(C8:D8)*$D$4*$H$4</f>
        <v>-5.6526023268557584</v>
      </c>
      <c r="U8" s="264">
        <f>S8+T8</f>
        <v>2.5979935696140526</v>
      </c>
      <c r="V8" s="93">
        <f>(U8+W8*E8)/B8</f>
        <v>3.8562844222544501</v>
      </c>
      <c r="W8" s="9">
        <f>COUNT(D8:M8)</f>
        <v>2</v>
      </c>
    </row>
    <row r="9" spans="1:23" x14ac:dyDescent="0.2">
      <c r="A9" s="99">
        <v>3</v>
      </c>
      <c r="B9" s="97">
        <f>C9*B4</f>
        <v>0.87291977445883218</v>
      </c>
      <c r="C9" s="97">
        <f>1/(1-D4*B4/(1-D4*B4))</f>
        <v>1.464371221198401</v>
      </c>
      <c r="D9" s="93">
        <f>C9*D4*C8</f>
        <v>0.77900841769482143</v>
      </c>
      <c r="E9" s="1">
        <f>D9*(D4)</f>
        <v>0.31463719649642091</v>
      </c>
      <c r="F9" s="1">
        <f>E9*D4</f>
        <v>0.12708022554116938</v>
      </c>
      <c r="G9" s="1"/>
      <c r="H9" s="1"/>
      <c r="I9" s="1"/>
      <c r="J9" s="1"/>
      <c r="K9" s="1"/>
      <c r="L9" s="1"/>
      <c r="M9" s="260"/>
      <c r="N9" s="97">
        <f>B9+F9</f>
        <v>1.0000000000000016</v>
      </c>
      <c r="R9" s="188">
        <f>B9-F9</f>
        <v>0.7458395489176628</v>
      </c>
      <c r="S9" s="93">
        <f>SUM(C9:E9)*$B$4*$F$4</f>
        <v>11.413824688175126</v>
      </c>
      <c r="T9" s="9">
        <f>SUM(C9:E9)*$D$4*$H$4</f>
        <v>-7.8197760259119828</v>
      </c>
      <c r="U9" s="264">
        <f t="shared" ref="U9:U16" si="0">S9+T9</f>
        <v>3.5940486622631429</v>
      </c>
      <c r="V9" s="93">
        <f>(U9+W9*F9)/B9</f>
        <v>4.5540145328373818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0.92072223888619231</v>
      </c>
      <c r="C10" s="97">
        <f>1/(1-D4*B4/(1-D4*B4/(1-D4*B4)))</f>
        <v>1.544562500234534</v>
      </c>
      <c r="D10" s="93">
        <f>C10*D4*C9</f>
        <v>0.91353372534340205</v>
      </c>
      <c r="E10" s="1">
        <f>D10*D4*C8</f>
        <v>0.48597681488729622</v>
      </c>
      <c r="F10" s="1">
        <f>E10*D4</f>
        <v>0.19628335089223703</v>
      </c>
      <c r="G10" s="1">
        <f>F10*D4</f>
        <v>7.9277761113809422E-2</v>
      </c>
      <c r="H10" s="1"/>
      <c r="I10" s="1"/>
      <c r="J10" s="1"/>
      <c r="K10" s="1"/>
      <c r="L10" s="1"/>
      <c r="M10" s="260"/>
      <c r="N10" s="97">
        <f>B10+G10</f>
        <v>1.0000000000000018</v>
      </c>
      <c r="R10" s="188">
        <f>B10-G10</f>
        <v>0.84144447777238285</v>
      </c>
      <c r="S10" s="93">
        <f>SUM(C10:F10)*$B$4*$F$4</f>
        <v>14.012213216683019</v>
      </c>
      <c r="T10" s="9">
        <f>SUM(C10:F10)*$D$4*$H$4</f>
        <v>-9.5999695084946719</v>
      </c>
      <c r="U10" s="264">
        <f t="shared" si="0"/>
        <v>4.4122437081883472</v>
      </c>
      <c r="V10" s="93">
        <f>(U10+W10*G10)/B10</f>
        <v>5.1365705669982908</v>
      </c>
      <c r="W10" s="9">
        <f t="shared" si="1"/>
        <v>4</v>
      </c>
    </row>
    <row r="11" spans="1:23" x14ac:dyDescent="0.2">
      <c r="A11" s="99">
        <v>5</v>
      </c>
      <c r="B11" s="97">
        <f>C11*B4</f>
        <v>0.94902315510131297</v>
      </c>
      <c r="C11" s="97">
        <f>1/(1-D4*B4/(1-D4*B4/(1-D4*B4/(1-D4*B4))))</f>
        <v>1.5920388531040317</v>
      </c>
      <c r="D11" s="93">
        <f>C11*D4*C10</f>
        <v>0.99317793419713485</v>
      </c>
      <c r="E11" s="1">
        <f>D11*D4*C9</f>
        <v>0.5874165260507126</v>
      </c>
      <c r="F11" s="1">
        <f>E11*D4*C8</f>
        <v>0.31249072083789337</v>
      </c>
      <c r="G11" s="1">
        <f>F11*D4</f>
        <v>0.12621327588028458</v>
      </c>
      <c r="H11" s="1">
        <f>G11*D4</f>
        <v>5.0976844898689047E-2</v>
      </c>
      <c r="I11" s="1"/>
      <c r="J11" s="1"/>
      <c r="K11" s="1"/>
      <c r="L11" s="1"/>
      <c r="M11" s="260"/>
      <c r="N11" s="97">
        <f>B11+H11</f>
        <v>1.000000000000002</v>
      </c>
      <c r="R11" s="188">
        <f>B11-H11</f>
        <v>0.89804631020262393</v>
      </c>
      <c r="S11" s="93">
        <f>SUM(C11:G11)*$B$4*$F$4</f>
        <v>16.113721527062179</v>
      </c>
      <c r="T11" s="9">
        <f>SUM(C11:G11)*$D$4*$H$4</f>
        <v>-11.039743182325749</v>
      </c>
      <c r="U11" s="264">
        <f t="shared" si="0"/>
        <v>5.0739783447364299</v>
      </c>
      <c r="V11" s="93">
        <f>(U11+W11*H11)/B11</f>
        <v>5.6151027934202427</v>
      </c>
      <c r="W11" s="9">
        <f t="shared" si="1"/>
        <v>5</v>
      </c>
    </row>
    <row r="12" spans="1:23" x14ac:dyDescent="0.2">
      <c r="A12" s="99">
        <v>6</v>
      </c>
      <c r="B12" s="97">
        <f>C12*B4</f>
        <v>0.96661352362210406</v>
      </c>
      <c r="C12" s="97">
        <f>1/(1-D4*B4/(1-D4*B4/(1-D4*B4/(1-D4*B4/(1-D4*B4)))))</f>
        <v>1.6215476695907358</v>
      </c>
      <c r="D12" s="93">
        <f>C12*D4*C11</f>
        <v>1.0426806066065704</v>
      </c>
      <c r="E12" s="1">
        <f>D12*D4*C10</f>
        <v>0.65046614212829135</v>
      </c>
      <c r="F12" s="1">
        <f>E12*D4*C9</f>
        <v>0.38471914081688452</v>
      </c>
      <c r="G12" s="1">
        <f>F12*D4*C8</f>
        <v>0.20466084337508805</v>
      </c>
      <c r="H12" s="1">
        <f>G12*D4</f>
        <v>8.2661384048557593E-2</v>
      </c>
      <c r="I12" s="1">
        <f>H12*D4</f>
        <v>3.338647637789835E-2</v>
      </c>
      <c r="J12" s="1"/>
      <c r="K12" s="1"/>
      <c r="L12" s="1"/>
      <c r="M12" s="260"/>
      <c r="N12" s="97">
        <f>B12+I12</f>
        <v>1.0000000000000024</v>
      </c>
      <c r="R12" s="188">
        <f>B12-I12</f>
        <v>0.93322704724420569</v>
      </c>
      <c r="S12" s="93">
        <f>SUM(C12:H12)*$B$4*$F$4</f>
        <v>17.788742715216916</v>
      </c>
      <c r="T12" s="9">
        <f>SUM(C12:H12)*$D$4*$H$4</f>
        <v>-12.187324373370066</v>
      </c>
      <c r="U12" s="264">
        <f t="shared" si="0"/>
        <v>5.6014183418468502</v>
      </c>
      <c r="V12" s="93">
        <f>(U12+W12*I12)/B12</f>
        <v>6.0021270738835844</v>
      </c>
      <c r="W12" s="9">
        <f t="shared" si="1"/>
        <v>6</v>
      </c>
    </row>
    <row r="13" spans="1:23" x14ac:dyDescent="0.2">
      <c r="A13" s="99">
        <v>7</v>
      </c>
      <c r="B13" s="97">
        <f>C13*B4</f>
        <v>0.97787921335434869</v>
      </c>
      <c r="C13" s="97">
        <f>1/(1-D4*B4/(1-D4*B4/(1-D4*B4/(1-D4*B4/(1-D4*B4/(1-D4*B4))))))</f>
        <v>1.6404464874587086</v>
      </c>
      <c r="D13" s="93">
        <f>C13*D4*C12</f>
        <v>1.0743844192710126</v>
      </c>
      <c r="E13" s="1">
        <f>D13*D4*C11</f>
        <v>0.69084604728079679</v>
      </c>
      <c r="F13" s="1">
        <f>E13*D4*C10</f>
        <v>0.43097757868712172</v>
      </c>
      <c r="G13" s="1">
        <f>F13*D4*C9</f>
        <v>0.25490231242681488</v>
      </c>
      <c r="H13" s="1">
        <f>G13*D4*C8</f>
        <v>0.13560157711093163</v>
      </c>
      <c r="I13" s="1">
        <f>H13*D4</f>
        <v>5.4768727902746499E-2</v>
      </c>
      <c r="J13" s="1">
        <f>I13*D4</f>
        <v>2.2120786645653746E-2</v>
      </c>
      <c r="K13" s="1"/>
      <c r="L13" s="1"/>
      <c r="M13" s="260"/>
      <c r="N13" s="97">
        <f>B13+J13</f>
        <v>1.0000000000000024</v>
      </c>
      <c r="R13" s="188">
        <f>B13-J13</f>
        <v>0.95575842670869493</v>
      </c>
      <c r="S13" s="93">
        <f>SUM(C13:I13)*$B$4*$F$4</f>
        <v>19.10588122136792</v>
      </c>
      <c r="T13" s="9">
        <f>SUM(C13:I13)*$D$4*$H$4</f>
        <v>-13.089714973768528</v>
      </c>
      <c r="U13" s="264">
        <f t="shared" si="0"/>
        <v>6.0161662475993918</v>
      </c>
      <c r="V13" s="93">
        <f>(U13+W13*J13)/B13</f>
        <v>6.3106073529786881</v>
      </c>
      <c r="W13" s="9">
        <f t="shared" si="1"/>
        <v>7</v>
      </c>
    </row>
    <row r="14" spans="1:23" x14ac:dyDescent="0.2">
      <c r="A14" s="99">
        <v>8</v>
      </c>
      <c r="B14" s="97">
        <f>C14*B4</f>
        <v>0.98523326770594666</v>
      </c>
      <c r="C14" s="97">
        <f>1/(1-D4*B4/(1-D4*B4/(1-D4*B4/(1-D4*B4/(1-D4*B4/(1-D4*B4/(1-D4*B4)))))))</f>
        <v>1.6527833205408611</v>
      </c>
      <c r="D14" s="93">
        <f>C14*D4*C13</f>
        <v>1.0950801393759124</v>
      </c>
      <c r="E14" s="1">
        <f>D14*D4*C12</f>
        <v>0.71720537584937449</v>
      </c>
      <c r="F14" s="1">
        <f>E14*D4*C11</f>
        <v>0.46117431536308851</v>
      </c>
      <c r="G14" s="1">
        <f>F14*D4*C10</f>
        <v>0.28769910542325211</v>
      </c>
      <c r="H14" s="1">
        <f>G14*D4*C9</f>
        <v>0.17016005212826243</v>
      </c>
      <c r="I14" s="1">
        <f>H14*D4*C8</f>
        <v>9.0520839964900277E-2</v>
      </c>
      <c r="J14" s="1">
        <f>I14*D4</f>
        <v>3.6560867205179537E-2</v>
      </c>
      <c r="K14" s="1">
        <f>J14*D4</f>
        <v>1.4766732294056052E-2</v>
      </c>
      <c r="L14" s="1"/>
      <c r="M14" s="260"/>
      <c r="N14" s="97">
        <f>B14+K14</f>
        <v>1.0000000000000027</v>
      </c>
      <c r="R14" s="188">
        <f>B14-K14</f>
        <v>0.97046653541189065</v>
      </c>
      <c r="S14" s="93">
        <f>SUM(C14:J14)*$B$4*$F$4</f>
        <v>20.128821194867612</v>
      </c>
      <c r="T14" s="9">
        <f>SUM(C14:J14)*$D$4*$H$4</f>
        <v>-13.790545913375226</v>
      </c>
      <c r="U14" s="264">
        <f t="shared" si="0"/>
        <v>6.3382752814923862</v>
      </c>
      <c r="V14" s="93">
        <f>(U14+W14*K14)/B14</f>
        <v>6.5531781675198344</v>
      </c>
      <c r="W14" s="9">
        <f t="shared" si="1"/>
        <v>8</v>
      </c>
    </row>
    <row r="15" spans="1:23" x14ac:dyDescent="0.2">
      <c r="A15" s="99">
        <v>9</v>
      </c>
      <c r="B15" s="97">
        <f>C15*B4</f>
        <v>0.9900938357415604</v>
      </c>
      <c r="C15" s="97">
        <f>1/(1-D4*B4/(1-D4*B4/(1-D4*B4/(1-D4*B4/(1-D4*B4/(1-D4*B4/(1-D4*B4/(1-D4*B4))))))))</f>
        <v>1.6609371923608027</v>
      </c>
      <c r="D15" s="93">
        <f>C15*D4*C14</f>
        <v>1.10875871051593</v>
      </c>
      <c r="E15" s="1">
        <f>D15*D4*C13</f>
        <v>0.73462723646600592</v>
      </c>
      <c r="F15" s="1">
        <f>E15*D4*C12</f>
        <v>0.48113246172016039</v>
      </c>
      <c r="G15" s="1">
        <f>F15*D4*C11</f>
        <v>0.30937572570475574</v>
      </c>
      <c r="H15" s="1">
        <f>G15*D4*C10</f>
        <v>0.19300103357848797</v>
      </c>
      <c r="I15" s="1">
        <f>H15*D4*C9</f>
        <v>0.11415074053222898</v>
      </c>
      <c r="J15" s="1">
        <f>I15*D4*C8</f>
        <v>6.0725304126047049E-2</v>
      </c>
      <c r="K15" s="1">
        <f>J15*D4</f>
        <v>2.4526614876833053E-2</v>
      </c>
      <c r="L15" s="1">
        <f>K15*D4</f>
        <v>9.9061642584423407E-3</v>
      </c>
      <c r="M15" s="260"/>
      <c r="N15" s="97">
        <f>B15+L15</f>
        <v>1.0000000000000027</v>
      </c>
      <c r="R15" s="188">
        <f>B15-L15</f>
        <v>0.98018767148311803</v>
      </c>
      <c r="S15" s="93">
        <f>SUM(C15:K15)*$B$4*$F$4</f>
        <v>20.914357579296588</v>
      </c>
      <c r="T15" s="9">
        <f>SUM(C15:K15)*$D$4*$H$4</f>
        <v>-14.328728227740299</v>
      </c>
      <c r="U15" s="264">
        <f t="shared" si="0"/>
        <v>6.5856293515562889</v>
      </c>
      <c r="V15" s="93">
        <f>(U15+W15*L15)/B15</f>
        <v>6.7415679089477321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0.99333277583464918</v>
      </c>
      <c r="C16" s="145">
        <f>1/(1-D4*B4/(1-D4*B4/(1-D4*B4/(1-D4*B4/(1-D4*B4/(1-D4*B4/(1-D4*B4/(1-D4*B4/(1-D4*B4)))))))))</f>
        <v>1.6663706935808265</v>
      </c>
      <c r="D16" s="94">
        <f>C16*D4*C15</f>
        <v>1.1178737094536981</v>
      </c>
      <c r="E16" s="111">
        <f>D16*D4*C14</f>
        <v>0.74623665380857918</v>
      </c>
      <c r="F16" s="111">
        <f>E16*D4*C13</f>
        <v>0.49443198555070988</v>
      </c>
      <c r="G16" s="111">
        <f>F16*D4*C12</f>
        <v>0.32382039019622949</v>
      </c>
      <c r="H16" s="111">
        <f>G16*D4*C11</f>
        <v>0.20822159422954153</v>
      </c>
      <c r="I16" s="111">
        <f>H16*D4*C10</f>
        <v>0.12989701376252574</v>
      </c>
      <c r="J16" s="111">
        <f>I16*D4*C9</f>
        <v>7.6827776716995658E-2</v>
      </c>
      <c r="K16" s="111">
        <f>J16*D4*C8</f>
        <v>4.0870432243498109E-2</v>
      </c>
      <c r="L16" s="111">
        <f>K16*D4</f>
        <v>1.6507341806066157E-2</v>
      </c>
      <c r="M16" s="262">
        <f>L16*D4</f>
        <v>6.6672241653536468E-3</v>
      </c>
      <c r="N16" s="145">
        <f>B16+M16</f>
        <v>1.0000000000000029</v>
      </c>
      <c r="R16" s="189">
        <f>B16-M16</f>
        <v>0.98666555166929548</v>
      </c>
      <c r="S16" s="94">
        <f>SUM(C16:L16)*$B$4*$F$4</f>
        <v>21.511471464130434</v>
      </c>
      <c r="T16" s="10">
        <f>SUM(C16:L16)*$D$4*$H$4</f>
        <v>-14.737819568191702</v>
      </c>
      <c r="U16" s="265">
        <f t="shared" si="0"/>
        <v>6.7736518959387322</v>
      </c>
      <c r="V16" s="94">
        <f>(U16+W16*M16)/B16</f>
        <v>6.8862362181139929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46.823531079243601</v>
      </c>
      <c r="F21" s="8">
        <f t="shared" ref="F21:F30" si="4">U7/E21</f>
        <v>3.0006572623397808E-2</v>
      </c>
      <c r="G21" s="284">
        <f>E21*U7</f>
        <v>65.787701984439195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9">
        <f>R21/R7</f>
        <v>234.117655396218</v>
      </c>
      <c r="T21" s="8">
        <f>U7/S21</f>
        <v>6.0013145246795617E-3</v>
      </c>
      <c r="U21" s="284">
        <f>S21*U7</f>
        <v>328.93850992219598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157.81811815888599</v>
      </c>
      <c r="F22" s="9">
        <f t="shared" si="4"/>
        <v>1.6461947461561287E-2</v>
      </c>
      <c r="G22" s="285">
        <f t="shared" ref="G22:G30" si="5">E22*U8</f>
        <v>410.01045614537657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0">
        <f t="shared" ref="S22:S30" si="7">R22/R8</f>
        <v>852.21783805798441</v>
      </c>
      <c r="T22" s="9">
        <f>U8/S22</f>
        <v>3.048508789178016E-3</v>
      </c>
      <c r="U22" s="285">
        <f t="shared" ref="U22:U30" si="8">S22*U8</f>
        <v>2214.0564631850334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1098.0914074461527</v>
      </c>
      <c r="F23" s="9">
        <f t="shared" si="4"/>
        <v>3.2729958889505151E-3</v>
      </c>
      <c r="G23" s="285">
        <f t="shared" si="5"/>
        <v>3946.5939539744973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0">
        <f t="shared" si="7"/>
        <v>6021.4023331387934</v>
      </c>
      <c r="T23" s="9">
        <f t="shared" ref="T23:T30" si="11">U9/S23</f>
        <v>5.9687900980861098E-4</v>
      </c>
      <c r="U23" s="285">
        <f t="shared" si="8"/>
        <v>21641.213000365649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8770.6321628464557</v>
      </c>
      <c r="F24" s="9">
        <f t="shared" si="4"/>
        <v>5.0307020363699528E-4</v>
      </c>
      <c r="G24" s="285">
        <f t="shared" si="5"/>
        <v>38698.16657735363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0">
        <f t="shared" si="7"/>
        <v>48217.085109892461</v>
      </c>
      <c r="T24" s="9">
        <f t="shared" si="11"/>
        <v>9.1507889747634473E-5</v>
      </c>
      <c r="U24" s="285">
        <f t="shared" si="8"/>
        <v>212745.53040330505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73970.572837175612</v>
      </c>
      <c r="F25" s="9">
        <f t="shared" si="4"/>
        <v>6.859455253787605E-5</v>
      </c>
      <c r="G25" s="285">
        <f t="shared" si="5"/>
        <v>375325.08472357783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0">
        <f t="shared" si="7"/>
        <v>406813.09621724288</v>
      </c>
      <c r="T25" s="9">
        <f t="shared" si="11"/>
        <v>1.2472504921589022E-5</v>
      </c>
      <c r="U25" s="285">
        <f t="shared" si="8"/>
        <v>2064160.8405614682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640647.95567755355</v>
      </c>
      <c r="F26" s="9">
        <f t="shared" si="4"/>
        <v>8.7433641084872462E-6</v>
      </c>
      <c r="G26" s="285">
        <f t="shared" si="5"/>
        <v>3588537.2095989361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0">
        <f t="shared" si="7"/>
        <v>3523534.8243604139</v>
      </c>
      <c r="T26" s="9">
        <f t="shared" si="11"/>
        <v>1.5897156182821635E-6</v>
      </c>
      <c r="U26" s="285">
        <f t="shared" si="8"/>
        <v>19736792.593308542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5629915.3108487558</v>
      </c>
      <c r="F27" s="9">
        <f t="shared" si="4"/>
        <v>1.0686068822396559E-6</v>
      </c>
      <c r="G27" s="285">
        <f t="shared" si="5"/>
        <v>33870506.469971322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0">
        <f t="shared" si="7"/>
        <v>30964501.251549117</v>
      </c>
      <c r="T27" s="9">
        <f t="shared" si="11"/>
        <v>1.9429236720867288E-7</v>
      </c>
      <c r="U27" s="285">
        <f t="shared" si="8"/>
        <v>186287587.30331892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49901318.832643844</v>
      </c>
      <c r="F28" s="9">
        <f t="shared" si="4"/>
        <v>1.2701618774344076E-7</v>
      </c>
      <c r="G28" s="285">
        <f t="shared" si="5"/>
        <v>316288295.67081696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0">
        <f t="shared" si="7"/>
        <v>274457216.48398072</v>
      </c>
      <c r="T28" s="9">
        <f t="shared" si="11"/>
        <v>2.309385543834783E-8</v>
      </c>
      <c r="U28" s="285">
        <f t="shared" si="8"/>
        <v>1739585391.0676196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444657754.50992978</v>
      </c>
      <c r="F29" s="9">
        <f t="shared" si="4"/>
        <v>1.4810557748654361E-8</v>
      </c>
      <c r="G29" s="285">
        <f t="shared" si="5"/>
        <v>2928351159.4977045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0">
        <f t="shared" si="7"/>
        <v>2445617608.4859958</v>
      </c>
      <c r="T29" s="9">
        <f t="shared" si="11"/>
        <v>2.6928287270687598E-9</v>
      </c>
      <c r="U29" s="285">
        <f t="shared" si="8"/>
        <v>16105931105.128271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3975645489.3590569</v>
      </c>
      <c r="F30" s="10">
        <f t="shared" si="4"/>
        <v>1.7037866967939242E-9</v>
      </c>
      <c r="G30" s="286">
        <f t="shared" si="5"/>
        <v>26929638606.577244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1">
        <f t="shared" si="7"/>
        <v>21866050145.866653</v>
      </c>
      <c r="T30" s="10">
        <f t="shared" si="11"/>
        <v>3.0977940006321434E-10</v>
      </c>
      <c r="U30" s="286">
        <f t="shared" si="8"/>
        <v>148113012027.24106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46.823531079243601</v>
      </c>
      <c r="F33" s="8">
        <f t="shared" ref="F33:F42" si="14">U7/E33</f>
        <v>3.0006572623397808E-2</v>
      </c>
      <c r="G33" s="287">
        <f>E33*U7</f>
        <v>65.787701984439195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9">
        <f>R33/R7</f>
        <v>234.117655396218</v>
      </c>
      <c r="T33" s="8">
        <f>U7/S33</f>
        <v>6.0013145246795617E-3</v>
      </c>
      <c r="U33" s="287">
        <f>S33*U7</f>
        <v>328.93850992219598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173.5999299747746</v>
      </c>
      <c r="F34" s="9">
        <f t="shared" si="14"/>
        <v>1.4965406783237534E-2</v>
      </c>
      <c r="G34" s="285">
        <f t="shared" ref="G34:G42" si="16">E34*U8</f>
        <v>451.01150175991421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0">
        <f>R34/R8</f>
        <v>867.99964987387307</v>
      </c>
      <c r="T34" s="9">
        <f t="shared" ref="T34:T42" si="18">U8/S34</f>
        <v>2.9930813566475065E-3</v>
      </c>
      <c r="U34" s="285">
        <f t="shared" ref="U34:U42" si="19">S34*U8</f>
        <v>2255.0575087995712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1339.430178313439</v>
      </c>
      <c r="F35" s="9">
        <f t="shared" si="14"/>
        <v>2.6832668999504225E-3</v>
      </c>
      <c r="G35" s="285">
        <f t="shared" si="16"/>
        <v>4813.977240562298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0">
        <f t="shared" ref="S35:S42" si="21">R35/R9</f>
        <v>6154.1386571158009</v>
      </c>
      <c r="T35" s="9">
        <f t="shared" si="18"/>
        <v>5.84005148812739E-4</v>
      </c>
      <c r="U35" s="285">
        <f t="shared" si="19"/>
        <v>22118.273807988939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11883.136991368794</v>
      </c>
      <c r="F36" s="9">
        <f t="shared" si="14"/>
        <v>3.7130294057816039E-4</v>
      </c>
      <c r="G36" s="285">
        <f t="shared" si="16"/>
        <v>52431.296423707165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0">
        <f t="shared" si="21"/>
        <v>49308.06618380751</v>
      </c>
      <c r="T36" s="9">
        <f t="shared" si="18"/>
        <v>8.9483203249964463E-5</v>
      </c>
      <c r="U36" s="285">
        <f t="shared" si="19"/>
        <v>217559.20478243931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111351.71857388677</v>
      </c>
      <c r="F37" s="9">
        <f t="shared" si="14"/>
        <v>4.5567130976695451E-5</v>
      </c>
      <c r="G37" s="285">
        <f t="shared" si="16"/>
        <v>564996.20869308675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0">
        <f t="shared" si="21"/>
        <v>416053.15422508412</v>
      </c>
      <c r="T37" s="9">
        <f t="shared" si="18"/>
        <v>1.2195505053163028E-5</v>
      </c>
      <c r="U37" s="285">
        <f t="shared" si="19"/>
        <v>2111044.6947973631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1071549.5258661546</v>
      </c>
      <c r="F38" s="9">
        <f t="shared" si="14"/>
        <v>5.2274003269415972E-6</v>
      </c>
      <c r="G38" s="285">
        <f t="shared" si="16"/>
        <v>6002197.1683839737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0">
        <f t="shared" si="21"/>
        <v>3603608.5858535757</v>
      </c>
      <c r="T38" s="9">
        <f t="shared" si="18"/>
        <v>1.5543914408007381E-6</v>
      </c>
      <c r="U38" s="285">
        <f t="shared" si="19"/>
        <v>20185319.229637008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10462893.886728862</v>
      </c>
      <c r="F39" s="9">
        <f t="shared" si="14"/>
        <v>5.7500021626237644E-7</v>
      </c>
      <c r="G39" s="285">
        <f t="shared" si="16"/>
        <v>62946509.053552195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0">
        <f t="shared" si="21"/>
        <v>31668232.425875451</v>
      </c>
      <c r="T39" s="9">
        <f t="shared" si="18"/>
        <v>1.8997480398317741E-7</v>
      </c>
      <c r="U39" s="285">
        <f t="shared" si="19"/>
        <v>190521351.04168451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103043222.35857154</v>
      </c>
      <c r="F40" s="9">
        <f t="shared" si="14"/>
        <v>6.151084114427583E-8</v>
      </c>
      <c r="G40" s="285">
        <f t="shared" si="16"/>
        <v>653116309.20065761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0">
        <f t="shared" si="21"/>
        <v>280694872.06417108</v>
      </c>
      <c r="T40" s="9">
        <f t="shared" si="18"/>
        <v>2.2580659329050233E-8</v>
      </c>
      <c r="U40" s="285">
        <f t="shared" si="19"/>
        <v>1779121369.2460032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1020212789.9516467</v>
      </c>
      <c r="F41" s="9">
        <f t="shared" si="14"/>
        <v>6.4551527058079879E-9</v>
      </c>
      <c r="G41" s="285">
        <f t="shared" si="16"/>
        <v>6718743294.3386955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0">
        <f t="shared" si="21"/>
        <v>2501199817.4700823</v>
      </c>
      <c r="T41" s="9">
        <f t="shared" si="18"/>
        <v>2.63298809857484E-9</v>
      </c>
      <c r="U41" s="285">
        <f t="shared" si="19"/>
        <v>16471974932.038206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10135146587.49507</v>
      </c>
      <c r="F42" s="10">
        <f t="shared" si="14"/>
        <v>6.6833289853904911E-10</v>
      </c>
      <c r="G42" s="286">
        <f t="shared" si="16"/>
        <v>68651954898.002953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1">
        <f t="shared" si="21"/>
        <v>22363005820.634495</v>
      </c>
      <c r="T42" s="10">
        <f t="shared" si="18"/>
        <v>3.0289541353553815E-10</v>
      </c>
      <c r="U42" s="286">
        <f t="shared" si="19"/>
        <v>151479216775.82974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46.823531079243601</v>
      </c>
      <c r="F45" s="8">
        <f t="shared" ref="F45:F54" si="24">U7/E45</f>
        <v>3.0006572623397808E-2</v>
      </c>
      <c r="G45" s="284">
        <f>E45*U7</f>
        <v>65.787701984439195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9">
        <f>R45/R7</f>
        <v>234.117655396218</v>
      </c>
      <c r="T45" s="8">
        <f>U7/S45</f>
        <v>6.0013145246795617E-3</v>
      </c>
      <c r="U45" s="287">
        <f>S45*U7</f>
        <v>328.93850992219598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299.85442450188339</v>
      </c>
      <c r="F46" s="9">
        <f t="shared" si="24"/>
        <v>8.6641828745059411E-3</v>
      </c>
      <c r="G46" s="285">
        <f t="shared" ref="G46:G54" si="26">E46*U8</f>
        <v>779.01986667621543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0">
        <f t="shared" ref="S46:S54" si="28">R46/R8</f>
        <v>1562.3993697729713</v>
      </c>
      <c r="T46" s="9">
        <f t="shared" ref="T46:T54" si="29">U8/S46</f>
        <v>1.6628229759152815E-3</v>
      </c>
      <c r="U46" s="285">
        <f t="shared" ref="U46:U54" si="30">S46*U8</f>
        <v>4059.1035158392278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4138.9599203739599</v>
      </c>
      <c r="F47" s="9">
        <f t="shared" si="24"/>
        <v>8.6834584808891222E-4</v>
      </c>
      <c r="G47" s="285">
        <f t="shared" si="26"/>
        <v>14875.623364980795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0">
        <f t="shared" si="28"/>
        <v>21660.154685338945</v>
      </c>
      <c r="T47" s="9">
        <f t="shared" si="29"/>
        <v>1.6592903949554146E-4</v>
      </c>
      <c r="U47" s="285">
        <f t="shared" si="30"/>
        <v>77847.649971255174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66047.13854338642</v>
      </c>
      <c r="F48" s="9">
        <f t="shared" si="24"/>
        <v>6.6804464288637436E-5</v>
      </c>
      <c r="G48" s="285">
        <f t="shared" si="26"/>
        <v>291416.07148190081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0">
        <f t="shared" si="28"/>
        <v>345766.12918089918</v>
      </c>
      <c r="T48" s="9">
        <f t="shared" si="29"/>
        <v>1.276077480070332E-5</v>
      </c>
      <c r="U48" s="285">
        <f t="shared" si="30"/>
        <v>1525604.4279830616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1113928.077689325</v>
      </c>
      <c r="F49" s="9">
        <f t="shared" si="24"/>
        <v>4.5550322739522193E-6</v>
      </c>
      <c r="G49" s="285">
        <f t="shared" si="26"/>
        <v>5652046.9437895147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0">
        <f t="shared" si="28"/>
        <v>5831729.3223089483</v>
      </c>
      <c r="T49" s="9">
        <f t="shared" si="29"/>
        <v>8.7006410351149446E-7</v>
      </c>
      <c r="U49" s="285">
        <f t="shared" si="30"/>
        <v>29590068.293760061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19294844.757417418</v>
      </c>
      <c r="F50" s="9">
        <f t="shared" si="24"/>
        <v>2.9030647368611376E-7</v>
      </c>
      <c r="G50" s="285">
        <f t="shared" si="26"/>
        <v>108078497.32728547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0">
        <f t="shared" si="28"/>
        <v>101014173.64442478</v>
      </c>
      <c r="T50" s="9">
        <f t="shared" si="29"/>
        <v>5.545180581849967E-8</v>
      </c>
      <c r="U50" s="285">
        <f t="shared" si="30"/>
        <v>565822645.0383836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339119674.95400101</v>
      </c>
      <c r="F51" s="9">
        <f t="shared" si="24"/>
        <v>1.7740540263302149E-8</v>
      </c>
      <c r="G51" s="285">
        <f t="shared" si="26"/>
        <v>2040200342.3551376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0">
        <f t="shared" si="28"/>
        <v>1775391223.9553609</v>
      </c>
      <c r="T51" s="9">
        <f t="shared" si="29"/>
        <v>3.3886425518067436E-9</v>
      </c>
      <c r="U51" s="285">
        <f t="shared" si="30"/>
        <v>10681048757.844416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6011641372.5939159</v>
      </c>
      <c r="F52" s="9">
        <f t="shared" si="24"/>
        <v>1.0543335652701341E-9</v>
      </c>
      <c r="G52" s="285">
        <f t="shared" si="26"/>
        <v>38103437913.108978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0">
        <f t="shared" si="28"/>
        <v>31472710697.887882</v>
      </c>
      <c r="T52" s="9">
        <f t="shared" si="29"/>
        <v>2.0138955752285248E-10</v>
      </c>
      <c r="U52" s="285">
        <f t="shared" si="30"/>
        <v>199482704257.98376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107136362774.39006</v>
      </c>
      <c r="F53" s="9">
        <f t="shared" si="24"/>
        <v>6.146959987268227E-11</v>
      </c>
      <c r="G53" s="285">
        <f t="shared" si="26"/>
        <v>705560375306.00574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0">
        <f t="shared" si="28"/>
        <v>560890369799.42151</v>
      </c>
      <c r="T53" s="9">
        <f t="shared" si="29"/>
        <v>1.1741384245750837E-11</v>
      </c>
      <c r="U53" s="285">
        <f t="shared" si="30"/>
        <v>3693816082356.3315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1915793403421.2249</v>
      </c>
      <c r="F54" s="10">
        <f t="shared" si="24"/>
        <v>3.5356901656735749E-12</v>
      </c>
      <c r="G54" s="286">
        <f t="shared" si="26"/>
        <v>12976917619311.096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1">
        <f t="shared" si="28"/>
        <v>10029741935536.715</v>
      </c>
      <c r="T54" s="10">
        <f t="shared" si="29"/>
        <v>6.7535654850089204E-13</v>
      </c>
      <c r="U54" s="286">
        <f t="shared" si="30"/>
        <v>67937980477424.477</v>
      </c>
    </row>
  </sheetData>
  <mergeCells count="2">
    <mergeCell ref="A18:F18"/>
    <mergeCell ref="O18:T18"/>
  </mergeCells>
  <conditionalFormatting sqref="F45:F54">
    <cfRule type="cellIs" dxfId="585" priority="67" operator="equal">
      <formula>MAX($F$45:$F$54)</formula>
    </cfRule>
  </conditionalFormatting>
  <conditionalFormatting sqref="F21:F30">
    <cfRule type="cellIs" dxfId="584" priority="65" operator="equal">
      <formula>MAX($F$21:$F$30)</formula>
    </cfRule>
  </conditionalFormatting>
  <conditionalFormatting sqref="E33:E42">
    <cfRule type="cellIs" dxfId="583" priority="61" stopIfTrue="1" operator="lessThan">
      <formula>0</formula>
    </cfRule>
    <cfRule type="cellIs" dxfId="582" priority="62" operator="equal">
      <formula>MIN($E$33:$E$42)</formula>
    </cfRule>
  </conditionalFormatting>
  <conditionalFormatting sqref="E21:E30">
    <cfRule type="cellIs" dxfId="581" priority="57" stopIfTrue="1" operator="lessThan">
      <formula>0</formula>
    </cfRule>
    <cfRule type="cellIs" dxfId="580" priority="58" operator="equal">
      <formula>MIN($E$21:$E$30)</formula>
    </cfRule>
  </conditionalFormatting>
  <conditionalFormatting sqref="E45:E54">
    <cfRule type="cellIs" dxfId="579" priority="53" stopIfTrue="1" operator="lessThan">
      <formula>0</formula>
    </cfRule>
    <cfRule type="cellIs" dxfId="578" priority="54" operator="equal">
      <formula>MIN($E$45:$E$54)</formula>
    </cfRule>
  </conditionalFormatting>
  <conditionalFormatting sqref="F33:F42">
    <cfRule type="cellIs" dxfId="577" priority="35" operator="lessThanOrEqual">
      <formula>0</formula>
    </cfRule>
    <cfRule type="cellIs" dxfId="576" priority="36" operator="equal">
      <formula>MAX($F$33:$F$42)</formula>
    </cfRule>
  </conditionalFormatting>
  <conditionalFormatting sqref="S7:T16">
    <cfRule type="cellIs" dxfId="575" priority="13" operator="lessThanOrEqual">
      <formula>0</formula>
    </cfRule>
    <cfRule type="cellIs" dxfId="574" priority="14" operator="greaterThan">
      <formula>0</formula>
    </cfRule>
  </conditionalFormatting>
  <conditionalFormatting sqref="U7:U16">
    <cfRule type="cellIs" dxfId="573" priority="15" operator="lessThanOrEqual">
      <formula>0</formula>
    </cfRule>
    <cfRule type="cellIs" dxfId="572" priority="16" operator="greaterThan">
      <formula>0</formula>
    </cfRule>
  </conditionalFormatting>
  <conditionalFormatting sqref="R7:R16">
    <cfRule type="cellIs" dxfId="571" priority="17" operator="lessThanOrEqual">
      <formula>0</formula>
    </cfRule>
    <cfRule type="cellIs" dxfId="570" priority="18" operator="greaterThan">
      <formula>0</formula>
    </cfRule>
  </conditionalFormatting>
  <conditionalFormatting sqref="T21:T30">
    <cfRule type="cellIs" dxfId="569" priority="9" operator="equal">
      <formula>MAX($T$21:$T$30)</formula>
    </cfRule>
  </conditionalFormatting>
  <conditionalFormatting sqref="S33:S42">
    <cfRule type="cellIs" dxfId="568" priority="7" stopIfTrue="1" operator="lessThan">
      <formula>0</formula>
    </cfRule>
    <cfRule type="cellIs" dxfId="567" priority="8" operator="equal">
      <formula>MIN($E$21:$E$30)</formula>
    </cfRule>
  </conditionalFormatting>
  <conditionalFormatting sqref="T33:T42">
    <cfRule type="cellIs" dxfId="566" priority="6" operator="equal">
      <formula>MAX($T$21:$T$30)</formula>
    </cfRule>
  </conditionalFormatting>
  <conditionalFormatting sqref="S45:S54">
    <cfRule type="cellIs" dxfId="565" priority="4" stopIfTrue="1" operator="lessThan">
      <formula>0</formula>
    </cfRule>
    <cfRule type="cellIs" dxfId="564" priority="5" operator="equal">
      <formula>MIN($E$21:$E$30)</formula>
    </cfRule>
  </conditionalFormatting>
  <conditionalFormatting sqref="T45:T54">
    <cfRule type="cellIs" dxfId="563" priority="3" operator="equal">
      <formula>MAX($T$21:$T$30)</formula>
    </cfRule>
  </conditionalFormatting>
  <conditionalFormatting sqref="S21:S30">
    <cfRule type="cellIs" dxfId="562" priority="1" stopIfTrue="1" operator="lessThan">
      <formula>0</formula>
    </cfRule>
    <cfRule type="cellIs" dxfId="56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W54"/>
  <sheetViews>
    <sheetView topLeftCell="A14" workbookViewId="0">
      <selection activeCell="U20" sqref="U20:U54"/>
    </sheetView>
  </sheetViews>
  <sheetFormatPr baseColWidth="10" defaultColWidth="8.6640625" defaultRowHeight="16" x14ac:dyDescent="0.2"/>
  <cols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Analysis!B17</f>
        <v>0.59706503265307043</v>
      </c>
      <c r="D2" s="149" t="s">
        <v>126</v>
      </c>
      <c r="E2" s="155">
        <f>Analysis!M17</f>
        <v>0.4029349673469303</v>
      </c>
      <c r="F2" s="149" t="s">
        <v>47</v>
      </c>
      <c r="G2" s="155">
        <f>Analysis!S17</f>
        <v>8.4540564634287865</v>
      </c>
      <c r="H2" t="s">
        <v>155</v>
      </c>
      <c r="I2" s="169">
        <f>Analysis!T17</f>
        <v>-8.5483735904180165</v>
      </c>
      <c r="J2" t="s">
        <v>48</v>
      </c>
      <c r="K2" s="169">
        <f>C2*G2+E2*I2</f>
        <v>1.6031828648635646</v>
      </c>
      <c r="L2" t="s">
        <v>47</v>
      </c>
      <c r="M2" s="176">
        <v>1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0.59706503265307043</v>
      </c>
      <c r="C4" t="s">
        <v>124</v>
      </c>
      <c r="D4">
        <f>$E$2</f>
        <v>0.4029349673469303</v>
      </c>
      <c r="E4" t="s">
        <v>47</v>
      </c>
      <c r="F4">
        <f>G2</f>
        <v>8.4540564634287865</v>
      </c>
      <c r="G4" t="s">
        <v>155</v>
      </c>
      <c r="H4">
        <f>I2</f>
        <v>-8.5483735904180165</v>
      </c>
      <c r="I4" t="s">
        <v>48</v>
      </c>
      <c r="J4">
        <f>K2</f>
        <v>1.6031828648635646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182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0.59706503265307043</v>
      </c>
      <c r="C7" s="95">
        <v>1</v>
      </c>
      <c r="D7" s="109">
        <f>C7*D4</f>
        <v>0.4029349673469303</v>
      </c>
      <c r="E7" s="110"/>
      <c r="F7" s="110"/>
      <c r="G7" s="110"/>
      <c r="H7" s="110"/>
      <c r="I7" s="110"/>
      <c r="J7" s="110"/>
      <c r="K7" s="110"/>
      <c r="L7" s="110"/>
      <c r="M7" s="261"/>
      <c r="N7" s="95">
        <f>B7+D7</f>
        <v>1.0000000000000007</v>
      </c>
      <c r="R7" s="187">
        <f>B7-D7</f>
        <v>0.19413006530614013</v>
      </c>
      <c r="S7" s="109">
        <f>SUM(C7)*$B$4*$F$4</f>
        <v>5.0476214983880094</v>
      </c>
      <c r="T7" s="57">
        <f>SUM(C7)*$D$4*$H$4</f>
        <v>-3.4444386335244448</v>
      </c>
      <c r="U7" s="263">
        <f>S7+T7</f>
        <v>1.6031828648635646</v>
      </c>
      <c r="V7" s="109">
        <f>(U7+W7*D7)/B7</f>
        <v>3.3599653680877442</v>
      </c>
      <c r="W7" s="57">
        <f>COUNT(D7:M7)</f>
        <v>1</v>
      </c>
    </row>
    <row r="8" spans="1:23" x14ac:dyDescent="0.2">
      <c r="A8" s="99">
        <v>2</v>
      </c>
      <c r="B8" s="97">
        <f>C8*B4</f>
        <v>0.78621021114686473</v>
      </c>
      <c r="C8" s="97">
        <f>1/(1-B4*D4)</f>
        <v>1.3167915857562851</v>
      </c>
      <c r="D8" s="93">
        <f>C8*D4</f>
        <v>0.53058137460942134</v>
      </c>
      <c r="E8" s="1">
        <f>D8*D4</f>
        <v>0.21378978885313657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1.0000000000000013</v>
      </c>
      <c r="R8" s="188">
        <f>B8-E8</f>
        <v>0.57242042229372814</v>
      </c>
      <c r="S8" s="93">
        <f>SUM(C8:D8)*$B$4*$F$4</f>
        <v>9.324839470282642</v>
      </c>
      <c r="T8" s="9">
        <f>SUM(C8:D8)*$D$4*$H$4</f>
        <v>-6.3631627952120624</v>
      </c>
      <c r="U8" s="264">
        <f>S8+T8</f>
        <v>2.9616766750705796</v>
      </c>
      <c r="V8" s="93">
        <f>(U8+W8*E8)/B8</f>
        <v>4.310877936618069</v>
      </c>
      <c r="W8" s="9">
        <f>COUNT(D8:M8)</f>
        <v>2</v>
      </c>
    </row>
    <row r="9" spans="1:23" x14ac:dyDescent="0.2">
      <c r="A9" s="99">
        <v>3</v>
      </c>
      <c r="B9" s="97">
        <f>C9*B4</f>
        <v>0.87391346506468037</v>
      </c>
      <c r="C9" s="97">
        <f>1/(1-D4*B4/(1-D4*B4))</f>
        <v>1.4636822075837006</v>
      </c>
      <c r="D9" s="93">
        <f>C9*D4*C8</f>
        <v>0.7766025176911121</v>
      </c>
      <c r="E9" s="1">
        <f>D9*(D4)</f>
        <v>0.31292031010741211</v>
      </c>
      <c r="F9" s="1">
        <f>E9*D4</f>
        <v>0.1260865349353214</v>
      </c>
      <c r="G9" s="1"/>
      <c r="H9" s="1"/>
      <c r="I9" s="1"/>
      <c r="J9" s="1"/>
      <c r="K9" s="1"/>
      <c r="L9" s="1"/>
      <c r="M9" s="260"/>
      <c r="N9" s="97">
        <f>B9+F9</f>
        <v>1.0000000000000018</v>
      </c>
      <c r="R9" s="188">
        <f>B9-F9</f>
        <v>0.74782693012935897</v>
      </c>
      <c r="S9" s="93">
        <f>SUM(C9:E9)*$B$4*$F$4</f>
        <v>12.887612626387837</v>
      </c>
      <c r="T9" s="9">
        <f>SUM(C9:E9)*$D$4*$H$4</f>
        <v>-8.7943580631796827</v>
      </c>
      <c r="U9" s="264">
        <f t="shared" ref="U9:U16" si="0">S9+T9</f>
        <v>4.0932545632081538</v>
      </c>
      <c r="V9" s="93">
        <f>(U9+W9*F9)/B9</f>
        <v>5.1166555348625629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0.92158195802627074</v>
      </c>
      <c r="C10" s="97">
        <f>1/(1-D4*B4/(1-D4*B4/(1-D4*B4)))</f>
        <v>1.543520232513371</v>
      </c>
      <c r="D10" s="93">
        <f>C10*D4*C9</f>
        <v>0.91031998658207802</v>
      </c>
      <c r="E10" s="1">
        <f>D10*D4*C8</f>
        <v>0.48299882981514891</v>
      </c>
      <c r="F10" s="1">
        <f>E10*D4</f>
        <v>0.19461711772017257</v>
      </c>
      <c r="G10" s="1">
        <f>F10*D4</f>
        <v>7.8418041973731423E-2</v>
      </c>
      <c r="H10" s="1"/>
      <c r="I10" s="1"/>
      <c r="J10" s="1"/>
      <c r="K10" s="1"/>
      <c r="L10" s="1"/>
      <c r="M10" s="260"/>
      <c r="N10" s="97">
        <f>B10+G10</f>
        <v>1.0000000000000022</v>
      </c>
      <c r="R10" s="188">
        <f>B10-G10</f>
        <v>0.84316391605253926</v>
      </c>
      <c r="S10" s="93">
        <f>SUM(C10:F10)*$B$4*$F$4</f>
        <v>15.806405467945183</v>
      </c>
      <c r="T10" s="9">
        <f>SUM(C10:F10)*$D$4*$H$4</f>
        <v>-10.786108599531387</v>
      </c>
      <c r="U10" s="264">
        <f t="shared" si="0"/>
        <v>5.0202968684137961</v>
      </c>
      <c r="V10" s="93">
        <f>(U10+W10*G10)/B10</f>
        <v>5.7878401262676098</v>
      </c>
      <c r="W10" s="9">
        <f t="shared" si="1"/>
        <v>4</v>
      </c>
    </row>
    <row r="11" spans="1:23" x14ac:dyDescent="0.2">
      <c r="A11" s="99">
        <v>5</v>
      </c>
      <c r="B11" s="97">
        <f>C11*B4</f>
        <v>0.94973872942085646</v>
      </c>
      <c r="C11" s="97">
        <f>1/(1-D4*B4/(1-D4*B4/(1-D4*B4/(1-D4*B4))))</f>
        <v>1.5906788665895797</v>
      </c>
      <c r="D11" s="93">
        <f>C11*D4*C10</f>
        <v>0.98930406954982131</v>
      </c>
      <c r="E11" s="1">
        <f>D11*D4*C9</f>
        <v>0.58346061706734842</v>
      </c>
      <c r="F11" s="1">
        <f>E11*D4*C8</f>
        <v>0.30957333623405492</v>
      </c>
      <c r="G11" s="1">
        <f>F11*D4</f>
        <v>0.12473792212694919</v>
      </c>
      <c r="H11" s="1">
        <f>G11*D4</f>
        <v>5.0261270579146207E-2</v>
      </c>
      <c r="I11" s="1"/>
      <c r="J11" s="1"/>
      <c r="K11" s="1"/>
      <c r="L11" s="1"/>
      <c r="M11" s="260"/>
      <c r="N11" s="97">
        <f>B11+H11</f>
        <v>1.0000000000000027</v>
      </c>
      <c r="R11" s="188">
        <f>B11-H11</f>
        <v>0.89947745884171026</v>
      </c>
      <c r="S11" s="93">
        <f>SUM(C11:G11)*$B$4*$F$4</f>
        <v>18.160104532798293</v>
      </c>
      <c r="T11" s="9">
        <f>SUM(C11:G11)*$D$4*$H$4</f>
        <v>-12.392245666912428</v>
      </c>
      <c r="U11" s="264">
        <f t="shared" si="0"/>
        <v>5.7678588658858647</v>
      </c>
      <c r="V11" s="93">
        <f>(U11+W11*H11)/B11</f>
        <v>6.3377063947387269</v>
      </c>
      <c r="W11" s="9">
        <f t="shared" si="1"/>
        <v>5</v>
      </c>
    </row>
    <row r="12" spans="1:23" x14ac:dyDescent="0.2">
      <c r="A12" s="99">
        <v>6</v>
      </c>
      <c r="B12" s="97">
        <f>C12*B4</f>
        <v>0.96719348150128392</v>
      </c>
      <c r="C12" s="97">
        <f>1/(1-D4*B4/(1-D4*B4/(1-D4*B4/(1-D4*B4/(1-D4*B4)))))</f>
        <v>1.6199131227021291</v>
      </c>
      <c r="D12" s="93">
        <f>C12*D4*C11</f>
        <v>1.0382673390661192</v>
      </c>
      <c r="E12" s="1">
        <f>D12*D4*C10</f>
        <v>0.64573819731509641</v>
      </c>
      <c r="F12" s="1">
        <f>E12*D4*C9</f>
        <v>0.380836204627024</v>
      </c>
      <c r="G12" s="1">
        <f>F12*D4*C8</f>
        <v>0.20206459695204126</v>
      </c>
      <c r="H12" s="1">
        <f>G12*D4</f>
        <v>8.1418891774841379E-2</v>
      </c>
      <c r="I12" s="1">
        <f>H12*D4</f>
        <v>3.2806518498718962E-2</v>
      </c>
      <c r="J12" s="1"/>
      <c r="K12" s="1"/>
      <c r="L12" s="1"/>
      <c r="M12" s="260"/>
      <c r="N12" s="97">
        <f>B12+I12</f>
        <v>1.0000000000000029</v>
      </c>
      <c r="R12" s="188">
        <f>B12-I12</f>
        <v>0.93438696300256496</v>
      </c>
      <c r="S12" s="93">
        <f>SUM(C12:H12)*$B$4*$F$4</f>
        <v>20.030165218490087</v>
      </c>
      <c r="T12" s="9">
        <f>SUM(C12:H12)*$D$4*$H$4</f>
        <v>-13.668353488168259</v>
      </c>
      <c r="U12" s="264">
        <f t="shared" si="0"/>
        <v>6.3618117303218273</v>
      </c>
      <c r="V12" s="93">
        <f>(U12+W12*I12)/B12</f>
        <v>6.781115636897967</v>
      </c>
      <c r="W12" s="9">
        <f t="shared" si="1"/>
        <v>6</v>
      </c>
    </row>
    <row r="13" spans="1:23" x14ac:dyDescent="0.2">
      <c r="A13" s="99">
        <v>7</v>
      </c>
      <c r="B13" s="97">
        <f>C13*B4</f>
        <v>0.97833976466619932</v>
      </c>
      <c r="C13" s="97">
        <f>1/(1-D4*B4/(1-D4*B4/(1-D4*B4/(1-D4*B4/(1-D4*B4/(1-D4*B4))))))</f>
        <v>1.638581580165442</v>
      </c>
      <c r="D13" s="93">
        <f>C13*D4*C12</f>
        <v>1.0695343810839029</v>
      </c>
      <c r="E13" s="1">
        <f>D13*D4*C11</f>
        <v>0.68550751291858347</v>
      </c>
      <c r="F13" s="1">
        <f>E13*D4*C10</f>
        <v>0.42634335973252818</v>
      </c>
      <c r="G13" s="1">
        <f>F13*D4*C9</f>
        <v>0.25144398715078786</v>
      </c>
      <c r="H13" s="1">
        <f>G13*D4*C8</f>
        <v>0.1334114963397387</v>
      </c>
      <c r="I13" s="1">
        <f>H13*D4</f>
        <v>5.3756156921357726E-2</v>
      </c>
      <c r="J13" s="1">
        <f>I13*D4</f>
        <v>2.1660235333803735E-2</v>
      </c>
      <c r="K13" s="1"/>
      <c r="L13" s="1"/>
      <c r="M13" s="260"/>
      <c r="N13" s="97">
        <f>B13+J13</f>
        <v>1.0000000000000031</v>
      </c>
      <c r="R13" s="188">
        <f>B13-J13</f>
        <v>0.95667952933239553</v>
      </c>
      <c r="S13" s="93">
        <f>SUM(C13:I13)*$B$4*$F$4</f>
        <v>21.495692259511383</v>
      </c>
      <c r="T13" s="9">
        <f>SUM(C13:I13)*$D$4*$H$4</f>
        <v>-14.668412220817014</v>
      </c>
      <c r="U13" s="264">
        <f t="shared" si="0"/>
        <v>6.8272800386943686</v>
      </c>
      <c r="V13" s="93">
        <f>(U13+W13*J13)/B13</f>
        <v>7.133413092344389</v>
      </c>
      <c r="W13" s="9">
        <f t="shared" si="1"/>
        <v>7</v>
      </c>
    </row>
    <row r="14" spans="1:23" x14ac:dyDescent="0.2">
      <c r="A14" s="99">
        <v>8</v>
      </c>
      <c r="B14" s="97">
        <f>C14*B4</f>
        <v>0.98559298216497049</v>
      </c>
      <c r="C14" s="97">
        <f>1/(1-D4*B4/(1-D4*B4/(1-D4*B4/(1-D4*B4/(1-D4*B4/(1-D4*B4/(1-D4*B4)))))))</f>
        <v>1.650729699887914</v>
      </c>
      <c r="D14" s="93">
        <f>C14*D4*C13</f>
        <v>1.0898807739525183</v>
      </c>
      <c r="E14" s="1">
        <f>D14*D4*C12</f>
        <v>0.7113865877259884</v>
      </c>
      <c r="F14" s="1">
        <f>E14*D4*C11</f>
        <v>0.45595621711708573</v>
      </c>
      <c r="G14" s="1">
        <f>F14*D4*C10</f>
        <v>0.28357662291546648</v>
      </c>
      <c r="H14" s="1">
        <f>G14*D4*C9</f>
        <v>0.16724462830464534</v>
      </c>
      <c r="I14" s="1">
        <f>H14*D4*C8</f>
        <v>8.8736884781920461E-2</v>
      </c>
      <c r="J14" s="1">
        <f>I14*D4</f>
        <v>3.5755193772071439E-2</v>
      </c>
      <c r="K14" s="1">
        <f>J14*D4</f>
        <v>1.4407017835032771E-2</v>
      </c>
      <c r="L14" s="1"/>
      <c r="M14" s="260"/>
      <c r="N14" s="97">
        <f>B14+K14</f>
        <v>1.0000000000000033</v>
      </c>
      <c r="R14" s="188">
        <f>B14-K14</f>
        <v>0.97118596432993776</v>
      </c>
      <c r="S14" s="93">
        <f>SUM(C14:J14)*$B$4*$F$4</f>
        <v>22.629832915855726</v>
      </c>
      <c r="T14" s="9">
        <f>SUM(C14:J14)*$D$4*$H$4</f>
        <v>-15.442336710561499</v>
      </c>
      <c r="U14" s="264">
        <f t="shared" si="0"/>
        <v>7.1874962052942273</v>
      </c>
      <c r="V14" s="93">
        <f>(U14+W14*K14)/B14</f>
        <v>7.4095011633840349</v>
      </c>
      <c r="W14" s="9">
        <f t="shared" si="1"/>
        <v>8</v>
      </c>
    </row>
    <row r="15" spans="1:23" x14ac:dyDescent="0.2">
      <c r="A15" s="99">
        <v>9</v>
      </c>
      <c r="B15" s="97">
        <f>C15*B4</f>
        <v>0.99037090903885672</v>
      </c>
      <c r="C15" s="97">
        <f>1/(1-D4*B4/(1-D4*B4/(1-D4*B4/(1-D4*B4/(1-D4*B4/(1-D4*B4/(1-D4*B4/(1-D4*B4))))))))</f>
        <v>1.658732055766394</v>
      </c>
      <c r="D15" s="93">
        <f>C15*D4*C14</f>
        <v>1.1032835951542916</v>
      </c>
      <c r="E15" s="1">
        <f>D15*D4*C13</f>
        <v>0.72843396387520221</v>
      </c>
      <c r="F15" s="1">
        <f>E15*D4*C12</f>
        <v>0.47546315553913221</v>
      </c>
      <c r="G15" s="1">
        <f>F15*D4*C11</f>
        <v>0.30474342012992595</v>
      </c>
      <c r="H15" s="1">
        <f>G15*D4*C10</f>
        <v>0.18953159687690393</v>
      </c>
      <c r="I15" s="1">
        <f>H15*D4*C9</f>
        <v>0.11177981155771369</v>
      </c>
      <c r="J15" s="1">
        <f>I15*D4*C8</f>
        <v>5.9308286069873803E-2</v>
      </c>
      <c r="K15" s="1">
        <f>J15*D4</f>
        <v>2.3897382310967E-2</v>
      </c>
      <c r="L15" s="1">
        <f>K15*D4</f>
        <v>9.6290909611465979E-3</v>
      </c>
      <c r="M15" s="260"/>
      <c r="N15" s="97">
        <f>B15+L15</f>
        <v>1.0000000000000033</v>
      </c>
      <c r="R15" s="188">
        <f>B15-L15</f>
        <v>0.9807418180777101</v>
      </c>
      <c r="S15" s="93">
        <f>SUM(C15:K15)*$B$4*$F$4</f>
        <v>23.49755266264572</v>
      </c>
      <c r="T15" s="9">
        <f>SUM(C15:K15)*$D$4*$H$4</f>
        <v>-16.03445864757084</v>
      </c>
      <c r="U15" s="264">
        <f t="shared" si="0"/>
        <v>7.4630940150748799</v>
      </c>
      <c r="V15" s="93">
        <f>(U15+W15*L15)/B15</f>
        <v>7.6231599341423992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0.99354367221081363</v>
      </c>
      <c r="C16" s="145">
        <f>1/(1-D4*B4/(1-D4*B4/(1-D4*B4/(1-D4*B4/(1-D4*B4/(1-D4*B4/(1-D4*B4/(1-D4*B4/(1-D4*B4)))))))))</f>
        <v>1.6640459880827092</v>
      </c>
      <c r="D16" s="94">
        <f>C16*D4*C15</f>
        <v>1.1121836848023194</v>
      </c>
      <c r="E16" s="111">
        <f>D16*D4*C14</f>
        <v>0.73975420561442473</v>
      </c>
      <c r="F16" s="111">
        <f>E16*D4*C13</f>
        <v>0.48841665973806869</v>
      </c>
      <c r="G16" s="111">
        <f>F16*D4*C12</f>
        <v>0.31879914690074801</v>
      </c>
      <c r="H16" s="111">
        <f>G16*D4*C11</f>
        <v>0.20433116894383774</v>
      </c>
      <c r="I16" s="111">
        <f>H16*D4*C10</f>
        <v>0.12708137463686284</v>
      </c>
      <c r="J16" s="111">
        <f>I16*D4*C9</f>
        <v>7.4948622517171229E-2</v>
      </c>
      <c r="K16" s="111">
        <f>J16*D4*C8</f>
        <v>3.9766343160243335E-2</v>
      </c>
      <c r="L16" s="111">
        <f>K16*D4</f>
        <v>1.6023250182779471E-2</v>
      </c>
      <c r="M16" s="262">
        <f>L16*D4</f>
        <v>6.4563277891899412E-3</v>
      </c>
      <c r="N16" s="145">
        <f>B16+M16</f>
        <v>1.0000000000000036</v>
      </c>
      <c r="R16" s="189">
        <f>B16-M16</f>
        <v>0.98708734442162371</v>
      </c>
      <c r="S16" s="94">
        <f>SUM(C16:L16)*$B$4*$F$4</f>
        <v>24.154637781378405</v>
      </c>
      <c r="T16" s="10">
        <f>SUM(C16:L16)*$D$4*$H$4</f>
        <v>-16.482845946261847</v>
      </c>
      <c r="U16" s="265">
        <f t="shared" si="0"/>
        <v>7.6717918351165579</v>
      </c>
      <c r="V16" s="94">
        <f>(U16+W16*M16)/B16</f>
        <v>7.786628136631049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6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51.511856158035869</v>
      </c>
      <c r="F21" s="8">
        <f t="shared" ref="F21:F30" si="4">U7/E21</f>
        <v>3.1122599425364862E-2</v>
      </c>
      <c r="G21" s="284">
        <f>E21*U7</f>
        <v>82.582925129879797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9">
        <f>R21/R7</f>
        <v>283.31520886919731</v>
      </c>
      <c r="T21" s="8">
        <f>U7/S21</f>
        <v>5.6586544409754289E-3</v>
      </c>
      <c r="U21" s="284">
        <f>S21*U7</f>
        <v>454.20608821433893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192.16644919694235</v>
      </c>
      <c r="F22" s="9">
        <f t="shared" si="4"/>
        <v>1.5412038300376235E-2</v>
      </c>
      <c r="G22" s="285">
        <f t="shared" ref="G22:G30" si="5">E22*U8</f>
        <v>569.13489031771974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0">
        <f t="shared" ref="S22:S30" si="7">R22/R8</f>
        <v>1135.5290179819322</v>
      </c>
      <c r="T22" s="9">
        <f>U8/S22</f>
        <v>2.6081910969867473E-3</v>
      </c>
      <c r="U22" s="285">
        <f t="shared" ref="U22:U30" si="8">S22*U8</f>
        <v>3363.0698064228891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1484.3006520345455</v>
      </c>
      <c r="F23" s="9">
        <f t="shared" si="4"/>
        <v>2.7576990939116612E-3</v>
      </c>
      <c r="G23" s="285">
        <f t="shared" si="5"/>
        <v>6075.6204171132413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0">
        <f t="shared" si="7"/>
        <v>8885.7457952878867</v>
      </c>
      <c r="T23" s="9">
        <f t="shared" ref="T23:T30" si="11">U9/S23</f>
        <v>4.6065402471662063E-4</v>
      </c>
      <c r="U23" s="285">
        <f t="shared" si="8"/>
        <v>36371.619524069807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13176.560083374954</v>
      </c>
      <c r="F24" s="9">
        <f t="shared" si="4"/>
        <v>3.8100208526715355E-4</v>
      </c>
      <c r="G24" s="285">
        <f t="shared" si="5"/>
        <v>66150.243323033515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0">
        <f t="shared" si="7"/>
        <v>79035.640320081642</v>
      </c>
      <c r="T24" s="9">
        <f t="shared" si="11"/>
        <v>6.3519405271879884E-5</v>
      </c>
      <c r="U24" s="285">
        <f t="shared" si="8"/>
        <v>396782.37759198505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123527.27565077659</v>
      </c>
      <c r="F25" s="9">
        <f t="shared" si="4"/>
        <v>4.6692998250784327E-5</v>
      </c>
      <c r="G25" s="285">
        <f t="shared" si="5"/>
        <v>712487.89204105886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0">
        <f t="shared" si="7"/>
        <v>741135.85998969898</v>
      </c>
      <c r="T25" s="9">
        <f t="shared" si="11"/>
        <v>7.782458220232431E-6</v>
      </c>
      <c r="U25" s="285">
        <f t="shared" si="8"/>
        <v>4274767.0408675298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1189132.6013684438</v>
      </c>
      <c r="F26" s="9">
        <f t="shared" si="4"/>
        <v>5.3499598976604529E-6</v>
      </c>
      <c r="G26" s="285">
        <f t="shared" si="5"/>
        <v>7565037.732293875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0">
        <f t="shared" si="7"/>
        <v>7134763.50159832</v>
      </c>
      <c r="T26" s="9">
        <f t="shared" si="11"/>
        <v>8.9166399543540058E-7</v>
      </c>
      <c r="U26" s="285">
        <f t="shared" si="8"/>
        <v>45390022.137540229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11614244.539917899</v>
      </c>
      <c r="F27" s="9">
        <f t="shared" si="4"/>
        <v>5.8783677364715021E-7</v>
      </c>
      <c r="G27" s="285">
        <f t="shared" si="5"/>
        <v>79293699.911896542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0">
        <f t="shared" si="7"/>
        <v>69685430.654633433</v>
      </c>
      <c r="T27" s="9">
        <f t="shared" si="11"/>
        <v>9.7972847043608221E-8</v>
      </c>
      <c r="U27" s="285">
        <f t="shared" si="8"/>
        <v>475761949.69619948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114407656.28924657</v>
      </c>
      <c r="F28" s="9">
        <f t="shared" si="4"/>
        <v>6.2823559527543577E-8</v>
      </c>
      <c r="G28" s="285">
        <f t="shared" si="5"/>
        <v>822304595.43556595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0">
        <f t="shared" si="7"/>
        <v>686445896.54872274</v>
      </c>
      <c r="T28" s="9">
        <f t="shared" si="11"/>
        <v>1.0470593882826236E-8</v>
      </c>
      <c r="U28" s="285">
        <f t="shared" si="8"/>
        <v>4933827276.5837383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1132929267.9472141</v>
      </c>
      <c r="F29" s="9">
        <f t="shared" si="4"/>
        <v>6.5874315601339054E-9</v>
      </c>
      <c r="G29" s="285">
        <f t="shared" si="5"/>
        <v>8455157639.120019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0">
        <f t="shared" si="7"/>
        <v>6797575561.7996492</v>
      </c>
      <c r="T29" s="9">
        <f t="shared" si="11"/>
        <v>1.0979052674331781E-9</v>
      </c>
      <c r="U29" s="285">
        <f t="shared" si="8"/>
        <v>50730945492.286224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11256461925.879995</v>
      </c>
      <c r="F30" s="10">
        <f t="shared" si="4"/>
        <v>6.8154557672141737E-10</v>
      </c>
      <c r="G30" s="286">
        <f t="shared" si="5"/>
        <v>86357232695.266556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1">
        <f t="shared" si="7"/>
        <v>67538771504.625893</v>
      </c>
      <c r="T30" s="10">
        <f t="shared" si="11"/>
        <v>1.1359092953876276E-10</v>
      </c>
      <c r="U30" s="286">
        <f t="shared" si="8"/>
        <v>518143395782.99176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6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51.511856158035869</v>
      </c>
      <c r="F33" s="8">
        <f t="shared" ref="F33:F42" si="14">U7/E33</f>
        <v>3.1122599425364862E-2</v>
      </c>
      <c r="G33" s="287">
        <f>E33*U7</f>
        <v>82.582925129879797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9">
        <f>R33/R7</f>
        <v>283.31520886919731</v>
      </c>
      <c r="T33" s="8">
        <f>U7/S33</f>
        <v>5.6586544409754289E-3</v>
      </c>
      <c r="U33" s="287">
        <f>S33*U7</f>
        <v>454.20608821433893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209.63612639666439</v>
      </c>
      <c r="F34" s="9">
        <f t="shared" si="14"/>
        <v>1.4127701775344882E-2</v>
      </c>
      <c r="G34" s="285">
        <f t="shared" ref="G34:G42" si="16">E34*U8</f>
        <v>620.87442580114873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0">
        <f>R34/R8</f>
        <v>1152.9986951816541</v>
      </c>
      <c r="T34" s="9">
        <f t="shared" ref="T34:T42" si="18">U8/S34</f>
        <v>2.5686730500627062E-3</v>
      </c>
      <c r="U34" s="285">
        <f t="shared" ref="U34:U42" si="19">S34*U8</f>
        <v>3414.809341906318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1778.4863668522032</v>
      </c>
      <c r="F35" s="9">
        <f t="shared" si="14"/>
        <v>2.3015383415352958E-3</v>
      </c>
      <c r="G35" s="285">
        <f t="shared" si="16"/>
        <v>7279.7974367212719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0">
        <f t="shared" ref="S35:S42" si="21">R35/R9</f>
        <v>9046.2107306429734</v>
      </c>
      <c r="T35" s="9">
        <f t="shared" si="18"/>
        <v>4.5248277815845438E-4</v>
      </c>
      <c r="U35" s="285">
        <f t="shared" si="19"/>
        <v>37028.443352946917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17363.171883043145</v>
      </c>
      <c r="F36" s="9">
        <f t="shared" si="14"/>
        <v>2.8913477918839314E-4</v>
      </c>
      <c r="G36" s="285">
        <f t="shared" si="16"/>
        <v>87168.277430171976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0">
        <f t="shared" si="21"/>
        <v>80494.431400419271</v>
      </c>
      <c r="T36" s="9">
        <f t="shared" si="18"/>
        <v>6.2368250586681542E-5</v>
      </c>
      <c r="U36" s="285">
        <f t="shared" si="19"/>
        <v>404105.94188427401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179048.4001760199</v>
      </c>
      <c r="F37" s="9">
        <f t="shared" si="14"/>
        <v>3.2213964828591409E-5</v>
      </c>
      <c r="G37" s="285">
        <f t="shared" si="16"/>
        <v>1032725.9023779366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0">
        <f t="shared" si="21"/>
        <v>754854.93641423841</v>
      </c>
      <c r="T37" s="9">
        <f t="shared" si="18"/>
        <v>7.6410162902089874E-6</v>
      </c>
      <c r="U37" s="285">
        <f t="shared" si="19"/>
        <v>4353896.7374545755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1895959.6721119245</v>
      </c>
      <c r="F38" s="9">
        <f t="shared" si="14"/>
        <v>3.3554573042344066E-6</v>
      </c>
      <c r="G38" s="285">
        <f t="shared" si="16"/>
        <v>12061738.482258767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0">
        <f t="shared" si="21"/>
        <v>7266882.2113920702</v>
      </c>
      <c r="T38" s="9">
        <f t="shared" si="18"/>
        <v>8.7545271070289378E-7</v>
      </c>
      <c r="U38" s="285">
        <f t="shared" si="19"/>
        <v>46230536.49530109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20369590.236344691</v>
      </c>
      <c r="F39" s="9">
        <f t="shared" si="14"/>
        <v>3.3517021989537672E-7</v>
      </c>
      <c r="G39" s="285">
        <f t="shared" si="16"/>
        <v>139068896.81697983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0">
        <f t="shared" si="21"/>
        <v>70975894.140207872</v>
      </c>
      <c r="T39" s="9">
        <f t="shared" si="18"/>
        <v>9.6191532652023492E-8</v>
      </c>
      <c r="U39" s="285">
        <f t="shared" si="19"/>
        <v>484572305.29192579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220718675.79747742</v>
      </c>
      <c r="F40" s="9">
        <f t="shared" si="14"/>
        <v>3.256406001587824E-8</v>
      </c>
      <c r="G40" s="285">
        <f t="shared" si="16"/>
        <v>1586414644.7319357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0">
        <f t="shared" si="21"/>
        <v>699157849.20602643</v>
      </c>
      <c r="T40" s="9">
        <f t="shared" si="18"/>
        <v>1.0280219571955674E-8</v>
      </c>
      <c r="U40" s="285">
        <f t="shared" si="19"/>
        <v>5025194388.0699883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2404249157.6648211</v>
      </c>
      <c r="F41" s="9">
        <f t="shared" si="14"/>
        <v>3.1041267047062506E-9</v>
      </c>
      <c r="G41" s="285">
        <f t="shared" si="16"/>
        <v>17943137499.317146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0">
        <f t="shared" si="21"/>
        <v>6923456581.3751993</v>
      </c>
      <c r="T41" s="9">
        <f t="shared" si="18"/>
        <v>1.0779433549350709E-9</v>
      </c>
      <c r="U41" s="285">
        <f t="shared" si="19"/>
        <v>51670407376.092041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26276726924.503155</v>
      </c>
      <c r="F42" s="10">
        <f t="shared" si="14"/>
        <v>2.9196147058797422E-10</v>
      </c>
      <c r="G42" s="286">
        <f t="shared" si="16"/>
        <v>201589579072.99072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1">
        <f t="shared" si="21"/>
        <v>68789489485.133865</v>
      </c>
      <c r="T42" s="10">
        <f t="shared" si="18"/>
        <v>1.1152563992751412E-10</v>
      </c>
      <c r="U42" s="286">
        <f t="shared" si="19"/>
        <v>527738643773.88629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6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51.511856158035869</v>
      </c>
      <c r="F45" s="8">
        <f t="shared" ref="F45:F54" si="24">U7/E45</f>
        <v>3.1122599425364862E-2</v>
      </c>
      <c r="G45" s="284">
        <f>E45*U7</f>
        <v>82.582925129879797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9">
        <f>R45/R7</f>
        <v>283.31520886919731</v>
      </c>
      <c r="T45" s="8">
        <f>U7/S45</f>
        <v>5.6586544409754289E-3</v>
      </c>
      <c r="U45" s="287">
        <f>S45*U7</f>
        <v>454.20608821433893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366.86322119416269</v>
      </c>
      <c r="F46" s="9">
        <f t="shared" si="24"/>
        <v>8.0729724430542178E-3</v>
      </c>
      <c r="G46" s="285">
        <f t="shared" ref="G46:G54" si="26">E46*U8</f>
        <v>1086.5302451520104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0">
        <f t="shared" ref="S46:S54" si="28">R46/R8</f>
        <v>2096.3612639666439</v>
      </c>
      <c r="T46" s="9">
        <f t="shared" ref="T46:T54" si="29">U8/S46</f>
        <v>1.4127701775344882E-3</v>
      </c>
      <c r="U46" s="285">
        <f t="shared" ref="U46:U54" si="30">S46*U8</f>
        <v>6208.7442580114875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5629.6448153742667</v>
      </c>
      <c r="F47" s="9">
        <f t="shared" si="24"/>
        <v>7.270893097961862E-4</v>
      </c>
      <c r="G47" s="285">
        <f t="shared" si="26"/>
        <v>23043.569329771843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0">
        <f t="shared" si="28"/>
        <v>32286.882201237928</v>
      </c>
      <c r="T47" s="9">
        <f t="shared" si="29"/>
        <v>1.267776348826649E-4</v>
      </c>
      <c r="U47" s="285">
        <f t="shared" si="30"/>
        <v>132158.42790198128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99873.818597750214</v>
      </c>
      <c r="F48" s="9">
        <f t="shared" si="24"/>
        <v>5.0266395526874195E-5</v>
      </c>
      <c r="G48" s="285">
        <f t="shared" si="26"/>
        <v>501396.21874281293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0">
        <f t="shared" si="28"/>
        <v>572949.0918701716</v>
      </c>
      <c r="T48" s="9">
        <f t="shared" si="29"/>
        <v>8.7622040765035006E-6</v>
      </c>
      <c r="U48" s="285">
        <f t="shared" si="30"/>
        <v>2876374.5316763506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1872431.5806299562</v>
      </c>
      <c r="F49" s="9">
        <f t="shared" si="24"/>
        <v>3.0804110150424512E-6</v>
      </c>
      <c r="G49" s="285">
        <f t="shared" si="26"/>
        <v>10799921.093101176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0">
        <f t="shared" si="28"/>
        <v>10741831.165443715</v>
      </c>
      <c r="T49" s="9">
        <f t="shared" si="29"/>
        <v>5.3695303687521797E-7</v>
      </c>
      <c r="U49" s="285">
        <f t="shared" si="30"/>
        <v>61957366.123453617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36049529.085635945</v>
      </c>
      <c r="F50" s="9">
        <f t="shared" si="24"/>
        <v>1.7647419790725399E-7</v>
      </c>
      <c r="G50" s="285">
        <f t="shared" si="26"/>
        <v>229340317.00957665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0">
        <f t="shared" si="28"/>
        <v>206810441.12498981</v>
      </c>
      <c r="T50" s="9">
        <f t="shared" si="29"/>
        <v>3.0761559695513374E-8</v>
      </c>
      <c r="U50" s="285">
        <f t="shared" si="30"/>
        <v>1315689090.3019917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704190054.60493171</v>
      </c>
      <c r="F51" s="9">
        <f t="shared" si="24"/>
        <v>9.6952236034129227E-9</v>
      </c>
      <c r="G51" s="285">
        <f t="shared" si="26"/>
        <v>4807702703.2513475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0">
        <f t="shared" si="28"/>
        <v>4039827138.0354576</v>
      </c>
      <c r="T51" s="9">
        <f t="shared" si="29"/>
        <v>1.6899931124316451E-9</v>
      </c>
      <c r="U51" s="285">
        <f t="shared" si="30"/>
        <v>27581031179.285278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13873433827.162096</v>
      </c>
      <c r="F52" s="9">
        <f t="shared" si="24"/>
        <v>5.1807622358223897E-10</v>
      </c>
      <c r="G52" s="285">
        <f t="shared" si="26"/>
        <v>99715252987.128128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0">
        <f t="shared" si="28"/>
        <v>79589699304.736191</v>
      </c>
      <c r="T52" s="9">
        <f t="shared" si="29"/>
        <v>9.0306864683260797E-11</v>
      </c>
      <c r="U52" s="285">
        <f t="shared" si="30"/>
        <v>572050661733.29993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274765161679.53183</v>
      </c>
      <c r="F53" s="9">
        <f t="shared" si="24"/>
        <v>2.7161718645318457E-11</v>
      </c>
      <c r="G53" s="285">
        <f t="shared" si="26"/>
        <v>2050598233681.5957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0">
        <f t="shared" si="28"/>
        <v>1576284348560.843</v>
      </c>
      <c r="T53" s="9">
        <f t="shared" si="29"/>
        <v>4.7346115070473985E-12</v>
      </c>
      <c r="U53" s="285">
        <f t="shared" si="30"/>
        <v>11763958287800.633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5459976479961.7822</v>
      </c>
      <c r="F54" s="10">
        <f t="shared" si="24"/>
        <v>1.4050961324233136E-12</v>
      </c>
      <c r="G54" s="286">
        <f t="shared" si="26"/>
        <v>41887802978899.242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1">
        <f t="shared" si="28"/>
        <v>31323022963967.281</v>
      </c>
      <c r="T54" s="10">
        <f t="shared" si="29"/>
        <v>2.4492501390883863E-13</v>
      </c>
      <c r="U54" s="286">
        <f t="shared" si="30"/>
        <v>240303711826132.62</v>
      </c>
    </row>
  </sheetData>
  <mergeCells count="2">
    <mergeCell ref="A18:F18"/>
    <mergeCell ref="O18:T18"/>
  </mergeCells>
  <conditionalFormatting sqref="F45:F54">
    <cfRule type="cellIs" dxfId="560" priority="59" operator="equal">
      <formula>MAX($F$45:$F$54)</formula>
    </cfRule>
  </conditionalFormatting>
  <conditionalFormatting sqref="F21:F30">
    <cfRule type="cellIs" dxfId="559" priority="57" operator="equal">
      <formula>MAX($F$21:$F$30)</formula>
    </cfRule>
  </conditionalFormatting>
  <conditionalFormatting sqref="E33:E42">
    <cfRule type="cellIs" dxfId="558" priority="53" stopIfTrue="1" operator="lessThan">
      <formula>0</formula>
    </cfRule>
    <cfRule type="cellIs" dxfId="557" priority="54" operator="equal">
      <formula>MIN($E$33:$E$42)</formula>
    </cfRule>
  </conditionalFormatting>
  <conditionalFormatting sqref="E21:E30">
    <cfRule type="cellIs" dxfId="556" priority="49" stopIfTrue="1" operator="lessThan">
      <formula>0</formula>
    </cfRule>
    <cfRule type="cellIs" dxfId="555" priority="50" operator="equal">
      <formula>MIN($E$21:$E$30)</formula>
    </cfRule>
  </conditionalFormatting>
  <conditionalFormatting sqref="E45:E54">
    <cfRule type="cellIs" dxfId="554" priority="45" stopIfTrue="1" operator="lessThan">
      <formula>0</formula>
    </cfRule>
    <cfRule type="cellIs" dxfId="553" priority="46" operator="equal">
      <formula>MIN($E$45:$E$54)</formula>
    </cfRule>
  </conditionalFormatting>
  <conditionalFormatting sqref="F33:F42">
    <cfRule type="cellIs" dxfId="552" priority="31" operator="lessThanOrEqual">
      <formula>0</formula>
    </cfRule>
    <cfRule type="cellIs" dxfId="551" priority="32" operator="equal">
      <formula>MAX($F$33:$F$42)</formula>
    </cfRule>
  </conditionalFormatting>
  <conditionalFormatting sqref="S7:T16">
    <cfRule type="cellIs" dxfId="550" priority="13" operator="lessThanOrEqual">
      <formula>0</formula>
    </cfRule>
    <cfRule type="cellIs" dxfId="549" priority="14" operator="greaterThan">
      <formula>0</formula>
    </cfRule>
  </conditionalFormatting>
  <conditionalFormatting sqref="U7:U16">
    <cfRule type="cellIs" dxfId="548" priority="15" operator="lessThanOrEqual">
      <formula>0</formula>
    </cfRule>
    <cfRule type="cellIs" dxfId="547" priority="16" operator="greaterThan">
      <formula>0</formula>
    </cfRule>
  </conditionalFormatting>
  <conditionalFormatting sqref="R7:R16">
    <cfRule type="cellIs" dxfId="546" priority="17" operator="lessThanOrEqual">
      <formula>0</formula>
    </cfRule>
    <cfRule type="cellIs" dxfId="545" priority="18" operator="greaterThan">
      <formula>0</formula>
    </cfRule>
  </conditionalFormatting>
  <conditionalFormatting sqref="T21:T30">
    <cfRule type="cellIs" dxfId="544" priority="9" operator="equal">
      <formula>MAX($T$21:$T$30)</formula>
    </cfRule>
  </conditionalFormatting>
  <conditionalFormatting sqref="S33:S42">
    <cfRule type="cellIs" dxfId="543" priority="7" stopIfTrue="1" operator="lessThan">
      <formula>0</formula>
    </cfRule>
    <cfRule type="cellIs" dxfId="542" priority="8" operator="equal">
      <formula>MIN($E$21:$E$30)</formula>
    </cfRule>
  </conditionalFormatting>
  <conditionalFormatting sqref="T33:T42">
    <cfRule type="cellIs" dxfId="541" priority="6" operator="equal">
      <formula>MAX($T$21:$T$30)</formula>
    </cfRule>
  </conditionalFormatting>
  <conditionalFormatting sqref="S45:S54">
    <cfRule type="cellIs" dxfId="540" priority="4" stopIfTrue="1" operator="lessThan">
      <formula>0</formula>
    </cfRule>
    <cfRule type="cellIs" dxfId="539" priority="5" operator="equal">
      <formula>MIN($E$21:$E$30)</formula>
    </cfRule>
  </conditionalFormatting>
  <conditionalFormatting sqref="T45:T54">
    <cfRule type="cellIs" dxfId="538" priority="3" operator="equal">
      <formula>MAX($T$21:$T$30)</formula>
    </cfRule>
  </conditionalFormatting>
  <conditionalFormatting sqref="S21:S30">
    <cfRule type="cellIs" dxfId="537" priority="1" stopIfTrue="1" operator="lessThan">
      <formula>0</formula>
    </cfRule>
    <cfRule type="cellIs" dxfId="53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W54"/>
  <sheetViews>
    <sheetView topLeftCell="A18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Analysis!B26</f>
        <v>0.30480646215969731</v>
      </c>
      <c r="D2" s="149" t="s">
        <v>126</v>
      </c>
      <c r="E2" s="155">
        <f>Analysis!G26</f>
        <v>0.69519353784030335</v>
      </c>
      <c r="F2" s="149" t="s">
        <v>47</v>
      </c>
      <c r="G2" s="155">
        <f>Analysis!S26</f>
        <v>3.6354543659697041</v>
      </c>
      <c r="H2" t="s">
        <v>155</v>
      </c>
      <c r="I2" s="169">
        <f>Analysis!T26</f>
        <v>-3.6760130743935231</v>
      </c>
      <c r="J2" t="s">
        <v>48</v>
      </c>
      <c r="K2" s="169">
        <f>C2*G2+E2*I2</f>
        <v>-1.4474305507005927</v>
      </c>
      <c r="L2" t="s">
        <v>47</v>
      </c>
      <c r="M2" s="176">
        <v>2</v>
      </c>
      <c r="N2" t="s">
        <v>155</v>
      </c>
      <c r="O2" s="176">
        <v>3</v>
      </c>
    </row>
    <row r="4" spans="1:23" x14ac:dyDescent="0.2">
      <c r="A4" t="s">
        <v>123</v>
      </c>
      <c r="B4">
        <f>$C$2</f>
        <v>0.30480646215969731</v>
      </c>
      <c r="C4" t="s">
        <v>124</v>
      </c>
      <c r="D4">
        <f>$E$2</f>
        <v>0.69519353784030335</v>
      </c>
      <c r="E4" t="s">
        <v>47</v>
      </c>
      <c r="F4">
        <f>G2</f>
        <v>3.6354543659697041</v>
      </c>
      <c r="G4" t="s">
        <v>155</v>
      </c>
      <c r="H4">
        <f>I2</f>
        <v>-3.6760130743935231</v>
      </c>
      <c r="I4" t="s">
        <v>48</v>
      </c>
      <c r="J4">
        <f>K2</f>
        <v>-1.4474305507005927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0.30480646215969731</v>
      </c>
      <c r="C7" s="95">
        <v>1</v>
      </c>
      <c r="D7" s="22">
        <f>C7*D4</f>
        <v>0.69519353784030335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1.0000000000000007</v>
      </c>
      <c r="R7" s="187">
        <f>B7-D7</f>
        <v>-0.39038707568060604</v>
      </c>
      <c r="S7" s="109">
        <f>SUM(C7)*$B$4*$F$4</f>
        <v>1.108109983634251</v>
      </c>
      <c r="T7" s="261">
        <f>SUM(C7)*$D$4*$H$4</f>
        <v>-2.5555405343348436</v>
      </c>
      <c r="U7" s="263">
        <f>S7+T7</f>
        <v>-1.4474305507005927</v>
      </c>
      <c r="V7" s="109">
        <f>(U7+W7*D7)/B7</f>
        <v>-2.4679168792234125</v>
      </c>
      <c r="W7" s="57">
        <f>COUNT(D7:M7)</f>
        <v>1</v>
      </c>
    </row>
    <row r="8" spans="1:23" x14ac:dyDescent="0.2">
      <c r="A8" s="99">
        <v>2</v>
      </c>
      <c r="B8" s="97">
        <f>C8*B4</f>
        <v>0.38676089597933</v>
      </c>
      <c r="C8" s="97">
        <f>1/(1-B4*D4)</f>
        <v>1.2688736755741559</v>
      </c>
      <c r="D8" s="144">
        <f>C8*D4</f>
        <v>0.8821127795948267</v>
      </c>
      <c r="E8" s="1">
        <f>D8*D4</f>
        <v>0.61323910402067128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1.0000000000000013</v>
      </c>
      <c r="R8" s="188">
        <f>B8-E8</f>
        <v>-0.22647820804134128</v>
      </c>
      <c r="S8" s="93">
        <f>SUM(C8:D8)*$B$4*$F$4</f>
        <v>2.3835295656347966</v>
      </c>
      <c r="T8" s="260">
        <f>SUM(C8:D8)*$D$4*$H$4</f>
        <v>-5.4969330749895526</v>
      </c>
      <c r="U8" s="264">
        <f>S8+T8</f>
        <v>-3.1134035093547561</v>
      </c>
      <c r="V8" s="93">
        <f>(U8+W8*E8)/B8</f>
        <v>-4.8787902834268388</v>
      </c>
      <c r="W8" s="9">
        <f>COUNT(D8:M8)</f>
        <v>2</v>
      </c>
    </row>
    <row r="9" spans="1:23" x14ac:dyDescent="0.2">
      <c r="A9" s="99">
        <v>3</v>
      </c>
      <c r="B9" s="97">
        <f>C9*B4</f>
        <v>0.41689985981432531</v>
      </c>
      <c r="C9" s="97">
        <f>1/(1-D4*B4/(1-D4*B4))</f>
        <v>1.3677526941535081</v>
      </c>
      <c r="D9" s="144">
        <f>C9*D4*C8</f>
        <v>1.206512130838064</v>
      </c>
      <c r="E9" s="1">
        <f>D9*(D4)</f>
        <v>0.83875943668455666</v>
      </c>
      <c r="F9" s="1">
        <f>E9*D4</f>
        <v>0.58310014018567691</v>
      </c>
      <c r="G9" s="1"/>
      <c r="H9" s="1"/>
      <c r="I9" s="1"/>
      <c r="J9" s="1"/>
      <c r="K9" s="1"/>
      <c r="L9" s="1"/>
      <c r="M9" s="260"/>
      <c r="N9" s="97">
        <f>B9+F9</f>
        <v>1.0000000000000022</v>
      </c>
      <c r="R9" s="188">
        <f>B9-F9</f>
        <v>-0.16620028037135159</v>
      </c>
      <c r="S9" s="93">
        <f>SUM(C9:E9)*$B$4*$F$4</f>
        <v>3.7820062587492362</v>
      </c>
      <c r="T9" s="260">
        <f>SUM(C9:E9)*$D$4*$H$4</f>
        <v>-8.722121845381599</v>
      </c>
      <c r="U9" s="264">
        <f t="shared" ref="U9:U16" si="0">S9+T9</f>
        <v>-4.9401155866323627</v>
      </c>
      <c r="V9" s="93">
        <f>(U9+W9*F9)/B9</f>
        <v>-7.6536729167921171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0.42919974559863017</v>
      </c>
      <c r="C10" s="97">
        <f>1/(1-D4*B4/(1-D4*B4/(1-D4*B4)))</f>
        <v>1.4081057946001141</v>
      </c>
      <c r="D10" s="144">
        <f>C10*D4*C9</f>
        <v>1.3389013858449468</v>
      </c>
      <c r="E10" s="1">
        <f>D10*D4*C8</f>
        <v>1.1810620230710516</v>
      </c>
      <c r="F10" s="1">
        <f>E10*D4</f>
        <v>0.82106668622759027</v>
      </c>
      <c r="G10" s="1">
        <f>F10*D4</f>
        <v>0.57080025440137272</v>
      </c>
      <c r="H10" s="1"/>
      <c r="I10" s="1"/>
      <c r="J10" s="1"/>
      <c r="K10" s="1"/>
      <c r="L10" s="1"/>
      <c r="M10" s="260"/>
      <c r="N10" s="97">
        <f>B10+G10</f>
        <v>1.0000000000000029</v>
      </c>
      <c r="R10" s="188">
        <f>B10-G10</f>
        <v>-0.14160050880274255</v>
      </c>
      <c r="S10" s="93">
        <f>SUM(C10:F10)*$B$4*$F$4</f>
        <v>5.2625648930607278</v>
      </c>
      <c r="T10" s="260">
        <f>SUM(C10:F10)*$D$4*$H$4</f>
        <v>-12.136609269304405</v>
      </c>
      <c r="U10" s="264">
        <f t="shared" si="0"/>
        <v>-6.8740443762436767</v>
      </c>
      <c r="V10" s="93">
        <f>(U10+W10*G10)/B10</f>
        <v>-10.696286299599423</v>
      </c>
      <c r="W10" s="9">
        <f t="shared" si="1"/>
        <v>4</v>
      </c>
    </row>
    <row r="11" spans="1:23" x14ac:dyDescent="0.2">
      <c r="A11" s="99">
        <v>5</v>
      </c>
      <c r="B11" s="97">
        <f>C11*B4</f>
        <v>0.43443047646831823</v>
      </c>
      <c r="C11" s="97">
        <f>1/(1-D4*B4/(1-D4*B4/(1-D4*B4/(1-D4*B4))))</f>
        <v>1.4252666212854339</v>
      </c>
      <c r="D11" s="144">
        <f>C11*D4*C10</f>
        <v>1.3952021170162197</v>
      </c>
      <c r="E11" s="1">
        <f>D11*D4*C9</f>
        <v>1.3266318874409018</v>
      </c>
      <c r="F11" s="1">
        <f>E11*D4*C8</f>
        <v>1.1702389417296251</v>
      </c>
      <c r="G11" s="1">
        <f>F11*D4</f>
        <v>0.8135425500195107</v>
      </c>
      <c r="H11" s="1">
        <f>G11*D4</f>
        <v>0.56556952353168555</v>
      </c>
      <c r="I11" s="1"/>
      <c r="J11" s="1"/>
      <c r="K11" s="1"/>
      <c r="L11" s="1"/>
      <c r="M11" s="260"/>
      <c r="N11" s="97">
        <f>B11+H11</f>
        <v>1.0000000000000038</v>
      </c>
      <c r="R11" s="188">
        <f>B11-H11</f>
        <v>-0.13113904706336732</v>
      </c>
      <c r="S11" s="93">
        <f>SUM(C11:G11)*$B$4*$F$4</f>
        <v>6.7936916828772409</v>
      </c>
      <c r="T11" s="260">
        <f>SUM(C11:G11)*$D$4*$H$4</f>
        <v>-15.667717762478654</v>
      </c>
      <c r="U11" s="264">
        <f t="shared" si="0"/>
        <v>-8.8740260796014141</v>
      </c>
      <c r="V11" s="93">
        <f>(U11+W11*H11)/B11</f>
        <v>-13.917482288754474</v>
      </c>
      <c r="W11" s="9">
        <f t="shared" si="1"/>
        <v>5</v>
      </c>
    </row>
    <row r="12" spans="1:23" x14ac:dyDescent="0.2">
      <c r="A12" s="99">
        <v>6</v>
      </c>
      <c r="B12" s="97">
        <f>C12*B4</f>
        <v>0.43669377172984475</v>
      </c>
      <c r="C12" s="97">
        <f>1/(1-D4*B4/(1-D4*B4/(1-D4*B4/(1-D4*B4/(1-D4*B4)))))</f>
        <v>1.4326919732464454</v>
      </c>
      <c r="D12" s="144">
        <f>C12*D4*C11</f>
        <v>1.4195629914819354</v>
      </c>
      <c r="E12" s="1">
        <f>D12*D4*C10</f>
        <v>1.3896187993003097</v>
      </c>
      <c r="F12" s="1">
        <f>E12*D4*C9</f>
        <v>1.3213229739657126</v>
      </c>
      <c r="G12" s="1">
        <f>F12*D4*C8</f>
        <v>1.1655558813073976</v>
      </c>
      <c r="H12" s="1">
        <f>G12*D4</f>
        <v>0.81028691667666242</v>
      </c>
      <c r="I12" s="1">
        <f>H12*D4</f>
        <v>0.56330622827016008</v>
      </c>
      <c r="J12" s="1"/>
      <c r="K12" s="1"/>
      <c r="L12" s="1"/>
      <c r="M12" s="260"/>
      <c r="N12" s="97">
        <f>B12+I12</f>
        <v>1.0000000000000049</v>
      </c>
      <c r="R12" s="188">
        <f>B12-I12</f>
        <v>-0.12661245654031533</v>
      </c>
      <c r="S12" s="93">
        <f>SUM(C12:H12)*$B$4*$F$4</f>
        <v>8.3540849768310661</v>
      </c>
      <c r="T12" s="260">
        <f>SUM(C12:H12)*$D$4*$H$4</f>
        <v>-19.266321124145914</v>
      </c>
      <c r="U12" s="264">
        <f t="shared" si="0"/>
        <v>-10.912236147314848</v>
      </c>
      <c r="V12" s="93">
        <f>(U12+W12*I12)/B12</f>
        <v>-17.2486975205905</v>
      </c>
      <c r="W12" s="9">
        <f t="shared" si="1"/>
        <v>6</v>
      </c>
    </row>
    <row r="13" spans="1:23" x14ac:dyDescent="0.2">
      <c r="A13" s="99">
        <v>7</v>
      </c>
      <c r="B13" s="97">
        <f>C13*B4</f>
        <v>0.43768040754074722</v>
      </c>
      <c r="C13" s="97">
        <f>1/(1-D4*B4/(1-D4*B4/(1-D4*B4/(1-D4*B4/(1-D4*B4/(1-D4*B4))))))</f>
        <v>1.4359288987496375</v>
      </c>
      <c r="D13" s="144">
        <f>C13*D4*C12</f>
        <v>1.4301826006603533</v>
      </c>
      <c r="E13" s="1">
        <f>D13*D4*C11</f>
        <v>1.4170766144228224</v>
      </c>
      <c r="F13" s="1">
        <f>E13*D4*C10</f>
        <v>1.3871848697570457</v>
      </c>
      <c r="G13" s="1">
        <f>F13*D4*C9</f>
        <v>1.3190086651609183</v>
      </c>
      <c r="H13" s="1">
        <f>G13*D4*C8</f>
        <v>1.1635143999347597</v>
      </c>
      <c r="I13" s="1">
        <f>H13*D4</f>
        <v>0.80886769201878317</v>
      </c>
      <c r="J13" s="1">
        <f>I13*D4</f>
        <v>0.56231959245925878</v>
      </c>
      <c r="K13" s="1"/>
      <c r="L13" s="1"/>
      <c r="M13" s="260"/>
      <c r="N13" s="97">
        <f>B13+J13</f>
        <v>1.000000000000006</v>
      </c>
      <c r="R13" s="188">
        <f>B13-J13</f>
        <v>-0.12463918491851156</v>
      </c>
      <c r="S13" s="93">
        <f>SUM(C13:I13)*$B$4*$F$4</f>
        <v>9.930619872045888</v>
      </c>
      <c r="T13" s="260">
        <f>SUM(C13:I13)*$D$4*$H$4</f>
        <v>-22.902150498502145</v>
      </c>
      <c r="U13" s="264">
        <f t="shared" si="0"/>
        <v>-12.971530626456257</v>
      </c>
      <c r="V13" s="93">
        <f>(U13+W13*J13)/B13</f>
        <v>-20.64358678975201</v>
      </c>
      <c r="W13" s="9">
        <f t="shared" si="1"/>
        <v>7</v>
      </c>
    </row>
    <row r="14" spans="1:23" x14ac:dyDescent="0.2">
      <c r="A14" s="99">
        <v>8</v>
      </c>
      <c r="B14" s="97">
        <f>C14*B4</f>
        <v>0.43811190733595262</v>
      </c>
      <c r="C14" s="97">
        <f>1/(1-D4*B4/(1-D4*B4/(1-D4*B4/(1-D4*B4/(1-D4*B4/(1-D4*B4/(1-D4*B4)))))))</f>
        <v>1.4373445504787643</v>
      </c>
      <c r="D14" s="144">
        <f>C14*D4*C13</f>
        <v>1.4348270288627485</v>
      </c>
      <c r="E14" s="1">
        <f>D14*D4*C12</f>
        <v>1.4290851402347065</v>
      </c>
      <c r="F14" s="1">
        <f>E14*D4*C11</f>
        <v>1.4159892109655849</v>
      </c>
      <c r="G14" s="1">
        <f>F14*D4*C10</f>
        <v>1.3861204039350508</v>
      </c>
      <c r="H14" s="1">
        <f>G14*D4*C9</f>
        <v>1.3179965148170172</v>
      </c>
      <c r="I14" s="1">
        <f>H14*D4*C8</f>
        <v>1.1626215691815334</v>
      </c>
      <c r="J14" s="1">
        <f>I14*D4</f>
        <v>0.8082470018487552</v>
      </c>
      <c r="K14" s="1">
        <f>J14*D4</f>
        <v>0.56188809266405437</v>
      </c>
      <c r="L14" s="1"/>
      <c r="M14" s="260"/>
      <c r="N14" s="97">
        <f>B14+K14</f>
        <v>1.0000000000000071</v>
      </c>
      <c r="R14" s="188">
        <f>B14-K14</f>
        <v>-0.12377618532810175</v>
      </c>
      <c r="S14" s="93">
        <f>SUM(C14:J14)*$B$4*$F$4</f>
        <v>11.515735389098756</v>
      </c>
      <c r="T14" s="260">
        <f>SUM(C14:J14)*$D$4*$H$4</f>
        <v>-26.557768636826559</v>
      </c>
      <c r="U14" s="264">
        <f t="shared" si="0"/>
        <v>-15.042033247727803</v>
      </c>
      <c r="V14" s="93">
        <f>(U14+W14*K14)/B14</f>
        <v>-24.073594736442029</v>
      </c>
      <c r="W14" s="9">
        <f t="shared" si="1"/>
        <v>8</v>
      </c>
    </row>
    <row r="15" spans="1:23" x14ac:dyDescent="0.2">
      <c r="A15" s="99">
        <v>9</v>
      </c>
      <c r="B15" s="97">
        <f>C15*B4</f>
        <v>0.43830088895207003</v>
      </c>
      <c r="C15" s="97">
        <f>1/(1-D4*B4/(1-D4*B4/(1-D4*B4/(1-D4*B4/(1-D4*B4/(1-D4*B4/(1-D4*B4/(1-D4*B4))))))))</f>
        <v>1.4379645557594214</v>
      </c>
      <c r="D15" s="144">
        <f>C15*D4*C14</f>
        <v>1.4368611237971669</v>
      </c>
      <c r="E15" s="1">
        <f>D15*D4*C13</f>
        <v>1.4343444489072337</v>
      </c>
      <c r="F15" s="1">
        <f>E15*D4*C12</f>
        <v>1.4286044914669258</v>
      </c>
      <c r="G15" s="1">
        <f>F15*D4*C11</f>
        <v>1.4155129667935062</v>
      </c>
      <c r="H15" s="1">
        <f>G15*D4*C10</f>
        <v>1.3856542056342014</v>
      </c>
      <c r="I15" s="1">
        <f>H15*D4*C9</f>
        <v>1.3175532288412906</v>
      </c>
      <c r="J15" s="1">
        <f>I15*D4*C8</f>
        <v>1.1622305409573297</v>
      </c>
      <c r="K15" s="1">
        <f>J15*D4</f>
        <v>0.80797516155417559</v>
      </c>
      <c r="L15" s="1">
        <f>K15*D4</f>
        <v>0.56169911104793802</v>
      </c>
      <c r="M15" s="260"/>
      <c r="N15" s="97">
        <f>B15+L15</f>
        <v>1.000000000000008</v>
      </c>
      <c r="R15" s="188">
        <f>B15-L15</f>
        <v>-0.12339822209586798</v>
      </c>
      <c r="S15" s="93">
        <f>SUM(C15:K15)*$B$4*$F$4</f>
        <v>13.105285145398859</v>
      </c>
      <c r="T15" s="260">
        <f>SUM(C15:K15)*$D$4*$H$4</f>
        <v>-30.223613086891334</v>
      </c>
      <c r="U15" s="264">
        <f t="shared" si="0"/>
        <v>-17.118327941492474</v>
      </c>
      <c r="V15" s="93">
        <f>(U15+W15*L15)/B15</f>
        <v>-27.522271220810079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0.43838370754958739</v>
      </c>
      <c r="C16" s="145">
        <f>1/(1-D4*B4/(1-D4*B4/(1-D4*B4/(1-D4*B4/(1-D4*B4/(1-D4*B4/(1-D4*B4/(1-D4*B4/(1-D4*B4)))))))))</f>
        <v>1.4382362645576225</v>
      </c>
      <c r="D16" s="153">
        <f>C16*D4*C15</f>
        <v>1.4377525379629821</v>
      </c>
      <c r="E16" s="111">
        <f>D16*D4*C14</f>
        <v>1.4366492686940375</v>
      </c>
      <c r="F16" s="111">
        <f>E16*D4*C13</f>
        <v>1.4341329648701799</v>
      </c>
      <c r="G16" s="111">
        <f>F16*D4*C12</f>
        <v>1.4283938537463707</v>
      </c>
      <c r="H16" s="111">
        <f>G16*D4*C11</f>
        <v>1.4153042593265184</v>
      </c>
      <c r="I16" s="111">
        <f>H16*D4*C10</f>
        <v>1.3854499006322951</v>
      </c>
      <c r="J16" s="111">
        <f>I16*D4*C9</f>
        <v>1.3173589648511581</v>
      </c>
      <c r="K16" s="111">
        <f>J16*D4*C8</f>
        <v>1.1620591782090188</v>
      </c>
      <c r="L16" s="111">
        <f>K16*D4</f>
        <v>0.80785603127892336</v>
      </c>
      <c r="M16" s="262">
        <f>L16*D4</f>
        <v>0.56161629245042155</v>
      </c>
      <c r="N16" s="145">
        <f>B16+M16</f>
        <v>1.0000000000000089</v>
      </c>
      <c r="R16" s="189">
        <f>B16-M16</f>
        <v>-0.12323258490083416</v>
      </c>
      <c r="S16" s="94">
        <f>SUM(C16:L16)*$B$4*$F$4</f>
        <v>14.697076826527612</v>
      </c>
      <c r="T16" s="262">
        <f>SUM(C16:L16)*$D$4*$H$4</f>
        <v>-33.89462789897717</v>
      </c>
      <c r="U16" s="265">
        <f t="shared" si="0"/>
        <v>-19.197551072449556</v>
      </c>
      <c r="V16" s="94">
        <f>(U16+W16*M16)/B16</f>
        <v>-30.9805951134922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3</v>
      </c>
      <c r="D21" s="57">
        <f>SUM($C$21:C21)</f>
        <v>3</v>
      </c>
      <c r="E21" s="57">
        <f t="shared" ref="E21:E30" si="3">D21/R7</f>
        <v>-7.6846806333682025</v>
      </c>
      <c r="F21" s="8">
        <f t="shared" ref="F21:F30" si="4">U7/E21</f>
        <v>0.18835272664625785</v>
      </c>
      <c r="G21" s="284">
        <f>E21*U7</f>
        <v>11.123041521114317</v>
      </c>
      <c r="O21" s="101">
        <v>1</v>
      </c>
      <c r="P21" s="109">
        <v>1</v>
      </c>
      <c r="Q21" s="110">
        <f>P21*3+3</f>
        <v>6</v>
      </c>
      <c r="R21" s="57">
        <f>SUM($Q$21)</f>
        <v>6</v>
      </c>
      <c r="S21" s="279">
        <f>R21/R7</f>
        <v>-15.369361266736405</v>
      </c>
      <c r="T21" s="8">
        <f>U7/S21</f>
        <v>9.4176363323128925E-2</v>
      </c>
      <c r="U21" s="284">
        <f>S21*U7</f>
        <v>22.246083042228634</v>
      </c>
    </row>
    <row r="22" spans="1:21" x14ac:dyDescent="0.2">
      <c r="A22" s="97">
        <v>2</v>
      </c>
      <c r="B22" s="93">
        <f>C21</f>
        <v>3</v>
      </c>
      <c r="C22" s="1">
        <f t="shared" si="2"/>
        <v>9</v>
      </c>
      <c r="D22" s="9">
        <f>SUM($C$21:C22)</f>
        <v>12</v>
      </c>
      <c r="E22" s="9">
        <f t="shared" si="3"/>
        <v>-52.985230251422351</v>
      </c>
      <c r="F22" s="9">
        <f t="shared" si="4"/>
        <v>5.8759837309024038E-2</v>
      </c>
      <c r="G22" s="285">
        <f t="shared" ref="G22:G30" si="5">E22*U8</f>
        <v>164.96440180874814</v>
      </c>
      <c r="O22" s="99">
        <v>2</v>
      </c>
      <c r="P22" s="93">
        <f>Q21</f>
        <v>6</v>
      </c>
      <c r="Q22" s="1">
        <f>P22*3+3</f>
        <v>21</v>
      </c>
      <c r="R22" s="9">
        <f>SUM($Q$21:Q22)</f>
        <v>27</v>
      </c>
      <c r="S22" s="280">
        <f t="shared" ref="S22:S30" si="6">R22/R8</f>
        <v>-119.21676806570028</v>
      </c>
      <c r="T22" s="9">
        <f>U8/S22</f>
        <v>2.611548324845513E-2</v>
      </c>
      <c r="U22" s="285">
        <f t="shared" ref="U22:U30" si="7">S22*U8</f>
        <v>371.16990406968324</v>
      </c>
    </row>
    <row r="23" spans="1:21" x14ac:dyDescent="0.2">
      <c r="A23" s="97">
        <v>3</v>
      </c>
      <c r="B23" s="93">
        <f t="shared" ref="B23:B30" si="8">C22</f>
        <v>9</v>
      </c>
      <c r="C23" s="1">
        <f t="shared" si="2"/>
        <v>27</v>
      </c>
      <c r="D23" s="9">
        <f>SUM($C$21:C23)</f>
        <v>39</v>
      </c>
      <c r="E23" s="9">
        <f t="shared" si="3"/>
        <v>-234.65664385679665</v>
      </c>
      <c r="F23" s="9">
        <f t="shared" si="4"/>
        <v>2.1052528091414942E-2</v>
      </c>
      <c r="G23" s="285">
        <f t="shared" si="5"/>
        <v>1159.2309438238003</v>
      </c>
      <c r="O23" s="99">
        <v>3</v>
      </c>
      <c r="P23" s="93">
        <f t="shared" ref="P23:P30" si="9">Q22</f>
        <v>21</v>
      </c>
      <c r="Q23" s="1">
        <f t="shared" ref="Q23:Q30" si="10">P23*3+3</f>
        <v>66</v>
      </c>
      <c r="R23" s="9">
        <f>SUM($Q$21:Q23)</f>
        <v>93</v>
      </c>
      <c r="S23" s="280">
        <f t="shared" si="6"/>
        <v>-559.56584304313049</v>
      </c>
      <c r="T23" s="9">
        <f t="shared" ref="T23:T30" si="11">U9/S23</f>
        <v>8.8284795222062645E-3</v>
      </c>
      <c r="U23" s="285">
        <f t="shared" si="7"/>
        <v>2764.3199429644474</v>
      </c>
    </row>
    <row r="24" spans="1:21" x14ac:dyDescent="0.2">
      <c r="A24" s="97">
        <v>4</v>
      </c>
      <c r="B24" s="93">
        <f t="shared" si="8"/>
        <v>27</v>
      </c>
      <c r="C24" s="1">
        <f t="shared" si="2"/>
        <v>81</v>
      </c>
      <c r="D24" s="9">
        <f>SUM($C$21:C24)</f>
        <v>120</v>
      </c>
      <c r="E24" s="9">
        <f t="shared" si="3"/>
        <v>-847.45458201118981</v>
      </c>
      <c r="F24" s="9">
        <f t="shared" si="4"/>
        <v>8.1114015100727972E-3</v>
      </c>
      <c r="G24" s="285">
        <f t="shared" si="5"/>
        <v>5825.4404035959551</v>
      </c>
      <c r="O24" s="99">
        <v>4</v>
      </c>
      <c r="P24" s="93">
        <f t="shared" si="9"/>
        <v>66</v>
      </c>
      <c r="Q24" s="1">
        <f t="shared" si="10"/>
        <v>201</v>
      </c>
      <c r="R24" s="9">
        <f>SUM($Q$21:Q24)</f>
        <v>294</v>
      </c>
      <c r="S24" s="280">
        <f t="shared" si="6"/>
        <v>-2076.2637259274152</v>
      </c>
      <c r="T24" s="9">
        <f t="shared" si="11"/>
        <v>3.3107761265603252E-3</v>
      </c>
      <c r="U24" s="285">
        <f t="shared" si="7"/>
        <v>14272.328988810092</v>
      </c>
    </row>
    <row r="25" spans="1:21" x14ac:dyDescent="0.2">
      <c r="A25" s="97">
        <v>5</v>
      </c>
      <c r="B25" s="93">
        <f t="shared" si="8"/>
        <v>81</v>
      </c>
      <c r="C25" s="1">
        <f t="shared" si="2"/>
        <v>243</v>
      </c>
      <c r="D25" s="9">
        <f>SUM($C$21:C25)</f>
        <v>363</v>
      </c>
      <c r="E25" s="9">
        <f t="shared" si="3"/>
        <v>-2768.0542761958291</v>
      </c>
      <c r="F25" s="9">
        <f t="shared" si="4"/>
        <v>3.2058714151360851E-3</v>
      </c>
      <c r="G25" s="285">
        <f t="shared" si="5"/>
        <v>24563.785836714003</v>
      </c>
      <c r="O25" s="99">
        <v>5</v>
      </c>
      <c r="P25" s="93">
        <f t="shared" si="9"/>
        <v>201</v>
      </c>
      <c r="Q25" s="1">
        <f t="shared" si="10"/>
        <v>606</v>
      </c>
      <c r="R25" s="9">
        <f>SUM($Q$21:Q25)</f>
        <v>900</v>
      </c>
      <c r="S25" s="280">
        <f t="shared" si="6"/>
        <v>-6862.9444864359402</v>
      </c>
      <c r="T25" s="9">
        <f t="shared" si="11"/>
        <v>1.2930348041048875E-3</v>
      </c>
      <c r="U25" s="285">
        <f t="shared" si="7"/>
        <v>60901.948355489265</v>
      </c>
    </row>
    <row r="26" spans="1:21" x14ac:dyDescent="0.2">
      <c r="A26" s="97">
        <v>6</v>
      </c>
      <c r="B26" s="93">
        <f t="shared" si="8"/>
        <v>243</v>
      </c>
      <c r="C26" s="1">
        <f t="shared" si="2"/>
        <v>729</v>
      </c>
      <c r="D26" s="9">
        <f>SUM($C$21:C26)</f>
        <v>1092</v>
      </c>
      <c r="E26" s="9">
        <f t="shared" si="3"/>
        <v>-8624.7438035632022</v>
      </c>
      <c r="F26" s="9">
        <f t="shared" si="4"/>
        <v>1.2652243818310983E-3</v>
      </c>
      <c r="G26" s="285">
        <f t="shared" si="5"/>
        <v>94115.241094572135</v>
      </c>
      <c r="O26" s="99">
        <v>6</v>
      </c>
      <c r="P26" s="93">
        <f t="shared" si="9"/>
        <v>606</v>
      </c>
      <c r="Q26" s="1">
        <f t="shared" si="10"/>
        <v>1821</v>
      </c>
      <c r="R26" s="9">
        <f>SUM($Q$21:Q26)</f>
        <v>2721</v>
      </c>
      <c r="S26" s="280">
        <f t="shared" si="6"/>
        <v>-21490.776455581938</v>
      </c>
      <c r="T26" s="9">
        <f t="shared" si="11"/>
        <v>5.0776369899285529E-4</v>
      </c>
      <c r="U26" s="285">
        <f t="shared" si="7"/>
        <v>234512.42767246411</v>
      </c>
    </row>
    <row r="27" spans="1:21" x14ac:dyDescent="0.2">
      <c r="A27" s="97">
        <v>7</v>
      </c>
      <c r="B27" s="93">
        <f t="shared" si="8"/>
        <v>729</v>
      </c>
      <c r="C27" s="1">
        <f t="shared" si="2"/>
        <v>2187</v>
      </c>
      <c r="D27" s="9">
        <f>SUM($C$21:C27)</f>
        <v>3279</v>
      </c>
      <c r="E27" s="9">
        <f t="shared" si="3"/>
        <v>-26307.938407522426</v>
      </c>
      <c r="F27" s="9">
        <f t="shared" si="4"/>
        <v>4.9306526515005111E-4</v>
      </c>
      <c r="G27" s="285">
        <f t="shared" si="5"/>
        <v>341254.22877210198</v>
      </c>
      <c r="O27" s="99">
        <v>7</v>
      </c>
      <c r="P27" s="93">
        <f t="shared" si="9"/>
        <v>1821</v>
      </c>
      <c r="Q27" s="1">
        <f t="shared" si="10"/>
        <v>5466</v>
      </c>
      <c r="R27" s="9">
        <f>SUM($Q$21:Q27)</f>
        <v>8187</v>
      </c>
      <c r="S27" s="280">
        <f t="shared" si="6"/>
        <v>-65685.602849157091</v>
      </c>
      <c r="T27" s="9">
        <f t="shared" si="11"/>
        <v>1.9747905269659429E-4</v>
      </c>
      <c r="U27" s="285">
        <f t="shared" si="7"/>
        <v>852042.80907508358</v>
      </c>
    </row>
    <row r="28" spans="1:21" x14ac:dyDescent="0.2">
      <c r="A28" s="97">
        <v>8</v>
      </c>
      <c r="B28" s="93">
        <f t="shared" si="8"/>
        <v>2187</v>
      </c>
      <c r="C28" s="1">
        <f t="shared" si="2"/>
        <v>6561</v>
      </c>
      <c r="D28" s="9">
        <f>SUM($C$21:C28)</f>
        <v>9840</v>
      </c>
      <c r="E28" s="9">
        <f t="shared" si="3"/>
        <v>-79498.329778999556</v>
      </c>
      <c r="F28" s="9">
        <f t="shared" si="4"/>
        <v>1.8921194054697407E-4</v>
      </c>
      <c r="G28" s="285">
        <f t="shared" si="5"/>
        <v>1195816.5196745405</v>
      </c>
      <c r="O28" s="99">
        <v>8</v>
      </c>
      <c r="P28" s="93">
        <f t="shared" si="9"/>
        <v>5466</v>
      </c>
      <c r="Q28" s="1">
        <f t="shared" si="10"/>
        <v>16401</v>
      </c>
      <c r="R28" s="9">
        <f>SUM($Q$21:Q28)</f>
        <v>24588</v>
      </c>
      <c r="S28" s="280">
        <f t="shared" si="6"/>
        <v>-198648.8752648416</v>
      </c>
      <c r="T28" s="9">
        <f t="shared" si="11"/>
        <v>7.5721713640077468E-5</v>
      </c>
      <c r="U28" s="285">
        <f t="shared" si="7"/>
        <v>2988082.9863574803</v>
      </c>
    </row>
    <row r="29" spans="1:21" x14ac:dyDescent="0.2">
      <c r="A29" s="97">
        <v>9</v>
      </c>
      <c r="B29" s="93">
        <f t="shared" si="8"/>
        <v>6561</v>
      </c>
      <c r="C29" s="1">
        <f t="shared" si="2"/>
        <v>19683</v>
      </c>
      <c r="D29" s="9">
        <f>SUM($C$21:C29)</f>
        <v>29523</v>
      </c>
      <c r="E29" s="9">
        <f t="shared" si="3"/>
        <v>-239249.80035015094</v>
      </c>
      <c r="F29" s="9">
        <f t="shared" si="4"/>
        <v>7.1550019755248142E-5</v>
      </c>
      <c r="G29" s="285">
        <f t="shared" si="5"/>
        <v>4095556.5423304848</v>
      </c>
      <c r="O29" s="99">
        <v>9</v>
      </c>
      <c r="P29" s="93">
        <f t="shared" si="9"/>
        <v>16401</v>
      </c>
      <c r="Q29" s="1">
        <f t="shared" si="10"/>
        <v>49206</v>
      </c>
      <c r="R29" s="9">
        <f>SUM($Q$21:Q29)</f>
        <v>73794</v>
      </c>
      <c r="S29" s="280">
        <f t="shared" si="6"/>
        <v>-598015.09897500381</v>
      </c>
      <c r="T29" s="9">
        <f t="shared" si="11"/>
        <v>2.8625243695072651E-5</v>
      </c>
      <c r="U29" s="285">
        <f t="shared" si="7"/>
        <v>10237018.578218196</v>
      </c>
    </row>
    <row r="30" spans="1:21" ht="17" thickBot="1" x14ac:dyDescent="0.25">
      <c r="A30" s="145">
        <v>10</v>
      </c>
      <c r="B30" s="94">
        <f t="shared" si="8"/>
        <v>19683</v>
      </c>
      <c r="C30" s="111">
        <f t="shared" si="2"/>
        <v>59049</v>
      </c>
      <c r="D30" s="10">
        <f>SUM($C$21:C30)</f>
        <v>88572</v>
      </c>
      <c r="E30" s="10">
        <f t="shared" si="3"/>
        <v>-718738.47384824639</v>
      </c>
      <c r="F30" s="10">
        <f t="shared" si="4"/>
        <v>2.6710064607593144E-5</v>
      </c>
      <c r="G30" s="286">
        <f t="shared" si="5"/>
        <v>13798018.559436159</v>
      </c>
      <c r="O30" s="100">
        <v>10</v>
      </c>
      <c r="P30" s="94">
        <f t="shared" si="9"/>
        <v>49206</v>
      </c>
      <c r="Q30" s="111">
        <f t="shared" si="10"/>
        <v>147621</v>
      </c>
      <c r="R30" s="10">
        <f>SUM($Q$21:Q30)</f>
        <v>221415</v>
      </c>
      <c r="S30" s="281">
        <f t="shared" si="6"/>
        <v>-1796724.4635676001</v>
      </c>
      <c r="T30" s="10">
        <f t="shared" si="11"/>
        <v>1.0684749643988618E-5</v>
      </c>
      <c r="U30" s="286">
        <f t="shared" si="7"/>
        <v>34492709.652458534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3</v>
      </c>
      <c r="D33" s="57">
        <f>SUM($C$33:C33)</f>
        <v>3</v>
      </c>
      <c r="E33" s="9">
        <f t="shared" ref="E33:E42" si="13">D33/R7</f>
        <v>-7.6846806333682025</v>
      </c>
      <c r="F33" s="8">
        <f t="shared" ref="F33:F42" si="14">U7/E33</f>
        <v>0.18835272664625785</v>
      </c>
      <c r="G33" s="287">
        <f>E33*U7</f>
        <v>11.123041521114317</v>
      </c>
      <c r="O33" s="101">
        <v>1</v>
      </c>
      <c r="P33" s="109">
        <v>1</v>
      </c>
      <c r="Q33" s="110">
        <f>P33*3+3</f>
        <v>6</v>
      </c>
      <c r="R33" s="57">
        <f>SUM($Q$21)</f>
        <v>6</v>
      </c>
      <c r="S33" s="279">
        <f>R33/R7</f>
        <v>-15.369361266736405</v>
      </c>
      <c r="T33" s="8">
        <f>U7/S33</f>
        <v>9.4176363323128925E-2</v>
      </c>
      <c r="U33" s="287">
        <f>S33*U7</f>
        <v>22.246083042228634</v>
      </c>
    </row>
    <row r="34" spans="1:21" x14ac:dyDescent="0.2">
      <c r="A34" s="97">
        <v>2</v>
      </c>
      <c r="B34" s="93">
        <f t="shared" ref="B34:B42" si="15">B33*($O$2+1)</f>
        <v>4</v>
      </c>
      <c r="C34" s="1">
        <f t="shared" si="12"/>
        <v>12</v>
      </c>
      <c r="D34" s="9">
        <f>SUM($C$33:C34)</f>
        <v>15</v>
      </c>
      <c r="E34" s="9">
        <f t="shared" si="13"/>
        <v>-66.231537814277942</v>
      </c>
      <c r="F34" s="9">
        <f t="shared" si="14"/>
        <v>4.7007869847219226E-2</v>
      </c>
      <c r="G34" s="285">
        <f t="shared" ref="G34:G42" si="16">E34*U8</f>
        <v>206.20550226093516</v>
      </c>
      <c r="O34" s="99">
        <v>2</v>
      </c>
      <c r="P34" s="93">
        <f>Q33+1</f>
        <v>7</v>
      </c>
      <c r="Q34" s="1">
        <f t="shared" ref="Q34:Q42" si="17">P34*3+3</f>
        <v>24</v>
      </c>
      <c r="R34" s="9">
        <f>SUM($Q$33:Q34)</f>
        <v>30</v>
      </c>
      <c r="S34" s="280">
        <f>R34/R8</f>
        <v>-132.46307562855588</v>
      </c>
      <c r="T34" s="9">
        <f t="shared" ref="T34:T42" si="18">U8/S34</f>
        <v>2.3503934923609613E-2</v>
      </c>
      <c r="U34" s="285">
        <f t="shared" ref="U34:U42" si="19">S34*U8</f>
        <v>412.41100452187032</v>
      </c>
    </row>
    <row r="35" spans="1:21" x14ac:dyDescent="0.2">
      <c r="A35" s="97">
        <v>3</v>
      </c>
      <c r="B35" s="93">
        <f t="shared" si="15"/>
        <v>16</v>
      </c>
      <c r="C35" s="1">
        <f t="shared" si="12"/>
        <v>48</v>
      </c>
      <c r="D35" s="9">
        <f>SUM($C$33:C35)</f>
        <v>63</v>
      </c>
      <c r="E35" s="9">
        <f t="shared" si="13"/>
        <v>-379.06073238405611</v>
      </c>
      <c r="F35" s="9">
        <f t="shared" si="14"/>
        <v>1.3032517389923535E-2</v>
      </c>
      <c r="G35" s="285">
        <f t="shared" si="16"/>
        <v>1872.6038323307544</v>
      </c>
      <c r="O35" s="99">
        <v>3</v>
      </c>
      <c r="P35" s="93">
        <f t="shared" ref="P35:P42" si="20">Q34+1</f>
        <v>25</v>
      </c>
      <c r="Q35" s="1">
        <f t="shared" si="17"/>
        <v>78</v>
      </c>
      <c r="R35" s="9">
        <f>SUM($Q$33:Q35)</f>
        <v>108</v>
      </c>
      <c r="S35" s="280">
        <f t="shared" ref="S35:S42" si="21">R35/R9</f>
        <v>-649.81839837266762</v>
      </c>
      <c r="T35" s="9">
        <f t="shared" si="18"/>
        <v>7.6023018107887292E-3</v>
      </c>
      <c r="U35" s="285">
        <f t="shared" si="19"/>
        <v>3210.1779982812932</v>
      </c>
    </row>
    <row r="36" spans="1:21" x14ac:dyDescent="0.2">
      <c r="A36" s="97">
        <v>4</v>
      </c>
      <c r="B36" s="93">
        <f t="shared" si="15"/>
        <v>64</v>
      </c>
      <c r="C36" s="1">
        <f t="shared" si="12"/>
        <v>192</v>
      </c>
      <c r="D36" s="9">
        <f>SUM($C$33:C36)</f>
        <v>255</v>
      </c>
      <c r="E36" s="9">
        <f t="shared" si="13"/>
        <v>-1800.8409867737785</v>
      </c>
      <c r="F36" s="9">
        <f t="shared" si="14"/>
        <v>3.8171301223871986E-3</v>
      </c>
      <c r="G36" s="285">
        <f t="shared" si="16"/>
        <v>12379.060857641405</v>
      </c>
      <c r="O36" s="99">
        <v>4</v>
      </c>
      <c r="P36" s="93">
        <f t="shared" si="20"/>
        <v>79</v>
      </c>
      <c r="Q36" s="1">
        <f t="shared" si="17"/>
        <v>240</v>
      </c>
      <c r="R36" s="9">
        <f>SUM($Q$33:Q36)</f>
        <v>348</v>
      </c>
      <c r="S36" s="280">
        <f t="shared" si="21"/>
        <v>-2457.6182878324507</v>
      </c>
      <c r="T36" s="9">
        <f t="shared" si="18"/>
        <v>2.7970350034733781E-3</v>
      </c>
      <c r="U36" s="285">
        <f t="shared" si="19"/>
        <v>16893.777170428271</v>
      </c>
    </row>
    <row r="37" spans="1:21" x14ac:dyDescent="0.2">
      <c r="A37" s="97">
        <v>5</v>
      </c>
      <c r="B37" s="93">
        <f t="shared" si="15"/>
        <v>256</v>
      </c>
      <c r="C37" s="1">
        <f t="shared" si="12"/>
        <v>768</v>
      </c>
      <c r="D37" s="9">
        <f>SUM($C$33:C37)</f>
        <v>1023</v>
      </c>
      <c r="E37" s="9">
        <f t="shared" si="13"/>
        <v>-7800.8802329155187</v>
      </c>
      <c r="F37" s="9">
        <f t="shared" si="14"/>
        <v>1.1375672763386108E-3</v>
      </c>
      <c r="G37" s="285">
        <f t="shared" si="16"/>
        <v>69225.214630739472</v>
      </c>
      <c r="O37" s="99">
        <v>5</v>
      </c>
      <c r="P37" s="93">
        <f t="shared" si="20"/>
        <v>241</v>
      </c>
      <c r="Q37" s="1">
        <f t="shared" si="17"/>
        <v>726</v>
      </c>
      <c r="R37" s="9">
        <f>SUM($Q$33:Q37)</f>
        <v>1074</v>
      </c>
      <c r="S37" s="280">
        <f t="shared" si="21"/>
        <v>-8189.7804204802214</v>
      </c>
      <c r="T37" s="9">
        <f t="shared" si="18"/>
        <v>1.0835487185236489E-3</v>
      </c>
      <c r="U37" s="285">
        <f t="shared" si="19"/>
        <v>72676.325037550516</v>
      </c>
    </row>
    <row r="38" spans="1:21" x14ac:dyDescent="0.2">
      <c r="A38" s="97">
        <v>6</v>
      </c>
      <c r="B38" s="93">
        <f t="shared" si="15"/>
        <v>1024</v>
      </c>
      <c r="C38" s="1">
        <f t="shared" si="12"/>
        <v>3072</v>
      </c>
      <c r="D38" s="9">
        <f>SUM($C$33:C38)</f>
        <v>4095</v>
      </c>
      <c r="E38" s="9">
        <f t="shared" si="13"/>
        <v>-32342.78926336201</v>
      </c>
      <c r="F38" s="9">
        <f t="shared" si="14"/>
        <v>3.3739316848829288E-4</v>
      </c>
      <c r="G38" s="285">
        <f t="shared" si="16"/>
        <v>352932.15410464548</v>
      </c>
      <c r="O38" s="99">
        <v>6</v>
      </c>
      <c r="P38" s="93">
        <f t="shared" si="20"/>
        <v>727</v>
      </c>
      <c r="Q38" s="1">
        <f t="shared" si="17"/>
        <v>2184</v>
      </c>
      <c r="R38" s="9">
        <f>SUM($Q$33:Q38)</f>
        <v>3258</v>
      </c>
      <c r="S38" s="280">
        <f t="shared" si="21"/>
        <v>-25732.065304037467</v>
      </c>
      <c r="T38" s="9">
        <f t="shared" si="18"/>
        <v>4.2407152392865538E-4</v>
      </c>
      <c r="U38" s="285">
        <f t="shared" si="19"/>
        <v>280794.37315578392</v>
      </c>
    </row>
    <row r="39" spans="1:21" x14ac:dyDescent="0.2">
      <c r="A39" s="97">
        <v>7</v>
      </c>
      <c r="B39" s="93">
        <f t="shared" si="15"/>
        <v>4096</v>
      </c>
      <c r="C39" s="1">
        <f t="shared" si="12"/>
        <v>12288</v>
      </c>
      <c r="D39" s="9">
        <f>SUM($C$33:C39)</f>
        <v>16383</v>
      </c>
      <c r="E39" s="9">
        <f t="shared" si="13"/>
        <v>-131443.41412944187</v>
      </c>
      <c r="F39" s="9">
        <f t="shared" si="14"/>
        <v>9.8685283795826013E-5</v>
      </c>
      <c r="G39" s="285">
        <f t="shared" si="16"/>
        <v>1705022.2720260283</v>
      </c>
      <c r="O39" s="99">
        <v>7</v>
      </c>
      <c r="P39" s="93">
        <f t="shared" si="20"/>
        <v>2185</v>
      </c>
      <c r="Q39" s="1">
        <f t="shared" si="17"/>
        <v>6558</v>
      </c>
      <c r="R39" s="9">
        <f>SUM($Q$33:Q39)</f>
        <v>9816</v>
      </c>
      <c r="S39" s="280">
        <f t="shared" si="21"/>
        <v>-78755.328883269322</v>
      </c>
      <c r="T39" s="9">
        <f t="shared" si="18"/>
        <v>1.6470670379248344E-4</v>
      </c>
      <c r="U39" s="285">
        <f t="shared" si="19"/>
        <v>1021577.1606059631</v>
      </c>
    </row>
    <row r="40" spans="1:21" x14ac:dyDescent="0.2">
      <c r="A40" s="97">
        <v>8</v>
      </c>
      <c r="B40" s="93">
        <f t="shared" si="15"/>
        <v>16384</v>
      </c>
      <c r="C40" s="1">
        <f t="shared" si="12"/>
        <v>49152</v>
      </c>
      <c r="D40" s="9">
        <f>SUM($C$33:C40)</f>
        <v>65535</v>
      </c>
      <c r="E40" s="9">
        <f t="shared" si="13"/>
        <v>-529463.7237872699</v>
      </c>
      <c r="F40" s="9">
        <f t="shared" si="14"/>
        <v>2.8409941176199359E-5</v>
      </c>
      <c r="G40" s="285">
        <f t="shared" si="16"/>
        <v>7964210.9366738833</v>
      </c>
      <c r="O40" s="99">
        <v>8</v>
      </c>
      <c r="P40" s="93">
        <f t="shared" si="20"/>
        <v>6559</v>
      </c>
      <c r="Q40" s="1">
        <f t="shared" si="17"/>
        <v>19680</v>
      </c>
      <c r="R40" s="9">
        <f>SUM($Q$33:Q40)</f>
        <v>29496</v>
      </c>
      <c r="S40" s="280">
        <f t="shared" si="21"/>
        <v>-238301.09097168405</v>
      </c>
      <c r="T40" s="9">
        <f t="shared" si="18"/>
        <v>6.3121965520145939E-5</v>
      </c>
      <c r="U40" s="285">
        <f t="shared" si="19"/>
        <v>3584532.9333658791</v>
      </c>
    </row>
    <row r="41" spans="1:21" x14ac:dyDescent="0.2">
      <c r="A41" s="97">
        <v>9</v>
      </c>
      <c r="B41" s="93">
        <f t="shared" si="15"/>
        <v>65536</v>
      </c>
      <c r="C41" s="1">
        <f t="shared" si="12"/>
        <v>196608</v>
      </c>
      <c r="D41" s="9">
        <f>SUM($C$33:C41)</f>
        <v>262143</v>
      </c>
      <c r="E41" s="9">
        <f t="shared" si="13"/>
        <v>-2124366.1014527529</v>
      </c>
      <c r="F41" s="9">
        <f t="shared" si="14"/>
        <v>8.0580875065677537E-6</v>
      </c>
      <c r="G41" s="285">
        <f t="shared" si="16"/>
        <v>36365595.592458099</v>
      </c>
      <c r="O41" s="99">
        <v>9</v>
      </c>
      <c r="P41" s="93">
        <f t="shared" si="20"/>
        <v>19681</v>
      </c>
      <c r="Q41" s="1">
        <f t="shared" si="17"/>
        <v>59046</v>
      </c>
      <c r="R41" s="9">
        <f>SUM($Q$33:Q41)</f>
        <v>88542</v>
      </c>
      <c r="S41" s="280">
        <f t="shared" si="21"/>
        <v>-717530.59724970581</v>
      </c>
      <c r="T41" s="9">
        <f t="shared" si="18"/>
        <v>2.3857279406769567E-5</v>
      </c>
      <c r="U41" s="285">
        <f t="shared" si="19"/>
        <v>12282924.071775422</v>
      </c>
    </row>
    <row r="42" spans="1:21" ht="17" thickBot="1" x14ac:dyDescent="0.25">
      <c r="A42" s="145">
        <v>10</v>
      </c>
      <c r="B42" s="94">
        <f t="shared" si="15"/>
        <v>262144</v>
      </c>
      <c r="C42" s="111">
        <f t="shared" si="12"/>
        <v>786432</v>
      </c>
      <c r="D42" s="10">
        <f>SUM($C$33:C42)</f>
        <v>1048575</v>
      </c>
      <c r="E42" s="9">
        <f t="shared" si="13"/>
        <v>-8508910.2110760175</v>
      </c>
      <c r="F42" s="10">
        <f t="shared" si="14"/>
        <v>2.2561703668538155E-6</v>
      </c>
      <c r="G42" s="286">
        <f t="shared" si="16"/>
        <v>163350238.34801939</v>
      </c>
      <c r="O42" s="100">
        <v>10</v>
      </c>
      <c r="P42" s="94">
        <f t="shared" si="20"/>
        <v>59047</v>
      </c>
      <c r="Q42" s="111">
        <f t="shared" si="17"/>
        <v>177144</v>
      </c>
      <c r="R42" s="10">
        <f>SUM($Q$33:Q42)</f>
        <v>265686</v>
      </c>
      <c r="S42" s="281">
        <f t="shared" si="21"/>
        <v>-2155971.9794387072</v>
      </c>
      <c r="T42" s="10">
        <f t="shared" si="18"/>
        <v>8.9043601937013625E-6</v>
      </c>
      <c r="U42" s="286">
        <f t="shared" si="19"/>
        <v>41389382.186044745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3</v>
      </c>
      <c r="D45" s="57">
        <f>SUM(C45:C45)</f>
        <v>3</v>
      </c>
      <c r="E45" s="57">
        <f t="shared" ref="E45:E54" si="23">D45/R7</f>
        <v>-7.6846806333682025</v>
      </c>
      <c r="F45" s="8">
        <f t="shared" ref="F45:F54" si="24">U7/E45</f>
        <v>0.18835272664625785</v>
      </c>
      <c r="G45" s="284">
        <f>E45*U7</f>
        <v>11.123041521114317</v>
      </c>
      <c r="O45" s="101">
        <v>1</v>
      </c>
      <c r="P45" s="109">
        <v>1</v>
      </c>
      <c r="Q45" s="110">
        <f>P45*3+3</f>
        <v>6</v>
      </c>
      <c r="R45" s="57">
        <f>SUM($Q$21)</f>
        <v>6</v>
      </c>
      <c r="S45" s="279">
        <f>R45/R7</f>
        <v>-15.369361266736405</v>
      </c>
      <c r="T45" s="8">
        <f>U7/S45</f>
        <v>9.4176363323128925E-2</v>
      </c>
      <c r="U45" s="287">
        <f>S45*U7</f>
        <v>22.246083042228634</v>
      </c>
    </row>
    <row r="46" spans="1:21" x14ac:dyDescent="0.2">
      <c r="A46" s="97">
        <v>2</v>
      </c>
      <c r="B46" s="93">
        <f t="shared" ref="B46:B54" si="25">B45*$O$2*2</f>
        <v>6</v>
      </c>
      <c r="C46" s="1">
        <f t="shared" si="22"/>
        <v>18</v>
      </c>
      <c r="D46" s="9">
        <f>SUM($C$45:C46)</f>
        <v>21</v>
      </c>
      <c r="E46" s="9">
        <f t="shared" si="23"/>
        <v>-92.724152939989111</v>
      </c>
      <c r="F46" s="9">
        <f t="shared" si="24"/>
        <v>3.3577049890870882E-2</v>
      </c>
      <c r="G46" s="285">
        <f t="shared" ref="G46:G54" si="26">E46*U8</f>
        <v>288.68770316530924</v>
      </c>
      <c r="O46" s="99">
        <v>2</v>
      </c>
      <c r="P46" s="93">
        <f>Q45*2</f>
        <v>12</v>
      </c>
      <c r="Q46" s="1">
        <f t="shared" ref="Q46:Q54" si="27">P46*3+3</f>
        <v>39</v>
      </c>
      <c r="R46" s="9">
        <f>SUM($Q$45:Q46)</f>
        <v>45</v>
      </c>
      <c r="S46" s="280">
        <f t="shared" ref="S46:S54" si="28">R46/R8</f>
        <v>-198.6946134428338</v>
      </c>
      <c r="T46" s="9">
        <f t="shared" ref="T46:T54" si="29">U8/S46</f>
        <v>1.5669289949073077E-2</v>
      </c>
      <c r="U46" s="285">
        <f t="shared" ref="U46:U54" si="30">S46*U8</f>
        <v>618.61650678280546</v>
      </c>
    </row>
    <row r="47" spans="1:21" x14ac:dyDescent="0.2">
      <c r="A47" s="97">
        <v>3</v>
      </c>
      <c r="B47" s="93">
        <f t="shared" si="25"/>
        <v>36</v>
      </c>
      <c r="C47" s="1">
        <f t="shared" si="22"/>
        <v>108</v>
      </c>
      <c r="D47" s="9">
        <f>SUM($C$45:C47)</f>
        <v>129</v>
      </c>
      <c r="E47" s="9">
        <f t="shared" si="23"/>
        <v>-776.17197583401969</v>
      </c>
      <c r="F47" s="9">
        <f t="shared" si="24"/>
        <v>6.3647177950789356E-3</v>
      </c>
      <c r="G47" s="285">
        <f t="shared" si="26"/>
        <v>3834.3792757248784</v>
      </c>
      <c r="O47" s="99">
        <v>3</v>
      </c>
      <c r="P47" s="93">
        <f t="shared" ref="P47:P54" si="31">Q46*2</f>
        <v>78</v>
      </c>
      <c r="Q47" s="1">
        <f t="shared" si="27"/>
        <v>237</v>
      </c>
      <c r="R47" s="9">
        <f>SUM($Q$45:Q47)</f>
        <v>282</v>
      </c>
      <c r="S47" s="280">
        <f t="shared" si="28"/>
        <v>-1696.7480401952987</v>
      </c>
      <c r="T47" s="9">
        <f t="shared" si="29"/>
        <v>2.9115198424297262E-3</v>
      </c>
      <c r="U47" s="285">
        <f t="shared" si="30"/>
        <v>8382.1314399567091</v>
      </c>
    </row>
    <row r="48" spans="1:21" x14ac:dyDescent="0.2">
      <c r="A48" s="97">
        <v>4</v>
      </c>
      <c r="B48" s="93">
        <f t="shared" si="25"/>
        <v>216</v>
      </c>
      <c r="C48" s="1">
        <f t="shared" si="22"/>
        <v>648</v>
      </c>
      <c r="D48" s="9">
        <f>SUM($C$45:C48)</f>
        <v>777</v>
      </c>
      <c r="E48" s="9">
        <f t="shared" si="23"/>
        <v>-5487.2684185224543</v>
      </c>
      <c r="F48" s="9">
        <f t="shared" si="24"/>
        <v>1.2527261019417448E-3</v>
      </c>
      <c r="G48" s="285">
        <f t="shared" si="26"/>
        <v>37719.726613283812</v>
      </c>
      <c r="O48" s="99">
        <v>4</v>
      </c>
      <c r="P48" s="93">
        <f t="shared" si="31"/>
        <v>474</v>
      </c>
      <c r="Q48" s="1">
        <f t="shared" si="27"/>
        <v>1425</v>
      </c>
      <c r="R48" s="9">
        <f>SUM($Q$45:Q48)</f>
        <v>1707</v>
      </c>
      <c r="S48" s="280">
        <f t="shared" si="28"/>
        <v>-12055.041429109177</v>
      </c>
      <c r="T48" s="9">
        <f t="shared" si="29"/>
        <v>5.7022154728104024E-4</v>
      </c>
      <c r="U48" s="285">
        <f t="shared" si="30"/>
        <v>82866.889741152467</v>
      </c>
    </row>
    <row r="49" spans="1:21" x14ac:dyDescent="0.2">
      <c r="A49" s="97">
        <v>5</v>
      </c>
      <c r="B49" s="93">
        <f t="shared" si="25"/>
        <v>1296</v>
      </c>
      <c r="C49" s="1">
        <f t="shared" si="22"/>
        <v>3888</v>
      </c>
      <c r="D49" s="9">
        <f>SUM($C$45:C49)</f>
        <v>4665</v>
      </c>
      <c r="E49" s="9">
        <f t="shared" si="23"/>
        <v>-35572.92892135962</v>
      </c>
      <c r="F49" s="9">
        <f t="shared" si="24"/>
        <v>2.4946009082409408E-4</v>
      </c>
      <c r="G49" s="285">
        <f t="shared" si="26"/>
        <v>315675.09897595266</v>
      </c>
      <c r="O49" s="99">
        <v>5</v>
      </c>
      <c r="P49" s="93">
        <f t="shared" si="31"/>
        <v>2850</v>
      </c>
      <c r="Q49" s="1">
        <f t="shared" si="27"/>
        <v>8553</v>
      </c>
      <c r="R49" s="9">
        <f>SUM($Q$45:Q49)</f>
        <v>10260</v>
      </c>
      <c r="S49" s="280">
        <f t="shared" si="28"/>
        <v>-78237.567145369714</v>
      </c>
      <c r="T49" s="9">
        <f t="shared" si="29"/>
        <v>1.1342410562323576E-4</v>
      </c>
      <c r="U49" s="285">
        <f t="shared" si="30"/>
        <v>694282.2112525776</v>
      </c>
    </row>
    <row r="50" spans="1:21" x14ac:dyDescent="0.2">
      <c r="A50" s="97">
        <v>6</v>
      </c>
      <c r="B50" s="93">
        <f t="shared" si="25"/>
        <v>7776</v>
      </c>
      <c r="C50" s="1">
        <f t="shared" si="22"/>
        <v>23328</v>
      </c>
      <c r="D50" s="9">
        <f>SUM($C$45:C50)</f>
        <v>27993</v>
      </c>
      <c r="E50" s="9">
        <f t="shared" si="23"/>
        <v>-221091.99019518751</v>
      </c>
      <c r="F50" s="9">
        <f t="shared" si="24"/>
        <v>4.9356089913891301E-5</v>
      </c>
      <c r="G50" s="285">
        <f t="shared" si="26"/>
        <v>2412608.0072897053</v>
      </c>
      <c r="O50" s="99">
        <v>6</v>
      </c>
      <c r="P50" s="93">
        <f t="shared" si="31"/>
        <v>17106</v>
      </c>
      <c r="Q50" s="1">
        <f t="shared" si="27"/>
        <v>51321</v>
      </c>
      <c r="R50" s="9">
        <f>SUM($Q$45:Q50)</f>
        <v>61581</v>
      </c>
      <c r="S50" s="280">
        <f t="shared" si="28"/>
        <v>-486373.94520808203</v>
      </c>
      <c r="T50" s="9">
        <f t="shared" si="29"/>
        <v>2.2435897841210102E-5</v>
      </c>
      <c r="U50" s="285">
        <f t="shared" si="30"/>
        <v>5307427.3460117644</v>
      </c>
    </row>
    <row r="51" spans="1:21" x14ac:dyDescent="0.2">
      <c r="A51" s="97">
        <v>7</v>
      </c>
      <c r="B51" s="93">
        <f t="shared" si="25"/>
        <v>46656</v>
      </c>
      <c r="C51" s="1">
        <f t="shared" si="22"/>
        <v>139968</v>
      </c>
      <c r="D51" s="9">
        <f>SUM($C$45:C51)</f>
        <v>167961</v>
      </c>
      <c r="E51" s="9">
        <f t="shared" si="23"/>
        <v>-1347577.8111820293</v>
      </c>
      <c r="F51" s="9">
        <f t="shared" si="24"/>
        <v>9.6258119707968956E-6</v>
      </c>
      <c r="G51" s="285">
        <f t="shared" si="26"/>
        <v>17480146.849280581</v>
      </c>
      <c r="O51" s="99">
        <v>7</v>
      </c>
      <c r="P51" s="93">
        <f t="shared" si="31"/>
        <v>102642</v>
      </c>
      <c r="Q51" s="1">
        <f t="shared" si="27"/>
        <v>307929</v>
      </c>
      <c r="R51" s="9">
        <f>SUM($Q$45:Q51)</f>
        <v>369510</v>
      </c>
      <c r="S51" s="280">
        <f t="shared" si="28"/>
        <v>-2964637.4873326048</v>
      </c>
      <c r="T51" s="9">
        <f t="shared" si="29"/>
        <v>4.3754188098482243E-6</v>
      </c>
      <c r="U51" s="285">
        <f t="shared" si="30"/>
        <v>38455885.963275209</v>
      </c>
    </row>
    <row r="52" spans="1:21" x14ac:dyDescent="0.2">
      <c r="A52" s="97">
        <v>8</v>
      </c>
      <c r="B52" s="93">
        <f t="shared" si="25"/>
        <v>279936</v>
      </c>
      <c r="C52" s="1">
        <f t="shared" si="22"/>
        <v>839808</v>
      </c>
      <c r="D52" s="9">
        <f>SUM($C$45:C52)</f>
        <v>1007769</v>
      </c>
      <c r="E52" s="9">
        <f t="shared" si="23"/>
        <v>-8141865.071448436</v>
      </c>
      <c r="F52" s="9">
        <f t="shared" si="24"/>
        <v>1.8474923270930388E-6</v>
      </c>
      <c r="G52" s="285">
        <f t="shared" si="26"/>
        <v>122470205.10324107</v>
      </c>
      <c r="O52" s="99">
        <v>8</v>
      </c>
      <c r="P52" s="93">
        <f t="shared" si="31"/>
        <v>615858</v>
      </c>
      <c r="Q52" s="1">
        <f t="shared" si="27"/>
        <v>1847577</v>
      </c>
      <c r="R52" s="9">
        <f>SUM($Q$45:Q52)</f>
        <v>2217087</v>
      </c>
      <c r="S52" s="280">
        <f t="shared" si="28"/>
        <v>-17912064.377513494</v>
      </c>
      <c r="T52" s="9">
        <f t="shared" si="29"/>
        <v>8.3977105769066572E-7</v>
      </c>
      <c r="U52" s="285">
        <f t="shared" si="30"/>
        <v>269433867.90199882</v>
      </c>
    </row>
    <row r="53" spans="1:21" x14ac:dyDescent="0.2">
      <c r="A53" s="97">
        <v>9</v>
      </c>
      <c r="B53" s="93">
        <f t="shared" si="25"/>
        <v>1679616</v>
      </c>
      <c r="C53" s="1">
        <f t="shared" si="22"/>
        <v>5038848</v>
      </c>
      <c r="D53" s="9">
        <f>SUM($C$45:C53)</f>
        <v>6046617</v>
      </c>
      <c r="E53" s="9">
        <f t="shared" si="23"/>
        <v>-49000843.750426061</v>
      </c>
      <c r="F53" s="9">
        <f t="shared" si="24"/>
        <v>3.4934761590393288E-7</v>
      </c>
      <c r="G53" s="285">
        <f t="shared" si="26"/>
        <v>838812512.72962534</v>
      </c>
      <c r="O53" s="99">
        <v>9</v>
      </c>
      <c r="P53" s="93">
        <f t="shared" si="31"/>
        <v>3695154</v>
      </c>
      <c r="Q53" s="1">
        <f t="shared" si="27"/>
        <v>11085465</v>
      </c>
      <c r="R53" s="9">
        <f>SUM($Q$45:Q53)</f>
        <v>13302552</v>
      </c>
      <c r="S53" s="280">
        <f t="shared" si="28"/>
        <v>-107801812.49017718</v>
      </c>
      <c r="T53" s="9">
        <f t="shared" si="29"/>
        <v>1.5879443532595784E-7</v>
      </c>
      <c r="U53" s="285">
        <f t="shared" si="30"/>
        <v>1845386778.8941324</v>
      </c>
    </row>
    <row r="54" spans="1:21" ht="17" thickBot="1" x14ac:dyDescent="0.25">
      <c r="A54" s="145">
        <v>10</v>
      </c>
      <c r="B54" s="94">
        <f t="shared" si="25"/>
        <v>10077696</v>
      </c>
      <c r="C54" s="111">
        <f t="shared" si="22"/>
        <v>30233088</v>
      </c>
      <c r="D54" s="10">
        <f>SUM($C$45:C54)</f>
        <v>36279705</v>
      </c>
      <c r="E54" s="10">
        <f t="shared" si="23"/>
        <v>-294400259.71373111</v>
      </c>
      <c r="F54" s="10">
        <f t="shared" si="24"/>
        <v>6.5209015410233912E-8</v>
      </c>
      <c r="G54" s="286">
        <f t="shared" si="26"/>
        <v>5651764021.5967665</v>
      </c>
      <c r="O54" s="100">
        <v>10</v>
      </c>
      <c r="P54" s="94">
        <f t="shared" si="31"/>
        <v>22170930</v>
      </c>
      <c r="Q54" s="111">
        <f t="shared" si="27"/>
        <v>66512793</v>
      </c>
      <c r="R54" s="10">
        <f>SUM($Q$45:Q54)</f>
        <v>79815345</v>
      </c>
      <c r="S54" s="281">
        <f t="shared" si="28"/>
        <v>-647680522.68178725</v>
      </c>
      <c r="T54" s="10">
        <f t="shared" si="29"/>
        <v>2.9640463778283989E-8</v>
      </c>
      <c r="U54" s="286">
        <f t="shared" si="30"/>
        <v>12433879912.814434</v>
      </c>
    </row>
  </sheetData>
  <mergeCells count="2">
    <mergeCell ref="A18:F18"/>
    <mergeCell ref="O18:T18"/>
  </mergeCells>
  <conditionalFormatting sqref="F45:F54">
    <cfRule type="cellIs" dxfId="535" priority="51" operator="equal">
      <formula>MAX($F$45:$F$54)</formula>
    </cfRule>
  </conditionalFormatting>
  <conditionalFormatting sqref="F21:F30">
    <cfRule type="cellIs" dxfId="534" priority="49" operator="equal">
      <formula>MAX($F$21:$F$30)</formula>
    </cfRule>
  </conditionalFormatting>
  <conditionalFormatting sqref="F33:F42">
    <cfRule type="cellIs" dxfId="533" priority="26" operator="lessThanOrEqual">
      <formula>0</formula>
    </cfRule>
    <cfRule type="cellIs" dxfId="532" priority="47" operator="equal">
      <formula>MAX($F$33:$F$42)</formula>
    </cfRule>
  </conditionalFormatting>
  <conditionalFormatting sqref="E33:E42">
    <cfRule type="cellIs" dxfId="531" priority="45" stopIfTrue="1" operator="lessThan">
      <formula>0</formula>
    </cfRule>
    <cfRule type="cellIs" dxfId="530" priority="46" operator="equal">
      <formula>MIN($E$33:$E$42)</formula>
    </cfRule>
  </conditionalFormatting>
  <conditionalFormatting sqref="E21:E30">
    <cfRule type="cellIs" dxfId="529" priority="41" stopIfTrue="1" operator="lessThan">
      <formula>0</formula>
    </cfRule>
    <cfRule type="cellIs" dxfId="528" priority="42" operator="equal">
      <formula>MIN($E$21:$E$30)</formula>
    </cfRule>
  </conditionalFormatting>
  <conditionalFormatting sqref="E45:E54">
    <cfRule type="cellIs" dxfId="527" priority="37" stopIfTrue="1" operator="lessThan">
      <formula>0</formula>
    </cfRule>
    <cfRule type="cellIs" dxfId="526" priority="38" operator="equal">
      <formula>MIN($E$45:$E$54)</formula>
    </cfRule>
  </conditionalFormatting>
  <conditionalFormatting sqref="R7:R16">
    <cfRule type="cellIs" dxfId="525" priority="19" operator="lessThanOrEqual">
      <formula>0</formula>
    </cfRule>
    <cfRule type="cellIs" dxfId="524" priority="20" operator="greaterThan">
      <formula>0</formula>
    </cfRule>
  </conditionalFormatting>
  <conditionalFormatting sqref="S7:T16">
    <cfRule type="cellIs" dxfId="523" priority="13" operator="lessThanOrEqual">
      <formula>0</formula>
    </cfRule>
    <cfRule type="cellIs" dxfId="522" priority="14" operator="greaterThan">
      <formula>0</formula>
    </cfRule>
  </conditionalFormatting>
  <conditionalFormatting sqref="U7:U16">
    <cfRule type="cellIs" dxfId="521" priority="15" operator="lessThanOrEqual">
      <formula>0</formula>
    </cfRule>
    <cfRule type="cellIs" dxfId="520" priority="16" operator="greaterThan">
      <formula>0</formula>
    </cfRule>
  </conditionalFormatting>
  <conditionalFormatting sqref="T21:T30">
    <cfRule type="cellIs" dxfId="519" priority="9" operator="equal">
      <formula>MAX($T$21:$T$30)</formula>
    </cfRule>
  </conditionalFormatting>
  <conditionalFormatting sqref="S33:S42">
    <cfRule type="cellIs" dxfId="518" priority="7" stopIfTrue="1" operator="lessThan">
      <formula>0</formula>
    </cfRule>
    <cfRule type="cellIs" dxfId="517" priority="8" operator="equal">
      <formula>MIN($E$21:$E$30)</formula>
    </cfRule>
  </conditionalFormatting>
  <conditionalFormatting sqref="T33:T42">
    <cfRule type="cellIs" dxfId="516" priority="6" operator="equal">
      <formula>MAX($T$21:$T$30)</formula>
    </cfRule>
  </conditionalFormatting>
  <conditionalFormatting sqref="S45:S54">
    <cfRule type="cellIs" dxfId="515" priority="4" stopIfTrue="1" operator="lessThan">
      <formula>0</formula>
    </cfRule>
    <cfRule type="cellIs" dxfId="514" priority="5" operator="equal">
      <formula>MIN($E$21:$E$30)</formula>
    </cfRule>
  </conditionalFormatting>
  <conditionalFormatting sqref="T45:T54">
    <cfRule type="cellIs" dxfId="513" priority="3" operator="equal">
      <formula>MAX($T$21:$T$30)</formula>
    </cfRule>
  </conditionalFormatting>
  <conditionalFormatting sqref="S21:S30">
    <cfRule type="cellIs" dxfId="512" priority="1" stopIfTrue="1" operator="lessThan">
      <formula>0</formula>
    </cfRule>
    <cfRule type="cellIs" dxfId="51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IF(Rules!$B$10=Rules!$F$10,Dealer!B14-SUM(Dealer!B15:B19),Dealer!B3-SUM(Dealer!B4:B8))</f>
        <v>-0.66695077468551034</v>
      </c>
      <c r="C2">
        <f>IF(Rules!$B$10=Rules!$F$10,Dealer!C14-SUM(Dealer!C15:C19),Dealer!C3-SUM(Dealer!C4:C8))</f>
        <v>-0.29278372720927726</v>
      </c>
      <c r="D2">
        <f>IF(Rules!$B$10=Rules!$F$10,Dealer!D14-SUM(Dealer!D15:D19),Dealer!D3-SUM(Dealer!D4:D8))</f>
        <v>-0.2522502292357135</v>
      </c>
      <c r="E2">
        <f>IF(Rules!$B$10=Rules!$F$10,Dealer!E14-SUM(Dealer!E15:E19),Dealer!E3-SUM(Dealer!E4:E8))</f>
        <v>-0.21106310899491437</v>
      </c>
      <c r="F2">
        <f>IF(Rules!$B$10=Rules!$F$10,Dealer!F14-SUM(Dealer!F15:F19),Dealer!F3-SUM(Dealer!F4:F8))</f>
        <v>-0.16719266083547524</v>
      </c>
      <c r="G2">
        <f>IF(Rules!$B$10=Rules!$F$10,Dealer!G14-SUM(Dealer!G15:G19),Dealer!G3-SUM(Dealer!G4:G8))</f>
        <v>-0.1536990158300045</v>
      </c>
      <c r="H2">
        <f>IF(Rules!$B$10=Rules!$F$10,Dealer!H14-SUM(Dealer!H15:H19),Dealer!H3-SUM(Dealer!H4:H8))</f>
        <v>-0.47537518327693323</v>
      </c>
      <c r="I2">
        <f>IF(Rules!$B$10=Rules!$F$10,Dealer!I14-SUM(Dealer!I15:I19),Dealer!I3-SUM(Dealer!I4:I8))</f>
        <v>-0.51051751549761715</v>
      </c>
      <c r="J2">
        <f>IF(Rules!$B$10=Rules!$F$10,Dealer!J14-SUM(Dealer!J15:J19),Dealer!J3-SUM(Dealer!J4:J8))</f>
        <v>-0.5431496811311094</v>
      </c>
      <c r="K2">
        <f>IF(Rules!$B$10=Rules!$F$10,Dealer!K14-SUM(Dealer!K15:K19),Dealer!K3-SUM(Dealer!K4:K8))</f>
        <v>-0.54043033399498497</v>
      </c>
    </row>
    <row r="3" spans="1:11" x14ac:dyDescent="0.2">
      <c r="A3">
        <v>3</v>
      </c>
      <c r="B3">
        <f>B2</f>
        <v>-0.66695077468551034</v>
      </c>
      <c r="C3">
        <f t="shared" ref="C3:K16" si="0">C2</f>
        <v>-0.29278372720927726</v>
      </c>
      <c r="D3">
        <f t="shared" si="0"/>
        <v>-0.2522502292357135</v>
      </c>
      <c r="E3">
        <f t="shared" si="0"/>
        <v>-0.21106310899491437</v>
      </c>
      <c r="F3">
        <f t="shared" si="0"/>
        <v>-0.16719266083547524</v>
      </c>
      <c r="G3">
        <f t="shared" si="0"/>
        <v>-0.1536990158300045</v>
      </c>
      <c r="H3">
        <f t="shared" si="0"/>
        <v>-0.47537518327693323</v>
      </c>
      <c r="I3">
        <f t="shared" si="0"/>
        <v>-0.51051751549761715</v>
      </c>
      <c r="J3">
        <f t="shared" si="0"/>
        <v>-0.5431496811311094</v>
      </c>
      <c r="K3">
        <f t="shared" si="0"/>
        <v>-0.54043033399498497</v>
      </c>
    </row>
    <row r="4" spans="1:11" x14ac:dyDescent="0.2">
      <c r="A4">
        <v>4</v>
      </c>
      <c r="B4">
        <f t="shared" ref="B4:B16" si="1">B3</f>
        <v>-0.66695077468551034</v>
      </c>
      <c r="C4">
        <f t="shared" si="0"/>
        <v>-0.29278372720927726</v>
      </c>
      <c r="D4">
        <f t="shared" si="0"/>
        <v>-0.2522502292357135</v>
      </c>
      <c r="E4">
        <f t="shared" si="0"/>
        <v>-0.21106310899491437</v>
      </c>
      <c r="F4">
        <f t="shared" si="0"/>
        <v>-0.16719266083547524</v>
      </c>
      <c r="G4">
        <f t="shared" si="0"/>
        <v>-0.1536990158300045</v>
      </c>
      <c r="H4">
        <f t="shared" si="0"/>
        <v>-0.47537518327693323</v>
      </c>
      <c r="I4">
        <f t="shared" si="0"/>
        <v>-0.51051751549761715</v>
      </c>
      <c r="J4">
        <f t="shared" si="0"/>
        <v>-0.5431496811311094</v>
      </c>
      <c r="K4">
        <f t="shared" si="0"/>
        <v>-0.54043033399498497</v>
      </c>
    </row>
    <row r="5" spans="1:11" x14ac:dyDescent="0.2">
      <c r="A5">
        <v>5</v>
      </c>
      <c r="B5">
        <f t="shared" si="1"/>
        <v>-0.66695077468551034</v>
      </c>
      <c r="C5">
        <f t="shared" si="0"/>
        <v>-0.29278372720927726</v>
      </c>
      <c r="D5">
        <f t="shared" si="0"/>
        <v>-0.2522502292357135</v>
      </c>
      <c r="E5">
        <f t="shared" si="0"/>
        <v>-0.21106310899491437</v>
      </c>
      <c r="F5">
        <f t="shared" si="0"/>
        <v>-0.16719266083547524</v>
      </c>
      <c r="G5">
        <f t="shared" si="0"/>
        <v>-0.1536990158300045</v>
      </c>
      <c r="H5">
        <f t="shared" si="0"/>
        <v>-0.47537518327693323</v>
      </c>
      <c r="I5">
        <f t="shared" si="0"/>
        <v>-0.51051751549761715</v>
      </c>
      <c r="J5">
        <f t="shared" si="0"/>
        <v>-0.5431496811311094</v>
      </c>
      <c r="K5">
        <f t="shared" si="0"/>
        <v>-0.54043033399498497</v>
      </c>
    </row>
    <row r="6" spans="1:11" x14ac:dyDescent="0.2">
      <c r="A6">
        <v>6</v>
      </c>
      <c r="B6">
        <f t="shared" si="1"/>
        <v>-0.66695077468551034</v>
      </c>
      <c r="C6">
        <f t="shared" si="0"/>
        <v>-0.29278372720927726</v>
      </c>
      <c r="D6">
        <f t="shared" si="0"/>
        <v>-0.2522502292357135</v>
      </c>
      <c r="E6">
        <f t="shared" si="0"/>
        <v>-0.21106310899491437</v>
      </c>
      <c r="F6">
        <f t="shared" si="0"/>
        <v>-0.16719266083547524</v>
      </c>
      <c r="G6">
        <f t="shared" si="0"/>
        <v>-0.1536990158300045</v>
      </c>
      <c r="H6">
        <f t="shared" si="0"/>
        <v>-0.47537518327693323</v>
      </c>
      <c r="I6">
        <f t="shared" si="0"/>
        <v>-0.51051751549761715</v>
      </c>
      <c r="J6">
        <f t="shared" si="0"/>
        <v>-0.5431496811311094</v>
      </c>
      <c r="K6">
        <f t="shared" si="0"/>
        <v>-0.54043033399498497</v>
      </c>
    </row>
    <row r="7" spans="1:11" x14ac:dyDescent="0.2">
      <c r="A7">
        <v>7</v>
      </c>
      <c r="B7">
        <f t="shared" si="1"/>
        <v>-0.66695077468551034</v>
      </c>
      <c r="C7">
        <f t="shared" si="0"/>
        <v>-0.29278372720927726</v>
      </c>
      <c r="D7">
        <f t="shared" si="0"/>
        <v>-0.2522502292357135</v>
      </c>
      <c r="E7">
        <f t="shared" si="0"/>
        <v>-0.21106310899491437</v>
      </c>
      <c r="F7">
        <f t="shared" si="0"/>
        <v>-0.16719266083547524</v>
      </c>
      <c r="G7">
        <f t="shared" si="0"/>
        <v>-0.1536990158300045</v>
      </c>
      <c r="H7">
        <f t="shared" si="0"/>
        <v>-0.47537518327693323</v>
      </c>
      <c r="I7">
        <f t="shared" si="0"/>
        <v>-0.51051751549761715</v>
      </c>
      <c r="J7">
        <f t="shared" si="0"/>
        <v>-0.5431496811311094</v>
      </c>
      <c r="K7">
        <f t="shared" si="0"/>
        <v>-0.54043033399498497</v>
      </c>
    </row>
    <row r="8" spans="1:11" x14ac:dyDescent="0.2">
      <c r="A8">
        <v>8</v>
      </c>
      <c r="B8">
        <f t="shared" si="1"/>
        <v>-0.66695077468551034</v>
      </c>
      <c r="C8">
        <f t="shared" si="0"/>
        <v>-0.29278372720927726</v>
      </c>
      <c r="D8">
        <f t="shared" si="0"/>
        <v>-0.2522502292357135</v>
      </c>
      <c r="E8">
        <f t="shared" si="0"/>
        <v>-0.21106310899491437</v>
      </c>
      <c r="F8">
        <f t="shared" si="0"/>
        <v>-0.16719266083547524</v>
      </c>
      <c r="G8">
        <f t="shared" si="0"/>
        <v>-0.1536990158300045</v>
      </c>
      <c r="H8">
        <f t="shared" si="0"/>
        <v>-0.47537518327693323</v>
      </c>
      <c r="I8">
        <f t="shared" si="0"/>
        <v>-0.51051751549761715</v>
      </c>
      <c r="J8">
        <f t="shared" si="0"/>
        <v>-0.5431496811311094</v>
      </c>
      <c r="K8">
        <f t="shared" si="0"/>
        <v>-0.54043033399498497</v>
      </c>
    </row>
    <row r="9" spans="1:11" x14ac:dyDescent="0.2">
      <c r="A9">
        <v>9</v>
      </c>
      <c r="B9">
        <f t="shared" si="1"/>
        <v>-0.66695077468551034</v>
      </c>
      <c r="C9">
        <f t="shared" si="0"/>
        <v>-0.29278372720927726</v>
      </c>
      <c r="D9">
        <f t="shared" si="0"/>
        <v>-0.2522502292357135</v>
      </c>
      <c r="E9">
        <f t="shared" si="0"/>
        <v>-0.21106310899491437</v>
      </c>
      <c r="F9">
        <f t="shared" si="0"/>
        <v>-0.16719266083547524</v>
      </c>
      <c r="G9">
        <f t="shared" si="0"/>
        <v>-0.1536990158300045</v>
      </c>
      <c r="H9">
        <f t="shared" si="0"/>
        <v>-0.47537518327693323</v>
      </c>
      <c r="I9">
        <f t="shared" si="0"/>
        <v>-0.51051751549761715</v>
      </c>
      <c r="J9">
        <f t="shared" si="0"/>
        <v>-0.5431496811311094</v>
      </c>
      <c r="K9">
        <f t="shared" si="0"/>
        <v>-0.54043033399498497</v>
      </c>
    </row>
    <row r="10" spans="1:11" x14ac:dyDescent="0.2">
      <c r="A10">
        <v>10</v>
      </c>
      <c r="B10">
        <f t="shared" si="1"/>
        <v>-0.66695077468551034</v>
      </c>
      <c r="C10">
        <f t="shared" si="0"/>
        <v>-0.29278372720927726</v>
      </c>
      <c r="D10">
        <f t="shared" si="0"/>
        <v>-0.2522502292357135</v>
      </c>
      <c r="E10">
        <f t="shared" si="0"/>
        <v>-0.21106310899491437</v>
      </c>
      <c r="F10">
        <f t="shared" si="0"/>
        <v>-0.16719266083547524</v>
      </c>
      <c r="G10">
        <f t="shared" si="0"/>
        <v>-0.1536990158300045</v>
      </c>
      <c r="H10">
        <f t="shared" si="0"/>
        <v>-0.47537518327693323</v>
      </c>
      <c r="I10">
        <f t="shared" si="0"/>
        <v>-0.51051751549761715</v>
      </c>
      <c r="J10">
        <f t="shared" si="0"/>
        <v>-0.5431496811311094</v>
      </c>
      <c r="K10">
        <f t="shared" si="0"/>
        <v>-0.54043033399498497</v>
      </c>
    </row>
    <row r="11" spans="1:11" x14ac:dyDescent="0.2">
      <c r="A11">
        <v>11</v>
      </c>
      <c r="B11">
        <f t="shared" si="1"/>
        <v>-0.66695077468551034</v>
      </c>
      <c r="C11">
        <f t="shared" si="0"/>
        <v>-0.29278372720927726</v>
      </c>
      <c r="D11">
        <f t="shared" si="0"/>
        <v>-0.2522502292357135</v>
      </c>
      <c r="E11">
        <f t="shared" si="0"/>
        <v>-0.21106310899491437</v>
      </c>
      <c r="F11">
        <f t="shared" si="0"/>
        <v>-0.16719266083547524</v>
      </c>
      <c r="G11">
        <f t="shared" si="0"/>
        <v>-0.1536990158300045</v>
      </c>
      <c r="H11">
        <f t="shared" si="0"/>
        <v>-0.47537518327693323</v>
      </c>
      <c r="I11">
        <f t="shared" si="0"/>
        <v>-0.51051751549761715</v>
      </c>
      <c r="J11">
        <f t="shared" si="0"/>
        <v>-0.5431496811311094</v>
      </c>
      <c r="K11">
        <f t="shared" si="0"/>
        <v>-0.54043033399498497</v>
      </c>
    </row>
    <row r="12" spans="1:11" x14ac:dyDescent="0.2">
      <c r="A12">
        <v>12</v>
      </c>
      <c r="B12">
        <f t="shared" si="1"/>
        <v>-0.66695077468551034</v>
      </c>
      <c r="C12">
        <f t="shared" si="0"/>
        <v>-0.29278372720927726</v>
      </c>
      <c r="D12">
        <f t="shared" si="0"/>
        <v>-0.2522502292357135</v>
      </c>
      <c r="E12">
        <f t="shared" si="0"/>
        <v>-0.21106310899491437</v>
      </c>
      <c r="F12">
        <f t="shared" si="0"/>
        <v>-0.16719266083547524</v>
      </c>
      <c r="G12">
        <f t="shared" si="0"/>
        <v>-0.1536990158300045</v>
      </c>
      <c r="H12">
        <f t="shared" si="0"/>
        <v>-0.47537518327693323</v>
      </c>
      <c r="I12">
        <f t="shared" si="0"/>
        <v>-0.51051751549761715</v>
      </c>
      <c r="J12">
        <f t="shared" si="0"/>
        <v>-0.5431496811311094</v>
      </c>
      <c r="K12">
        <f t="shared" si="0"/>
        <v>-0.54043033399498497</v>
      </c>
    </row>
    <row r="13" spans="1:11" x14ac:dyDescent="0.2">
      <c r="A13">
        <v>13</v>
      </c>
      <c r="B13">
        <f t="shared" si="1"/>
        <v>-0.66695077468551034</v>
      </c>
      <c r="C13">
        <f t="shared" si="0"/>
        <v>-0.29278372720927726</v>
      </c>
      <c r="D13">
        <f t="shared" si="0"/>
        <v>-0.2522502292357135</v>
      </c>
      <c r="E13">
        <f t="shared" si="0"/>
        <v>-0.21106310899491437</v>
      </c>
      <c r="F13">
        <f t="shared" si="0"/>
        <v>-0.16719266083547524</v>
      </c>
      <c r="G13">
        <f t="shared" si="0"/>
        <v>-0.1536990158300045</v>
      </c>
      <c r="H13">
        <f t="shared" si="0"/>
        <v>-0.47537518327693323</v>
      </c>
      <c r="I13">
        <f t="shared" si="0"/>
        <v>-0.51051751549761715</v>
      </c>
      <c r="J13">
        <f t="shared" si="0"/>
        <v>-0.5431496811311094</v>
      </c>
      <c r="K13">
        <f t="shared" si="0"/>
        <v>-0.54043033399498497</v>
      </c>
    </row>
    <row r="14" spans="1:11" x14ac:dyDescent="0.2">
      <c r="A14">
        <v>14</v>
      </c>
      <c r="B14">
        <f t="shared" si="1"/>
        <v>-0.66695077468551034</v>
      </c>
      <c r="C14">
        <f t="shared" si="0"/>
        <v>-0.29278372720927726</v>
      </c>
      <c r="D14">
        <f t="shared" si="0"/>
        <v>-0.2522502292357135</v>
      </c>
      <c r="E14">
        <f t="shared" si="0"/>
        <v>-0.21106310899491437</v>
      </c>
      <c r="F14">
        <f t="shared" si="0"/>
        <v>-0.16719266083547524</v>
      </c>
      <c r="G14">
        <f t="shared" si="0"/>
        <v>-0.1536990158300045</v>
      </c>
      <c r="H14">
        <f t="shared" si="0"/>
        <v>-0.47537518327693323</v>
      </c>
      <c r="I14">
        <f t="shared" si="0"/>
        <v>-0.51051751549761715</v>
      </c>
      <c r="J14">
        <f t="shared" si="0"/>
        <v>-0.5431496811311094</v>
      </c>
      <c r="K14">
        <f t="shared" si="0"/>
        <v>-0.54043033399498497</v>
      </c>
    </row>
    <row r="15" spans="1:11" x14ac:dyDescent="0.2">
      <c r="A15">
        <v>15</v>
      </c>
      <c r="B15">
        <f t="shared" si="1"/>
        <v>-0.66695077468551034</v>
      </c>
      <c r="C15">
        <f t="shared" si="0"/>
        <v>-0.29278372720927726</v>
      </c>
      <c r="D15">
        <f t="shared" si="0"/>
        <v>-0.2522502292357135</v>
      </c>
      <c r="E15">
        <f t="shared" si="0"/>
        <v>-0.21106310899491437</v>
      </c>
      <c r="F15">
        <f t="shared" si="0"/>
        <v>-0.16719266083547524</v>
      </c>
      <c r="G15">
        <f t="shared" si="0"/>
        <v>-0.1536990158300045</v>
      </c>
      <c r="H15">
        <f t="shared" si="0"/>
        <v>-0.47537518327693323</v>
      </c>
      <c r="I15">
        <f t="shared" si="0"/>
        <v>-0.51051751549761715</v>
      </c>
      <c r="J15">
        <f t="shared" si="0"/>
        <v>-0.5431496811311094</v>
      </c>
      <c r="K15">
        <f t="shared" si="0"/>
        <v>-0.54043033399498497</v>
      </c>
    </row>
    <row r="16" spans="1:11" x14ac:dyDescent="0.2">
      <c r="A16">
        <v>16</v>
      </c>
      <c r="B16">
        <f t="shared" si="1"/>
        <v>-0.66695077468551034</v>
      </c>
      <c r="C16">
        <f t="shared" si="0"/>
        <v>-0.29278372720927726</v>
      </c>
      <c r="D16">
        <f t="shared" si="0"/>
        <v>-0.2522502292357135</v>
      </c>
      <c r="E16">
        <f t="shared" si="0"/>
        <v>-0.21106310899491437</v>
      </c>
      <c r="F16">
        <f t="shared" si="0"/>
        <v>-0.16719266083547524</v>
      </c>
      <c r="G16">
        <f t="shared" si="0"/>
        <v>-0.1536990158300045</v>
      </c>
      <c r="H16">
        <f t="shared" si="0"/>
        <v>-0.47537518327693323</v>
      </c>
      <c r="I16">
        <f t="shared" si="0"/>
        <v>-0.51051751549761715</v>
      </c>
      <c r="J16">
        <f t="shared" si="0"/>
        <v>-0.5431496811311094</v>
      </c>
      <c r="K16">
        <f t="shared" si="0"/>
        <v>-0.54043033399498497</v>
      </c>
    </row>
    <row r="17" spans="1:11" x14ac:dyDescent="0.2">
      <c r="A17">
        <v>17</v>
      </c>
      <c r="B17">
        <f>IF(Rules!$B$10=Rules!$F$10,Dealer!B14-SUM(Dealer!B16:B19),Dealer!B3-SUM(Dealer!B5:B8))</f>
        <v>-0.47803347499473703</v>
      </c>
      <c r="C17">
        <f>IF(Rules!$B$10=Rules!$F$10,Dealer!C14-SUM(Dealer!C16:C19),Dealer!C3-SUM(Dealer!C5:C8))</f>
        <v>-0.15297458768154204</v>
      </c>
      <c r="D17">
        <f>IF(Rules!$B$10=Rules!$F$10,Dealer!D14-SUM(Dealer!D16:D19),Dealer!D3-SUM(Dealer!D5:D8))</f>
        <v>-0.11721624142457365</v>
      </c>
      <c r="E17">
        <f>IF(Rules!$B$10=Rules!$F$10,Dealer!E14-SUM(Dealer!E16:E19),Dealer!E3-SUM(Dealer!E5:E8))</f>
        <v>-8.0573373145316152E-2</v>
      </c>
      <c r="F17">
        <f>IF(Rules!$B$10=Rules!$F$10,Dealer!F14-SUM(Dealer!F16:F19),Dealer!F3-SUM(Dealer!F5:F8))</f>
        <v>-4.4941375564924446E-2</v>
      </c>
      <c r="G17">
        <f>IF(Rules!$B$10=Rules!$F$10,Dealer!G14-SUM(Dealer!G16:G19),Dealer!G3-SUM(Dealer!G5:G8))</f>
        <v>1.1739160673341853E-2</v>
      </c>
      <c r="H17">
        <f>IF(Rules!$B$10=Rules!$F$10,Dealer!H14-SUM(Dealer!H16:H19),Dealer!H3-SUM(Dealer!H5:H8))</f>
        <v>-0.10680898948269468</v>
      </c>
      <c r="I17">
        <f>IF(Rules!$B$10=Rules!$F$10,Dealer!I14-SUM(Dealer!I16:I19),Dealer!I3-SUM(Dealer!I5:I8))</f>
        <v>-0.38195097104844711</v>
      </c>
      <c r="J17">
        <f>IF(Rules!$B$10=Rules!$F$10,Dealer!J14-SUM(Dealer!J16:J19),Dealer!J3-SUM(Dealer!J5:J8))</f>
        <v>-0.42315423964521737</v>
      </c>
      <c r="K17">
        <f>IF(Rules!$B$10=Rules!$F$10,Dealer!K14-SUM(Dealer!K16:K19),Dealer!K3-SUM(Dealer!K5:K8))</f>
        <v>-0.41972063392881986</v>
      </c>
    </row>
    <row r="18" spans="1:11" x14ac:dyDescent="0.2">
      <c r="A18">
        <v>18</v>
      </c>
      <c r="B18">
        <f>IF(Rules!$B$10=Rules!$F$10,Dealer!B14+Dealer!B15-SUM(Dealer!B17:B19),SUM(Dealer!B3:B4)-SUM(Dealer!B6:B8))</f>
        <v>-0.10019887561319057</v>
      </c>
      <c r="C18">
        <f>IF(Rules!$B$10=Rules!$F$10,Dealer!C14+Dealer!C15-SUM(Dealer!C17:C19),SUM(Dealer!C3:C4)-SUM(Dealer!C6:C8))</f>
        <v>0.12174190222088771</v>
      </c>
      <c r="D18">
        <f>IF(Rules!$B$10=Rules!$F$10,Dealer!D14+Dealer!D15-SUM(Dealer!D17:D19),SUM(Dealer!D3:D4)-SUM(Dealer!D6:D8))</f>
        <v>0.14830007284131119</v>
      </c>
      <c r="E18">
        <f>IF(Rules!$B$10=Rules!$F$10,Dealer!E14+Dealer!E15-SUM(Dealer!E17:E19),SUM(Dealer!E3:E4)-SUM(Dealer!E6:E8))</f>
        <v>0.17585443719748528</v>
      </c>
      <c r="F18">
        <f>IF(Rules!$B$10=Rules!$F$10,Dealer!F14+Dealer!F15-SUM(Dealer!F17:F19),SUM(Dealer!F3:F4)-SUM(Dealer!F6:F8))</f>
        <v>0.19956119497617719</v>
      </c>
      <c r="G18">
        <f>IF(Rules!$B$10=Rules!$F$10,Dealer!G14+Dealer!G15-SUM(Dealer!G17:G19),SUM(Dealer!G3:G4)-SUM(Dealer!G6:G8))</f>
        <v>0.28344391604689856</v>
      </c>
      <c r="H18">
        <f>IF(Rules!$B$10=Rules!$F$10,Dealer!H14+Dealer!H15-SUM(Dealer!H17:H19),SUM(Dealer!H3:H4)-SUM(Dealer!H6:H8))</f>
        <v>0.3995541673365518</v>
      </c>
      <c r="I18">
        <f>IF(Rules!$B$10=Rules!$F$10,Dealer!I14+Dealer!I15-SUM(Dealer!I17:I19),SUM(Dealer!I3:I4)-SUM(Dealer!I6:I8))</f>
        <v>0.10595134861912359</v>
      </c>
      <c r="J18">
        <f>IF(Rules!$B$10=Rules!$F$10,Dealer!J14+Dealer!J15-SUM(Dealer!J17:J19),SUM(Dealer!J3:J4)-SUM(Dealer!J6:J8))</f>
        <v>-0.18316335667343331</v>
      </c>
      <c r="K18">
        <f>IF(Rules!$B$10=Rules!$F$10,Dealer!K14+Dealer!K15-SUM(Dealer!K17:K19),SUM(Dealer!K3:K4)-SUM(Dealer!K6:K8))</f>
        <v>-0.17830123379648949</v>
      </c>
    </row>
    <row r="19" spans="1:11" x14ac:dyDescent="0.2">
      <c r="A19">
        <v>19</v>
      </c>
      <c r="B19">
        <f>IF(Rules!$B$10=Rules!$F$10,SUM(Dealer!B14:B16)-Dealer!B18-Dealer!B19,SUM(Dealer!B3:B5)-SUM(Dealer!B7:B8))</f>
        <v>0.27763572376835594</v>
      </c>
      <c r="C19">
        <f>IF(Rules!$B$10=Rules!$F$10,SUM(Dealer!C14:C16)-Dealer!C18-Dealer!C19,SUM(Dealer!C3:C5)-SUM(Dealer!C7:C8))</f>
        <v>0.38630468602058993</v>
      </c>
      <c r="D19">
        <f>IF(Rules!$B$10=Rules!$F$10,SUM(Dealer!D14:D16)-Dealer!D18-Dealer!D19,SUM(Dealer!D3:D5)-SUM(Dealer!D7:D8))</f>
        <v>0.4043629365977599</v>
      </c>
      <c r="E19">
        <f>IF(Rules!$B$10=Rules!$F$10,SUM(Dealer!E14:E16)-Dealer!E18-Dealer!E19,SUM(Dealer!E3:E5)-SUM(Dealer!E7:E8))</f>
        <v>0.42317892482749653</v>
      </c>
      <c r="F19">
        <f>IF(Rules!$B$10=Rules!$F$10,SUM(Dealer!F14:F16)-Dealer!F18-Dealer!F19,SUM(Dealer!F3:F5)-SUM(Dealer!F7:F8))</f>
        <v>0.43951210416088371</v>
      </c>
      <c r="G19">
        <f>IF(Rules!$B$10=Rules!$F$10,SUM(Dealer!G14:G16)-Dealer!G18-Dealer!G19,SUM(Dealer!G3:G5)-SUM(Dealer!G7:G8))</f>
        <v>0.49597707378731914</v>
      </c>
      <c r="H19">
        <f>IF(Rules!$B$10=Rules!$F$10,SUM(Dealer!H14:H16)-Dealer!H18-Dealer!H19,SUM(Dealer!H3:H5)-SUM(Dealer!H7:H8))</f>
        <v>0.6159764957534315</v>
      </c>
      <c r="I19">
        <f>IF(Rules!$B$10=Rules!$F$10,SUM(Dealer!I14:I16)-Dealer!I18-Dealer!I19,SUM(Dealer!I3:I5)-SUM(Dealer!I7:I8))</f>
        <v>0.59385366828669439</v>
      </c>
      <c r="J19">
        <f>IF(Rules!$B$10=Rules!$F$10,SUM(Dealer!J14:J16)-Dealer!J18-Dealer!J19,SUM(Dealer!J3:J5)-SUM(Dealer!J7:J8))</f>
        <v>0.28759675706758148</v>
      </c>
      <c r="K19">
        <f>IF(Rules!$B$10=Rules!$F$10,SUM(Dealer!K14:K16)-Dealer!K18-Dealer!K19,SUM(Dealer!K3:K5)-SUM(Dealer!K7:K8))</f>
        <v>6.3118166335840831E-2</v>
      </c>
    </row>
    <row r="20" spans="1:11" x14ac:dyDescent="0.2">
      <c r="A20">
        <v>20</v>
      </c>
      <c r="B20">
        <f>IF(Rules!$B$10=Rules!$F$10,SUM(Dealer!B14:B17)-Dealer!B19,SUM(Dealer!B3:B6)-Dealer!B8)</f>
        <v>0.65547032314990239</v>
      </c>
      <c r="C20">
        <f>IF(Rules!$B$10=Rules!$F$10,SUM(Dealer!C14:C17)-Dealer!C19,SUM(Dealer!C3:C6)-Dealer!C8)</f>
        <v>0.63998657521683877</v>
      </c>
      <c r="D20">
        <f>IF(Rules!$B$10=Rules!$F$10,SUM(Dealer!D14:D17)-Dealer!D19,SUM(Dealer!D3:D6)-Dealer!D8)</f>
        <v>0.65027209425148136</v>
      </c>
      <c r="E20">
        <f>IF(Rules!$B$10=Rules!$F$10,SUM(Dealer!E14:E17)-Dealer!E19,SUM(Dealer!E3:E6)-Dealer!E8)</f>
        <v>0.66104996194807186</v>
      </c>
      <c r="F20">
        <f>IF(Rules!$B$10=Rules!$F$10,SUM(Dealer!F14:F17)-Dealer!F19,SUM(Dealer!F3:F6)-Dealer!F8)</f>
        <v>0.67035969063279999</v>
      </c>
      <c r="G20">
        <f>IF(Rules!$B$10=Rules!$F$10,SUM(Dealer!G14:G17)-Dealer!G19,SUM(Dealer!G3:G6)-Dealer!G8)</f>
        <v>0.70395857017134467</v>
      </c>
      <c r="H20">
        <f>IF(Rules!$B$10=Rules!$F$10,SUM(Dealer!H14:H17)-Dealer!H19,SUM(Dealer!H3:H6)-Dealer!H8)</f>
        <v>0.77322722653717491</v>
      </c>
      <c r="I20">
        <f>IF(Rules!$B$10=Rules!$F$10,SUM(Dealer!I14:I17)-Dealer!I19,SUM(Dealer!I3:I6)-Dealer!I8)</f>
        <v>0.79181515955189841</v>
      </c>
      <c r="J20">
        <f>IF(Rules!$B$10=Rules!$F$10,SUM(Dealer!J14:J17)-Dealer!J19,SUM(Dealer!J3:J6)-Dealer!J8)</f>
        <v>0.75835687080859626</v>
      </c>
      <c r="K20">
        <f>IF(Rules!$B$10=Rules!$F$10,SUM(Dealer!K14:K17)-Dealer!K19,SUM(Dealer!K3:K6)-Dealer!K8)</f>
        <v>0.55453756646817121</v>
      </c>
    </row>
    <row r="21" spans="1:11" x14ac:dyDescent="0.2">
      <c r="A21">
        <v>21</v>
      </c>
      <c r="B21">
        <f>IF(Rules!$B$13=Rules!$E$13,1,IF(Rules!$B$10=Rules!$F$10,SUM(Dealer!B14:B18),SUM(Dealer!B3:B7)))</f>
        <v>0.92219381142033785</v>
      </c>
      <c r="C21">
        <f>IF(Rules!$B$13=Rules!$E$13,1,IF(Rules!$B$10=Rules!$F$10,SUM(Dealer!C14:C18),SUM(Dealer!C3:C7)))</f>
        <v>0.88200651549403997</v>
      </c>
      <c r="D21">
        <f>IF(Rules!$B$13=Rules!$E$13,1,IF(Rules!$B$10=Rules!$F$10,SUM(Dealer!D14:D18),SUM(Dealer!D3:D7)))</f>
        <v>0.88530035730174927</v>
      </c>
      <c r="E21">
        <f>IF(Rules!$B$13=Rules!$E$13,1,IF(Rules!$B$10=Rules!$F$10,SUM(Dealer!E14:E18),SUM(Dealer!E3:E7)))</f>
        <v>0.88876729296591961</v>
      </c>
      <c r="F21">
        <f>IF(Rules!$B$13=Rules!$E$13,1,IF(Rules!$B$10=Rules!$F$10,SUM(Dealer!F14:F18),SUM(Dealer!F3:F7)))</f>
        <v>0.89175382659528035</v>
      </c>
      <c r="G21">
        <f>IF(Rules!$B$13=Rules!$E$13,1,IF(Rules!$B$10=Rules!$F$10,SUM(Dealer!G14:G18),SUM(Dealer!G3:G7)))</f>
        <v>0.90283674384257995</v>
      </c>
      <c r="H21">
        <f>IF(Rules!$B$13=Rules!$E$13,1,IF(Rules!$B$10=Rules!$F$10,SUM(Dealer!H14:H18),SUM(Dealer!H3:H7)))</f>
        <v>0.92592629596452325</v>
      </c>
      <c r="I21">
        <f>IF(Rules!$B$13=Rules!$E$13,1,IF(Rules!$B$10=Rules!$F$10,SUM(Dealer!I14:I18),SUM(Dealer!I3:I7)))</f>
        <v>0.93060505318396614</v>
      </c>
      <c r="J21">
        <f>IF(Rules!$B$13=Rules!$E$13,1,IF(Rules!$B$10=Rules!$F$10,SUM(Dealer!J14:J18),SUM(Dealer!J3:J7)))</f>
        <v>0.93917615614724415</v>
      </c>
      <c r="K21">
        <f>IF(Rules!$B$13=Rules!$E$13,1,IF(Rules!$B$10=Rules!$F$10,SUM(Dealer!K14:K18),SUM(Dealer!K3:K7)))</f>
        <v>0.96262363326716827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B11</f>
        <v>-0.66695077468551034</v>
      </c>
      <c r="C34">
        <f t="shared" ref="C34:K34" si="2">C11</f>
        <v>-0.29278372720927726</v>
      </c>
      <c r="D34">
        <f t="shared" si="2"/>
        <v>-0.2522502292357135</v>
      </c>
      <c r="E34">
        <f t="shared" si="2"/>
        <v>-0.21106310899491437</v>
      </c>
      <c r="F34">
        <f t="shared" si="2"/>
        <v>-0.16719266083547524</v>
      </c>
      <c r="G34">
        <f t="shared" si="2"/>
        <v>-0.1536990158300045</v>
      </c>
      <c r="H34">
        <f t="shared" si="2"/>
        <v>-0.47537518327693323</v>
      </c>
      <c r="I34">
        <f t="shared" si="2"/>
        <v>-0.51051751549761715</v>
      </c>
      <c r="J34">
        <f t="shared" si="2"/>
        <v>-0.5431496811311094</v>
      </c>
      <c r="K34">
        <f t="shared" si="2"/>
        <v>-0.54043033399498497</v>
      </c>
    </row>
    <row r="35" spans="1:11" x14ac:dyDescent="0.2">
      <c r="A35">
        <v>12</v>
      </c>
      <c r="B35">
        <f t="shared" ref="B35:K35" si="3">B12</f>
        <v>-0.66695077468551034</v>
      </c>
      <c r="C35">
        <f t="shared" si="3"/>
        <v>-0.29278372720927726</v>
      </c>
      <c r="D35">
        <f t="shared" si="3"/>
        <v>-0.2522502292357135</v>
      </c>
      <c r="E35">
        <f t="shared" si="3"/>
        <v>-0.21106310899491437</v>
      </c>
      <c r="F35">
        <f t="shared" si="3"/>
        <v>-0.16719266083547524</v>
      </c>
      <c r="G35">
        <f t="shared" si="3"/>
        <v>-0.1536990158300045</v>
      </c>
      <c r="H35">
        <f t="shared" si="3"/>
        <v>-0.47537518327693323</v>
      </c>
      <c r="I35">
        <f t="shared" si="3"/>
        <v>-0.51051751549761715</v>
      </c>
      <c r="J35">
        <f t="shared" si="3"/>
        <v>-0.5431496811311094</v>
      </c>
      <c r="K35">
        <f t="shared" si="3"/>
        <v>-0.54043033399498497</v>
      </c>
    </row>
    <row r="36" spans="1:11" x14ac:dyDescent="0.2">
      <c r="A36">
        <v>13</v>
      </c>
      <c r="B36">
        <f t="shared" ref="B36:K36" si="4">B13</f>
        <v>-0.66695077468551034</v>
      </c>
      <c r="C36">
        <f t="shared" si="4"/>
        <v>-0.29278372720927726</v>
      </c>
      <c r="D36">
        <f t="shared" si="4"/>
        <v>-0.2522502292357135</v>
      </c>
      <c r="E36">
        <f t="shared" si="4"/>
        <v>-0.21106310899491437</v>
      </c>
      <c r="F36">
        <f t="shared" si="4"/>
        <v>-0.16719266083547524</v>
      </c>
      <c r="G36">
        <f t="shared" si="4"/>
        <v>-0.1536990158300045</v>
      </c>
      <c r="H36">
        <f t="shared" si="4"/>
        <v>-0.47537518327693323</v>
      </c>
      <c r="I36">
        <f t="shared" si="4"/>
        <v>-0.51051751549761715</v>
      </c>
      <c r="J36">
        <f t="shared" si="4"/>
        <v>-0.5431496811311094</v>
      </c>
      <c r="K36">
        <f t="shared" si="4"/>
        <v>-0.54043033399498497</v>
      </c>
    </row>
    <row r="37" spans="1:11" x14ac:dyDescent="0.2">
      <c r="A37">
        <v>14</v>
      </c>
      <c r="B37">
        <f t="shared" ref="B37:K37" si="5">B14</f>
        <v>-0.66695077468551034</v>
      </c>
      <c r="C37">
        <f t="shared" si="5"/>
        <v>-0.29278372720927726</v>
      </c>
      <c r="D37">
        <f t="shared" si="5"/>
        <v>-0.2522502292357135</v>
      </c>
      <c r="E37">
        <f t="shared" si="5"/>
        <v>-0.21106310899491437</v>
      </c>
      <c r="F37">
        <f t="shared" si="5"/>
        <v>-0.16719266083547524</v>
      </c>
      <c r="G37">
        <f t="shared" si="5"/>
        <v>-0.1536990158300045</v>
      </c>
      <c r="H37">
        <f t="shared" si="5"/>
        <v>-0.47537518327693323</v>
      </c>
      <c r="I37">
        <f t="shared" si="5"/>
        <v>-0.51051751549761715</v>
      </c>
      <c r="J37">
        <f t="shared" si="5"/>
        <v>-0.5431496811311094</v>
      </c>
      <c r="K37">
        <f t="shared" si="5"/>
        <v>-0.54043033399498497</v>
      </c>
    </row>
    <row r="38" spans="1:11" x14ac:dyDescent="0.2">
      <c r="A38">
        <v>15</v>
      </c>
      <c r="B38">
        <f t="shared" ref="B38:K38" si="6">B15</f>
        <v>-0.66695077468551034</v>
      </c>
      <c r="C38">
        <f t="shared" si="6"/>
        <v>-0.29278372720927726</v>
      </c>
      <c r="D38">
        <f t="shared" si="6"/>
        <v>-0.2522502292357135</v>
      </c>
      <c r="E38">
        <f t="shared" si="6"/>
        <v>-0.21106310899491437</v>
      </c>
      <c r="F38">
        <f t="shared" si="6"/>
        <v>-0.16719266083547524</v>
      </c>
      <c r="G38">
        <f t="shared" si="6"/>
        <v>-0.1536990158300045</v>
      </c>
      <c r="H38">
        <f t="shared" si="6"/>
        <v>-0.47537518327693323</v>
      </c>
      <c r="I38">
        <f t="shared" si="6"/>
        <v>-0.51051751549761715</v>
      </c>
      <c r="J38">
        <f t="shared" si="6"/>
        <v>-0.5431496811311094</v>
      </c>
      <c r="K38">
        <f t="shared" si="6"/>
        <v>-0.54043033399498497</v>
      </c>
    </row>
    <row r="39" spans="1:11" x14ac:dyDescent="0.2">
      <c r="A39">
        <v>16</v>
      </c>
      <c r="B39">
        <f t="shared" ref="B39:K39" si="7">B16</f>
        <v>-0.66695077468551034</v>
      </c>
      <c r="C39">
        <f t="shared" si="7"/>
        <v>-0.29278372720927726</v>
      </c>
      <c r="D39">
        <f t="shared" si="7"/>
        <v>-0.2522502292357135</v>
      </c>
      <c r="E39">
        <f t="shared" si="7"/>
        <v>-0.21106310899491437</v>
      </c>
      <c r="F39">
        <f t="shared" si="7"/>
        <v>-0.16719266083547524</v>
      </c>
      <c r="G39">
        <f t="shared" si="7"/>
        <v>-0.1536990158300045</v>
      </c>
      <c r="H39">
        <f t="shared" si="7"/>
        <v>-0.47537518327693323</v>
      </c>
      <c r="I39">
        <f t="shared" si="7"/>
        <v>-0.51051751549761715</v>
      </c>
      <c r="J39">
        <f t="shared" si="7"/>
        <v>-0.5431496811311094</v>
      </c>
      <c r="K39">
        <f t="shared" si="7"/>
        <v>-0.54043033399498497</v>
      </c>
    </row>
    <row r="40" spans="1:11" x14ac:dyDescent="0.2">
      <c r="A40">
        <v>17</v>
      </c>
      <c r="B40">
        <f t="shared" ref="B40:K40" si="8">B17</f>
        <v>-0.47803347499473703</v>
      </c>
      <c r="C40">
        <f t="shared" si="8"/>
        <v>-0.15297458768154204</v>
      </c>
      <c r="D40">
        <f t="shared" si="8"/>
        <v>-0.11721624142457365</v>
      </c>
      <c r="E40">
        <f t="shared" si="8"/>
        <v>-8.0573373145316152E-2</v>
      </c>
      <c r="F40">
        <f t="shared" si="8"/>
        <v>-4.4941375564924446E-2</v>
      </c>
      <c r="G40">
        <f t="shared" si="8"/>
        <v>1.1739160673341853E-2</v>
      </c>
      <c r="H40">
        <f t="shared" si="8"/>
        <v>-0.10680898948269468</v>
      </c>
      <c r="I40">
        <f t="shared" si="8"/>
        <v>-0.38195097104844711</v>
      </c>
      <c r="J40">
        <f t="shared" si="8"/>
        <v>-0.42315423964521737</v>
      </c>
      <c r="K40">
        <f t="shared" si="8"/>
        <v>-0.41972063392881986</v>
      </c>
    </row>
    <row r="41" spans="1:11" x14ac:dyDescent="0.2">
      <c r="A41">
        <v>18</v>
      </c>
      <c r="B41">
        <f t="shared" ref="B41:K41" si="9">B18</f>
        <v>-0.10019887561319057</v>
      </c>
      <c r="C41">
        <f t="shared" si="9"/>
        <v>0.12174190222088771</v>
      </c>
      <c r="D41">
        <f t="shared" si="9"/>
        <v>0.14830007284131119</v>
      </c>
      <c r="E41">
        <f t="shared" si="9"/>
        <v>0.17585443719748528</v>
      </c>
      <c r="F41">
        <f t="shared" si="9"/>
        <v>0.19956119497617719</v>
      </c>
      <c r="G41">
        <f t="shared" si="9"/>
        <v>0.28344391604689856</v>
      </c>
      <c r="H41">
        <f t="shared" si="9"/>
        <v>0.3995541673365518</v>
      </c>
      <c r="I41">
        <f t="shared" si="9"/>
        <v>0.10595134861912359</v>
      </c>
      <c r="J41">
        <f t="shared" si="9"/>
        <v>-0.18316335667343331</v>
      </c>
      <c r="K41">
        <f t="shared" si="9"/>
        <v>-0.17830123379648949</v>
      </c>
    </row>
    <row r="42" spans="1:11" x14ac:dyDescent="0.2">
      <c r="A42">
        <v>19</v>
      </c>
      <c r="B42">
        <f t="shared" ref="B42:K42" si="10">B19</f>
        <v>0.27763572376835594</v>
      </c>
      <c r="C42">
        <f t="shared" si="10"/>
        <v>0.38630468602058993</v>
      </c>
      <c r="D42">
        <f t="shared" si="10"/>
        <v>0.4043629365977599</v>
      </c>
      <c r="E42">
        <f t="shared" si="10"/>
        <v>0.42317892482749653</v>
      </c>
      <c r="F42">
        <f t="shared" si="10"/>
        <v>0.43951210416088371</v>
      </c>
      <c r="G42">
        <f t="shared" si="10"/>
        <v>0.49597707378731914</v>
      </c>
      <c r="H42">
        <f t="shared" si="10"/>
        <v>0.6159764957534315</v>
      </c>
      <c r="I42">
        <f t="shared" si="10"/>
        <v>0.59385366828669439</v>
      </c>
      <c r="J42">
        <f t="shared" si="10"/>
        <v>0.28759675706758148</v>
      </c>
      <c r="K42">
        <f t="shared" si="10"/>
        <v>6.3118166335840831E-2</v>
      </c>
    </row>
    <row r="43" spans="1:11" x14ac:dyDescent="0.2">
      <c r="A43">
        <v>20</v>
      </c>
      <c r="B43">
        <f t="shared" ref="B43:K43" si="11">B20</f>
        <v>0.65547032314990239</v>
      </c>
      <c r="C43">
        <f t="shared" si="11"/>
        <v>0.63998657521683877</v>
      </c>
      <c r="D43">
        <f t="shared" si="11"/>
        <v>0.65027209425148136</v>
      </c>
      <c r="E43">
        <f t="shared" si="11"/>
        <v>0.66104996194807186</v>
      </c>
      <c r="F43">
        <f t="shared" si="11"/>
        <v>0.67035969063279999</v>
      </c>
      <c r="G43">
        <f t="shared" si="11"/>
        <v>0.70395857017134467</v>
      </c>
      <c r="H43">
        <f t="shared" si="11"/>
        <v>0.77322722653717491</v>
      </c>
      <c r="I43">
        <f t="shared" si="11"/>
        <v>0.79181515955189841</v>
      </c>
      <c r="J43">
        <f t="shared" si="11"/>
        <v>0.75835687080859626</v>
      </c>
      <c r="K43">
        <f t="shared" si="11"/>
        <v>0.55453756646817121</v>
      </c>
    </row>
    <row r="44" spans="1:11" x14ac:dyDescent="0.2">
      <c r="A44">
        <v>21</v>
      </c>
      <c r="B44">
        <f t="shared" ref="B44:K44" si="12">B21</f>
        <v>0.92219381142033785</v>
      </c>
      <c r="C44">
        <f t="shared" si="12"/>
        <v>0.88200651549403997</v>
      </c>
      <c r="D44">
        <f t="shared" si="12"/>
        <v>0.88530035730174927</v>
      </c>
      <c r="E44">
        <f t="shared" si="12"/>
        <v>0.88876729296591961</v>
      </c>
      <c r="F44">
        <f t="shared" si="12"/>
        <v>0.89175382659528035</v>
      </c>
      <c r="G44">
        <f t="shared" si="12"/>
        <v>0.90283674384257995</v>
      </c>
      <c r="H44">
        <f t="shared" si="12"/>
        <v>0.92592629596452325</v>
      </c>
      <c r="I44">
        <f t="shared" si="12"/>
        <v>0.93060505318396614</v>
      </c>
      <c r="J44">
        <f t="shared" si="12"/>
        <v>0.93917615614724415</v>
      </c>
      <c r="K44">
        <f t="shared" si="12"/>
        <v>0.96262363326716827</v>
      </c>
    </row>
    <row r="45" spans="1:11" x14ac:dyDescent="0.2">
      <c r="A45">
        <v>22</v>
      </c>
      <c r="B45">
        <f>B12</f>
        <v>-0.66695077468551034</v>
      </c>
      <c r="C45">
        <f t="shared" ref="C45:K45" si="13">C12</f>
        <v>-0.29278372720927726</v>
      </c>
      <c r="D45">
        <f t="shared" si="13"/>
        <v>-0.2522502292357135</v>
      </c>
      <c r="E45">
        <f t="shared" si="13"/>
        <v>-0.21106310899491437</v>
      </c>
      <c r="F45">
        <f t="shared" si="13"/>
        <v>-0.16719266083547524</v>
      </c>
      <c r="G45">
        <f t="shared" si="13"/>
        <v>-0.1536990158300045</v>
      </c>
      <c r="H45">
        <f t="shared" si="13"/>
        <v>-0.47537518327693323</v>
      </c>
      <c r="I45">
        <f t="shared" si="13"/>
        <v>-0.51051751549761715</v>
      </c>
      <c r="J45">
        <f t="shared" si="13"/>
        <v>-0.5431496811311094</v>
      </c>
      <c r="K45">
        <f t="shared" si="13"/>
        <v>-0.54043033399498497</v>
      </c>
    </row>
    <row r="46" spans="1:11" x14ac:dyDescent="0.2">
      <c r="A46">
        <v>23</v>
      </c>
      <c r="B46">
        <f t="shared" ref="B46:K46" si="14">B13</f>
        <v>-0.66695077468551034</v>
      </c>
      <c r="C46">
        <f t="shared" si="14"/>
        <v>-0.29278372720927726</v>
      </c>
      <c r="D46">
        <f t="shared" si="14"/>
        <v>-0.2522502292357135</v>
      </c>
      <c r="E46">
        <f t="shared" si="14"/>
        <v>-0.21106310899491437</v>
      </c>
      <c r="F46">
        <f t="shared" si="14"/>
        <v>-0.16719266083547524</v>
      </c>
      <c r="G46">
        <f t="shared" si="14"/>
        <v>-0.1536990158300045</v>
      </c>
      <c r="H46">
        <f t="shared" si="14"/>
        <v>-0.47537518327693323</v>
      </c>
      <c r="I46">
        <f t="shared" si="14"/>
        <v>-0.51051751549761715</v>
      </c>
      <c r="J46">
        <f t="shared" si="14"/>
        <v>-0.5431496811311094</v>
      </c>
      <c r="K46">
        <f t="shared" si="14"/>
        <v>-0.54043033399498497</v>
      </c>
    </row>
    <row r="47" spans="1:11" x14ac:dyDescent="0.2">
      <c r="A47">
        <v>24</v>
      </c>
      <c r="B47">
        <f t="shared" ref="B47:K47" si="15">B14</f>
        <v>-0.66695077468551034</v>
      </c>
      <c r="C47">
        <f t="shared" si="15"/>
        <v>-0.29278372720927726</v>
      </c>
      <c r="D47">
        <f t="shared" si="15"/>
        <v>-0.2522502292357135</v>
      </c>
      <c r="E47">
        <f t="shared" si="15"/>
        <v>-0.21106310899491437</v>
      </c>
      <c r="F47">
        <f t="shared" si="15"/>
        <v>-0.16719266083547524</v>
      </c>
      <c r="G47">
        <f t="shared" si="15"/>
        <v>-0.1536990158300045</v>
      </c>
      <c r="H47">
        <f t="shared" si="15"/>
        <v>-0.47537518327693323</v>
      </c>
      <c r="I47">
        <f t="shared" si="15"/>
        <v>-0.51051751549761715</v>
      </c>
      <c r="J47">
        <f t="shared" si="15"/>
        <v>-0.5431496811311094</v>
      </c>
      <c r="K47">
        <f t="shared" si="15"/>
        <v>-0.54043033399498497</v>
      </c>
    </row>
    <row r="48" spans="1:11" x14ac:dyDescent="0.2">
      <c r="A48">
        <v>25</v>
      </c>
      <c r="B48">
        <f t="shared" ref="B48:K48" si="16">B15</f>
        <v>-0.66695077468551034</v>
      </c>
      <c r="C48">
        <f t="shared" si="16"/>
        <v>-0.29278372720927726</v>
      </c>
      <c r="D48">
        <f t="shared" si="16"/>
        <v>-0.2522502292357135</v>
      </c>
      <c r="E48">
        <f t="shared" si="16"/>
        <v>-0.21106310899491437</v>
      </c>
      <c r="F48">
        <f t="shared" si="16"/>
        <v>-0.16719266083547524</v>
      </c>
      <c r="G48">
        <f t="shared" si="16"/>
        <v>-0.1536990158300045</v>
      </c>
      <c r="H48">
        <f t="shared" si="16"/>
        <v>-0.47537518327693323</v>
      </c>
      <c r="I48">
        <f t="shared" si="16"/>
        <v>-0.51051751549761715</v>
      </c>
      <c r="J48">
        <f t="shared" si="16"/>
        <v>-0.5431496811311094</v>
      </c>
      <c r="K48">
        <f t="shared" si="16"/>
        <v>-0.54043033399498497</v>
      </c>
    </row>
    <row r="49" spans="1:11" x14ac:dyDescent="0.2">
      <c r="A49">
        <v>26</v>
      </c>
      <c r="B49">
        <f t="shared" ref="B49:K49" si="17">B16</f>
        <v>-0.66695077468551034</v>
      </c>
      <c r="C49">
        <f t="shared" si="17"/>
        <v>-0.29278372720927726</v>
      </c>
      <c r="D49">
        <f t="shared" si="17"/>
        <v>-0.2522502292357135</v>
      </c>
      <c r="E49">
        <f t="shared" si="17"/>
        <v>-0.21106310899491437</v>
      </c>
      <c r="F49">
        <f t="shared" si="17"/>
        <v>-0.16719266083547524</v>
      </c>
      <c r="G49">
        <f t="shared" si="17"/>
        <v>-0.1536990158300045</v>
      </c>
      <c r="H49">
        <f t="shared" si="17"/>
        <v>-0.47537518327693323</v>
      </c>
      <c r="I49">
        <f t="shared" si="17"/>
        <v>-0.51051751549761715</v>
      </c>
      <c r="J49">
        <f t="shared" si="17"/>
        <v>-0.5431496811311094</v>
      </c>
      <c r="K49">
        <f t="shared" si="17"/>
        <v>-0.54043033399498497</v>
      </c>
    </row>
    <row r="50" spans="1:11" x14ac:dyDescent="0.2">
      <c r="A50">
        <v>27</v>
      </c>
      <c r="B50">
        <f t="shared" ref="B50:K50" si="18">B17</f>
        <v>-0.47803347499473703</v>
      </c>
      <c r="C50">
        <f t="shared" si="18"/>
        <v>-0.15297458768154204</v>
      </c>
      <c r="D50">
        <f t="shared" si="18"/>
        <v>-0.11721624142457365</v>
      </c>
      <c r="E50">
        <f t="shared" si="18"/>
        <v>-8.0573373145316152E-2</v>
      </c>
      <c r="F50">
        <f t="shared" si="18"/>
        <v>-4.4941375564924446E-2</v>
      </c>
      <c r="G50">
        <f t="shared" si="18"/>
        <v>1.1739160673341853E-2</v>
      </c>
      <c r="H50">
        <f t="shared" si="18"/>
        <v>-0.10680898948269468</v>
      </c>
      <c r="I50">
        <f t="shared" si="18"/>
        <v>-0.38195097104844711</v>
      </c>
      <c r="J50">
        <f t="shared" si="18"/>
        <v>-0.42315423964521737</v>
      </c>
      <c r="K50">
        <f t="shared" si="18"/>
        <v>-0.41972063392881986</v>
      </c>
    </row>
    <row r="51" spans="1:11" x14ac:dyDescent="0.2">
      <c r="A51">
        <v>28</v>
      </c>
      <c r="B51">
        <f t="shared" ref="B51:K51" si="19">B18</f>
        <v>-0.10019887561319057</v>
      </c>
      <c r="C51">
        <f t="shared" si="19"/>
        <v>0.12174190222088771</v>
      </c>
      <c r="D51">
        <f t="shared" si="19"/>
        <v>0.14830007284131119</v>
      </c>
      <c r="E51">
        <f t="shared" si="19"/>
        <v>0.17585443719748528</v>
      </c>
      <c r="F51">
        <f t="shared" si="19"/>
        <v>0.19956119497617719</v>
      </c>
      <c r="G51">
        <f t="shared" si="19"/>
        <v>0.28344391604689856</v>
      </c>
      <c r="H51">
        <f t="shared" si="19"/>
        <v>0.3995541673365518</v>
      </c>
      <c r="I51">
        <f t="shared" si="19"/>
        <v>0.10595134861912359</v>
      </c>
      <c r="J51">
        <f t="shared" si="19"/>
        <v>-0.18316335667343331</v>
      </c>
      <c r="K51">
        <f t="shared" si="19"/>
        <v>-0.17830123379648949</v>
      </c>
    </row>
    <row r="52" spans="1:11" x14ac:dyDescent="0.2">
      <c r="A52">
        <v>29</v>
      </c>
      <c r="B52">
        <f t="shared" ref="B52:K52" si="20">B19</f>
        <v>0.27763572376835594</v>
      </c>
      <c r="C52">
        <f t="shared" si="20"/>
        <v>0.38630468602058993</v>
      </c>
      <c r="D52">
        <f t="shared" si="20"/>
        <v>0.4043629365977599</v>
      </c>
      <c r="E52">
        <f t="shared" si="20"/>
        <v>0.42317892482749653</v>
      </c>
      <c r="F52">
        <f t="shared" si="20"/>
        <v>0.43951210416088371</v>
      </c>
      <c r="G52">
        <f t="shared" si="20"/>
        <v>0.49597707378731914</v>
      </c>
      <c r="H52">
        <f t="shared" si="20"/>
        <v>0.6159764957534315</v>
      </c>
      <c r="I52">
        <f t="shared" si="20"/>
        <v>0.59385366828669439</v>
      </c>
      <c r="J52">
        <f t="shared" si="20"/>
        <v>0.28759675706758148</v>
      </c>
      <c r="K52">
        <f t="shared" si="20"/>
        <v>6.3118166335840831E-2</v>
      </c>
    </row>
    <row r="53" spans="1:11" x14ac:dyDescent="0.2">
      <c r="A53">
        <v>30</v>
      </c>
      <c r="B53">
        <f t="shared" ref="B53:K53" si="21">B20</f>
        <v>0.65547032314990239</v>
      </c>
      <c r="C53">
        <f t="shared" si="21"/>
        <v>0.63998657521683877</v>
      </c>
      <c r="D53">
        <f t="shared" si="21"/>
        <v>0.65027209425148136</v>
      </c>
      <c r="E53">
        <f t="shared" si="21"/>
        <v>0.66104996194807186</v>
      </c>
      <c r="F53">
        <f t="shared" si="21"/>
        <v>0.67035969063279999</v>
      </c>
      <c r="G53">
        <f t="shared" si="21"/>
        <v>0.70395857017134467</v>
      </c>
      <c r="H53">
        <f t="shared" si="21"/>
        <v>0.77322722653717491</v>
      </c>
      <c r="I53">
        <f t="shared" si="21"/>
        <v>0.79181515955189841</v>
      </c>
      <c r="J53">
        <f t="shared" si="21"/>
        <v>0.75835687080859626</v>
      </c>
      <c r="K53">
        <f t="shared" si="21"/>
        <v>0.55453756646817121</v>
      </c>
    </row>
    <row r="54" spans="1:11" x14ac:dyDescent="0.2">
      <c r="A54">
        <v>31</v>
      </c>
      <c r="B54">
        <f t="shared" ref="B54:K54" si="22">B21</f>
        <v>0.92219381142033785</v>
      </c>
      <c r="C54">
        <f t="shared" si="22"/>
        <v>0.88200651549403997</v>
      </c>
      <c r="D54">
        <f t="shared" si="22"/>
        <v>0.88530035730174927</v>
      </c>
      <c r="E54">
        <f t="shared" si="22"/>
        <v>0.88876729296591961</v>
      </c>
      <c r="F54">
        <f t="shared" si="22"/>
        <v>0.89175382659528035</v>
      </c>
      <c r="G54">
        <f t="shared" si="22"/>
        <v>0.90283674384257995</v>
      </c>
      <c r="H54">
        <f t="shared" si="22"/>
        <v>0.92592629596452325</v>
      </c>
      <c r="I54">
        <f t="shared" si="22"/>
        <v>0.93060505318396614</v>
      </c>
      <c r="J54">
        <f t="shared" si="22"/>
        <v>0.93917615614724415</v>
      </c>
      <c r="K54">
        <f t="shared" si="22"/>
        <v>0.96262363326716827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W54"/>
  <sheetViews>
    <sheetView topLeftCell="A14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Analysis!B27</f>
        <v>0.32727161522588344</v>
      </c>
      <c r="D2" s="149" t="s">
        <v>126</v>
      </c>
      <c r="E2" s="155">
        <f>Analysis!H27</f>
        <v>0.67272838477411712</v>
      </c>
      <c r="F2" s="149" t="s">
        <v>47</v>
      </c>
      <c r="G2" s="155">
        <f>Analysis!S27</f>
        <v>5.0157814317049709</v>
      </c>
      <c r="H2" t="s">
        <v>155</v>
      </c>
      <c r="I2" s="169">
        <f>Analysis!T27</f>
        <v>-5.0717396685928824</v>
      </c>
      <c r="J2" t="s">
        <v>48</v>
      </c>
      <c r="K2" s="169">
        <f>C2*G2+E2*I2</f>
        <v>-1.7703803444732258</v>
      </c>
      <c r="L2" t="s">
        <v>47</v>
      </c>
      <c r="M2" s="176">
        <v>2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0.32727161522588344</v>
      </c>
      <c r="C4" t="s">
        <v>124</v>
      </c>
      <c r="D4">
        <f>$E$2</f>
        <v>0.67272838477411712</v>
      </c>
      <c r="E4" t="s">
        <v>47</v>
      </c>
      <c r="F4">
        <f>G2</f>
        <v>5.0157814317049709</v>
      </c>
      <c r="G4" t="s">
        <v>155</v>
      </c>
      <c r="H4">
        <f>I2</f>
        <v>-5.0717396685928824</v>
      </c>
      <c r="I4" t="s">
        <v>48</v>
      </c>
      <c r="J4">
        <f>K2</f>
        <v>-1.7703803444732258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0.32727161522588344</v>
      </c>
      <c r="C7" s="95">
        <v>1</v>
      </c>
      <c r="D7" s="22">
        <f>C7*D4</f>
        <v>0.67272838477411712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1.0000000000000004</v>
      </c>
      <c r="R7" s="187">
        <f>B7-D7</f>
        <v>-0.34545676954823368</v>
      </c>
      <c r="S7" s="109">
        <f>SUM(C7)*$B$4*$F$4</f>
        <v>1.64152289077408</v>
      </c>
      <c r="T7" s="261">
        <f>SUM(C7)*$D$4*$H$4</f>
        <v>-3.4119032352473058</v>
      </c>
      <c r="U7" s="263">
        <f>S7+T7</f>
        <v>-1.7703803444732258</v>
      </c>
      <c r="V7" s="109">
        <f>(U7+W7*D7)/B7</f>
        <v>-3.3539479399748959</v>
      </c>
      <c r="W7" s="57">
        <f>COUNT(D7:M7)</f>
        <v>1</v>
      </c>
    </row>
    <row r="8" spans="1:23" x14ac:dyDescent="0.2">
      <c r="A8" s="99">
        <v>2</v>
      </c>
      <c r="B8" s="97">
        <f>C8*B4</f>
        <v>0.41966771867974073</v>
      </c>
      <c r="C8" s="97">
        <f>1/(1-B4*D4)</f>
        <v>1.2823223865292606</v>
      </c>
      <c r="D8" s="144">
        <f>C8*D4</f>
        <v>0.8626546678495205</v>
      </c>
      <c r="E8" s="1">
        <f>D8*D4</f>
        <v>0.58033228132026038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1.0000000000000011</v>
      </c>
      <c r="R8" s="188">
        <f>B8-E8</f>
        <v>-0.16066456264051965</v>
      </c>
      <c r="S8" s="93">
        <f>SUM(C8:D8)*$B$4*$F$4</f>
        <v>3.5210289349479278</v>
      </c>
      <c r="T8" s="260">
        <f>SUM(C8:D8)*$D$4*$H$4</f>
        <v>-7.3184541513661987</v>
      </c>
      <c r="U8" s="264">
        <f>S8+T8</f>
        <v>-3.7974252164182709</v>
      </c>
      <c r="V8" s="93">
        <f>(U8+W8*E8)/B8</f>
        <v>-6.2829723050248001</v>
      </c>
      <c r="W8" s="9">
        <f>COUNT(D8:M8)</f>
        <v>2</v>
      </c>
    </row>
    <row r="9" spans="1:23" x14ac:dyDescent="0.2">
      <c r="A9" s="99">
        <v>3</v>
      </c>
      <c r="B9" s="97">
        <f>C9*B4</f>
        <v>0.45601480258409466</v>
      </c>
      <c r="C9" s="97">
        <f>1/(1-D4*B4/(1-D4*B4))</f>
        <v>1.3933832980576468</v>
      </c>
      <c r="D9" s="144">
        <f>C9*D4*C8</f>
        <v>1.2020086061729889</v>
      </c>
      <c r="E9" s="1">
        <f>D9*(D4)</f>
        <v>0.80862530811534272</v>
      </c>
      <c r="F9" s="1">
        <f>E9*D4</f>
        <v>0.54398519741590734</v>
      </c>
      <c r="G9" s="1"/>
      <c r="H9" s="1"/>
      <c r="I9" s="1"/>
      <c r="J9" s="1"/>
      <c r="K9" s="1"/>
      <c r="L9" s="1"/>
      <c r="M9" s="260"/>
      <c r="N9" s="97">
        <f>B9+F9</f>
        <v>1.000000000000002</v>
      </c>
      <c r="R9" s="188">
        <f>B9-F9</f>
        <v>-8.7970394831812682E-2</v>
      </c>
      <c r="S9" s="93">
        <f>SUM(C9:E9)*$B$4*$F$4</f>
        <v>5.5877721746548952</v>
      </c>
      <c r="T9" s="260">
        <f>SUM(C9:E9)*$D$4*$H$4</f>
        <v>-11.614177339640758</v>
      </c>
      <c r="U9" s="264">
        <f t="shared" ref="U9:U16" si="0">S9+T9</f>
        <v>-6.0264051649858628</v>
      </c>
      <c r="V9" s="93">
        <f>(U9+W9*F9)/B9</f>
        <v>-9.6366379947233209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0.47209952191582799</v>
      </c>
      <c r="C10" s="97">
        <f>1/(1-D4*B4/(1-D4*B4/(1-D4*B4)))</f>
        <v>1.4425312185720234</v>
      </c>
      <c r="D10" s="144">
        <f>C10*D4*C9</f>
        <v>1.3521833180264886</v>
      </c>
      <c r="E10" s="1">
        <f>D10*D4*C8</f>
        <v>1.1664672510838032</v>
      </c>
      <c r="F10" s="1">
        <f>E10*D4</f>
        <v>0.7847156297135115</v>
      </c>
      <c r="G10" s="1">
        <f>F10*D4</f>
        <v>0.52790047808417473</v>
      </c>
      <c r="H10" s="1"/>
      <c r="I10" s="1"/>
      <c r="J10" s="1"/>
      <c r="K10" s="1"/>
      <c r="L10" s="1"/>
      <c r="M10" s="260"/>
      <c r="N10" s="97">
        <f>B10+G10</f>
        <v>1.0000000000000027</v>
      </c>
      <c r="R10" s="188">
        <f>B10-G10</f>
        <v>-5.5800956168346738E-2</v>
      </c>
      <c r="S10" s="93">
        <f>SUM(C10:F10)*$B$4*$F$4</f>
        <v>7.790499247920839</v>
      </c>
      <c r="T10" s="260">
        <f>SUM(C10:F10)*$D$4*$H$4</f>
        <v>-16.192542752564655</v>
      </c>
      <c r="U10" s="264">
        <f t="shared" si="0"/>
        <v>-8.4020435046438173</v>
      </c>
      <c r="V10" s="93">
        <f>(U10+W10*G10)/B10</f>
        <v>-13.324397293985525</v>
      </c>
      <c r="W10" s="9">
        <f t="shared" si="1"/>
        <v>4</v>
      </c>
    </row>
    <row r="11" spans="1:23" x14ac:dyDescent="0.2">
      <c r="A11" s="99">
        <v>5</v>
      </c>
      <c r="B11" s="97">
        <f>C11*B4</f>
        <v>0.47958542913507862</v>
      </c>
      <c r="C11" s="97">
        <f>1/(1-D4*B4/(1-D4*B4/(1-D4*B4/(1-D4*B4))))</f>
        <v>1.4654049016871442</v>
      </c>
      <c r="D11" s="144">
        <f>C11*D4*C10</f>
        <v>1.4220753650325617</v>
      </c>
      <c r="E11" s="1">
        <f>D11*D4*C9</f>
        <v>1.3330086453705761</v>
      </c>
      <c r="F11" s="1">
        <f>E11*D4*C8</f>
        <v>1.1499261302126935</v>
      </c>
      <c r="G11" s="1">
        <f>F11*D4</f>
        <v>0.7735879481875364</v>
      </c>
      <c r="H11" s="1">
        <f>G11*D4</f>
        <v>0.52041457086492471</v>
      </c>
      <c r="I11" s="1"/>
      <c r="J11" s="1"/>
      <c r="K11" s="1"/>
      <c r="L11" s="1"/>
      <c r="M11" s="260"/>
      <c r="N11" s="97">
        <f>B11+H11</f>
        <v>1.0000000000000033</v>
      </c>
      <c r="R11" s="188">
        <f>B11-H11</f>
        <v>-4.0829141729846086E-2</v>
      </c>
      <c r="S11" s="93">
        <f>SUM(C11:G11)*$B$4*$F$4</f>
        <v>10.08552154987458</v>
      </c>
      <c r="T11" s="260">
        <f>SUM(C11:G11)*$D$4*$H$4</f>
        <v>-20.962743680623699</v>
      </c>
      <c r="U11" s="264">
        <f t="shared" si="0"/>
        <v>-10.87722213074912</v>
      </c>
      <c r="V11" s="93">
        <f>(U11+W11*H11)/B11</f>
        <v>-17.254797109554683</v>
      </c>
      <c r="W11" s="9">
        <f t="shared" si="1"/>
        <v>5</v>
      </c>
    </row>
    <row r="12" spans="1:23" x14ac:dyDescent="0.2">
      <c r="A12" s="99">
        <v>6</v>
      </c>
      <c r="B12" s="97">
        <f>C12*B4</f>
        <v>0.48315096396226609</v>
      </c>
      <c r="C12" s="97">
        <f>1/(1-D4*B4/(1-D4*B4/(1-D4*B4/(1-D4*B4/(1-D4*B4)))))</f>
        <v>1.4762996284563037</v>
      </c>
      <c r="D12" s="144">
        <f>C12*D4*C11</f>
        <v>1.4553649210536048</v>
      </c>
      <c r="E12" s="1">
        <f>D12*D4*C10</f>
        <v>1.4123322495919608</v>
      </c>
      <c r="F12" s="1">
        <f>E12*D4*C9</f>
        <v>1.3238757559087948</v>
      </c>
      <c r="G12" s="1">
        <f>F12*D4*C8</f>
        <v>1.1420476004875344</v>
      </c>
      <c r="H12" s="1">
        <f>G12*D4</f>
        <v>0.76828783761113517</v>
      </c>
      <c r="I12" s="1">
        <f>H12*D4</f>
        <v>0.51684903603773813</v>
      </c>
      <c r="J12" s="1"/>
      <c r="K12" s="1"/>
      <c r="L12" s="1"/>
      <c r="M12" s="260"/>
      <c r="N12" s="97">
        <f>B12+I12</f>
        <v>1.0000000000000042</v>
      </c>
      <c r="R12" s="188">
        <f>B12-I12</f>
        <v>-3.3698072075472041E-2</v>
      </c>
      <c r="S12" s="93">
        <f>SUM(C12:H12)*$B$4*$F$4</f>
        <v>12.439801891736071</v>
      </c>
      <c r="T12" s="260">
        <f>SUM(C12:H12)*$D$4*$H$4</f>
        <v>-25.856112369066725</v>
      </c>
      <c r="U12" s="264">
        <f t="shared" si="0"/>
        <v>-13.416310477330654</v>
      </c>
      <c r="V12" s="93">
        <f>(U12+W12*I12)/B12</f>
        <v>-21.349882398061077</v>
      </c>
      <c r="W12" s="9">
        <f t="shared" si="1"/>
        <v>6</v>
      </c>
    </row>
    <row r="13" spans="1:23" x14ac:dyDescent="0.2">
      <c r="A13" s="99">
        <v>7</v>
      </c>
      <c r="B13" s="97">
        <f>C13*B4</f>
        <v>0.48486793278186413</v>
      </c>
      <c r="C13" s="97">
        <f>1/(1-D4*B4/(1-D4*B4/(1-D4*B4/(1-D4*B4/(1-D4*B4/(1-D4*B4))))))</f>
        <v>1.4815459398982935</v>
      </c>
      <c r="D13" s="144">
        <f>C13*D4*C12</f>
        <v>1.4713953715965551</v>
      </c>
      <c r="E13" s="1">
        <f>D13*D4*C11</f>
        <v>1.4505302091428678</v>
      </c>
      <c r="F13" s="1">
        <f>E13*D4*C10</f>
        <v>1.4076404919095804</v>
      </c>
      <c r="G13" s="1">
        <f>F13*D4*C9</f>
        <v>1.3194778500689355</v>
      </c>
      <c r="H13" s="1">
        <f>G13*D4*C8</f>
        <v>1.1382537264860169</v>
      </c>
      <c r="I13" s="1">
        <f>H13*D4</f>
        <v>0.76573559088205778</v>
      </c>
      <c r="J13" s="1">
        <f>I13*D4</f>
        <v>0.51513206721814087</v>
      </c>
      <c r="K13" s="1"/>
      <c r="L13" s="1"/>
      <c r="M13" s="260"/>
      <c r="N13" s="97">
        <f>B13+J13</f>
        <v>1.0000000000000049</v>
      </c>
      <c r="R13" s="188">
        <f>B13-J13</f>
        <v>-3.0264134436276735E-2</v>
      </c>
      <c r="S13" s="93">
        <f>SUM(C13:I13)*$B$4*$F$4</f>
        <v>14.830468532455157</v>
      </c>
      <c r="T13" s="260">
        <f>SUM(C13:I13)*$D$4*$H$4</f>
        <v>-30.825109933286409</v>
      </c>
      <c r="U13" s="264">
        <f t="shared" si="0"/>
        <v>-15.994641400831252</v>
      </c>
      <c r="V13" s="93">
        <f>(U13+W13*J13)/B13</f>
        <v>-25.550703795208069</v>
      </c>
      <c r="W13" s="9">
        <f t="shared" si="1"/>
        <v>7</v>
      </c>
    </row>
    <row r="14" spans="1:23" x14ac:dyDescent="0.2">
      <c r="A14" s="99">
        <v>8</v>
      </c>
      <c r="B14" s="97">
        <f>C14*B4</f>
        <v>0.48569909266950229</v>
      </c>
      <c r="C14" s="97">
        <f>1/(1-D4*B4/(1-D4*B4/(1-D4*B4/(1-D4*B4/(1-D4*B4/(1-D4*B4/(1-D4*B4)))))))</f>
        <v>1.484085603740098</v>
      </c>
      <c r="D14" s="144">
        <f>C14*D4*C13</f>
        <v>1.4791554819258652</v>
      </c>
      <c r="E14" s="1">
        <f>D14*D4*C12</f>
        <v>1.4690212914537089</v>
      </c>
      <c r="F14" s="1">
        <f>E14*D4*C11</f>
        <v>1.4481897947086508</v>
      </c>
      <c r="G14" s="1">
        <f>F14*D4*C10</f>
        <v>1.4053692795593045</v>
      </c>
      <c r="H14" s="1">
        <f>G14*D4*C9</f>
        <v>1.3173488871652563</v>
      </c>
      <c r="I14" s="1">
        <f>H14*D4*C8</f>
        <v>1.1364171666994798</v>
      </c>
      <c r="J14" s="1">
        <f>I14*D4</f>
        <v>0.76450008498331967</v>
      </c>
      <c r="K14" s="1">
        <f>J14*D4</f>
        <v>0.51430090733050393</v>
      </c>
      <c r="L14" s="1"/>
      <c r="M14" s="260"/>
      <c r="N14" s="97">
        <f>B14+K14</f>
        <v>1.0000000000000062</v>
      </c>
      <c r="R14" s="188">
        <f>B14-K14</f>
        <v>-2.8601814661001645E-2</v>
      </c>
      <c r="S14" s="93">
        <f>SUM(C14:J14)*$B$4*$F$4</f>
        <v>17.242700226067818</v>
      </c>
      <c r="T14" s="260">
        <f>SUM(C14:J14)*$D$4*$H$4</f>
        <v>-35.838930432446205</v>
      </c>
      <c r="U14" s="264">
        <f t="shared" si="0"/>
        <v>-18.596230206378387</v>
      </c>
      <c r="V14" s="93">
        <f>(U14+W14*K14)/B14</f>
        <v>-29.816450486121504</v>
      </c>
      <c r="W14" s="9">
        <f t="shared" si="1"/>
        <v>8</v>
      </c>
    </row>
    <row r="15" spans="1:23" x14ac:dyDescent="0.2">
      <c r="A15" s="99">
        <v>9</v>
      </c>
      <c r="B15" s="97">
        <f>C15*B4</f>
        <v>0.48610246964743953</v>
      </c>
      <c r="C15" s="97">
        <f>1/(1-D4*B4/(1-D4*B4/(1-D4*B4/(1-D4*B4/(1-D4*B4/(1-D4*B4/(1-D4*B4/(1-D4*B4))))))))</f>
        <v>1.4853181486941076</v>
      </c>
      <c r="D15" s="144">
        <f>C15*D4*C14</f>
        <v>1.4829216043045477</v>
      </c>
      <c r="E15" s="1">
        <f>D15*D4*C13</f>
        <v>1.4779953492881561</v>
      </c>
      <c r="F15" s="1">
        <f>E15*D4*C12</f>
        <v>1.4678691072739321</v>
      </c>
      <c r="G15" s="1">
        <f>F15*D4*C11</f>
        <v>1.4470539491082604</v>
      </c>
      <c r="H15" s="1">
        <f>G15*D4*C10</f>
        <v>1.4042670189861781</v>
      </c>
      <c r="I15" s="1">
        <f>H15*D4*C9</f>
        <v>1.3163156628302051</v>
      </c>
      <c r="J15" s="1">
        <f>I15*D4*C8</f>
        <v>1.1355258509039121</v>
      </c>
      <c r="K15" s="1">
        <f>J15*D4</f>
        <v>0.76390047154784368</v>
      </c>
      <c r="L15" s="1">
        <f>K15*D4</f>
        <v>0.51389753035256724</v>
      </c>
      <c r="M15" s="260"/>
      <c r="N15" s="97">
        <f>B15+L15</f>
        <v>1.0000000000000067</v>
      </c>
      <c r="R15" s="188">
        <f>B15-L15</f>
        <v>-2.7795060705127717E-2</v>
      </c>
      <c r="S15" s="93">
        <f>SUM(C15:K15)*$B$4*$F$4</f>
        <v>19.667360156152064</v>
      </c>
      <c r="T15" s="260">
        <f>SUM(C15:K15)*$D$4*$H$4</f>
        <v>-40.878583005264026</v>
      </c>
      <c r="U15" s="264">
        <f t="shared" si="0"/>
        <v>-21.211222849111962</v>
      </c>
      <c r="V15" s="93">
        <f>(U15+W15*L15)/B15</f>
        <v>-34.120676424393523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0.48629847740396909</v>
      </c>
      <c r="C16" s="145">
        <f>1/(1-D4*B4/(1-D4*B4/(1-D4*B4/(1-D4*B4/(1-D4*B4/(1-D4*B4/(1-D4*B4/(1-D4*B4/(1-D4*B4)))))))))</f>
        <v>1.4859170633185681</v>
      </c>
      <c r="D16" s="153">
        <f>C16*D4*C15</f>
        <v>1.4847516274308952</v>
      </c>
      <c r="E16" s="111">
        <f>D16*D4*C14</f>
        <v>1.4823559971171216</v>
      </c>
      <c r="F16" s="111">
        <f>E16*D4*C13</f>
        <v>1.4774316210437817</v>
      </c>
      <c r="G16" s="111">
        <f>F16*D4*C12</f>
        <v>1.4673092413208941</v>
      </c>
      <c r="H16" s="111">
        <f>G16*D4*C11</f>
        <v>1.4465020223497365</v>
      </c>
      <c r="I16" s="111">
        <f>H16*D4*C10</f>
        <v>1.4037314117654738</v>
      </c>
      <c r="J16" s="111">
        <f>I16*D4*C9</f>
        <v>1.3158136014955686</v>
      </c>
      <c r="K16" s="111">
        <f>J16*D4*C8</f>
        <v>1.1350927453500412</v>
      </c>
      <c r="L16" s="111">
        <f>K16*D4</f>
        <v>0.7636091091481515</v>
      </c>
      <c r="M16" s="262">
        <f>L16*D4</f>
        <v>0.51370152259603841</v>
      </c>
      <c r="N16" s="145">
        <f>B16+M16</f>
        <v>1.0000000000000075</v>
      </c>
      <c r="R16" s="189">
        <f>B16-M16</f>
        <v>-2.740304519206932E-2</v>
      </c>
      <c r="S16" s="94">
        <f>SUM(C16:L16)*$B$4*$F$4</f>
        <v>22.099025621195093</v>
      </c>
      <c r="T16" s="262">
        <f>SUM(C16:L16)*$D$4*$H$4</f>
        <v>-45.93279657356041</v>
      </c>
      <c r="U16" s="265">
        <f t="shared" si="0"/>
        <v>-23.833770952365317</v>
      </c>
      <c r="V16" s="94">
        <f>(U16+W16*M16)/B16</f>
        <v>-38.447078481953582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-11.578872821716432</v>
      </c>
      <c r="F21" s="8">
        <f t="shared" ref="F21:F30" si="4">U7/E21</f>
        <v>0.15289746866835244</v>
      </c>
      <c r="G21" s="284">
        <f>E21*U7</f>
        <v>20.49900885472201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79">
        <f>R21/R7</f>
        <v>-28.947182054291083</v>
      </c>
      <c r="T21" s="8">
        <f>U7/S21</f>
        <v>6.1158987467340969E-2</v>
      </c>
      <c r="U21" s="284">
        <f>S21*U7</f>
        <v>51.247522136805031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-124.48295797965838</v>
      </c>
      <c r="F22" s="9">
        <f t="shared" si="4"/>
        <v>3.0505583077796109E-2</v>
      </c>
      <c r="G22" s="285">
        <f t="shared" ref="G22:G30" si="5">E22*U8</f>
        <v>472.71472364629074</v>
      </c>
      <c r="O22" s="99">
        <v>2</v>
      </c>
      <c r="P22" s="93">
        <f>Q21</f>
        <v>10</v>
      </c>
      <c r="Q22" s="1">
        <f t="shared" ref="Q22:Q30" si="6">P22*4+6</f>
        <v>46</v>
      </c>
      <c r="R22" s="9">
        <f>SUM($Q$21:Q22)</f>
        <v>56</v>
      </c>
      <c r="S22" s="280">
        <f t="shared" ref="S22:S30" si="7">R22/R8</f>
        <v>-348.55228234304349</v>
      </c>
      <c r="T22" s="9">
        <f>U8/S22</f>
        <v>1.0894851099212895E-2</v>
      </c>
      <c r="U22" s="285">
        <f t="shared" ref="U22:U30" si="8">S22*U8</f>
        <v>1323.6012262096142</v>
      </c>
    </row>
    <row r="23" spans="1:21" x14ac:dyDescent="0.2">
      <c r="A23" s="97">
        <v>3</v>
      </c>
      <c r="B23" s="93">
        <f t="shared" ref="B23:B30" si="9">C22</f>
        <v>16</v>
      </c>
      <c r="C23" s="1">
        <f t="shared" si="2"/>
        <v>64</v>
      </c>
      <c r="D23" s="9">
        <f>SUM($C$21:C23)</f>
        <v>84</v>
      </c>
      <c r="E23" s="9">
        <f t="shared" si="3"/>
        <v>-954.86669305732312</v>
      </c>
      <c r="F23" s="9">
        <f t="shared" si="4"/>
        <v>6.3112528783366853E-3</v>
      </c>
      <c r="G23" s="285">
        <f t="shared" si="5"/>
        <v>5754.4135709136226</v>
      </c>
      <c r="O23" s="99">
        <v>3</v>
      </c>
      <c r="P23" s="93">
        <f t="shared" ref="P23:P30" si="10">Q22</f>
        <v>46</v>
      </c>
      <c r="Q23" s="1">
        <f t="shared" si="6"/>
        <v>190</v>
      </c>
      <c r="R23" s="9">
        <f>SUM($Q$21:Q23)</f>
        <v>246</v>
      </c>
      <c r="S23" s="280">
        <f t="shared" si="7"/>
        <v>-2796.3953153821603</v>
      </c>
      <c r="T23" s="9">
        <f t="shared" ref="T23:T30" si="11">U9/S23</f>
        <v>2.1550619584564295E-3</v>
      </c>
      <c r="U23" s="285">
        <f t="shared" si="8"/>
        <v>16852.21117196132</v>
      </c>
    </row>
    <row r="24" spans="1:21" x14ac:dyDescent="0.2">
      <c r="A24" s="97">
        <v>4</v>
      </c>
      <c r="B24" s="93">
        <f t="shared" si="9"/>
        <v>64</v>
      </c>
      <c r="C24" s="1">
        <f t="shared" si="2"/>
        <v>256</v>
      </c>
      <c r="D24" s="9">
        <f>SUM($C$21:C24)</f>
        <v>340</v>
      </c>
      <c r="E24" s="9">
        <f t="shared" si="3"/>
        <v>-6093.0855552770263</v>
      </c>
      <c r="F24" s="9">
        <f t="shared" si="4"/>
        <v>1.3789472391975649E-3</v>
      </c>
      <c r="G24" s="285">
        <f t="shared" si="5"/>
        <v>51194.369912954404</v>
      </c>
      <c r="O24" s="99">
        <v>4</v>
      </c>
      <c r="P24" s="93">
        <f t="shared" si="10"/>
        <v>190</v>
      </c>
      <c r="Q24" s="1">
        <f t="shared" si="6"/>
        <v>766</v>
      </c>
      <c r="R24" s="9">
        <f>SUM($Q$21:Q24)</f>
        <v>1012</v>
      </c>
      <c r="S24" s="280">
        <f t="shared" si="7"/>
        <v>-18135.889946883384</v>
      </c>
      <c r="T24" s="9">
        <f t="shared" si="11"/>
        <v>4.6328266929562459E-4</v>
      </c>
      <c r="U24" s="285">
        <f t="shared" si="8"/>
        <v>152378.53632914665</v>
      </c>
    </row>
    <row r="25" spans="1:21" x14ac:dyDescent="0.2">
      <c r="A25" s="97">
        <v>5</v>
      </c>
      <c r="B25" s="93">
        <f t="shared" si="9"/>
        <v>256</v>
      </c>
      <c r="C25" s="1">
        <f t="shared" si="2"/>
        <v>1024</v>
      </c>
      <c r="D25" s="9">
        <f>SUM($C$21:C25)</f>
        <v>1364</v>
      </c>
      <c r="E25" s="9">
        <f t="shared" si="3"/>
        <v>-33407.510964231624</v>
      </c>
      <c r="F25" s="9">
        <f t="shared" si="4"/>
        <v>3.2559211437197525E-4</v>
      </c>
      <c r="G25" s="285">
        <f t="shared" si="5"/>
        <v>363380.9175933841</v>
      </c>
      <c r="O25" s="99">
        <v>5</v>
      </c>
      <c r="P25" s="93">
        <f t="shared" si="10"/>
        <v>766</v>
      </c>
      <c r="Q25" s="1">
        <f t="shared" si="6"/>
        <v>3070</v>
      </c>
      <c r="R25" s="9">
        <f>SUM($Q$21:Q25)</f>
        <v>4082</v>
      </c>
      <c r="S25" s="280">
        <f t="shared" si="7"/>
        <v>-99977.609791784082</v>
      </c>
      <c r="T25" s="9">
        <f t="shared" si="11"/>
        <v>1.0879658108852871E-4</v>
      </c>
      <c r="U25" s="285">
        <f t="shared" si="8"/>
        <v>1087478.6698065938</v>
      </c>
    </row>
    <row r="26" spans="1:21" x14ac:dyDescent="0.2">
      <c r="A26" s="97">
        <v>6</v>
      </c>
      <c r="B26" s="93">
        <f t="shared" si="9"/>
        <v>1024</v>
      </c>
      <c r="C26" s="1">
        <f t="shared" si="2"/>
        <v>4096</v>
      </c>
      <c r="D26" s="9">
        <f>SUM($C$21:C26)</f>
        <v>5460</v>
      </c>
      <c r="E26" s="9">
        <f t="shared" si="3"/>
        <v>-162027.07347089431</v>
      </c>
      <c r="F26" s="9">
        <f t="shared" si="4"/>
        <v>8.2802893306226934E-5</v>
      </c>
      <c r="G26" s="285">
        <f t="shared" si="5"/>
        <v>2173805.5234187827</v>
      </c>
      <c r="O26" s="99">
        <v>6</v>
      </c>
      <c r="P26" s="93">
        <f t="shared" si="10"/>
        <v>3070</v>
      </c>
      <c r="Q26" s="1">
        <f t="shared" si="6"/>
        <v>12286</v>
      </c>
      <c r="R26" s="9">
        <f>SUM($Q$21:Q26)</f>
        <v>16368</v>
      </c>
      <c r="S26" s="280">
        <f t="shared" si="7"/>
        <v>-485725.11695450509</v>
      </c>
      <c r="T26" s="9">
        <f t="shared" si="11"/>
        <v>2.7621199746578634E-5</v>
      </c>
      <c r="U26" s="285">
        <f t="shared" si="8"/>
        <v>6516638.9756993838</v>
      </c>
    </row>
    <row r="27" spans="1:21" x14ac:dyDescent="0.2">
      <c r="A27" s="97">
        <v>7</v>
      </c>
      <c r="B27" s="93">
        <f t="shared" si="9"/>
        <v>4096</v>
      </c>
      <c r="C27" s="1">
        <f t="shared" si="2"/>
        <v>16384</v>
      </c>
      <c r="D27" s="9">
        <f>SUM($C$21:C27)</f>
        <v>21844</v>
      </c>
      <c r="E27" s="9">
        <f t="shared" si="3"/>
        <v>-721778.44854588783</v>
      </c>
      <c r="F27" s="9">
        <f t="shared" si="4"/>
        <v>2.2160042923218946E-5</v>
      </c>
      <c r="G27" s="285">
        <f t="shared" si="5"/>
        <v>11544587.455339808</v>
      </c>
      <c r="O27" s="99">
        <v>7</v>
      </c>
      <c r="P27" s="93">
        <f t="shared" si="10"/>
        <v>12286</v>
      </c>
      <c r="Q27" s="1">
        <f t="shared" si="6"/>
        <v>49150</v>
      </c>
      <c r="R27" s="9">
        <f>SUM($Q$21:Q27)</f>
        <v>65518</v>
      </c>
      <c r="S27" s="280">
        <f t="shared" si="7"/>
        <v>-2164872.7518691393</v>
      </c>
      <c r="T27" s="9">
        <f t="shared" si="11"/>
        <v>7.3882593732225443E-6</v>
      </c>
      <c r="U27" s="285">
        <f t="shared" si="8"/>
        <v>34626363.344577618</v>
      </c>
    </row>
    <row r="28" spans="1:21" x14ac:dyDescent="0.2">
      <c r="A28" s="97">
        <v>8</v>
      </c>
      <c r="B28" s="93">
        <f t="shared" si="9"/>
        <v>16384</v>
      </c>
      <c r="C28" s="1">
        <f t="shared" si="2"/>
        <v>65536</v>
      </c>
      <c r="D28" s="9">
        <f>SUM($C$21:C28)</f>
        <v>87380</v>
      </c>
      <c r="E28" s="9">
        <f t="shared" si="3"/>
        <v>-3055050.9132255148</v>
      </c>
      <c r="F28" s="9">
        <f t="shared" si="4"/>
        <v>6.0870442865204283E-6</v>
      </c>
      <c r="G28" s="285">
        <f t="shared" si="5"/>
        <v>56812430.074548192</v>
      </c>
      <c r="O28" s="99">
        <v>8</v>
      </c>
      <c r="P28" s="93">
        <f t="shared" si="10"/>
        <v>49150</v>
      </c>
      <c r="Q28" s="1">
        <f t="shared" si="6"/>
        <v>196606</v>
      </c>
      <c r="R28" s="9">
        <f>SUM($Q$21:Q28)</f>
        <v>262124</v>
      </c>
      <c r="S28" s="280">
        <f t="shared" si="7"/>
        <v>-9164593.3346111793</v>
      </c>
      <c r="T28" s="9">
        <f t="shared" si="11"/>
        <v>2.0291386128555762E-6</v>
      </c>
      <c r="U28" s="285">
        <f t="shared" si="8"/>
        <v>170426887.39827043</v>
      </c>
    </row>
    <row r="29" spans="1:21" x14ac:dyDescent="0.2">
      <c r="A29" s="97">
        <v>9</v>
      </c>
      <c r="B29" s="93">
        <f t="shared" si="9"/>
        <v>65536</v>
      </c>
      <c r="C29" s="1">
        <f t="shared" si="2"/>
        <v>262144</v>
      </c>
      <c r="D29" s="9">
        <f>SUM($C$21:C29)</f>
        <v>349524</v>
      </c>
      <c r="E29" s="9">
        <f t="shared" si="3"/>
        <v>-12575039.99390506</v>
      </c>
      <c r="F29" s="9">
        <f t="shared" si="4"/>
        <v>1.6867718002799781E-6</v>
      </c>
      <c r="G29" s="285">
        <f t="shared" si="5"/>
        <v>266731975.64721575</v>
      </c>
      <c r="O29" s="99">
        <v>9</v>
      </c>
      <c r="P29" s="93">
        <f t="shared" si="10"/>
        <v>196606</v>
      </c>
      <c r="Q29" s="1">
        <f t="shared" si="6"/>
        <v>786430</v>
      </c>
      <c r="R29" s="9">
        <f>SUM($Q$21:Q29)</f>
        <v>1048554</v>
      </c>
      <c r="S29" s="280">
        <f t="shared" si="7"/>
        <v>-37724472.384640612</v>
      </c>
      <c r="T29" s="9">
        <f t="shared" si="11"/>
        <v>5.6226691874816086E-7</v>
      </c>
      <c r="U29" s="285">
        <f t="shared" si="8"/>
        <v>800182190.61578214</v>
      </c>
    </row>
    <row r="30" spans="1:21" ht="17" thickBot="1" x14ac:dyDescent="0.25">
      <c r="A30" s="145">
        <v>10</v>
      </c>
      <c r="B30" s="94">
        <f t="shared" si="9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-51019877.177906573</v>
      </c>
      <c r="F30" s="10">
        <f t="shared" si="4"/>
        <v>4.6714677240905216E-7</v>
      </c>
      <c r="G30" s="286">
        <f t="shared" si="5"/>
        <v>1215996066.6760359</v>
      </c>
      <c r="O30" s="100">
        <v>10</v>
      </c>
      <c r="P30" s="94">
        <f t="shared" si="10"/>
        <v>786430</v>
      </c>
      <c r="Q30" s="111">
        <f t="shared" si="6"/>
        <v>3145726</v>
      </c>
      <c r="R30" s="10">
        <f>SUM($Q$21:Q30)</f>
        <v>4194280</v>
      </c>
      <c r="S30" s="281">
        <f t="shared" si="7"/>
        <v>-153058901.68782634</v>
      </c>
      <c r="T30" s="10">
        <f t="shared" si="11"/>
        <v>1.5571633331706413E-7</v>
      </c>
      <c r="U30" s="286">
        <f t="shared" si="8"/>
        <v>3647970805.048254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-11.578872821716432</v>
      </c>
      <c r="F33" s="8">
        <f t="shared" ref="F33:F42" si="14">U7/E33</f>
        <v>0.15289746866835244</v>
      </c>
      <c r="G33" s="287">
        <f>E33*U7</f>
        <v>20.49900885472201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9">
        <f>R33/R7</f>
        <v>-28.947182054291083</v>
      </c>
      <c r="T33" s="8">
        <f>U7/S33</f>
        <v>6.1158987467340969E-2</v>
      </c>
      <c r="U33" s="287">
        <f>S33*U7</f>
        <v>51.247522136805031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-149.37954957559006</v>
      </c>
      <c r="F34" s="9">
        <f t="shared" si="14"/>
        <v>2.5421319231496757E-2</v>
      </c>
      <c r="G34" s="285">
        <f t="shared" ref="G34:G42" si="16">E34*U8</f>
        <v>567.25766837554897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0">
        <f>R34/R8</f>
        <v>-373.44887393897517</v>
      </c>
      <c r="T34" s="9">
        <f t="shared" ref="T34:T42" si="18">U8/S34</f>
        <v>1.0168527692598702E-2</v>
      </c>
      <c r="U34" s="285">
        <f t="shared" ref="U34:U42" si="19">S34*U8</f>
        <v>1418.1441709388723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-1409.5651183227151</v>
      </c>
      <c r="F35" s="9">
        <f t="shared" si="14"/>
        <v>4.2753648530667867E-3</v>
      </c>
      <c r="G35" s="285">
        <f t="shared" si="16"/>
        <v>8494.610509443919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0">
        <f t="shared" ref="S35:S42" si="21">R35/R9</f>
        <v>-3069.2143705413955</v>
      </c>
      <c r="T35" s="9">
        <f t="shared" si="18"/>
        <v>1.9635008954825245E-3</v>
      </c>
      <c r="U35" s="285">
        <f t="shared" si="19"/>
        <v>18496.329335079499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-11182.60407792019</v>
      </c>
      <c r="F36" s="9">
        <f t="shared" si="14"/>
        <v>7.5134945725508341E-4</v>
      </c>
      <c r="G36" s="285">
        <f t="shared" si="16"/>
        <v>93956.725957892806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0">
        <f t="shared" si="21"/>
        <v>-20071.340652677263</v>
      </c>
      <c r="T36" s="9">
        <f t="shared" si="18"/>
        <v>4.1860898332783219E-4</v>
      </c>
      <c r="U36" s="285">
        <f t="shared" si="19"/>
        <v>168640.27736032041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-76513.976724530497</v>
      </c>
      <c r="F37" s="9">
        <f t="shared" si="14"/>
        <v>1.4215993726100326E-4</v>
      </c>
      <c r="G37" s="285">
        <f t="shared" si="16"/>
        <v>832259.52093968622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0">
        <f t="shared" si="21"/>
        <v>-110950.16471258743</v>
      </c>
      <c r="T37" s="9">
        <f t="shared" si="18"/>
        <v>9.8037007506263633E-5</v>
      </c>
      <c r="U37" s="285">
        <f t="shared" si="19"/>
        <v>1206829.5870220161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-463646.70254748216</v>
      </c>
      <c r="F38" s="9">
        <f t="shared" si="14"/>
        <v>2.8936494972606188E-5</v>
      </c>
      <c r="G38" s="285">
        <f t="shared" si="16"/>
        <v>6220428.1131675942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0">
        <f t="shared" si="21"/>
        <v>-539496.73913935141</v>
      </c>
      <c r="T38" s="9">
        <f t="shared" si="18"/>
        <v>2.4868195679427892E-5</v>
      </c>
      <c r="U38" s="285">
        <f t="shared" si="19"/>
        <v>7238055.7538010031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-2581405.3980131359</v>
      </c>
      <c r="F39" s="9">
        <f t="shared" si="14"/>
        <v>6.1960982235266333E-6</v>
      </c>
      <c r="G39" s="285">
        <f t="shared" si="16"/>
        <v>41288653.65139018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0">
        <f t="shared" si="21"/>
        <v>-2405157.1722054193</v>
      </c>
      <c r="T39" s="9">
        <f t="shared" si="18"/>
        <v>6.6501439430525431E-6</v>
      </c>
      <c r="U39" s="285">
        <f t="shared" si="19"/>
        <v>38469626.482063018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-13657315.265825173</v>
      </c>
      <c r="F40" s="9">
        <f t="shared" si="14"/>
        <v>1.3616314659523095E-6</v>
      </c>
      <c r="G40" s="285">
        <f t="shared" si="16"/>
        <v>253974578.68437076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0">
        <f t="shared" si="21"/>
        <v>-10182570.702309441</v>
      </c>
      <c r="T40" s="9">
        <f t="shared" si="18"/>
        <v>1.8262804894799994E-6</v>
      </c>
      <c r="U40" s="285">
        <f t="shared" si="19"/>
        <v>189357428.87287042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-70268743.814604506</v>
      </c>
      <c r="F41" s="9">
        <f t="shared" si="14"/>
        <v>3.0185857463277246E-7</v>
      </c>
      <c r="G41" s="285">
        <f t="shared" si="16"/>
        <v>1490485984.3787339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0">
        <f t="shared" si="21"/>
        <v>-41915720.651225924</v>
      </c>
      <c r="T41" s="9">
        <f t="shared" si="18"/>
        <v>5.0604457037986273E-7</v>
      </c>
      <c r="U41" s="285">
        <f t="shared" si="19"/>
        <v>889083691.61427748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-356370028.64288443</v>
      </c>
      <c r="F42" s="10">
        <f t="shared" si="14"/>
        <v>6.6879280064960091E-8</v>
      </c>
      <c r="G42" s="286">
        <f t="shared" si="16"/>
        <v>8493641636.9623747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1">
        <f t="shared" si="21"/>
        <v>-170065040.84986627</v>
      </c>
      <c r="T42" s="10">
        <f t="shared" si="18"/>
        <v>1.4014503411906867E-7</v>
      </c>
      <c r="U42" s="286">
        <f t="shared" si="19"/>
        <v>4053291230.6203637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-11.578872821716432</v>
      </c>
      <c r="F45" s="8">
        <f t="shared" ref="F45:F54" si="24">U7/E45</f>
        <v>0.15289746866835244</v>
      </c>
      <c r="G45" s="284">
        <f>E45*U7</f>
        <v>20.49900885472201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9">
        <f>R45/R7</f>
        <v>-28.947182054291083</v>
      </c>
      <c r="T45" s="8">
        <f>U7/S45</f>
        <v>6.1158987467340969E-2</v>
      </c>
      <c r="U45" s="287">
        <f>S45*U7</f>
        <v>51.247522136805031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-224.06932436338511</v>
      </c>
      <c r="F46" s="9">
        <f t="shared" si="24"/>
        <v>1.694754615433117E-2</v>
      </c>
      <c r="G46" s="285">
        <f t="shared" ref="G46:G54" si="26">E46*U8</f>
        <v>850.88650256332346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0">
        <f t="shared" ref="S46:S54" si="28">R46/R8</f>
        <v>-597.51819830236025</v>
      </c>
      <c r="T46" s="9">
        <f t="shared" ref="T46:T54" si="29">U8/S46</f>
        <v>6.3553298078741893E-3</v>
      </c>
      <c r="U46" s="285">
        <f t="shared" ref="U46:U54" si="30">S46*U8</f>
        <v>2269.0306735021959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-3319.2985044373613</v>
      </c>
      <c r="F47" s="9">
        <f t="shared" si="24"/>
        <v>1.8155658965078136E-3</v>
      </c>
      <c r="G47" s="285">
        <f t="shared" si="26"/>
        <v>20003.437651271164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0">
        <f t="shared" si="28"/>
        <v>-8980.293898991491</v>
      </c>
      <c r="T47" s="9">
        <f t="shared" si="29"/>
        <v>6.7106992630415387E-4</v>
      </c>
      <c r="U47" s="285">
        <f t="shared" si="30"/>
        <v>54118.889535973351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-41934.765292200711</v>
      </c>
      <c r="F48" s="9">
        <f t="shared" si="24"/>
        <v>2.0035985526802225E-4</v>
      </c>
      <c r="G48" s="285">
        <f t="shared" si="26"/>
        <v>352337.72234209796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0">
        <f t="shared" si="28"/>
        <v>-113761.49148499577</v>
      </c>
      <c r="T48" s="9">
        <f t="shared" si="29"/>
        <v>7.3856657423940149E-5</v>
      </c>
      <c r="U48" s="285">
        <f t="shared" si="30"/>
        <v>955829.00061010162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-458594.01414536138</v>
      </c>
      <c r="F49" s="9">
        <f t="shared" si="24"/>
        <v>2.3718630848289587E-5</v>
      </c>
      <c r="G49" s="285">
        <f t="shared" si="26"/>
        <v>4988228.9596909992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0">
        <f t="shared" si="28"/>
        <v>-1244650.2142084476</v>
      </c>
      <c r="T49" s="9">
        <f t="shared" si="29"/>
        <v>8.7391798969533288E-6</v>
      </c>
      <c r="U49" s="285">
        <f t="shared" si="30"/>
        <v>13538336.855029758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-4445239.4684333485</v>
      </c>
      <c r="F50" s="9">
        <f t="shared" si="24"/>
        <v>3.0181299731100903E-6</v>
      </c>
      <c r="G50" s="285">
        <f t="shared" si="26"/>
        <v>59638712.85458608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0">
        <f t="shared" si="28"/>
        <v>-12065497.36997987</v>
      </c>
      <c r="T50" s="9">
        <f t="shared" si="29"/>
        <v>1.1119566865690707E-6</v>
      </c>
      <c r="U50" s="285">
        <f t="shared" si="30"/>
        <v>161874458.77906638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-39597101.39813371</v>
      </c>
      <c r="F51" s="9">
        <f t="shared" si="24"/>
        <v>4.0393465269114652E-7</v>
      </c>
      <c r="G51" s="285">
        <f t="shared" si="26"/>
        <v>633341437.37550247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0">
        <f t="shared" si="28"/>
        <v>-107477648.39760499</v>
      </c>
      <c r="T51" s="9">
        <f t="shared" si="29"/>
        <v>1.4881830445024581E-7</v>
      </c>
      <c r="U51" s="285">
        <f t="shared" si="30"/>
        <v>1719066444.7243173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-335187823.34715891</v>
      </c>
      <c r="F52" s="9">
        <f t="shared" si="24"/>
        <v>5.5480029139119415E-8</v>
      </c>
      <c r="G52" s="285">
        <f t="shared" si="26"/>
        <v>6233229925.3386593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0">
        <f t="shared" si="28"/>
        <v>-909795280.76868904</v>
      </c>
      <c r="T52" s="9">
        <f t="shared" si="29"/>
        <v>2.0440016121721769E-8</v>
      </c>
      <c r="U52" s="285">
        <f t="shared" si="30"/>
        <v>16918762481.8512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-2759333566.9833927</v>
      </c>
      <c r="F53" s="9">
        <f t="shared" si="24"/>
        <v>7.6870818022559226E-9</v>
      </c>
      <c r="G53" s="285">
        <f t="shared" si="26"/>
        <v>58528839204.319756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0">
        <f t="shared" si="28"/>
        <v>-7489619404.270463</v>
      </c>
      <c r="T53" s="9">
        <f t="shared" si="29"/>
        <v>2.8320828742002107E-9</v>
      </c>
      <c r="U53" s="285">
        <f t="shared" si="30"/>
        <v>158863986239.01398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-22390458859.571255</v>
      </c>
      <c r="F54" s="10">
        <f t="shared" si="24"/>
        <v>1.0644610323462437E-9</v>
      </c>
      <c r="G54" s="286">
        <f t="shared" si="26"/>
        <v>533649067977.38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1">
        <f t="shared" si="28"/>
        <v>-60774102306.045166</v>
      </c>
      <c r="T54" s="10">
        <f t="shared" si="29"/>
        <v>3.9216985604071333E-10</v>
      </c>
      <c r="U54" s="286">
        <f t="shared" si="30"/>
        <v>1448476034197.8972</v>
      </c>
    </row>
  </sheetData>
  <mergeCells count="2">
    <mergeCell ref="A18:F18"/>
    <mergeCell ref="O18:T18"/>
  </mergeCells>
  <conditionalFormatting sqref="F45:F54">
    <cfRule type="cellIs" dxfId="510" priority="53" operator="equal">
      <formula>MAX($F$45:$F$54)</formula>
    </cfRule>
  </conditionalFormatting>
  <conditionalFormatting sqref="F21:F30">
    <cfRule type="cellIs" dxfId="509" priority="51" operator="equal">
      <formula>MAX($F$21:$F$30)</formula>
    </cfRule>
  </conditionalFormatting>
  <conditionalFormatting sqref="F33:F42">
    <cfRule type="cellIs" dxfId="508" priority="32" operator="lessThanOrEqual">
      <formula>0</formula>
    </cfRule>
    <cfRule type="cellIs" dxfId="507" priority="49" operator="equal">
      <formula>MAX($F$33:$F$42)</formula>
    </cfRule>
  </conditionalFormatting>
  <conditionalFormatting sqref="E33:E42">
    <cfRule type="cellIs" dxfId="506" priority="47" stopIfTrue="1" operator="lessThan">
      <formula>0</formula>
    </cfRule>
    <cfRule type="cellIs" dxfId="505" priority="48" operator="equal">
      <formula>MIN($E$33:$E$42)</formula>
    </cfRule>
  </conditionalFormatting>
  <conditionalFormatting sqref="E21:E30">
    <cfRule type="cellIs" dxfId="504" priority="43" stopIfTrue="1" operator="lessThan">
      <formula>0</formula>
    </cfRule>
    <cfRule type="cellIs" dxfId="503" priority="44" operator="equal">
      <formula>MIN($E$21:$E$30)</formula>
    </cfRule>
  </conditionalFormatting>
  <conditionalFormatting sqref="E45:E54">
    <cfRule type="cellIs" dxfId="502" priority="39" stopIfTrue="1" operator="lessThan">
      <formula>0</formula>
    </cfRule>
    <cfRule type="cellIs" dxfId="501" priority="40" operator="equal">
      <formula>MIN($E$45:$E$54)</formula>
    </cfRule>
  </conditionalFormatting>
  <conditionalFormatting sqref="S7:T16">
    <cfRule type="cellIs" dxfId="500" priority="13" operator="lessThanOrEqual">
      <formula>0</formula>
    </cfRule>
    <cfRule type="cellIs" dxfId="499" priority="14" operator="greaterThan">
      <formula>0</formula>
    </cfRule>
  </conditionalFormatting>
  <conditionalFormatting sqref="U7:U16">
    <cfRule type="cellIs" dxfId="498" priority="15" operator="lessThanOrEqual">
      <formula>0</formula>
    </cfRule>
    <cfRule type="cellIs" dxfId="497" priority="16" operator="greaterThan">
      <formula>0</formula>
    </cfRule>
  </conditionalFormatting>
  <conditionalFormatting sqref="R7:R16">
    <cfRule type="cellIs" dxfId="496" priority="17" operator="lessThanOrEqual">
      <formula>0</formula>
    </cfRule>
    <cfRule type="cellIs" dxfId="495" priority="18" operator="greaterThan">
      <formula>0</formula>
    </cfRule>
  </conditionalFormatting>
  <conditionalFormatting sqref="T21:T30">
    <cfRule type="cellIs" dxfId="494" priority="9" operator="equal">
      <formula>MAX($T$21:$T$30)</formula>
    </cfRule>
  </conditionalFormatting>
  <conditionalFormatting sqref="S33:S42">
    <cfRule type="cellIs" dxfId="493" priority="7" stopIfTrue="1" operator="lessThan">
      <formula>0</formula>
    </cfRule>
    <cfRule type="cellIs" dxfId="492" priority="8" operator="equal">
      <formula>MIN($E$21:$E$30)</formula>
    </cfRule>
  </conditionalFormatting>
  <conditionalFormatting sqref="T33:T42">
    <cfRule type="cellIs" dxfId="491" priority="6" operator="equal">
      <formula>MAX($T$21:$T$30)</formula>
    </cfRule>
  </conditionalFormatting>
  <conditionalFormatting sqref="S45:S54">
    <cfRule type="cellIs" dxfId="490" priority="4" stopIfTrue="1" operator="lessThan">
      <formula>0</formula>
    </cfRule>
    <cfRule type="cellIs" dxfId="489" priority="5" operator="equal">
      <formula>MIN($E$21:$E$30)</formula>
    </cfRule>
  </conditionalFormatting>
  <conditionalFormatting sqref="T45:T54">
    <cfRule type="cellIs" dxfId="488" priority="3" operator="equal">
      <formula>MAX($T$21:$T$30)</formula>
    </cfRule>
  </conditionalFormatting>
  <conditionalFormatting sqref="S21:S30">
    <cfRule type="cellIs" dxfId="487" priority="1" stopIfTrue="1" operator="lessThan">
      <formula>0</formula>
    </cfRule>
    <cfRule type="cellIs" dxfId="48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W54"/>
  <sheetViews>
    <sheetView topLeftCell="A17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Analysis!B28</f>
        <v>0.3400353831838025</v>
      </c>
      <c r="D2" s="149" t="s">
        <v>126</v>
      </c>
      <c r="E2" s="155">
        <f>Analysis!I28</f>
        <v>0.659964616816198</v>
      </c>
      <c r="F2" s="149" t="s">
        <v>47</v>
      </c>
      <c r="G2" s="155">
        <f>Analysis!S28</f>
        <v>6.452709006348754</v>
      </c>
      <c r="H2" t="s">
        <v>155</v>
      </c>
      <c r="I2" s="169">
        <f>Analysis!T28</f>
        <v>-6.5246982315696957</v>
      </c>
      <c r="J2" t="s">
        <v>48</v>
      </c>
      <c r="K2" s="169">
        <f>C2*G2+E2*I2</f>
        <v>-2.1119205886918473</v>
      </c>
      <c r="L2" t="s">
        <v>47</v>
      </c>
      <c r="M2" s="176">
        <v>2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0.3400353831838025</v>
      </c>
      <c r="C4" t="s">
        <v>124</v>
      </c>
      <c r="D4">
        <f>$E$2</f>
        <v>0.659964616816198</v>
      </c>
      <c r="E4" t="s">
        <v>47</v>
      </c>
      <c r="F4">
        <f>G2</f>
        <v>6.452709006348754</v>
      </c>
      <c r="G4" t="s">
        <v>155</v>
      </c>
      <c r="H4">
        <f>I2</f>
        <v>-6.5246982315696957</v>
      </c>
      <c r="I4" t="s">
        <v>48</v>
      </c>
      <c r="J4">
        <f>K2</f>
        <v>-2.1119205886918473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0.3400353831838025</v>
      </c>
      <c r="C7" s="95">
        <v>1</v>
      </c>
      <c r="D7" s="22">
        <f>C7*D4</f>
        <v>0.659964616816198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1.0000000000000004</v>
      </c>
      <c r="R7" s="187">
        <f>B7-D7</f>
        <v>-0.3199292336323955</v>
      </c>
      <c r="S7" s="109">
        <f>SUM(C7)*$B$4*$F$4</f>
        <v>2.1941493795473721</v>
      </c>
      <c r="T7" s="261">
        <f>SUM(C7)*$D$4*$H$4</f>
        <v>-4.3060699682392194</v>
      </c>
      <c r="U7" s="263">
        <f>S7+T7</f>
        <v>-2.1119205886918473</v>
      </c>
      <c r="V7" s="109">
        <f>(U7+W7*D7)/B7</f>
        <v>-4.2700143681541807</v>
      </c>
      <c r="W7" s="57">
        <f>COUNT(D7:M7)</f>
        <v>1</v>
      </c>
    </row>
    <row r="8" spans="1:23" x14ac:dyDescent="0.2">
      <c r="A8" s="99">
        <v>2</v>
      </c>
      <c r="B8" s="97">
        <f>C8*B4</f>
        <v>0.43842231398098652</v>
      </c>
      <c r="C8" s="97">
        <f>1/(1-B4*D4)</f>
        <v>1.2893432144501327</v>
      </c>
      <c r="D8" s="144">
        <f>C8*D4</f>
        <v>0.85092090046914681</v>
      </c>
      <c r="E8" s="1">
        <f>D8*D4</f>
        <v>0.56157768601901459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1.0000000000000011</v>
      </c>
      <c r="R8" s="188">
        <f>B8-E8</f>
        <v>-0.12315537203802807</v>
      </c>
      <c r="S8" s="93">
        <f>SUM(C8:D8)*$B$4*$F$4</f>
        <v>4.6960591798176434</v>
      </c>
      <c r="T8" s="260">
        <f>SUM(C8:D8)*$D$4*$H$4</f>
        <v>-9.2161270293540039</v>
      </c>
      <c r="U8" s="264">
        <f>S8+T8</f>
        <v>-4.5200678495363604</v>
      </c>
      <c r="V8" s="93">
        <f>(U8+W8*E8)/B8</f>
        <v>-7.7480373812489116</v>
      </c>
      <c r="W8" s="9">
        <f>COUNT(D8:M8)</f>
        <v>2</v>
      </c>
    </row>
    <row r="9" spans="1:23" x14ac:dyDescent="0.2">
      <c r="A9" s="99">
        <v>3</v>
      </c>
      <c r="B9" s="97">
        <f>C9*B4</f>
        <v>0.47848045652684745</v>
      </c>
      <c r="C9" s="97">
        <f>1/(1-D4*B4/(1-D4*B4))</f>
        <v>1.4071490209247135</v>
      </c>
      <c r="D9" s="144">
        <f>C9*D4*C8</f>
        <v>1.1973725119795355</v>
      </c>
      <c r="E9" s="1">
        <f>D9*(D4)</f>
        <v>0.79022349105482259</v>
      </c>
      <c r="F9" s="1">
        <f>E9*D4</f>
        <v>0.52151954347315421</v>
      </c>
      <c r="G9" s="1"/>
      <c r="H9" s="1"/>
      <c r="I9" s="1"/>
      <c r="J9" s="1"/>
      <c r="K9" s="1"/>
      <c r="L9" s="1"/>
      <c r="M9" s="260"/>
      <c r="N9" s="97">
        <f>B9+F9</f>
        <v>1.0000000000000018</v>
      </c>
      <c r="R9" s="188">
        <f>B9-F9</f>
        <v>-4.3039086946306759E-2</v>
      </c>
      <c r="S9" s="93">
        <f>SUM(C9:E9)*$B$4*$F$4</f>
        <v>7.4485776880413264</v>
      </c>
      <c r="T9" s="260">
        <f>SUM(C9:E9)*$D$4*$H$4</f>
        <v>-14.618009597499686</v>
      </c>
      <c r="U9" s="264">
        <f t="shared" ref="U9:U16" si="0">S9+T9</f>
        <v>-7.1694319094583596</v>
      </c>
      <c r="V9" s="93">
        <f>(U9+W9*F9)/B9</f>
        <v>-11.713902213944255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0.49696803402090628</v>
      </c>
      <c r="C10" s="97">
        <f>1/(1-D4*B4/(1-D4*B4/(1-D4*B4)))</f>
        <v>1.4615185907058252</v>
      </c>
      <c r="D10" s="144">
        <f>C10*D4*C9</f>
        <v>1.357266371471572</v>
      </c>
      <c r="E10" s="1">
        <f>D10*D4*C8</f>
        <v>1.1549263229890816</v>
      </c>
      <c r="F10" s="1">
        <f>E10*D4</f>
        <v>0.76221050820242975</v>
      </c>
      <c r="G10" s="1">
        <f>F10*D4</f>
        <v>0.50303196597909605</v>
      </c>
      <c r="H10" s="1"/>
      <c r="I10" s="1"/>
      <c r="J10" s="1"/>
      <c r="K10" s="1"/>
      <c r="L10" s="1"/>
      <c r="M10" s="260"/>
      <c r="N10" s="97">
        <f>B10+G10</f>
        <v>1.0000000000000022</v>
      </c>
      <c r="R10" s="188">
        <f>B10-G10</f>
        <v>-6.0639319581897722E-3</v>
      </c>
      <c r="S10" s="93">
        <f>SUM(C10:F10)*$B$4*$F$4</f>
        <v>10.391319864505268</v>
      </c>
      <c r="T10" s="260">
        <f>SUM(C10:F10)*$D$4*$H$4</f>
        <v>-20.393210606355481</v>
      </c>
      <c r="U10" s="264">
        <f t="shared" si="0"/>
        <v>-10.001890741850213</v>
      </c>
      <c r="V10" s="93">
        <f>(U10+W10*G10)/B10</f>
        <v>-16.077015685072649</v>
      </c>
      <c r="W10" s="9">
        <f t="shared" si="1"/>
        <v>4</v>
      </c>
    </row>
    <row r="11" spans="1:23" x14ac:dyDescent="0.2">
      <c r="A11" s="99">
        <v>5</v>
      </c>
      <c r="B11" s="97">
        <f>C11*B4</f>
        <v>0.50599096775691954</v>
      </c>
      <c r="C11" s="97">
        <f>1/(1-D4*B4/(1-D4*B4/(1-D4*B4/(1-D4*B4))))</f>
        <v>1.4880538696274779</v>
      </c>
      <c r="D11" s="144">
        <f>C11*D4*C10</f>
        <v>1.4353031883263327</v>
      </c>
      <c r="E11" s="1">
        <f>D11*D4*C9</f>
        <v>1.3329209513786964</v>
      </c>
      <c r="F11" s="1">
        <f>E11*D4*C8</f>
        <v>1.1342102962013521</v>
      </c>
      <c r="G11" s="1">
        <f>F11*D4</f>
        <v>0.74853866352151177</v>
      </c>
      <c r="H11" s="1">
        <f>G11*D4</f>
        <v>0.49400903224308351</v>
      </c>
      <c r="I11" s="1"/>
      <c r="J11" s="1"/>
      <c r="K11" s="1"/>
      <c r="L11" s="1"/>
      <c r="M11" s="260"/>
      <c r="N11" s="97">
        <f>B11+H11</f>
        <v>1.0000000000000031</v>
      </c>
      <c r="R11" s="188">
        <f>B11-H11</f>
        <v>1.1981935513836028E-2</v>
      </c>
      <c r="S11" s="93">
        <f>SUM(C11:G11)*$B$4*$F$4</f>
        <v>13.469942215177426</v>
      </c>
      <c r="T11" s="260">
        <f>SUM(C11:G11)*$D$4*$H$4</f>
        <v>-26.43507966565997</v>
      </c>
      <c r="U11" s="264">
        <f t="shared" si="0"/>
        <v>-12.965137450482544</v>
      </c>
      <c r="V11" s="93">
        <f>(U11+W11*H11)/B11</f>
        <v>-20.741659353708108</v>
      </c>
      <c r="W11" s="9">
        <f t="shared" si="1"/>
        <v>5</v>
      </c>
    </row>
    <row r="12" spans="1:23" x14ac:dyDescent="0.2">
      <c r="A12" s="99">
        <v>6</v>
      </c>
      <c r="B12" s="97">
        <f>C12*B4</f>
        <v>0.51051468354230056</v>
      </c>
      <c r="C12" s="97">
        <f>1/(1-D4*B4/(1-D4*B4/(1-D4*B4/(1-D4*B4/(1-D4*B4)))))</f>
        <v>1.501357531567082</v>
      </c>
      <c r="D12" s="144">
        <f>C12*D4*C11</f>
        <v>1.474427534195988</v>
      </c>
      <c r="E12" s="1">
        <f>D12*D4*C10</f>
        <v>1.4221598989003137</v>
      </c>
      <c r="F12" s="1">
        <f>E12*D4*C9</f>
        <v>1.3207151916559696</v>
      </c>
      <c r="G12" s="1">
        <f>F12*D4*C8</f>
        <v>1.1238241601471795</v>
      </c>
      <c r="H12" s="1">
        <f>G12*D4</f>
        <v>0.74168418122031887</v>
      </c>
      <c r="I12" s="1">
        <f>H12*D4</f>
        <v>0.48948531645770332</v>
      </c>
      <c r="J12" s="1"/>
      <c r="K12" s="1"/>
      <c r="L12" s="1"/>
      <c r="M12" s="260"/>
      <c r="N12" s="97">
        <f>B12+I12</f>
        <v>1.000000000000004</v>
      </c>
      <c r="R12" s="188">
        <f>B12-I12</f>
        <v>2.1029367084597239E-2</v>
      </c>
      <c r="S12" s="93">
        <f>SUM(C12:H12)*$B$4*$F$4</f>
        <v>16.640798603582333</v>
      </c>
      <c r="T12" s="260">
        <f>SUM(C12:H12)*$D$4*$H$4</f>
        <v>-32.657960201955312</v>
      </c>
      <c r="U12" s="264">
        <f t="shared" si="0"/>
        <v>-16.017161598372979</v>
      </c>
      <c r="V12" s="93">
        <f>(U12+W12*I12)/B12</f>
        <v>-25.621691444537944</v>
      </c>
      <c r="W12" s="9">
        <f t="shared" si="1"/>
        <v>6</v>
      </c>
    </row>
    <row r="13" spans="1:23" x14ac:dyDescent="0.2">
      <c r="A13" s="99">
        <v>7</v>
      </c>
      <c r="B13" s="97">
        <f>C13*B4</f>
        <v>0.51281326203315414</v>
      </c>
      <c r="C13" s="97">
        <f>1/(1-D4*B4/(1-D4*B4/(1-D4*B4/(1-D4*B4/(1-D4*B4/(1-D4*B4))))))</f>
        <v>1.5081173530578094</v>
      </c>
      <c r="D13" s="144">
        <f>C13*D4*C12</f>
        <v>1.4943072932593957</v>
      </c>
      <c r="E13" s="1">
        <f>D13*D4*C11</f>
        <v>1.4675037567046627</v>
      </c>
      <c r="F13" s="1">
        <f>E13*D4*C10</f>
        <v>1.4154815654666932</v>
      </c>
      <c r="G13" s="1">
        <f>F13*D4*C9</f>
        <v>1.3145132333335992</v>
      </c>
      <c r="H13" s="1">
        <f>G13*D4*C8</f>
        <v>1.118546784186836</v>
      </c>
      <c r="I13" s="1">
        <f>H13*D4</f>
        <v>0.73820129981685567</v>
      </c>
      <c r="J13" s="1">
        <f>I13*D4</f>
        <v>0.48718673796685047</v>
      </c>
      <c r="K13" s="1"/>
      <c r="L13" s="1"/>
      <c r="M13" s="260"/>
      <c r="N13" s="97">
        <f>B13+J13</f>
        <v>1.0000000000000047</v>
      </c>
      <c r="R13" s="188">
        <f>B13-J13</f>
        <v>2.5626524066303669E-2</v>
      </c>
      <c r="S13" s="93">
        <f>SUM(C13:I13)*$B$4*$F$4</f>
        <v>19.871689682559296</v>
      </c>
      <c r="T13" s="260">
        <f>SUM(C13:I13)*$D$4*$H$4</f>
        <v>-38.998660236109174</v>
      </c>
      <c r="U13" s="264">
        <f t="shared" si="0"/>
        <v>-19.126970553549878</v>
      </c>
      <c r="V13" s="93">
        <f>(U13+W13*J13)/B13</f>
        <v>-30.647926938297118</v>
      </c>
      <c r="W13" s="9">
        <f t="shared" si="1"/>
        <v>7</v>
      </c>
    </row>
    <row r="14" spans="1:23" x14ac:dyDescent="0.2">
      <c r="A14" s="99">
        <v>8</v>
      </c>
      <c r="B14" s="97">
        <f>C14*B4</f>
        <v>0.51398915850194293</v>
      </c>
      <c r="C14" s="97">
        <f>1/(1-D4*B4/(1-D4*B4/(1-D4*B4/(1-D4*B4/(1-D4*B4/(1-D4*B4/(1-D4*B4)))))))</f>
        <v>1.5115755121993042</v>
      </c>
      <c r="D14" s="144">
        <f>C14*D4*C13</f>
        <v>1.5044772911846573</v>
      </c>
      <c r="E14" s="1">
        <f>D14*D4*C12</f>
        <v>1.4907005639860154</v>
      </c>
      <c r="F14" s="1">
        <f>E14*D4*C11</f>
        <v>1.4639617216881853</v>
      </c>
      <c r="G14" s="1">
        <f>F14*D4*C10</f>
        <v>1.4120650936197525</v>
      </c>
      <c r="H14" s="1">
        <f>G14*D4*C9</f>
        <v>1.3113404633281949</v>
      </c>
      <c r="I14" s="1">
        <f>H14*D4*C8</f>
        <v>1.1158470078768556</v>
      </c>
      <c r="J14" s="1">
        <f>I14*D4</f>
        <v>0.73641954297895007</v>
      </c>
      <c r="K14" s="1">
        <f>J14*D4</f>
        <v>0.48601084149806245</v>
      </c>
      <c r="L14" s="1"/>
      <c r="M14" s="260"/>
      <c r="N14" s="97">
        <f>B14+K14</f>
        <v>1.0000000000000053</v>
      </c>
      <c r="R14" s="188">
        <f>B14-K14</f>
        <v>2.7978317003880482E-2</v>
      </c>
      <c r="S14" s="93">
        <f>SUM(C14:J14)*$B$4*$F$4</f>
        <v>23.140348924460916</v>
      </c>
      <c r="T14" s="260">
        <f>SUM(C14:J14)*$D$4*$H$4</f>
        <v>-45.413481181829688</v>
      </c>
      <c r="U14" s="264">
        <f t="shared" si="0"/>
        <v>-22.273132257368772</v>
      </c>
      <c r="V14" s="93">
        <f>(U14+W14*K14)/B14</f>
        <v>-35.769325522290707</v>
      </c>
      <c r="W14" s="9">
        <f t="shared" si="1"/>
        <v>8</v>
      </c>
    </row>
    <row r="15" spans="1:23" x14ac:dyDescent="0.2">
      <c r="A15" s="99">
        <v>9</v>
      </c>
      <c r="B15" s="97">
        <f>C15*B4</f>
        <v>0.5145928058488477</v>
      </c>
      <c r="C15" s="97">
        <f>1/(1-D4*B4/(1-D4*B4/(1-D4*B4/(1-D4*B4/(1-D4*B4/(1-D4*B4/(1-D4*B4/(1-D4*B4))))))))</f>
        <v>1.5133507608256465</v>
      </c>
      <c r="D15" s="144">
        <f>C15*D4*C14</f>
        <v>1.5096980673571851</v>
      </c>
      <c r="E15" s="1">
        <f>D15*D4*C13</f>
        <v>1.5026086626526229</v>
      </c>
      <c r="F15" s="1">
        <f>E15*D4*C12</f>
        <v>1.488849046769434</v>
      </c>
      <c r="G15" s="1">
        <f>F15*D4*C11</f>
        <v>1.4621434153176061</v>
      </c>
      <c r="H15" s="1">
        <f>G15*D4*C10</f>
        <v>1.4103112451977866</v>
      </c>
      <c r="I15" s="1">
        <f>H15*D4*C9</f>
        <v>1.3097117194319963</v>
      </c>
      <c r="J15" s="1">
        <f>I15*D4*C8</f>
        <v>1.1144610756540689</v>
      </c>
      <c r="K15" s="1">
        <f>J15*D4</f>
        <v>0.7355048767506055</v>
      </c>
      <c r="L15" s="1">
        <f>K15*D4</f>
        <v>0.48540719415115829</v>
      </c>
      <c r="M15" s="260"/>
      <c r="N15" s="97">
        <f>B15+L15</f>
        <v>1.000000000000006</v>
      </c>
      <c r="R15" s="188">
        <f>B15-L15</f>
        <v>2.9185611697689406E-2</v>
      </c>
      <c r="S15" s="93">
        <f>SUM(C15:K15)*$B$4*$F$4</f>
        <v>26.432125202147301</v>
      </c>
      <c r="T15" s="260">
        <f>SUM(C15:K15)*$D$4*$H$4</f>
        <v>-51.873669856144879</v>
      </c>
      <c r="U15" s="264">
        <f t="shared" si="0"/>
        <v>-25.441544653997578</v>
      </c>
      <c r="V15" s="93">
        <f>(U15+W15*L15)/B15</f>
        <v>-40.950591743847525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0.51490323977104568</v>
      </c>
      <c r="C16" s="145">
        <f>1/(1-D4*B4/(1-D4*B4/(1-D4*B4/(1-D4*B4/(1-D4*B4/(1-D4*B4/(1-D4*B4/(1-D4*B4/(1-D4*B4)))))))))</f>
        <v>1.5142637067646583</v>
      </c>
      <c r="D16" s="153">
        <f>C16*D4*C15</f>
        <v>1.5123829230638581</v>
      </c>
      <c r="E16" s="111">
        <f>D16*D4*C14</f>
        <v>1.5087325656134323</v>
      </c>
      <c r="F16" s="111">
        <f>E16*D4*C13</f>
        <v>1.5016476948171744</v>
      </c>
      <c r="G16" s="111">
        <f>F16*D4*C12</f>
        <v>1.487896878662498</v>
      </c>
      <c r="H16" s="111">
        <f>G16*D4*C11</f>
        <v>1.4612083263434399</v>
      </c>
      <c r="I16" s="111">
        <f>H16*D4*C10</f>
        <v>1.4094093046072047</v>
      </c>
      <c r="J16" s="111">
        <f>I16*D4*C9</f>
        <v>1.3088741155585686</v>
      </c>
      <c r="K16" s="111">
        <f>J16*D4*C8</f>
        <v>1.1137483410118554</v>
      </c>
      <c r="L16" s="111">
        <f>K16*D4</f>
        <v>0.73503449710556534</v>
      </c>
      <c r="M16" s="262">
        <f>L16*D4</f>
        <v>0.48509676022896125</v>
      </c>
      <c r="N16" s="145">
        <f>B16+M16</f>
        <v>1.0000000000000069</v>
      </c>
      <c r="R16" s="189">
        <f>B16-M16</f>
        <v>2.980647954208443E-2</v>
      </c>
      <c r="S16" s="94">
        <f>SUM(C16:L16)*$B$4*$F$4</f>
        <v>29.737741758320375</v>
      </c>
      <c r="T16" s="262">
        <f>SUM(C16:L16)*$D$4*$H$4</f>
        <v>-58.36102040380338</v>
      </c>
      <c r="U16" s="265">
        <f t="shared" si="0"/>
        <v>-28.623278645483005</v>
      </c>
      <c r="V16" s="94">
        <f>(U16+W16*M16)/B16</f>
        <v>-46.168501588305929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-15.628456153353872</v>
      </c>
      <c r="F21" s="8">
        <f t="shared" ref="F21:F30" si="4">U7/E21</f>
        <v>0.13513302708653205</v>
      </c>
      <c r="G21" s="284">
        <f>E21*U7</f>
        <v>33.006058319735835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79">
        <f>R21/R7</f>
        <v>-46.885368460061613</v>
      </c>
      <c r="T21" s="8">
        <f>U7/S21</f>
        <v>4.5044342362177352E-2</v>
      </c>
      <c r="U21" s="284">
        <f>S21*U7</f>
        <v>99.018174959207485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-243.5947332507474</v>
      </c>
      <c r="F22" s="9">
        <f t="shared" si="4"/>
        <v>1.855568792155933E-2</v>
      </c>
      <c r="G22" s="285">
        <f t="shared" ref="G22:G30" si="5">E22*U8</f>
        <v>1101.0647220830892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80">
        <f t="shared" ref="S22:S30" si="7">R22/R8</f>
        <v>-811.98244416915793</v>
      </c>
      <c r="T22" s="9">
        <f>U8/S22</f>
        <v>5.5667063764677999E-3</v>
      </c>
      <c r="U22" s="285">
        <f t="shared" ref="U22:U30" si="8">S22*U8</f>
        <v>3670.2157402769635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-3601.3775151264158</v>
      </c>
      <c r="F23" s="9">
        <f t="shared" si="4"/>
        <v>1.9907471181084156E-3</v>
      </c>
      <c r="G23" s="285">
        <f t="shared" si="5"/>
        <v>25819.830874953183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80">
        <f t="shared" si="7"/>
        <v>-12430.56110059763</v>
      </c>
      <c r="T23" s="9">
        <f t="shared" ref="T23:T30" si="11">U9/S23</f>
        <v>5.7675851085384005E-4</v>
      </c>
      <c r="U23" s="285">
        <f t="shared" si="8"/>
        <v>89120.06140709648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-128629.41163885496</v>
      </c>
      <c r="F24" s="9">
        <f t="shared" si="4"/>
        <v>7.7757416553625531E-5</v>
      </c>
      <c r="G24" s="285">
        <f t="shared" si="5"/>
        <v>1286537.3214003034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80">
        <f t="shared" si="7"/>
        <v>-448553.84571498138</v>
      </c>
      <c r="T24" s="9">
        <f t="shared" si="11"/>
        <v>2.2298082688172026E-5</v>
      </c>
      <c r="U24" s="285">
        <f t="shared" si="8"/>
        <v>4486386.5566779813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325907.27896096068</v>
      </c>
      <c r="F25" s="9">
        <f t="shared" si="4"/>
        <v>-3.9781674996082531E-5</v>
      </c>
      <c r="G25" s="285">
        <f t="shared" si="5"/>
        <v>-4225432.6678416133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80">
        <f t="shared" si="7"/>
        <v>1139632.239234806</v>
      </c>
      <c r="T25" s="9">
        <f t="shared" si="11"/>
        <v>-1.1376597646261611E-5</v>
      </c>
      <c r="U25" s="285">
        <f t="shared" si="8"/>
        <v>-14775488.624680465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928701.27386309044</v>
      </c>
      <c r="F26" s="9">
        <f t="shared" si="4"/>
        <v>-1.7246839268074739E-5</v>
      </c>
      <c r="G26" s="285">
        <f t="shared" si="5"/>
        <v>-14875158.38007996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80">
        <f t="shared" si="7"/>
        <v>3249741.1702920431</v>
      </c>
      <c r="T26" s="9">
        <f t="shared" si="11"/>
        <v>-4.9287499400863273E-6</v>
      </c>
      <c r="U26" s="285">
        <f t="shared" si="8"/>
        <v>-52051629.477453381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3810700.1849855483</v>
      </c>
      <c r="F27" s="9">
        <f t="shared" si="4"/>
        <v>-5.0192798239314691E-6</v>
      </c>
      <c r="G27" s="285">
        <f t="shared" si="5"/>
        <v>-72887150.226625651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80">
        <f t="shared" si="7"/>
        <v>13336767.761235327</v>
      </c>
      <c r="T27" s="9">
        <f t="shared" si="11"/>
        <v>-1.4341533792876235E-6</v>
      </c>
      <c r="U27" s="285">
        <f t="shared" si="8"/>
        <v>-255091964.24868143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17452086.197046001</v>
      </c>
      <c r="F28" s="9">
        <f t="shared" si="4"/>
        <v>-1.2762446853568026E-6</v>
      </c>
      <c r="G28" s="285">
        <f t="shared" si="5"/>
        <v>-388712624.03380555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80">
        <f t="shared" si="7"/>
        <v>61081586.850380383</v>
      </c>
      <c r="T28" s="9">
        <f t="shared" si="11"/>
        <v>-3.6464560607973245E-7</v>
      </c>
      <c r="U28" s="285">
        <f t="shared" si="8"/>
        <v>-1360478262.4084795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83650979.300642297</v>
      </c>
      <c r="F29" s="9">
        <f t="shared" si="4"/>
        <v>-3.0413923263899233E-7</v>
      </c>
      <c r="G29" s="285">
        <f t="shared" si="5"/>
        <v>-2128210125.2279181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80">
        <f t="shared" si="7"/>
        <v>292777656.62442803</v>
      </c>
      <c r="T29" s="9">
        <f t="shared" si="11"/>
        <v>-8.6897152423874037E-8</v>
      </c>
      <c r="U29" s="285">
        <f t="shared" si="8"/>
        <v>-7448715824.7031555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409542830.53671682</v>
      </c>
      <c r="F30" s="10">
        <f t="shared" si="4"/>
        <v>-6.9890806311934294E-8</v>
      </c>
      <c r="G30" s="286">
        <f t="shared" si="5"/>
        <v>-11722458555.712271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81">
        <f t="shared" si="7"/>
        <v>1433399068.134706</v>
      </c>
      <c r="T30" s="10">
        <f t="shared" si="11"/>
        <v>-1.9968813488019573E-8</v>
      </c>
      <c r="U30" s="286">
        <f t="shared" si="8"/>
        <v>-41028580937.39537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-15.628456153353872</v>
      </c>
      <c r="F33" s="8">
        <f t="shared" ref="F33:F42" si="14">U7/E33</f>
        <v>0.13513302708653205</v>
      </c>
      <c r="G33" s="287">
        <f>E33*U7</f>
        <v>33.006058319735835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9">
        <f>R33/R7</f>
        <v>-46.885368460061613</v>
      </c>
      <c r="T33" s="8">
        <f>U7/S33</f>
        <v>4.5044342362177352E-2</v>
      </c>
      <c r="U33" s="287">
        <f>S33*U7</f>
        <v>99.018174959207485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-284.19385545920528</v>
      </c>
      <c r="F34" s="9">
        <f t="shared" si="14"/>
        <v>1.5904875361336571E-2</v>
      </c>
      <c r="G34" s="285">
        <f t="shared" ref="G34:G42" si="16">E34*U8</f>
        <v>1284.5755090969374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0">
        <f>R34/R8</f>
        <v>-852.5815663776159</v>
      </c>
      <c r="T34" s="9">
        <f t="shared" ref="T34:T42" si="18">U8/S34</f>
        <v>5.3016251204455233E-3</v>
      </c>
      <c r="U34" s="285">
        <f t="shared" ref="U34:U42" si="19">S34*U8</f>
        <v>3853.7265272908121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-4995.4591338850287</v>
      </c>
      <c r="F35" s="9">
        <f t="shared" si="14"/>
        <v>1.4351897828223461E-3</v>
      </c>
      <c r="G35" s="285">
        <f t="shared" si="16"/>
        <v>35814.604116870541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0">
        <f t="shared" ref="S35:S42" si="21">R35/R9</f>
        <v>-13243.775378206819</v>
      </c>
      <c r="T35" s="9">
        <f t="shared" si="18"/>
        <v>5.4134351457334109E-4</v>
      </c>
      <c r="U35" s="285">
        <f t="shared" si="19"/>
        <v>94950.345798214927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-213557.80522091946</v>
      </c>
      <c r="F36" s="9">
        <f t="shared" si="14"/>
        <v>4.6834582943496459E-5</v>
      </c>
      <c r="G36" s="285">
        <f t="shared" si="16"/>
        <v>2135981.8348889654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0">
        <f t="shared" si="21"/>
        <v>-479886.65111418965</v>
      </c>
      <c r="T36" s="9">
        <f t="shared" si="18"/>
        <v>2.0842194127775915E-5</v>
      </c>
      <c r="U36" s="285">
        <f t="shared" si="19"/>
        <v>4799773.8529165164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648893.49396196392</v>
      </c>
      <c r="F37" s="9">
        <f t="shared" si="14"/>
        <v>-1.9980378245620875E-5</v>
      </c>
      <c r="G37" s="285">
        <f t="shared" si="16"/>
        <v>-8412993.3399407268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0">
        <f t="shared" si="21"/>
        <v>1220587.4404107681</v>
      </c>
      <c r="T37" s="9">
        <f t="shared" si="18"/>
        <v>-1.0622047238270242E-5</v>
      </c>
      <c r="U37" s="285">
        <f t="shared" si="19"/>
        <v>-15825083.93525828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2218564.1542284936</v>
      </c>
      <c r="F38" s="9">
        <f t="shared" si="14"/>
        <v>-7.2196071354731471E-6</v>
      </c>
      <c r="G38" s="285">
        <f t="shared" si="16"/>
        <v>-35535100.574635454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0">
        <f t="shared" si="21"/>
        <v>3481559.8446434289</v>
      </c>
      <c r="T38" s="9">
        <f t="shared" si="18"/>
        <v>-4.6005705238748838E-6</v>
      </c>
      <c r="U38" s="285">
        <f t="shared" si="19"/>
        <v>-55764706.646060124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10923642.990977723</v>
      </c>
      <c r="F39" s="9">
        <f t="shared" si="14"/>
        <v>-1.7509699437584707E-6</v>
      </c>
      <c r="G39" s="285">
        <f t="shared" si="16"/>
        <v>-208936197.82592243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0">
        <f t="shared" si="21"/>
        <v>14289101.364374667</v>
      </c>
      <c r="T39" s="9">
        <f t="shared" si="18"/>
        <v>-1.3385705696816526E-6</v>
      </c>
      <c r="U39" s="285">
        <f t="shared" si="19"/>
        <v>-273307221.03308368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60032738.915891334</v>
      </c>
      <c r="F40" s="9">
        <f t="shared" si="14"/>
        <v>-3.7101642636319608E-7</v>
      </c>
      <c r="G40" s="285">
        <f t="shared" si="16"/>
        <v>-1337117133.6457369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0">
        <f t="shared" si="21"/>
        <v>65444250.980001576</v>
      </c>
      <c r="T40" s="9">
        <f t="shared" si="18"/>
        <v>-3.403374921988944E-7</v>
      </c>
      <c r="U40" s="285">
        <f t="shared" si="19"/>
        <v>-1457648457.562011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345296686.06527239</v>
      </c>
      <c r="F41" s="9">
        <f t="shared" si="14"/>
        <v>-7.3680245657464231E-8</v>
      </c>
      <c r="G41" s="285">
        <f t="shared" si="16"/>
        <v>-8784881057.407011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0">
        <f t="shared" si="21"/>
        <v>313690015.98567867</v>
      </c>
      <c r="T41" s="9">
        <f t="shared" si="18"/>
        <v>-8.1104094352684461E-8</v>
      </c>
      <c r="U41" s="285">
        <f t="shared" si="19"/>
        <v>-7980758549.2128582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2028625182.4750543</v>
      </c>
      <c r="F42" s="10">
        <f t="shared" si="14"/>
        <v>-1.4109693053578656E-8</v>
      </c>
      <c r="G42" s="286">
        <f t="shared" si="16"/>
        <v>-58065903865.227287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1">
        <f t="shared" si="21"/>
        <v>1535784356.3969839</v>
      </c>
      <c r="T42" s="10">
        <f t="shared" si="18"/>
        <v>-1.8637563617742823E-8</v>
      </c>
      <c r="U42" s="286">
        <f t="shared" si="19"/>
        <v>-43959183572.524651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-15.628456153353872</v>
      </c>
      <c r="F45" s="8">
        <f t="shared" ref="F45:F54" si="24">U7/E45</f>
        <v>0.13513302708653205</v>
      </c>
      <c r="G45" s="284">
        <f>E45*U7</f>
        <v>33.006058319735835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9">
        <f>R45/R7</f>
        <v>-46.885368460061613</v>
      </c>
      <c r="T45" s="8">
        <f>U7/S45</f>
        <v>4.5044342362177352E-2</v>
      </c>
      <c r="U45" s="287">
        <f>S45*U7</f>
        <v>99.018174959207485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-446.59034429303688</v>
      </c>
      <c r="F46" s="9">
        <f t="shared" si="24"/>
        <v>1.0121284320850544E-2</v>
      </c>
      <c r="G46" s="285">
        <f t="shared" ref="G46:G54" si="26">E46*U8</f>
        <v>2018.6186571523301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0">
        <f t="shared" ref="S46:S54" si="28">R46/R8</f>
        <v>-1420.9692772960263</v>
      </c>
      <c r="T46" s="9">
        <f t="shared" ref="T46:T54" si="29">U8/S46</f>
        <v>3.180975072267314E-3</v>
      </c>
      <c r="U46" s="285">
        <f t="shared" ref="U46:U54" si="30">S46*U8</f>
        <v>6422.8775454846864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-12895.254973517167</v>
      </c>
      <c r="F47" s="9">
        <f t="shared" si="24"/>
        <v>5.559744203726206E-4</v>
      </c>
      <c r="G47" s="285">
        <f t="shared" si="26"/>
        <v>92451.652487735584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0">
        <f t="shared" si="28"/>
        <v>-41473.928158068724</v>
      </c>
      <c r="T47" s="9">
        <f t="shared" si="29"/>
        <v>1.7286599625031062E-4</v>
      </c>
      <c r="U47" s="285">
        <f t="shared" si="30"/>
        <v>297344.50394704146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-916072.28417158884</v>
      </c>
      <c r="F48" s="9">
        <f t="shared" si="24"/>
        <v>1.0918233107439768E-5</v>
      </c>
      <c r="G48" s="285">
        <f t="shared" si="26"/>
        <v>9162454.8979213908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0">
        <f t="shared" si="28"/>
        <v>-2951055.5400991146</v>
      </c>
      <c r="T48" s="9">
        <f t="shared" si="29"/>
        <v>3.3892587265620516E-6</v>
      </c>
      <c r="U48" s="285">
        <f t="shared" si="30"/>
        <v>29516135.085203115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4636563.0941552287</v>
      </c>
      <c r="F49" s="9">
        <f t="shared" si="24"/>
        <v>-2.7962818982936244E-6</v>
      </c>
      <c r="G49" s="285">
        <f t="shared" si="26"/>
        <v>-60113677.813557178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0">
        <f t="shared" si="28"/>
        <v>14939572.97577638</v>
      </c>
      <c r="T49" s="9">
        <f t="shared" si="29"/>
        <v>-8.6783855679842625E-7</v>
      </c>
      <c r="U49" s="285">
        <f t="shared" si="30"/>
        <v>-193693617.08245528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26418056.129083931</v>
      </c>
      <c r="F50" s="9">
        <f t="shared" si="24"/>
        <v>-6.062959939258933E-7</v>
      </c>
      <c r="G50" s="285">
        <f t="shared" si="26"/>
        <v>-423142274.13442504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0">
        <f t="shared" si="28"/>
        <v>85124530.510057658</v>
      </c>
      <c r="T50" s="9">
        <f t="shared" si="29"/>
        <v>-1.8816152644131781E-7</v>
      </c>
      <c r="U50" s="285">
        <f t="shared" si="30"/>
        <v>-1363453361.1652246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216789252.63629499</v>
      </c>
      <c r="F51" s="9">
        <f t="shared" si="24"/>
        <v>-8.8228407639925724E-8</v>
      </c>
      <c r="G51" s="285">
        <f t="shared" si="26"/>
        <v>-4146521651.5004997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0">
        <f t="shared" si="28"/>
        <v>698542843.87863314</v>
      </c>
      <c r="T51" s="9">
        <f t="shared" si="29"/>
        <v>-2.7381241853897014E-8</v>
      </c>
      <c r="U51" s="285">
        <f t="shared" si="30"/>
        <v>-13361008405.259605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1985664648.5310273</v>
      </c>
      <c r="F52" s="9">
        <f t="shared" si="24"/>
        <v>-1.1216965701558009E-8</v>
      </c>
      <c r="G52" s="285">
        <f t="shared" si="26"/>
        <v>-44226971335.513252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0">
        <f t="shared" si="28"/>
        <v>6398252438.6714077</v>
      </c>
      <c r="T52" s="9">
        <f t="shared" si="29"/>
        <v>-3.4811274595464025E-9</v>
      </c>
      <c r="U52" s="285">
        <f t="shared" si="30"/>
        <v>-142509122782.56055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19035254794.539143</v>
      </c>
      <c r="F53" s="9">
        <f t="shared" si="24"/>
        <v>-1.3365486792063471E-9</v>
      </c>
      <c r="G53" s="285">
        <f t="shared" si="26"/>
        <v>-484286284855.48907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0">
        <f t="shared" si="28"/>
        <v>61335820661.991547</v>
      </c>
      <c r="T53" s="9">
        <f t="shared" si="29"/>
        <v>-4.1479097172597449E-10</v>
      </c>
      <c r="U53" s="285">
        <f t="shared" si="30"/>
        <v>-1560478020261.6453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186387511720.59714</v>
      </c>
      <c r="F54" s="10">
        <f t="shared" si="24"/>
        <v>-1.5356865050267169E-10</v>
      </c>
      <c r="G54" s="286">
        <f t="shared" si="26"/>
        <v>-5335021684016.8809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1">
        <f t="shared" si="28"/>
        <v>600581981838.03796</v>
      </c>
      <c r="T54" s="10">
        <f t="shared" si="29"/>
        <v>-4.7659236392479706E-11</v>
      </c>
      <c r="U54" s="286">
        <f t="shared" si="30"/>
        <v>-17190625415606.574</v>
      </c>
    </row>
  </sheetData>
  <mergeCells count="2">
    <mergeCell ref="A18:F18"/>
    <mergeCell ref="O18:T18"/>
  </mergeCells>
  <conditionalFormatting sqref="F45:F54">
    <cfRule type="cellIs" dxfId="485" priority="53" operator="equal">
      <formula>MAX($F$45:$F$54)</formula>
    </cfRule>
  </conditionalFormatting>
  <conditionalFormatting sqref="F21:F30">
    <cfRule type="cellIs" dxfId="484" priority="51" operator="equal">
      <formula>MAX($F$21:$F$30)</formula>
    </cfRule>
  </conditionalFormatting>
  <conditionalFormatting sqref="F33:F42">
    <cfRule type="cellIs" dxfId="483" priority="32" operator="lessThanOrEqual">
      <formula>0</formula>
    </cfRule>
    <cfRule type="cellIs" dxfId="482" priority="49" operator="equal">
      <formula>MAX($F$33:$F$42)</formula>
    </cfRule>
  </conditionalFormatting>
  <conditionalFormatting sqref="E33:E42">
    <cfRule type="cellIs" dxfId="481" priority="47" stopIfTrue="1" operator="lessThan">
      <formula>0</formula>
    </cfRule>
    <cfRule type="cellIs" dxfId="480" priority="48" operator="equal">
      <formula>MIN($E$33:$E$42)</formula>
    </cfRule>
  </conditionalFormatting>
  <conditionalFormatting sqref="E21:E30">
    <cfRule type="cellIs" dxfId="479" priority="43" stopIfTrue="1" operator="lessThan">
      <formula>0</formula>
    </cfRule>
    <cfRule type="cellIs" dxfId="478" priority="44" operator="equal">
      <formula>MIN($E$21:$E$30)</formula>
    </cfRule>
  </conditionalFormatting>
  <conditionalFormatting sqref="E45:E54">
    <cfRule type="cellIs" dxfId="477" priority="39" stopIfTrue="1" operator="lessThan">
      <formula>0</formula>
    </cfRule>
    <cfRule type="cellIs" dxfId="476" priority="40" operator="equal">
      <formula>MIN($E$45:$E$54)</formula>
    </cfRule>
  </conditionalFormatting>
  <conditionalFormatting sqref="S7:T16">
    <cfRule type="cellIs" dxfId="475" priority="13" operator="lessThanOrEqual">
      <formula>0</formula>
    </cfRule>
    <cfRule type="cellIs" dxfId="474" priority="14" operator="greaterThan">
      <formula>0</formula>
    </cfRule>
  </conditionalFormatting>
  <conditionalFormatting sqref="U7:U16">
    <cfRule type="cellIs" dxfId="473" priority="15" operator="lessThanOrEqual">
      <formula>0</formula>
    </cfRule>
    <cfRule type="cellIs" dxfId="472" priority="16" operator="greaterThan">
      <formula>0</formula>
    </cfRule>
  </conditionalFormatting>
  <conditionalFormatting sqref="R7:R16">
    <cfRule type="cellIs" dxfId="471" priority="17" operator="lessThanOrEqual">
      <formula>0</formula>
    </cfRule>
    <cfRule type="cellIs" dxfId="470" priority="18" operator="greaterThan">
      <formula>0</formula>
    </cfRule>
  </conditionalFormatting>
  <conditionalFormatting sqref="T21:T30">
    <cfRule type="cellIs" dxfId="469" priority="9" operator="equal">
      <formula>MAX($T$21:$T$30)</formula>
    </cfRule>
  </conditionalFormatting>
  <conditionalFormatting sqref="S33:S42">
    <cfRule type="cellIs" dxfId="468" priority="7" stopIfTrue="1" operator="lessThan">
      <formula>0</formula>
    </cfRule>
    <cfRule type="cellIs" dxfId="467" priority="8" operator="equal">
      <formula>MIN($E$21:$E$30)</formula>
    </cfRule>
  </conditionalFormatting>
  <conditionalFormatting sqref="T33:T42">
    <cfRule type="cellIs" dxfId="466" priority="6" operator="equal">
      <formula>MAX($T$21:$T$30)</formula>
    </cfRule>
  </conditionalFormatting>
  <conditionalFormatting sqref="S45:S54">
    <cfRule type="cellIs" dxfId="465" priority="4" stopIfTrue="1" operator="lessThan">
      <formula>0</formula>
    </cfRule>
    <cfRule type="cellIs" dxfId="464" priority="5" operator="equal">
      <formula>MIN($E$21:$E$30)</formula>
    </cfRule>
  </conditionalFormatting>
  <conditionalFormatting sqref="T45:T54">
    <cfRule type="cellIs" dxfId="463" priority="3" operator="equal">
      <formula>MAX($T$21:$T$30)</formula>
    </cfRule>
  </conditionalFormatting>
  <conditionalFormatting sqref="S21:S30">
    <cfRule type="cellIs" dxfId="462" priority="1" stopIfTrue="1" operator="lessThan">
      <formula>0</formula>
    </cfRule>
    <cfRule type="cellIs" dxfId="46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>
    <pageSetUpPr fitToPage="1"/>
  </sheetPr>
  <dimension ref="A1:W54"/>
  <sheetViews>
    <sheetView topLeftCell="A15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Analysis!B29</f>
        <v>0.34744525495359418</v>
      </c>
      <c r="D2" s="149" t="s">
        <v>126</v>
      </c>
      <c r="E2" s="155">
        <f>Analysis!J29</f>
        <v>0.65255474504640654</v>
      </c>
      <c r="F2" s="149" t="s">
        <v>47</v>
      </c>
      <c r="G2" s="155">
        <f>Analysis!S29</f>
        <v>7.93225714155031</v>
      </c>
      <c r="H2" t="s">
        <v>155</v>
      </c>
      <c r="I2" s="169">
        <f>Analysis!T29</f>
        <v>-8.0207528485954676</v>
      </c>
      <c r="J2" t="s">
        <v>48</v>
      </c>
      <c r="K2" s="169">
        <f>C2*G2+E2*I2</f>
        <v>-2.477955225292038</v>
      </c>
      <c r="L2" t="s">
        <v>47</v>
      </c>
      <c r="M2" s="176">
        <v>2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0.34744525495359418</v>
      </c>
      <c r="C4" t="s">
        <v>124</v>
      </c>
      <c r="D4">
        <f>$E$2</f>
        <v>0.65255474504640654</v>
      </c>
      <c r="E4" t="s">
        <v>47</v>
      </c>
      <c r="F4">
        <f>G2</f>
        <v>7.93225714155031</v>
      </c>
      <c r="G4" t="s">
        <v>155</v>
      </c>
      <c r="H4">
        <f>I2</f>
        <v>-8.0207528485954676</v>
      </c>
      <c r="I4" t="s">
        <v>48</v>
      </c>
      <c r="J4">
        <f>K2</f>
        <v>-2.477955225292038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0.34744525495359418</v>
      </c>
      <c r="C7" s="95">
        <v>1</v>
      </c>
      <c r="D7" s="22">
        <f>C7*D4</f>
        <v>0.65255474504640654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1.0000000000000007</v>
      </c>
      <c r="R7" s="187">
        <f>B7-D7</f>
        <v>-0.30510949009281235</v>
      </c>
      <c r="S7" s="109">
        <f>SUM(C7)*$B$4*$F$4</f>
        <v>2.7560251049034159</v>
      </c>
      <c r="T7" s="261">
        <f>SUM(C7)*$D$4*$H$4</f>
        <v>-5.2339803301954539</v>
      </c>
      <c r="U7" s="263">
        <f>S7+T7</f>
        <v>-2.477955225292038</v>
      </c>
      <c r="V7" s="109">
        <f>(U7+W7*D7)/B7</f>
        <v>-5.2537787010199271</v>
      </c>
      <c r="W7" s="57">
        <f>COUNT(D7:M7)</f>
        <v>1</v>
      </c>
    </row>
    <row r="8" spans="1:23" x14ac:dyDescent="0.2">
      <c r="A8" s="99">
        <v>2</v>
      </c>
      <c r="B8" s="97">
        <f>C8*B4</f>
        <v>0.44931774071170755</v>
      </c>
      <c r="C8" s="97">
        <f>1/(1-B4*D4)</f>
        <v>1.2932044237349558</v>
      </c>
      <c r="D8" s="144">
        <f>C8*D4</f>
        <v>0.84388668302324921</v>
      </c>
      <c r="E8" s="1">
        <f>D8*D4</f>
        <v>0.55068225928829406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1.0000000000000016</v>
      </c>
      <c r="R8" s="188">
        <f>B8-E8</f>
        <v>-0.10136451857658652</v>
      </c>
      <c r="S8" s="93">
        <f>SUM(C8:D8)*$B$4*$F$4</f>
        <v>5.8898767416914382</v>
      </c>
      <c r="T8" s="260">
        <f>SUM(C8:D8)*$D$4*$H$4</f>
        <v>-11.185492816608077</v>
      </c>
      <c r="U8" s="264">
        <f>S8+T8</f>
        <v>-5.295616074916639</v>
      </c>
      <c r="V8" s="93">
        <f>(U8+W8*E8)/B8</f>
        <v>-9.3347116668406329</v>
      </c>
      <c r="W8" s="9">
        <f>COUNT(D8:M8)</f>
        <v>2</v>
      </c>
    </row>
    <row r="9" spans="1:23" x14ac:dyDescent="0.2">
      <c r="A9" s="99">
        <v>3</v>
      </c>
      <c r="B9" s="97">
        <f>C9*B4</f>
        <v>0.49157814030135388</v>
      </c>
      <c r="C9" s="97">
        <f>1/(1-D4*B4/(1-D4*B4))</f>
        <v>1.414836246265647</v>
      </c>
      <c r="D9" s="144">
        <f>C9*D4*C8</f>
        <v>1.1939614668821819</v>
      </c>
      <c r="E9" s="1">
        <f>D9*(D4)</f>
        <v>0.77912522061653577</v>
      </c>
      <c r="F9" s="1">
        <f>E9*D4</f>
        <v>0.50842185969864873</v>
      </c>
      <c r="G9" s="1"/>
      <c r="H9" s="1"/>
      <c r="I9" s="1"/>
      <c r="J9" s="1"/>
      <c r="K9" s="1"/>
      <c r="L9" s="1"/>
      <c r="M9" s="260"/>
      <c r="N9" s="97">
        <f>B9+F9</f>
        <v>1.0000000000000027</v>
      </c>
      <c r="R9" s="188">
        <f>B9-F9</f>
        <v>-1.6843719397294843E-2</v>
      </c>
      <c r="S9" s="93">
        <f>SUM(C9:E9)*$B$4*$F$4</f>
        <v>9.3372006589326197</v>
      </c>
      <c r="T9" s="260">
        <f>SUM(C9:E9)*$D$4*$H$4</f>
        <v>-17.732321995540762</v>
      </c>
      <c r="U9" s="264">
        <f t="shared" ref="U9:U16" si="0">S9+T9</f>
        <v>-8.3951213366081419</v>
      </c>
      <c r="V9" s="93">
        <f>(U9+W9*F9)/B9</f>
        <v>-13.975104249551746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0.51153690700208376</v>
      </c>
      <c r="C10" s="97">
        <f>1/(1-D4*B4/(1-D4*B4/(1-D4*B4)))</f>
        <v>1.4722805958895773</v>
      </c>
      <c r="D10" s="144">
        <f>C10*D4*C9</f>
        <v>1.3592949944089934</v>
      </c>
      <c r="E10" s="1">
        <f>D10*D4*C8</f>
        <v>1.1470909440819115</v>
      </c>
      <c r="F10" s="1">
        <f>E10*D4</f>
        <v>0.7485396385604135</v>
      </c>
      <c r="G10" s="1">
        <f>F10*D4</f>
        <v>0.48846309299791996</v>
      </c>
      <c r="H10" s="1"/>
      <c r="I10" s="1"/>
      <c r="J10" s="1"/>
      <c r="K10" s="1"/>
      <c r="L10" s="1"/>
      <c r="M10" s="260"/>
      <c r="N10" s="97">
        <f>B10+G10</f>
        <v>1.0000000000000038</v>
      </c>
      <c r="R10" s="188">
        <f>B10-G10</f>
        <v>2.3073814004163806E-2</v>
      </c>
      <c r="S10" s="93">
        <f>SUM(C10:F10)*$B$4*$F$4</f>
        <v>13.028298888679506</v>
      </c>
      <c r="T10" s="260">
        <f>SUM(C10:F10)*$D$4*$H$4</f>
        <v>-24.74210412595118</v>
      </c>
      <c r="U10" s="264">
        <f t="shared" si="0"/>
        <v>-11.713805237271673</v>
      </c>
      <c r="V10" s="93">
        <f>(U10+W10*G10)/B10</f>
        <v>-19.079665087078919</v>
      </c>
      <c r="W10" s="9">
        <f t="shared" si="1"/>
        <v>4</v>
      </c>
    </row>
    <row r="11" spans="1:23" x14ac:dyDescent="0.2">
      <c r="A11" s="99">
        <v>5</v>
      </c>
      <c r="B11" s="97">
        <f>C11*B4</f>
        <v>0.52153752418249177</v>
      </c>
      <c r="C11" s="97">
        <f>1/(1-D4*B4/(1-D4*B4/(1-D4*B4/(1-D4*B4))))</f>
        <v>1.501063884876338</v>
      </c>
      <c r="D11" s="144">
        <f>C11*D4*C10</f>
        <v>1.4421376540118864</v>
      </c>
      <c r="E11" s="1">
        <f>D11*D4*C9</f>
        <v>1.3314652789828048</v>
      </c>
      <c r="F11" s="1">
        <f>E11*D4*C8</f>
        <v>1.1236058178414241</v>
      </c>
      <c r="G11" s="1">
        <f>F11*D4</f>
        <v>0.73321430799416965</v>
      </c>
      <c r="H11" s="1">
        <f>G11*D4</f>
        <v>0.47846247581751278</v>
      </c>
      <c r="I11" s="1"/>
      <c r="J11" s="1"/>
      <c r="K11" s="1"/>
      <c r="L11" s="1"/>
      <c r="M11" s="260"/>
      <c r="N11" s="97">
        <f>B11+H11</f>
        <v>1.0000000000000044</v>
      </c>
      <c r="R11" s="188">
        <f>B11-H11</f>
        <v>4.3075048364978996E-2</v>
      </c>
      <c r="S11" s="93">
        <f>SUM(C11:G11)*$B$4*$F$4</f>
        <v>16.898531947242972</v>
      </c>
      <c r="T11" s="260">
        <f>SUM(C11:G11)*$D$4*$H$4</f>
        <v>-32.092082058210714</v>
      </c>
      <c r="U11" s="264">
        <f t="shared" si="0"/>
        <v>-15.193550110967742</v>
      </c>
      <c r="V11" s="93">
        <f>(U11+W11*H11)/B11</f>
        <v>-24.545190208405565</v>
      </c>
      <c r="W11" s="9">
        <f t="shared" si="1"/>
        <v>5</v>
      </c>
    </row>
    <row r="12" spans="1:23" x14ac:dyDescent="0.2">
      <c r="A12" s="99">
        <v>6</v>
      </c>
      <c r="B12" s="97">
        <f>C12*B4</f>
        <v>0.52669697833804141</v>
      </c>
      <c r="C12" s="97">
        <f>1/(1-D4*B4/(1-D4*B4/(1-D4*B4/(1-D4*B4/(1-D4*B4)))))</f>
        <v>1.5159135743799079</v>
      </c>
      <c r="D12" s="144">
        <f>C12*D4*C11</f>
        <v>1.4848773066387531</v>
      </c>
      <c r="E12" s="1">
        <f>D12*D4*C10</f>
        <v>1.4265865011254431</v>
      </c>
      <c r="F12" s="1">
        <f>E12*D4*C9</f>
        <v>1.3171075510233059</v>
      </c>
      <c r="G12" s="1">
        <f>F12*D4*C8</f>
        <v>1.1114895224179326</v>
      </c>
      <c r="H12" s="1">
        <f>G12*D4</f>
        <v>0.72530776192318624</v>
      </c>
      <c r="I12" s="1">
        <f>H12*D4</f>
        <v>0.47330302166196453</v>
      </c>
      <c r="J12" s="1"/>
      <c r="K12" s="1"/>
      <c r="L12" s="1"/>
      <c r="M12" s="260"/>
      <c r="N12" s="97">
        <f>B12+I12</f>
        <v>1.000000000000006</v>
      </c>
      <c r="R12" s="188">
        <f>B12-I12</f>
        <v>5.3393956676076881E-2</v>
      </c>
      <c r="S12" s="93">
        <f>SUM(C12:H12)*$B$4*$F$4</f>
        <v>20.894204118811341</v>
      </c>
      <c r="T12" s="260">
        <f>SUM(C12:H12)*$D$4*$H$4</f>
        <v>-39.680282004100214</v>
      </c>
      <c r="U12" s="264">
        <f t="shared" si="0"/>
        <v>-18.786077885288872</v>
      </c>
      <c r="V12" s="93">
        <f>(U12+W12*I12)/B12</f>
        <v>-30.275965899091517</v>
      </c>
      <c r="W12" s="9">
        <f t="shared" si="1"/>
        <v>6</v>
      </c>
    </row>
    <row r="13" spans="1:23" x14ac:dyDescent="0.2">
      <c r="A13" s="99">
        <v>7</v>
      </c>
      <c r="B13" s="97">
        <f>C13*B4</f>
        <v>0.52939893397554949</v>
      </c>
      <c r="C13" s="97">
        <f>1/(1-D4*B4/(1-D4*B4/(1-D4*B4/(1-D4*B4/(1-D4*B4/(1-D4*B4))))))</f>
        <v>1.5236902114154864</v>
      </c>
      <c r="D13" s="144">
        <f>C13*D4*C12</f>
        <v>1.5072596443587412</v>
      </c>
      <c r="E13" s="1">
        <f>D13*D4*C11</f>
        <v>1.4764005540594203</v>
      </c>
      <c r="F13" s="1">
        <f>E13*D4*C10</f>
        <v>1.4184425145825883</v>
      </c>
      <c r="G13" s="1">
        <f>F13*D4*C9</f>
        <v>1.3095885494327513</v>
      </c>
      <c r="H13" s="1">
        <f>G13*D4*C8</f>
        <v>1.1051443371060328</v>
      </c>
      <c r="I13" s="1">
        <f>H13*D4</f>
        <v>0.72116718113970713</v>
      </c>
      <c r="J13" s="1">
        <f>I13*D4</f>
        <v>0.47060106602445728</v>
      </c>
      <c r="K13" s="1"/>
      <c r="L13" s="1"/>
      <c r="M13" s="260"/>
      <c r="N13" s="97">
        <f>B13+J13</f>
        <v>1.0000000000000067</v>
      </c>
      <c r="R13" s="188">
        <f>B13-J13</f>
        <v>5.8797867951092209E-2</v>
      </c>
      <c r="S13" s="93">
        <f>SUM(C13:I13)*$B$4*$F$4</f>
        <v>24.974253379140418</v>
      </c>
      <c r="T13" s="260">
        <f>SUM(C13:I13)*$D$4*$H$4</f>
        <v>-47.428722878893794</v>
      </c>
      <c r="U13" s="264">
        <f t="shared" si="0"/>
        <v>-22.454469499753376</v>
      </c>
      <c r="V13" s="93">
        <f>(U13+W13*J13)/B13</f>
        <v>-36.192483225640757</v>
      </c>
      <c r="W13" s="9">
        <f t="shared" si="1"/>
        <v>7</v>
      </c>
    </row>
    <row r="14" spans="1:23" x14ac:dyDescent="0.2">
      <c r="A14" s="99">
        <v>8</v>
      </c>
      <c r="B14" s="97">
        <f>C14*B4</f>
        <v>0.53082501178409291</v>
      </c>
      <c r="C14" s="97">
        <f>1/(1-D4*B4/(1-D4*B4/(1-D4*B4/(1-D4*B4/(1-D4*B4/(1-D4*B4/(1-D4*B4)))))))</f>
        <v>1.5277946790638759</v>
      </c>
      <c r="D14" s="144">
        <f>C14*D4*C13</f>
        <v>1.5190729231123612</v>
      </c>
      <c r="E14" s="1">
        <f>D14*D4*C12</f>
        <v>1.5026921461405798</v>
      </c>
      <c r="F14" s="1">
        <f>E14*D4*C11</f>
        <v>1.4719265691523091</v>
      </c>
      <c r="G14" s="1">
        <f>F14*D4*C10</f>
        <v>1.4141441618189035</v>
      </c>
      <c r="H14" s="1">
        <f>G14*D4*C9</f>
        <v>1.305620060401385</v>
      </c>
      <c r="I14" s="1">
        <f>H14*D4*C8</f>
        <v>1.1017953820607389</v>
      </c>
      <c r="J14" s="1">
        <f>I14*D4</f>
        <v>0.71898180463395356</v>
      </c>
      <c r="K14" s="1">
        <f>J14*D4</f>
        <v>0.46917498821591486</v>
      </c>
      <c r="L14" s="1"/>
      <c r="M14" s="260"/>
      <c r="N14" s="97">
        <f>B14+K14</f>
        <v>1.0000000000000078</v>
      </c>
      <c r="R14" s="188">
        <f>B14-K14</f>
        <v>6.1650023568178058E-2</v>
      </c>
      <c r="S14" s="93">
        <f>SUM(C14:J14)*$B$4*$F$4</f>
        <v>29.109213572600545</v>
      </c>
      <c r="T14" s="260">
        <f>SUM(C14:J14)*$D$4*$H$4</f>
        <v>-55.281445366873434</v>
      </c>
      <c r="U14" s="264">
        <f t="shared" si="0"/>
        <v>-26.172231794272889</v>
      </c>
      <c r="V14" s="93">
        <f>(U14+W14*K14)/B14</f>
        <v>-42.233940358605736</v>
      </c>
      <c r="W14" s="9">
        <f t="shared" si="1"/>
        <v>8</v>
      </c>
    </row>
    <row r="15" spans="1:23" x14ac:dyDescent="0.2">
      <c r="A15" s="99">
        <v>9</v>
      </c>
      <c r="B15" s="97">
        <f>C15*B4</f>
        <v>0.53158079013114812</v>
      </c>
      <c r="C15" s="97">
        <f>1/(1-D4*B4/(1-D4*B4/(1-D4*B4/(1-D4*B4/(1-D4*B4/(1-D4*B4/(1-D4*B4/(1-D4*B4))))))))</f>
        <v>1.5299699234693755</v>
      </c>
      <c r="D15" s="144">
        <f>C15*D4*C14</f>
        <v>1.5253336055493398</v>
      </c>
      <c r="E15" s="1">
        <f>D15*D4*C13</f>
        <v>1.5166258991837196</v>
      </c>
      <c r="F15" s="1">
        <f>E15*D4*C12</f>
        <v>1.5002715094594559</v>
      </c>
      <c r="G15" s="1">
        <f>F15*D4*C11</f>
        <v>1.4695554917134857</v>
      </c>
      <c r="H15" s="1">
        <f>G15*D4*C10</f>
        <v>1.4118661641336903</v>
      </c>
      <c r="I15" s="1">
        <f>H15*D4*C9</f>
        <v>1.3035168805731441</v>
      </c>
      <c r="J15" s="1">
        <f>I15*D4*C8</f>
        <v>1.1000205366116835</v>
      </c>
      <c r="K15" s="1">
        <f>J15*D4</f>
        <v>0.7178236208144485</v>
      </c>
      <c r="L15" s="1">
        <f>K15*D4</f>
        <v>0.46841920986886082</v>
      </c>
      <c r="M15" s="260"/>
      <c r="N15" s="97">
        <f>B15+L15</f>
        <v>1.0000000000000089</v>
      </c>
      <c r="R15" s="188">
        <f>B15-L15</f>
        <v>6.3161580262287298E-2</v>
      </c>
      <c r="S15" s="93">
        <f>SUM(C15:K15)*$B$4*$F$4</f>
        <v>33.278958029734802</v>
      </c>
      <c r="T15" s="260">
        <f>SUM(C15:K15)*$D$4*$H$4</f>
        <v>-63.200226814746742</v>
      </c>
      <c r="U15" s="264">
        <f t="shared" si="0"/>
        <v>-29.921268785011939</v>
      </c>
      <c r="V15" s="93">
        <f>(U15+W15*L15)/B15</f>
        <v>-48.356705835533113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0.53198220309520117</v>
      </c>
      <c r="C16" s="145">
        <f>1/(1-D4*B4/(1-D4*B4/(1-D4*B4/(1-D4*B4/(1-D4*B4/(1-D4*B4/(1-D4*B4/(1-D4*B4/(1-D4*B4)))))))))</f>
        <v>1.5311252506995794</v>
      </c>
      <c r="D16" s="153">
        <f>C16*D4*C15</f>
        <v>1.528658812078231</v>
      </c>
      <c r="E16" s="111">
        <f>D16*D4*C14</f>
        <v>1.5240264672619439</v>
      </c>
      <c r="F16" s="111">
        <f>E16*D4*C13</f>
        <v>1.5153262229861539</v>
      </c>
      <c r="G16" s="111">
        <f>F16*D4*C12</f>
        <v>1.4989858481953433</v>
      </c>
      <c r="H16" s="111">
        <f>G16*D4*C11</f>
        <v>1.4682961526143643</v>
      </c>
      <c r="I16" s="111">
        <f>H16*D4*C10</f>
        <v>1.4106562620420402</v>
      </c>
      <c r="J16" s="111">
        <f>I16*D4*C9</f>
        <v>1.302399828659605</v>
      </c>
      <c r="K16" s="111">
        <f>J16*D4*C8</f>
        <v>1.0990778713776022</v>
      </c>
      <c r="L16" s="111">
        <f>K16*D4</f>
        <v>0.71720848014295835</v>
      </c>
      <c r="M16" s="262">
        <f>L16*D4</f>
        <v>0.46801779690480894</v>
      </c>
      <c r="N16" s="145">
        <f>B16+M16</f>
        <v>1.0000000000000102</v>
      </c>
      <c r="R16" s="189">
        <f>B16-M16</f>
        <v>6.3964406190392231E-2</v>
      </c>
      <c r="S16" s="94">
        <f>SUM(C16:L16)*$B$4*$F$4</f>
        <v>37.470259176607051</v>
      </c>
      <c r="T16" s="262">
        <f>SUM(C16:L16)*$D$4*$H$4</f>
        <v>-71.159946674201265</v>
      </c>
      <c r="U16" s="265">
        <f t="shared" si="0"/>
        <v>-33.689687497594214</v>
      </c>
      <c r="V16" s="94">
        <f>(U16+W16*M16)/B16</f>
        <v>-54.530977464587686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-19.665071703193625</v>
      </c>
      <c r="F21" s="8">
        <f t="shared" ref="F21:F30" si="4">U7/E21</f>
        <v>0.12600794254361228</v>
      </c>
      <c r="G21" s="284">
        <f>E21*U7</f>
        <v>48.72916718267124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9">
        <f>R21/R7</f>
        <v>-68.827750961177685</v>
      </c>
      <c r="T21" s="8">
        <f>U7/S21</f>
        <v>3.600226929817494E-2</v>
      </c>
      <c r="U21" s="284">
        <f>S21*U7</f>
        <v>170.55208513934934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-414.34616954518134</v>
      </c>
      <c r="F22" s="9">
        <f t="shared" si="4"/>
        <v>1.2780656523818044E-2</v>
      </c>
      <c r="G22" s="285">
        <f t="shared" ref="G22:G30" si="5">E22*U8</f>
        <v>2194.2182360235975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0">
        <f t="shared" ref="S22:S30" si="7">R22/R8</f>
        <v>-1598.1923682456995</v>
      </c>
      <c r="T22" s="9">
        <f>U8/S22</f>
        <v>3.3135035432120853E-3</v>
      </c>
      <c r="U22" s="285">
        <f t="shared" ref="U22:U30" si="8">S22*U8</f>
        <v>8463.4131960910199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-15317.282003726306</v>
      </c>
      <c r="F23" s="9">
        <f t="shared" si="4"/>
        <v>5.4808165930259826E-4</v>
      </c>
      <c r="G23" s="285">
        <f t="shared" si="5"/>
        <v>128590.44096832663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0">
        <f t="shared" si="7"/>
        <v>-60734.804224077561</v>
      </c>
      <c r="T23" s="9">
        <f t="shared" ref="T23:T30" si="11">U9/S23</f>
        <v>1.3822587302059664E-4</v>
      </c>
      <c r="U23" s="285">
        <f t="shared" si="8"/>
        <v>509876.05081627186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67349.073704051334</v>
      </c>
      <c r="F24" s="9">
        <f t="shared" si="4"/>
        <v>-1.739267460269025E-4</v>
      </c>
      <c r="G24" s="285">
        <f t="shared" si="5"/>
        <v>-788913.93227991241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0">
        <f t="shared" si="7"/>
        <v>268876.22474899259</v>
      </c>
      <c r="T24" s="9">
        <f t="shared" si="11"/>
        <v>-4.3565790349098397E-5</v>
      </c>
      <c r="U24" s="285">
        <f t="shared" si="8"/>
        <v>-3149563.7296425849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216598.71211161552</v>
      </c>
      <c r="F25" s="9">
        <f t="shared" si="4"/>
        <v>-7.0146077799106908E-5</v>
      </c>
      <c r="G25" s="285">
        <f t="shared" si="5"/>
        <v>-3290903.3864389057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0">
        <f t="shared" si="7"/>
        <v>866046.61900576809</v>
      </c>
      <c r="T25" s="9">
        <f t="shared" si="11"/>
        <v>-1.7543570724183555E-5</v>
      </c>
      <c r="U25" s="285">
        <f t="shared" si="8"/>
        <v>-13158322.704298325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1048545.6311029387</v>
      </c>
      <c r="F26" s="9">
        <f t="shared" si="4"/>
        <v>-1.791631887830029E-5</v>
      </c>
      <c r="G26" s="285">
        <f t="shared" si="5"/>
        <v>-19698059.89217918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0">
        <f t="shared" si="7"/>
        <v>4193845.4076082706</v>
      </c>
      <c r="T26" s="9">
        <f t="shared" si="11"/>
        <v>-4.4794397645674016E-6</v>
      </c>
      <c r="U26" s="285">
        <f t="shared" si="8"/>
        <v>-78785906.466190025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5713166.3392866272</v>
      </c>
      <c r="F27" s="9">
        <f t="shared" si="4"/>
        <v>-3.9303020717854933E-6</v>
      </c>
      <c r="G27" s="285">
        <f t="shared" si="5"/>
        <v>-128286119.31252922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0">
        <f t="shared" si="7"/>
        <v>22852308.201339137</v>
      </c>
      <c r="T27" s="9">
        <f t="shared" si="11"/>
        <v>-9.8259087449369999E-7</v>
      </c>
      <c r="U27" s="285">
        <f t="shared" si="8"/>
        <v>-513136457.50593358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32693223.511440177</v>
      </c>
      <c r="F28" s="9">
        <f t="shared" si="4"/>
        <v>-8.0053995853650135E-7</v>
      </c>
      <c r="G28" s="285">
        <f t="shared" si="5"/>
        <v>-855654623.8433845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0">
        <f t="shared" si="7"/>
        <v>130772504.75150564</v>
      </c>
      <c r="T28" s="9">
        <f t="shared" si="11"/>
        <v>-2.0013558541228107E-7</v>
      </c>
      <c r="U28" s="285">
        <f t="shared" si="8"/>
        <v>-3422608306.6740584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191465032.22023821</v>
      </c>
      <c r="F29" s="9">
        <f t="shared" si="4"/>
        <v>-1.5627537017095701E-7</v>
      </c>
      <c r="G29" s="285">
        <f t="shared" si="5"/>
        <v>-5728876691.9927187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0">
        <f t="shared" si="7"/>
        <v>765859701.40589786</v>
      </c>
      <c r="T29" s="9">
        <f t="shared" si="11"/>
        <v>-3.9068864349547449E-8</v>
      </c>
      <c r="U29" s="285">
        <f t="shared" si="8"/>
        <v>-22915493977.374855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1134371665.7671213</v>
      </c>
      <c r="F30" s="10">
        <f t="shared" si="4"/>
        <v>-2.9698985362801256E-8</v>
      </c>
      <c r="G30" s="286">
        <f t="shared" si="5"/>
        <v>-38216626925.81971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1">
        <f t="shared" si="7"/>
        <v>4537486194.0576429</v>
      </c>
      <c r="T30" s="10">
        <f t="shared" si="11"/>
        <v>-7.4247471081487174E-9</v>
      </c>
      <c r="U30" s="286">
        <f t="shared" si="8"/>
        <v>-152866491902.45013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-19.665071703193625</v>
      </c>
      <c r="F33" s="8">
        <f t="shared" ref="F33:F42" si="14">U7/E33</f>
        <v>0.12600794254361228</v>
      </c>
      <c r="G33" s="287">
        <f>E33*U7</f>
        <v>48.72916718267124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9">
        <f>R33/R7</f>
        <v>-68.827750961177685</v>
      </c>
      <c r="T33" s="8">
        <f>U7/S33</f>
        <v>3.600226929817494E-2</v>
      </c>
      <c r="U33" s="287">
        <f>S33*U7</f>
        <v>170.55208513934934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-473.53847948020723</v>
      </c>
      <c r="F34" s="9">
        <f t="shared" si="14"/>
        <v>1.1183074458340788E-2</v>
      </c>
      <c r="G34" s="285">
        <f t="shared" ref="G34:G42" si="16">E34*U8</f>
        <v>2507.6779840269683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0">
        <f>R34/R8</f>
        <v>-1657.3846781807254</v>
      </c>
      <c r="T34" s="9">
        <f t="shared" ref="T34:T42" si="18">U8/S34</f>
        <v>3.195164130954511E-3</v>
      </c>
      <c r="U34" s="285">
        <f t="shared" ref="U34:U42" si="19">S34*U8</f>
        <v>8776.8729440943898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-20304.304051451149</v>
      </c>
      <c r="F35" s="9">
        <f t="shared" si="14"/>
        <v>4.1346511140371455E-4</v>
      </c>
      <c r="G35" s="285">
        <f t="shared" si="16"/>
        <v>170457.09616731669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0">
        <f t="shared" ref="S35:S42" si="21">R35/R9</f>
        <v>-63584.531108491756</v>
      </c>
      <c r="T35" s="9">
        <f t="shared" si="18"/>
        <v>1.3203087591042985E-4</v>
      </c>
      <c r="U35" s="285">
        <f t="shared" si="19"/>
        <v>533799.85378712334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104014.01344255032</v>
      </c>
      <c r="F36" s="9">
        <f t="shared" si="14"/>
        <v>-1.1261756805241936E-4</v>
      </c>
      <c r="G36" s="285">
        <f t="shared" si="16"/>
        <v>-1218399.8954129922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0">
        <f t="shared" si="21"/>
        <v>282138.01146291773</v>
      </c>
      <c r="T36" s="9">
        <f t="shared" si="18"/>
        <v>-4.1517997438679952E-5</v>
      </c>
      <c r="U36" s="285">
        <f t="shared" si="19"/>
        <v>-3304909.7163077411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390156.26535346307</v>
      </c>
      <c r="F37" s="9">
        <f t="shared" si="14"/>
        <v>-3.894221741435603E-5</v>
      </c>
      <c r="G37" s="285">
        <f t="shared" si="16"/>
        <v>-5927858.7687558681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0">
        <f t="shared" si="21"/>
        <v>909227.06965181371</v>
      </c>
      <c r="T37" s="9">
        <f t="shared" si="18"/>
        <v>-1.6710402294540214E-5</v>
      </c>
      <c r="U37" s="285">
        <f t="shared" si="19"/>
        <v>-13814387.045003189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2203395.4275711523</v>
      </c>
      <c r="F38" s="9">
        <f t="shared" si="14"/>
        <v>-8.5259675363841296E-6</v>
      </c>
      <c r="G38" s="285">
        <f t="shared" si="16"/>
        <v>-41393158.114441045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0">
        <f t="shared" si="21"/>
        <v>4403419.6871074652</v>
      </c>
      <c r="T38" s="9">
        <f t="shared" si="18"/>
        <v>-4.2662474213601795E-6</v>
      </c>
      <c r="U38" s="285">
        <f t="shared" si="19"/>
        <v>-82722985.203615203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14006324.186533744</v>
      </c>
      <c r="F39" s="9">
        <f t="shared" si="14"/>
        <v>-1.603166483990284E-6</v>
      </c>
      <c r="G39" s="285">
        <f t="shared" si="16"/>
        <v>-314504579.25017995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0">
        <f t="shared" si="21"/>
        <v>23994798.606873512</v>
      </c>
      <c r="T39" s="9">
        <f t="shared" si="18"/>
        <v>-9.3580570804712252E-7</v>
      </c>
      <c r="U39" s="285">
        <f t="shared" si="19"/>
        <v>-538790473.47076607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93508480.067728981</v>
      </c>
      <c r="F40" s="9">
        <f t="shared" si="14"/>
        <v>-2.7989153256812771E-7</v>
      </c>
      <c r="G40" s="285">
        <f t="shared" si="16"/>
        <v>-2447325615.0627494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0">
        <f t="shared" si="21"/>
        <v>137310993.73609164</v>
      </c>
      <c r="T40" s="9">
        <f t="shared" si="18"/>
        <v>-1.9060550857694087E-7</v>
      </c>
      <c r="U40" s="285">
        <f t="shared" si="19"/>
        <v>-3593735155.9629431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638894812.83441615</v>
      </c>
      <c r="F41" s="9">
        <f t="shared" si="14"/>
        <v>-4.6832856025654888E-8</v>
      </c>
      <c r="G41" s="285">
        <f t="shared" si="16"/>
        <v>-19116543420.168461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0">
        <f t="shared" si="21"/>
        <v>804152536.85992348</v>
      </c>
      <c r="T41" s="9">
        <f t="shared" si="18"/>
        <v>-3.7208449160465646E-8</v>
      </c>
      <c r="U41" s="285">
        <f t="shared" si="19"/>
        <v>-24061264199.534992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4416131796.1618032</v>
      </c>
      <c r="F42" s="10">
        <f t="shared" si="14"/>
        <v>-7.6287776390358098E-9</v>
      </c>
      <c r="G42" s="286">
        <f t="shared" si="16"/>
        <v>-148778100160.88058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1">
        <f t="shared" si="21"/>
        <v>4764360339.6067305</v>
      </c>
      <c r="T42" s="10">
        <f t="shared" si="18"/>
        <v>-7.0711879656808443E-9</v>
      </c>
      <c r="U42" s="286">
        <f t="shared" si="19"/>
        <v>-160509810967.28259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-19.665071703193625</v>
      </c>
      <c r="F45" s="8">
        <f t="shared" ref="F45:F54" si="24">U7/E45</f>
        <v>0.12600794254361228</v>
      </c>
      <c r="G45" s="284">
        <f>E45*U7</f>
        <v>48.72916718267124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9">
        <f>R45/R7</f>
        <v>-68.827750961177685</v>
      </c>
      <c r="T45" s="8">
        <f>U7/S45</f>
        <v>3.600226929817494E-2</v>
      </c>
      <c r="U45" s="287">
        <f>S45*U7</f>
        <v>170.55208513934934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-769.50002915533673</v>
      </c>
      <c r="F46" s="9">
        <f t="shared" si="24"/>
        <v>6.8818919743635623E-3</v>
      </c>
      <c r="G46" s="285">
        <f t="shared" ref="G46:G54" si="26">E46*U8</f>
        <v>4074.9767240438237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0">
        <f t="shared" ref="S46:S54" si="28">R46/R8</f>
        <v>-2841.2308768812436</v>
      </c>
      <c r="T46" s="9">
        <f t="shared" ref="T46:T54" si="29">U8/S46</f>
        <v>1.863845743056798E-3</v>
      </c>
      <c r="U46" s="285">
        <f t="shared" ref="U46:U54" si="30">S46*U8</f>
        <v>15046.067904161811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-55925.890106628605</v>
      </c>
      <c r="F47" s="9">
        <f t="shared" si="24"/>
        <v>1.5011153726122119E-4</v>
      </c>
      <c r="G47" s="285">
        <f t="shared" si="26"/>
        <v>469504.63330296002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0">
        <f t="shared" si="28"/>
        <v>-208208.17049251223</v>
      </c>
      <c r="T47" s="9">
        <f t="shared" si="29"/>
        <v>4.0320806415760015E-5</v>
      </c>
      <c r="U47" s="285">
        <f t="shared" si="30"/>
        <v>1747932.8545578353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490166.03834801837</v>
      </c>
      <c r="F48" s="9">
        <f t="shared" si="24"/>
        <v>-2.3897627172927187E-5</v>
      </c>
      <c r="G48" s="285">
        <f t="shared" si="26"/>
        <v>-5741709.5071337251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0">
        <f t="shared" si="28"/>
        <v>1826746.11108479</v>
      </c>
      <c r="T48" s="9">
        <f t="shared" si="29"/>
        <v>-6.4123882165078643E-6</v>
      </c>
      <c r="U48" s="285">
        <f t="shared" si="30"/>
        <v>-21398148.163190674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3150919.2711748262</v>
      </c>
      <c r="F49" s="9">
        <f t="shared" si="24"/>
        <v>-4.8219420440126979E-6</v>
      </c>
      <c r="G49" s="285">
        <f t="shared" si="26"/>
        <v>-47873649.842208676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0">
        <f t="shared" si="28"/>
        <v>11744177.179178583</v>
      </c>
      <c r="T49" s="9">
        <f t="shared" si="29"/>
        <v>-1.2937092040730279E-6</v>
      </c>
      <c r="U49" s="285">
        <f t="shared" si="30"/>
        <v>-178435744.48393357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30503789.218710322</v>
      </c>
      <c r="F50" s="9">
        <f t="shared" si="24"/>
        <v>-6.158604673863247E-7</v>
      </c>
      <c r="G50" s="285">
        <f t="shared" si="26"/>
        <v>-573046560.05912709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0">
        <f t="shared" si="28"/>
        <v>113695788.39846416</v>
      </c>
      <c r="T50" s="9">
        <f t="shared" si="29"/>
        <v>-1.6523107979558758E-7</v>
      </c>
      <c r="U50" s="285">
        <f t="shared" si="30"/>
        <v>-2135897936.0828707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332403583.34518397</v>
      </c>
      <c r="F51" s="9">
        <f t="shared" si="24"/>
        <v>-6.7551827431521904E-8</v>
      </c>
      <c r="G51" s="285">
        <f t="shared" si="26"/>
        <v>-7463946123.8331623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0">
        <f t="shared" si="28"/>
        <v>1238958648.3066823</v>
      </c>
      <c r="T51" s="9">
        <f t="shared" si="29"/>
        <v>-1.8123663392997412E-8</v>
      </c>
      <c r="U51" s="285">
        <f t="shared" si="30"/>
        <v>-27820159179.85807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3804304628.3774719</v>
      </c>
      <c r="F52" s="9">
        <f t="shared" si="24"/>
        <v>-6.8796361887127037E-9</v>
      </c>
      <c r="G52" s="285">
        <f t="shared" si="26"/>
        <v>-99567142549.92038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0">
        <f t="shared" si="28"/>
        <v>14179680710.636824</v>
      </c>
      <c r="T52" s="9">
        <f t="shared" si="29"/>
        <v>-1.845756073663909E-9</v>
      </c>
      <c r="U52" s="285">
        <f t="shared" si="30"/>
        <v>-371113890327.56708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44559139184.179749</v>
      </c>
      <c r="F53" s="9">
        <f t="shared" si="24"/>
        <v>-6.7149566470160114E-10</v>
      </c>
      <c r="G53" s="285">
        <f t="shared" si="26"/>
        <v>-1333265980358.5999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0">
        <f t="shared" si="28"/>
        <v>166084064037.63583</v>
      </c>
      <c r="T53" s="9">
        <f t="shared" si="29"/>
        <v>-1.8015737366729878E-10</v>
      </c>
      <c r="U53" s="285">
        <f t="shared" si="30"/>
        <v>-4969445920977.2373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527998456789.75269</v>
      </c>
      <c r="F54" s="10">
        <f t="shared" si="24"/>
        <v>-6.3806412811182404E-11</v>
      </c>
      <c r="G54" s="286">
        <f t="shared" si="26"/>
        <v>-17788103008458.77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1">
        <f t="shared" si="28"/>
        <v>1967994247821.3459</v>
      </c>
      <c r="T54" s="10">
        <f t="shared" si="29"/>
        <v>-1.7118793682903362E-11</v>
      </c>
      <c r="U54" s="286">
        <f t="shared" si="30"/>
        <v>-66301111206164.125</v>
      </c>
    </row>
  </sheetData>
  <mergeCells count="2">
    <mergeCell ref="A18:F18"/>
    <mergeCell ref="O18:T18"/>
  </mergeCells>
  <conditionalFormatting sqref="F45:F54">
    <cfRule type="cellIs" dxfId="460" priority="53" operator="equal">
      <formula>MAX($F$45:$F$54)</formula>
    </cfRule>
  </conditionalFormatting>
  <conditionalFormatting sqref="F21:F30">
    <cfRule type="cellIs" dxfId="459" priority="51" operator="equal">
      <formula>MAX($F$21:$F$30)</formula>
    </cfRule>
  </conditionalFormatting>
  <conditionalFormatting sqref="F33:F42">
    <cfRule type="cellIs" dxfId="458" priority="32" operator="lessThanOrEqual">
      <formula>0</formula>
    </cfRule>
    <cfRule type="cellIs" dxfId="457" priority="49" operator="equal">
      <formula>MAX($F$33:$F$42)</formula>
    </cfRule>
  </conditionalFormatting>
  <conditionalFormatting sqref="E33:E42">
    <cfRule type="cellIs" dxfId="456" priority="47" stopIfTrue="1" operator="lessThan">
      <formula>0</formula>
    </cfRule>
    <cfRule type="cellIs" dxfId="455" priority="48" operator="equal">
      <formula>MIN($E$33:$E$42)</formula>
    </cfRule>
  </conditionalFormatting>
  <conditionalFormatting sqref="E21:E30">
    <cfRule type="cellIs" dxfId="454" priority="43" stopIfTrue="1" operator="lessThan">
      <formula>0</formula>
    </cfRule>
    <cfRule type="cellIs" dxfId="453" priority="44" operator="equal">
      <formula>MIN($E$21:$E$30)</formula>
    </cfRule>
  </conditionalFormatting>
  <conditionalFormatting sqref="E45:E54">
    <cfRule type="cellIs" dxfId="452" priority="39" stopIfTrue="1" operator="lessThan">
      <formula>0</formula>
    </cfRule>
    <cfRule type="cellIs" dxfId="451" priority="40" operator="equal">
      <formula>MIN($E$45:$E$54)</formula>
    </cfRule>
  </conditionalFormatting>
  <conditionalFormatting sqref="S7:T16">
    <cfRule type="cellIs" dxfId="450" priority="13" operator="lessThanOrEqual">
      <formula>0</formula>
    </cfRule>
    <cfRule type="cellIs" dxfId="449" priority="14" operator="greaterThan">
      <formula>0</formula>
    </cfRule>
  </conditionalFormatting>
  <conditionalFormatting sqref="U7:U16">
    <cfRule type="cellIs" dxfId="448" priority="15" operator="lessThanOrEqual">
      <formula>0</formula>
    </cfRule>
    <cfRule type="cellIs" dxfId="447" priority="16" operator="greaterThan">
      <formula>0</formula>
    </cfRule>
  </conditionalFormatting>
  <conditionalFormatting sqref="R7:R16">
    <cfRule type="cellIs" dxfId="446" priority="17" operator="lessThanOrEqual">
      <formula>0</formula>
    </cfRule>
    <cfRule type="cellIs" dxfId="445" priority="18" operator="greaterThan">
      <formula>0</formula>
    </cfRule>
  </conditionalFormatting>
  <conditionalFormatting sqref="T21:T30">
    <cfRule type="cellIs" dxfId="444" priority="9" operator="equal">
      <formula>MAX($T$21:$T$30)</formula>
    </cfRule>
  </conditionalFormatting>
  <conditionalFormatting sqref="S33:S42">
    <cfRule type="cellIs" dxfId="443" priority="7" stopIfTrue="1" operator="lessThan">
      <formula>0</formula>
    </cfRule>
    <cfRule type="cellIs" dxfId="442" priority="8" operator="equal">
      <formula>MIN($E$21:$E$30)</formula>
    </cfRule>
  </conditionalFormatting>
  <conditionalFormatting sqref="T33:T42">
    <cfRule type="cellIs" dxfId="441" priority="6" operator="equal">
      <formula>MAX($T$21:$T$30)</formula>
    </cfRule>
  </conditionalFormatting>
  <conditionalFormatting sqref="S45:S54">
    <cfRule type="cellIs" dxfId="440" priority="4" stopIfTrue="1" operator="lessThan">
      <formula>0</formula>
    </cfRule>
    <cfRule type="cellIs" dxfId="439" priority="5" operator="equal">
      <formula>MIN($E$21:$E$30)</formula>
    </cfRule>
  </conditionalFormatting>
  <conditionalFormatting sqref="T45:T54">
    <cfRule type="cellIs" dxfId="438" priority="3" operator="equal">
      <formula>MAX($T$21:$T$30)</formula>
    </cfRule>
  </conditionalFormatting>
  <conditionalFormatting sqref="S21:S30">
    <cfRule type="cellIs" dxfId="437" priority="1" stopIfTrue="1" operator="lessThan">
      <formula>0</formula>
    </cfRule>
    <cfRule type="cellIs" dxfId="43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>
    <pageSetUpPr fitToPage="1"/>
  </sheetPr>
  <dimension ref="A1:W54"/>
  <sheetViews>
    <sheetView topLeftCell="A17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1.0000000000000009</v>
      </c>
    </row>
    <row r="2" spans="1:23" x14ac:dyDescent="0.2">
      <c r="A2" t="s">
        <v>40</v>
      </c>
      <c r="B2" s="149" t="s">
        <v>125</v>
      </c>
      <c r="C2" s="155">
        <f>Analysis!B30</f>
        <v>0.35180090573995121</v>
      </c>
      <c r="D2" s="149" t="s">
        <v>126</v>
      </c>
      <c r="E2" s="155">
        <f>Analysis!K30</f>
        <v>0.64819909426004974</v>
      </c>
      <c r="F2" s="149" t="s">
        <v>47</v>
      </c>
      <c r="G2" s="155">
        <f>Analysis!S30</f>
        <v>9.443008417622222</v>
      </c>
      <c r="H2" t="s">
        <v>155</v>
      </c>
      <c r="I2" s="169">
        <f>Analysis!T30</f>
        <v>-9.548358722288155</v>
      </c>
      <c r="J2" t="s">
        <v>48</v>
      </c>
      <c r="K2" s="169">
        <f>C2*G2+E2*I2</f>
        <v>-2.8671785612277465</v>
      </c>
      <c r="L2" t="s">
        <v>47</v>
      </c>
      <c r="M2" s="176">
        <v>2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0.35180090573995121</v>
      </c>
      <c r="C4" t="s">
        <v>124</v>
      </c>
      <c r="D4">
        <f>$E$2</f>
        <v>0.64819909426004974</v>
      </c>
      <c r="E4" t="s">
        <v>47</v>
      </c>
      <c r="F4">
        <f>G2</f>
        <v>9.443008417622222</v>
      </c>
      <c r="G4" t="s">
        <v>155</v>
      </c>
      <c r="H4">
        <f>I2</f>
        <v>-9.548358722288155</v>
      </c>
      <c r="I4" t="s">
        <v>48</v>
      </c>
      <c r="J4">
        <f>K2</f>
        <v>-2.8671785612277465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0.35180090573995121</v>
      </c>
      <c r="C7" s="95">
        <v>1</v>
      </c>
      <c r="D7" s="22">
        <f>C7*D4</f>
        <v>0.64819909426004974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1.0000000000000009</v>
      </c>
      <c r="R7" s="187">
        <f>B7-D7</f>
        <v>-0.29639818852009853</v>
      </c>
      <c r="S7" s="109">
        <f>SUM(C7)*$B$4*$F$4</f>
        <v>3.3220589142294812</v>
      </c>
      <c r="T7" s="261">
        <f>SUM(C7)*$D$4*$H$4</f>
        <v>-6.1892374754572277</v>
      </c>
      <c r="U7" s="263">
        <f>S7+T7</f>
        <v>-2.8671785612277465</v>
      </c>
      <c r="V7" s="109">
        <f>(U7+W7*D7)/B7</f>
        <v>-6.307486509451885</v>
      </c>
      <c r="W7" s="57">
        <f>COUNT(D7:M7)</f>
        <v>1</v>
      </c>
    </row>
    <row r="8" spans="1:23" x14ac:dyDescent="0.2">
      <c r="A8" s="99">
        <v>2</v>
      </c>
      <c r="B8" s="97">
        <f>C8*B4</f>
        <v>0.45572251352725779</v>
      </c>
      <c r="C8" s="97">
        <f>1/(1-B4*D4)</f>
        <v>1.2953989205022818</v>
      </c>
      <c r="D8" s="144">
        <f>C8*D4</f>
        <v>0.83967640697502521</v>
      </c>
      <c r="E8" s="1">
        <f>D8*D4</f>
        <v>0.54427748647274421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1.000000000000002</v>
      </c>
      <c r="R8" s="188">
        <f>B8-E8</f>
        <v>-8.8554972945486421E-2</v>
      </c>
      <c r="S8" s="93">
        <f>SUM(C8:D8)*$B$4*$F$4</f>
        <v>7.0928460241974163</v>
      </c>
      <c r="T8" s="260">
        <f>SUM(C8:D8)*$D$4*$H$4</f>
        <v>-13.214488229746662</v>
      </c>
      <c r="U8" s="264">
        <f>S8+T8</f>
        <v>-6.1216422055492457</v>
      </c>
      <c r="V8" s="93">
        <f>(U8+W8*E8)/B8</f>
        <v>-11.04419264619613</v>
      </c>
      <c r="W8" s="9">
        <f>COUNT(D8:M8)</f>
        <v>2</v>
      </c>
    </row>
    <row r="9" spans="1:23" x14ac:dyDescent="0.2">
      <c r="A9" s="99">
        <v>3</v>
      </c>
      <c r="B9" s="97">
        <f>C9*B4</f>
        <v>0.49929089803656834</v>
      </c>
      <c r="C9" s="97">
        <f>1/(1-D4*B4/(1-D4*B4))</f>
        <v>1.4192427872986795</v>
      </c>
      <c r="D9" s="144">
        <f>C9*D4*C8</f>
        <v>1.1917046842641752</v>
      </c>
      <c r="E9" s="1">
        <f>D9*(D4)</f>
        <v>0.77246189696549694</v>
      </c>
      <c r="F9" s="1">
        <f>E9*D4</f>
        <v>0.50070910196343499</v>
      </c>
      <c r="G9" s="1"/>
      <c r="H9" s="1"/>
      <c r="I9" s="1"/>
      <c r="J9" s="1"/>
      <c r="K9" s="1"/>
      <c r="L9" s="1"/>
      <c r="M9" s="260"/>
      <c r="N9" s="97">
        <f>B9+F9</f>
        <v>1.0000000000000033</v>
      </c>
      <c r="R9" s="188">
        <f>B9-F9</f>
        <v>-1.4182039268666458E-3</v>
      </c>
      <c r="S9" s="93">
        <f>SUM(C9:E9)*$B$4*$F$4</f>
        <v>11.23988525320715</v>
      </c>
      <c r="T9" s="260">
        <f>SUM(C9:E9)*$D$4*$H$4</f>
        <v>-20.940724058508749</v>
      </c>
      <c r="U9" s="264">
        <f t="shared" ref="U9:U16" si="0">S9+T9</f>
        <v>-9.7008388053015988</v>
      </c>
      <c r="V9" s="93">
        <f>(U9+W9*F9)/B9</f>
        <v>-16.420710915524872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0.52013847333458807</v>
      </c>
      <c r="C10" s="97">
        <f>1/(1-D4*B4/(1-D4*B4/(1-D4*B4)))</f>
        <v>1.4785023712220651</v>
      </c>
      <c r="D10" s="144">
        <f>C10*D4*C9</f>
        <v>1.3601510496842519</v>
      </c>
      <c r="E10" s="1">
        <f>D10*D4*C8</f>
        <v>1.1420867463421815</v>
      </c>
      <c r="F10" s="1">
        <f>E10*D4</f>
        <v>0.74029959454540928</v>
      </c>
      <c r="G10" s="1">
        <f>F10*D4</f>
        <v>0.47986152666541637</v>
      </c>
      <c r="H10" s="1"/>
      <c r="I10" s="1"/>
      <c r="J10" s="1"/>
      <c r="K10" s="1"/>
      <c r="L10" s="1"/>
      <c r="M10" s="260"/>
      <c r="N10" s="97">
        <f>B10+G10</f>
        <v>1.0000000000000044</v>
      </c>
      <c r="R10" s="188">
        <f>B10-G10</f>
        <v>4.0276946669171698E-2</v>
      </c>
      <c r="S10" s="93">
        <f>SUM(C10:F10)*$B$4*$F$4</f>
        <v>15.683572225099278</v>
      </c>
      <c r="T10" s="260">
        <f>SUM(C10:F10)*$D$4*$H$4</f>
        <v>-29.219636216818522</v>
      </c>
      <c r="U10" s="264">
        <f t="shared" si="0"/>
        <v>-13.536063991719244</v>
      </c>
      <c r="V10" s="93">
        <f>(U10+W10*G10)/B10</f>
        <v>-22.333702428478095</v>
      </c>
      <c r="W10" s="9">
        <f t="shared" si="1"/>
        <v>4</v>
      </c>
    </row>
    <row r="11" spans="1:23" x14ac:dyDescent="0.2">
      <c r="A11" s="99">
        <v>5</v>
      </c>
      <c r="B11" s="97">
        <f>C11*B4</f>
        <v>0.53074247635588556</v>
      </c>
      <c r="C11" s="97">
        <f>1/(1-D4*B4/(1-D4*B4/(1-D4*B4/(1-D4*B4))))</f>
        <v>1.5086444284148794</v>
      </c>
      <c r="D11" s="144">
        <f>C11*D4*C10</f>
        <v>1.4458303549419107</v>
      </c>
      <c r="E11" s="1">
        <f>D11*D4*C9</f>
        <v>1.3300943665813214</v>
      </c>
      <c r="F11" s="1">
        <f>E11*D4*C8</f>
        <v>1.1168488586687262</v>
      </c>
      <c r="G11" s="1">
        <f>F11*D4</f>
        <v>0.72394041861443859</v>
      </c>
      <c r="H11" s="1">
        <f>G11*D4</f>
        <v>0.46925752364412032</v>
      </c>
      <c r="I11" s="1"/>
      <c r="J11" s="1"/>
      <c r="K11" s="1"/>
      <c r="L11" s="1"/>
      <c r="M11" s="260"/>
      <c r="N11" s="97">
        <f>B11+H11</f>
        <v>1.0000000000000058</v>
      </c>
      <c r="R11" s="188">
        <f>B11-H11</f>
        <v>6.1484952711765239E-2</v>
      </c>
      <c r="S11" s="93">
        <f>SUM(C11:G11)*$B$4*$F$4</f>
        <v>20.348801566001118</v>
      </c>
      <c r="T11" s="260">
        <f>SUM(C11:G11)*$D$4*$H$4</f>
        <v>-37.911297928365677</v>
      </c>
      <c r="U11" s="264">
        <f t="shared" si="0"/>
        <v>-17.562496362364559</v>
      </c>
      <c r="V11" s="93">
        <f>(U11+W11*H11)/B11</f>
        <v>-28.669664520954672</v>
      </c>
      <c r="W11" s="9">
        <f t="shared" si="1"/>
        <v>5</v>
      </c>
    </row>
    <row r="12" spans="1:23" x14ac:dyDescent="0.2">
      <c r="A12" s="99">
        <v>6</v>
      </c>
      <c r="B12" s="97">
        <f>C12*B4</f>
        <v>0.53630377231234894</v>
      </c>
      <c r="C12" s="97">
        <f>1/(1-D4*B4/(1-D4*B4/(1-D4*B4/(1-D4*B4/(1-D4*B4)))))</f>
        <v>1.5244525058408489</v>
      </c>
      <c r="D12" s="144">
        <f>C12*D4*C11</f>
        <v>1.4907650812829931</v>
      </c>
      <c r="E12" s="1">
        <f>D12*D4*C10</f>
        <v>1.4286954341329128</v>
      </c>
      <c r="F12" s="1">
        <f>E12*D4*C9</f>
        <v>1.3143310638107271</v>
      </c>
      <c r="G12" s="1">
        <f>F12*D4*C8</f>
        <v>1.1036127852362538</v>
      </c>
      <c r="H12" s="1">
        <f>G12*D4</f>
        <v>0.7153608078039505</v>
      </c>
      <c r="I12" s="1">
        <f>H12*D4</f>
        <v>0.46369622768765822</v>
      </c>
      <c r="J12" s="1"/>
      <c r="K12" s="1"/>
      <c r="L12" s="1"/>
      <c r="M12" s="260"/>
      <c r="N12" s="97">
        <f>B12+I12</f>
        <v>1.0000000000000071</v>
      </c>
      <c r="R12" s="188">
        <f>B12-I12</f>
        <v>7.2607544624690712E-2</v>
      </c>
      <c r="S12" s="93">
        <f>SUM(C12:H12)*$B$4*$F$4</f>
        <v>25.171963532614846</v>
      </c>
      <c r="T12" s="260">
        <f>SUM(C12:H12)*$D$4*$H$4</f>
        <v>-46.897199613041089</v>
      </c>
      <c r="U12" s="264">
        <f t="shared" si="0"/>
        <v>-21.725236080426242</v>
      </c>
      <c r="V12" s="93">
        <f>(U12+W12*I12)/B12</f>
        <v>-35.321509361428951</v>
      </c>
      <c r="W12" s="9">
        <f t="shared" si="1"/>
        <v>6</v>
      </c>
    </row>
    <row r="13" spans="1:23" x14ac:dyDescent="0.2">
      <c r="A13" s="99">
        <v>7</v>
      </c>
      <c r="B13" s="97">
        <f>C13*B4</f>
        <v>0.53926725487422733</v>
      </c>
      <c r="C13" s="97">
        <f>1/(1-D4*B4/(1-D4*B4/(1-D4*B4/(1-D4*B4/(1-D4*B4/(1-D4*B4))))))</f>
        <v>1.5328762549373591</v>
      </c>
      <c r="D13" s="144">
        <f>C13*D4*C12</f>
        <v>1.5147097299722636</v>
      </c>
      <c r="E13" s="1">
        <f>D13*D4*C11</f>
        <v>1.4812376017426303</v>
      </c>
      <c r="F13" s="1">
        <f>E13*D4*C10</f>
        <v>1.4195646417035677</v>
      </c>
      <c r="G13" s="1">
        <f>F13*D4*C9</f>
        <v>1.3059311740648909</v>
      </c>
      <c r="H13" s="1">
        <f>G13*D4*C8</f>
        <v>1.0965595959954839</v>
      </c>
      <c r="I13" s="1">
        <f>H13*D4</f>
        <v>0.71078893692643874</v>
      </c>
      <c r="J13" s="1">
        <f>I13*D4</f>
        <v>0.46073274512578122</v>
      </c>
      <c r="K13" s="1"/>
      <c r="L13" s="1"/>
      <c r="M13" s="260"/>
      <c r="N13" s="97">
        <f>B13+J13</f>
        <v>1.0000000000000084</v>
      </c>
      <c r="R13" s="188">
        <f>B13-J13</f>
        <v>7.8534509748446113E-2</v>
      </c>
      <c r="S13" s="93">
        <f>SUM(C13:I13)*$B$4*$F$4</f>
        <v>30.10339474239246</v>
      </c>
      <c r="T13" s="260">
        <f>SUM(C13:I13)*$D$4*$H$4</f>
        <v>-56.084814775571758</v>
      </c>
      <c r="U13" s="264">
        <f t="shared" si="0"/>
        <v>-25.981420033179297</v>
      </c>
      <c r="V13" s="93">
        <f>(U13+W13*J13)/B13</f>
        <v>-42.198539984791495</v>
      </c>
      <c r="W13" s="9">
        <f t="shared" si="1"/>
        <v>7</v>
      </c>
    </row>
    <row r="14" spans="1:23" x14ac:dyDescent="0.2">
      <c r="A14" s="99">
        <v>8</v>
      </c>
      <c r="B14" s="97">
        <f>C14*B4</f>
        <v>0.54085983990004571</v>
      </c>
      <c r="C14" s="97">
        <f>1/(1-D4*B4/(1-D4*B4/(1-D4*B4/(1-D4*B4/(1-D4*B4/(1-D4*B4/(1-D4*B4)))))))</f>
        <v>1.5374032046973909</v>
      </c>
      <c r="D14" s="144">
        <f>C14*D4*C13</f>
        <v>1.5275776609132312</v>
      </c>
      <c r="E14" s="1">
        <f>D14*D4*C12</f>
        <v>1.50947393099784</v>
      </c>
      <c r="F14" s="1">
        <f>E14*D4*C11</f>
        <v>1.476117503704953</v>
      </c>
      <c r="G14" s="1">
        <f>F14*D4*C10</f>
        <v>1.4146577245906131</v>
      </c>
      <c r="H14" s="1">
        <f>G14*D4*C9</f>
        <v>1.3014170463963757</v>
      </c>
      <c r="I14" s="1">
        <f>H14*D4*C8</f>
        <v>1.0927691894941585</v>
      </c>
      <c r="J14" s="1">
        <f>I14*D4</f>
        <v>0.70833199886540221</v>
      </c>
      <c r="K14" s="1">
        <f>J14*D4</f>
        <v>0.45914016009996428</v>
      </c>
      <c r="L14" s="1"/>
      <c r="M14" s="260"/>
      <c r="N14" s="97">
        <f>B14+K14</f>
        <v>1.00000000000001</v>
      </c>
      <c r="R14" s="188">
        <f>B14-K14</f>
        <v>8.1719679800081435E-2</v>
      </c>
      <c r="S14" s="93">
        <f>SUM(C14:J14)*$B$4*$F$4</f>
        <v>35.10668230933647</v>
      </c>
      <c r="T14" s="260">
        <f>SUM(C14:J14)*$D$4*$H$4</f>
        <v>-65.406303559885345</v>
      </c>
      <c r="U14" s="264">
        <f t="shared" si="0"/>
        <v>-30.299621250548874</v>
      </c>
      <c r="V14" s="93">
        <f>(U14+W14*K14)/B14</f>
        <v>-49.229944627927829</v>
      </c>
      <c r="W14" s="9">
        <f t="shared" si="1"/>
        <v>8</v>
      </c>
    </row>
    <row r="15" spans="1:23" x14ac:dyDescent="0.2">
      <c r="A15" s="99">
        <v>9</v>
      </c>
      <c r="B15" s="97">
        <f>C15*B4</f>
        <v>0.54171959225237865</v>
      </c>
      <c r="C15" s="97">
        <f>1/(1-D4*B4/(1-D4*B4/(1-D4*B4/(1-D4*B4/(1-D4*B4/(1-D4*B4/(1-D4*B4/(1-D4*B4))))))))</f>
        <v>1.5398470652398322</v>
      </c>
      <c r="D15" s="144">
        <f>C15*D4*C14</f>
        <v>1.5345243756674216</v>
      </c>
      <c r="E15" s="1">
        <f>D15*D4*C13</f>
        <v>1.5247172304794108</v>
      </c>
      <c r="F15" s="1">
        <f>E15*D4*C12</f>
        <v>1.506647400287314</v>
      </c>
      <c r="G15" s="1">
        <f>F15*D4*C11</f>
        <v>1.4733534338055749</v>
      </c>
      <c r="H15" s="1">
        <f>G15*D4*C10</f>
        <v>1.4120087397878116</v>
      </c>
      <c r="I15" s="1">
        <f>H15*D4*C9</f>
        <v>1.2989801078224117</v>
      </c>
      <c r="J15" s="1">
        <f>I15*D4*C8</f>
        <v>1.0907229496683535</v>
      </c>
      <c r="K15" s="1">
        <f>J15*D4</f>
        <v>0.70700562806367651</v>
      </c>
      <c r="L15" s="1">
        <f>K15*D4</f>
        <v>0.45828040774763273</v>
      </c>
      <c r="M15" s="260"/>
      <c r="N15" s="97">
        <f>B15+L15</f>
        <v>1.0000000000000113</v>
      </c>
      <c r="R15" s="188">
        <f>B15-L15</f>
        <v>8.3439184504745911E-2</v>
      </c>
      <c r="S15" s="93">
        <f>SUM(C15:K15)*$B$4*$F$4</f>
        <v>40.156406768021498</v>
      </c>
      <c r="T15" s="260">
        <f>SUM(C15:K15)*$D$4*$H$4</f>
        <v>-74.814307652333952</v>
      </c>
      <c r="U15" s="264">
        <f t="shared" si="0"/>
        <v>-34.657900884312454</v>
      </c>
      <c r="V15" s="93">
        <f>(U15+W15*L15)/B15</f>
        <v>-56.363804542551485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0.5421848640961191</v>
      </c>
      <c r="C16" s="145">
        <f>1/(1-D4*B4/(1-D4*B4/(1-D4*B4/(1-D4*B4/(1-D4*B4/(1-D4*B4/(1-D4*B4/(1-D4*B4/(1-D4*B4)))))))))</f>
        <v>1.5411696082923061</v>
      </c>
      <c r="D16" s="153">
        <f>C16*D4*C15</f>
        <v>1.5382837265698652</v>
      </c>
      <c r="E16" s="111">
        <f>D16*D4*C14</f>
        <v>1.532966440888935</v>
      </c>
      <c r="F16" s="111">
        <f>E16*D4*C13</f>
        <v>1.5231692524619951</v>
      </c>
      <c r="G16" s="111">
        <f>F16*D4*C12</f>
        <v>1.5051177677698748</v>
      </c>
      <c r="H16" s="111">
        <f>G16*D4*C11</f>
        <v>1.4718576031808381</v>
      </c>
      <c r="I16" s="111">
        <f>H16*D4*C10</f>
        <v>1.4105751897197094</v>
      </c>
      <c r="J16" s="111">
        <f>I16*D4*C9</f>
        <v>1.2976613107289092</v>
      </c>
      <c r="K16" s="111">
        <f>J16*D4*C8</f>
        <v>1.0896155868633524</v>
      </c>
      <c r="L16" s="111">
        <f>K16*D4</f>
        <v>0.70628783649645754</v>
      </c>
      <c r="M16" s="262">
        <f>L16*D4</f>
        <v>0.45781513590389389</v>
      </c>
      <c r="N16" s="145">
        <f>B16+M16</f>
        <v>1.0000000000000129</v>
      </c>
      <c r="R16" s="189">
        <f>B16-M16</f>
        <v>8.4369728192225213E-2</v>
      </c>
      <c r="S16" s="94">
        <f>SUM(C16:L16)*$B$4*$F$4</f>
        <v>45.235493978557045</v>
      </c>
      <c r="T16" s="262">
        <f>SUM(C16:L16)*$D$4*$H$4</f>
        <v>-84.277016687960241</v>
      </c>
      <c r="U16" s="265">
        <f t="shared" si="0"/>
        <v>-39.041522709403196</v>
      </c>
      <c r="V16" s="94">
        <f>(U16+W16*M16)/B16</f>
        <v>-63.563875778455063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-23.616878480096837</v>
      </c>
      <c r="F21" s="8">
        <f t="shared" ref="F21:F30" si="4">U7/E21</f>
        <v>0.12140379024450949</v>
      </c>
      <c r="G21" s="284">
        <f>E21*U7</f>
        <v>67.713807661254577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9">
        <f>R21/R7</f>
        <v>-94.467513920387347</v>
      </c>
      <c r="T21" s="8">
        <f>U7/S21</f>
        <v>3.0350947561127373E-2</v>
      </c>
      <c r="U21" s="284">
        <f>S21*U7</f>
        <v>270.85523064501831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-632.37555314339102</v>
      </c>
      <c r="F22" s="9">
        <f t="shared" si="4"/>
        <v>9.6803903552564515E-3</v>
      </c>
      <c r="G22" s="285">
        <f t="shared" ref="G22:G30" si="5">E22*U8</f>
        <v>3871.1768758801322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0">
        <f t="shared" ref="S22:S30" si="7">R22/R8</f>
        <v>-2766.6430450023354</v>
      </c>
      <c r="T22" s="9">
        <f>U8/S22</f>
        <v>2.2126606526300463E-3</v>
      </c>
      <c r="U22" s="285">
        <f t="shared" ref="U22:U30" si="8">S22*U8</f>
        <v>16936.398831975577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-281341.76788069075</v>
      </c>
      <c r="F23" s="9">
        <f t="shared" si="4"/>
        <v>3.4480620770874858E-5</v>
      </c>
      <c r="G23" s="285">
        <f t="shared" si="5"/>
        <v>2729251.1394091598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0">
        <f t="shared" si="7"/>
        <v>-1258634.2247294062</v>
      </c>
      <c r="T23" s="9">
        <f t="shared" ref="T23:T30" si="11">U9/S23</f>
        <v>7.7074328781955563E-6</v>
      </c>
      <c r="U23" s="285">
        <f t="shared" si="8"/>
        <v>12209807.728935717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69518.675856905073</v>
      </c>
      <c r="F24" s="9">
        <f t="shared" si="4"/>
        <v>-1.9471118839463266E-4</v>
      </c>
      <c r="G24" s="285">
        <f t="shared" si="5"/>
        <v>-941009.24501865474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0">
        <f t="shared" si="7"/>
        <v>312486.44797678833</v>
      </c>
      <c r="T24" s="9">
        <f t="shared" si="11"/>
        <v>-4.3317283291353197E-5</v>
      </c>
      <c r="U24" s="285">
        <f t="shared" si="8"/>
        <v>-4229836.5563588534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318891.03163038084</v>
      </c>
      <c r="F25" s="9">
        <f t="shared" si="4"/>
        <v>-5.507366034276197E-5</v>
      </c>
      <c r="G25" s="285">
        <f t="shared" si="5"/>
        <v>-5600522.5829992453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0">
        <f t="shared" si="7"/>
        <v>1434725.0198522168</v>
      </c>
      <c r="T25" s="9">
        <f t="shared" si="11"/>
        <v>-1.224101909380069E-5</v>
      </c>
      <c r="U25" s="285">
        <f t="shared" si="8"/>
        <v>-25197352.942147978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1890382.0630414917</v>
      </c>
      <c r="F26" s="9">
        <f t="shared" si="4"/>
        <v>-1.1492510696738133E-5</v>
      </c>
      <c r="G26" s="285">
        <f t="shared" si="5"/>
        <v>-41068996.60177961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0">
        <f t="shared" si="7"/>
        <v>8506430.0575448759</v>
      </c>
      <c r="T26" s="9">
        <f t="shared" si="11"/>
        <v>-2.5539781005025478E-6</v>
      </c>
      <c r="U26" s="285">
        <f t="shared" si="8"/>
        <v>-184804201.2017962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12234099.417918762</v>
      </c>
      <c r="F27" s="9">
        <f t="shared" si="4"/>
        <v>-2.123688809911535E-6</v>
      </c>
      <c r="G27" s="285">
        <f t="shared" si="5"/>
        <v>-317859275.70462173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0">
        <f t="shared" si="7"/>
        <v>55053135.41586788</v>
      </c>
      <c r="T27" s="9">
        <f t="shared" si="11"/>
        <v>-4.7193352089608164E-7</v>
      </c>
      <c r="U27" s="285">
        <f t="shared" si="8"/>
        <v>-1430358635.3831625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82300860.899766982</v>
      </c>
      <c r="F28" s="9">
        <f t="shared" si="4"/>
        <v>-3.6815679592283176E-7</v>
      </c>
      <c r="G28" s="285">
        <f t="shared" si="5"/>
        <v>-2493684913.8570466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0">
        <f t="shared" si="7"/>
        <v>370353531.41422659</v>
      </c>
      <c r="T28" s="9">
        <f t="shared" si="11"/>
        <v>-8.1812697005607536E-8</v>
      </c>
      <c r="U28" s="285">
        <f t="shared" si="8"/>
        <v>-11221571730.65432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564233786.31321836</v>
      </c>
      <c r="F29" s="9">
        <f t="shared" si="4"/>
        <v>-6.1424717422138035E-8</v>
      </c>
      <c r="G29" s="285">
        <f t="shared" si="5"/>
        <v>-19555158641.623856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0">
        <f t="shared" si="7"/>
        <v>2539051660.8890142</v>
      </c>
      <c r="T29" s="9">
        <f t="shared" si="11"/>
        <v>-1.3649939234468929E-8</v>
      </c>
      <c r="U29" s="285">
        <f t="shared" si="8"/>
        <v>-87998200803.240372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3906074643.8480158</v>
      </c>
      <c r="F30" s="10">
        <f t="shared" si="4"/>
        <v>-9.9950785044245789E-9</v>
      </c>
      <c r="G30" s="286">
        <f t="shared" si="5"/>
        <v>-152499101912.41632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1">
        <f t="shared" si="7"/>
        <v>17577335482.475338</v>
      </c>
      <c r="T30" s="10">
        <f t="shared" si="11"/>
        <v>-2.2211286089594026E-9</v>
      </c>
      <c r="U30" s="286">
        <f t="shared" si="8"/>
        <v>-686245942409.8595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-23.616878480096837</v>
      </c>
      <c r="F33" s="8">
        <f t="shared" ref="F33:F42" si="14">U7/E33</f>
        <v>0.12140379024450949</v>
      </c>
      <c r="G33" s="287">
        <f>E33*U7</f>
        <v>67.713807661254577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9">
        <f>R33/R7</f>
        <v>-94.467513920387347</v>
      </c>
      <c r="T33" s="8">
        <f>U7/S33</f>
        <v>3.0350947561127373E-2</v>
      </c>
      <c r="U33" s="287">
        <f>S33*U7</f>
        <v>270.85523064501831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-711.42249728631487</v>
      </c>
      <c r="F34" s="9">
        <f t="shared" si="14"/>
        <v>8.6047914268946226E-3</v>
      </c>
      <c r="G34" s="285">
        <f t="shared" ref="G34:G42" si="16">E34*U8</f>
        <v>4355.0739853651485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0">
        <f>R34/R8</f>
        <v>-2845.6899891452595</v>
      </c>
      <c r="T34" s="9">
        <f t="shared" ref="T34:T42" si="18">U8/S34</f>
        <v>2.1511978567236557E-3</v>
      </c>
      <c r="U34" s="285">
        <f t="shared" ref="U34:U42" si="19">S34*U8</f>
        <v>17420.295941460594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-360314.89570684958</v>
      </c>
      <c r="F35" s="9">
        <f t="shared" si="14"/>
        <v>2.6923224437532422E-5</v>
      </c>
      <c r="G35" s="285">
        <f t="shared" si="16"/>
        <v>3495356.722401205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0">
        <f t="shared" ref="S35:S42" si="21">R35/R9</f>
        <v>-1303056.6091316205</v>
      </c>
      <c r="T35" s="9">
        <f t="shared" si="18"/>
        <v>7.4446794846207072E-6</v>
      </c>
      <c r="U35" s="285">
        <f t="shared" si="19"/>
        <v>12640742.119368741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101671.06344072368</v>
      </c>
      <c r="F36" s="9">
        <f t="shared" si="14"/>
        <v>-1.3313585531256932E-4</v>
      </c>
      <c r="G36" s="285">
        <f t="shared" si="16"/>
        <v>-1376226.0208397827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0">
        <f t="shared" si="21"/>
        <v>323957.02949317766</v>
      </c>
      <c r="T36" s="9">
        <f t="shared" si="18"/>
        <v>-4.1783516822882541E-5</v>
      </c>
      <c r="U36" s="285">
        <f t="shared" si="19"/>
        <v>-4385103.0817869315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532927.13997208595</v>
      </c>
      <c r="F37" s="9">
        <f t="shared" si="14"/>
        <v>-3.2954779453124606E-5</v>
      </c>
      <c r="G37" s="285">
        <f t="shared" si="16"/>
        <v>-9359530.9571651071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0">
        <f t="shared" si="21"/>
        <v>1487778.650962448</v>
      </c>
      <c r="T37" s="9">
        <f t="shared" si="18"/>
        <v>-1.1804508924095216E-5</v>
      </c>
      <c r="U37" s="285">
        <f t="shared" si="19"/>
        <v>-26129107.145531643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3610409.9285414536</v>
      </c>
      <c r="F38" s="9">
        <f t="shared" si="14"/>
        <v>-6.017387640301245E-6</v>
      </c>
      <c r="G38" s="285">
        <f t="shared" si="16"/>
        <v>-78437008.044677913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0">
        <f t="shared" si="21"/>
        <v>8821397.3260045126</v>
      </c>
      <c r="T38" s="9">
        <f t="shared" si="18"/>
        <v>-2.4627885217665717E-6</v>
      </c>
      <c r="U38" s="285">
        <f t="shared" si="19"/>
        <v>-191646939.46668881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26703560.087372854</v>
      </c>
      <c r="F39" s="9">
        <f t="shared" si="14"/>
        <v>-9.729571618229649E-7</v>
      </c>
      <c r="G39" s="285">
        <f t="shared" si="16"/>
        <v>-693796411.01127625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0">
        <f t="shared" si="21"/>
        <v>57092047.997265488</v>
      </c>
      <c r="T39" s="9">
        <f t="shared" si="18"/>
        <v>-4.5507948908092624E-7</v>
      </c>
      <c r="U39" s="285">
        <f t="shared" si="19"/>
        <v>-1483332479.5713875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205302015.8796961</v>
      </c>
      <c r="F40" s="9">
        <f t="shared" si="14"/>
        <v>-1.4758560027147516E-7</v>
      </c>
      <c r="G40" s="285">
        <f t="shared" si="16"/>
        <v>-6220573323.1289625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0">
        <f t="shared" si="21"/>
        <v>384070227.35261285</v>
      </c>
      <c r="T40" s="9">
        <f t="shared" si="18"/>
        <v>-7.8890835822926084E-8</v>
      </c>
      <c r="U40" s="285">
        <f t="shared" si="19"/>
        <v>-11637182422.396366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1608569496.4140723</v>
      </c>
      <c r="F41" s="9">
        <f t="shared" si="14"/>
        <v>-2.154579019530962E-8</v>
      </c>
      <c r="G41" s="285">
        <f t="shared" si="16"/>
        <v>-55749642172.247314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0">
        <f t="shared" si="21"/>
        <v>2633090499.4343944</v>
      </c>
      <c r="T41" s="9">
        <f t="shared" si="18"/>
        <v>-1.3162441963828136E-8</v>
      </c>
      <c r="U41" s="285">
        <f t="shared" si="19"/>
        <v>-91257389548.822021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12726624181.526602</v>
      </c>
      <c r="F42" s="10">
        <f t="shared" si="14"/>
        <v>-3.0677045344101637E-9</v>
      </c>
      <c r="G42" s="286">
        <f t="shared" si="16"/>
        <v>-496866786997.11072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1">
        <f t="shared" si="21"/>
        <v>18228347784.83643</v>
      </c>
      <c r="T42" s="10">
        <f t="shared" si="18"/>
        <v>-2.141802601653265E-9</v>
      </c>
      <c r="U42" s="286">
        <f t="shared" si="19"/>
        <v>-711662453996.59094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-23.616878480096837</v>
      </c>
      <c r="F45" s="8">
        <f t="shared" ref="F45:F54" si="24">U7/E45</f>
        <v>0.12140379024450949</v>
      </c>
      <c r="G45" s="284">
        <f>E45*U7</f>
        <v>67.713807661254577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9">
        <f>R45/R7</f>
        <v>-94.467513920387347</v>
      </c>
      <c r="T45" s="8">
        <f>U7/S45</f>
        <v>3.0350947561127373E-2</v>
      </c>
      <c r="U45" s="287">
        <f>S45*U7</f>
        <v>270.85523064501831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-1185.7041621438582</v>
      </c>
      <c r="F46" s="9">
        <f t="shared" si="24"/>
        <v>5.1628748561367739E-3</v>
      </c>
      <c r="G46" s="285">
        <f t="shared" ref="G46:G54" si="26">E46*U8</f>
        <v>7258.4566422752487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0">
        <f t="shared" ref="S46:S54" si="28">R46/R8</f>
        <v>-4979.9574810042041</v>
      </c>
      <c r="T46" s="9">
        <f t="shared" ref="T46:T54" si="29">U8/S46</f>
        <v>1.2292559181278034E-3</v>
      </c>
      <c r="U46" s="285">
        <f t="shared" ref="U46:U54" si="30">S46*U8</f>
        <v>30485.517897556041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-1041458.1232074694</v>
      </c>
      <c r="F47" s="9">
        <f t="shared" si="24"/>
        <v>9.3146700660657192E-6</v>
      </c>
      <c r="G47" s="285">
        <f t="shared" si="26"/>
        <v>10103017.375707593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0">
        <f t="shared" si="28"/>
        <v>-4402751.8763083536</v>
      </c>
      <c r="T47" s="9">
        <f t="shared" si="29"/>
        <v>2.2033580537442452E-6</v>
      </c>
      <c r="U47" s="285">
        <f t="shared" si="30"/>
        <v>42710386.251806505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513569.21789288626</v>
      </c>
      <c r="F48" s="9">
        <f t="shared" si="24"/>
        <v>-2.6356844452742151E-5</v>
      </c>
      <c r="G48" s="285">
        <f t="shared" si="26"/>
        <v>-6951705.7975753117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0">
        <f t="shared" si="28"/>
        <v>2172632.4172179261</v>
      </c>
      <c r="T48" s="9">
        <f t="shared" si="29"/>
        <v>-6.2302596078596148E-6</v>
      </c>
      <c r="U48" s="285">
        <f t="shared" si="30"/>
        <v>-29408891.42994551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4710046.7224492989</v>
      </c>
      <c r="F49" s="9">
        <f t="shared" si="24"/>
        <v>-3.7287308167575422E-6</v>
      </c>
      <c r="G49" s="285">
        <f t="shared" si="26"/>
        <v>-82720178.429582924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0">
        <f t="shared" si="28"/>
        <v>19926989.384600341</v>
      </c>
      <c r="T49" s="9">
        <f t="shared" si="29"/>
        <v>-8.8134218488302746E-7</v>
      </c>
      <c r="U49" s="285">
        <f t="shared" si="30"/>
        <v>-349967678.57992065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55839445.07360857</v>
      </c>
      <c r="F50" s="9">
        <f t="shared" si="24"/>
        <v>-3.8906611718271271E-7</v>
      </c>
      <c r="G50" s="285">
        <f t="shared" si="26"/>
        <v>-1213125126.8241403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0">
        <f t="shared" si="28"/>
        <v>236243672.59166309</v>
      </c>
      <c r="T50" s="9">
        <f t="shared" si="29"/>
        <v>-9.1961134205602063E-8</v>
      </c>
      <c r="U50" s="285">
        <f t="shared" si="30"/>
        <v>-5132449559.5608034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722753820.98661506</v>
      </c>
      <c r="F51" s="9">
        <f t="shared" si="24"/>
        <v>-3.5947814150207667E-8</v>
      </c>
      <c r="G51" s="285">
        <f t="shared" si="26"/>
        <v>-18778170603.638523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0">
        <f t="shared" si="28"/>
        <v>3057804483.2673254</v>
      </c>
      <c r="T51" s="9">
        <f t="shared" si="29"/>
        <v>-8.496756471956516E-9</v>
      </c>
      <c r="U51" s="285">
        <f t="shared" si="30"/>
        <v>-79446102659.107162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9724164937.3081379</v>
      </c>
      <c r="F52" s="9">
        <f t="shared" si="24"/>
        <v>-3.115909843764587E-9</v>
      </c>
      <c r="G52" s="285">
        <f t="shared" si="26"/>
        <v>-294638514578.30389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0">
        <f t="shared" si="28"/>
        <v>41140697653.549171</v>
      </c>
      <c r="T52" s="9">
        <f t="shared" si="29"/>
        <v>-7.3648778408440419E-10</v>
      </c>
      <c r="U52" s="285">
        <f t="shared" si="30"/>
        <v>-1246547556885.8848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133332787263.36563</v>
      </c>
      <c r="F53" s="9">
        <f t="shared" si="24"/>
        <v>-2.599353212038868E-10</v>
      </c>
      <c r="G53" s="285">
        <f t="shared" si="26"/>
        <v>-4621034525602.8438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0">
        <f t="shared" si="28"/>
        <v>564100253632.30664</v>
      </c>
      <c r="T53" s="9">
        <f t="shared" si="29"/>
        <v>-6.1439257758077984E-11</v>
      </c>
      <c r="U53" s="285">
        <f t="shared" si="30"/>
        <v>-19550530679204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1846070976667.5864</v>
      </c>
      <c r="F54" s="10">
        <f t="shared" si="24"/>
        <v>-2.114844077115526E-11</v>
      </c>
      <c r="G54" s="286">
        <f t="shared" si="26"/>
        <v>-72073421958737.719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1">
        <f t="shared" si="28"/>
        <v>7810300285709.8623</v>
      </c>
      <c r="T54" s="10">
        <f t="shared" si="29"/>
        <v>-4.9987223642137842E-12</v>
      </c>
      <c r="U54" s="286">
        <f t="shared" si="30"/>
        <v>-304926015971799.88</v>
      </c>
    </row>
  </sheetData>
  <mergeCells count="2">
    <mergeCell ref="A18:F18"/>
    <mergeCell ref="O18:T18"/>
  </mergeCells>
  <conditionalFormatting sqref="F45:F54">
    <cfRule type="cellIs" dxfId="435" priority="53" operator="equal">
      <formula>MAX($F$45:$F$54)</formula>
    </cfRule>
  </conditionalFormatting>
  <conditionalFormatting sqref="F21:F30">
    <cfRule type="cellIs" dxfId="434" priority="51" operator="equal">
      <formula>MAX($F$21:$F$30)</formula>
    </cfRule>
  </conditionalFormatting>
  <conditionalFormatting sqref="F33:F42">
    <cfRule type="cellIs" dxfId="433" priority="32" operator="lessThanOrEqual">
      <formula>0</formula>
    </cfRule>
    <cfRule type="cellIs" dxfId="432" priority="49" operator="equal">
      <formula>MAX($F$33:$F$42)</formula>
    </cfRule>
  </conditionalFormatting>
  <conditionalFormatting sqref="E33:E42">
    <cfRule type="cellIs" dxfId="431" priority="47" stopIfTrue="1" operator="lessThan">
      <formula>0</formula>
    </cfRule>
    <cfRule type="cellIs" dxfId="430" priority="48" operator="equal">
      <formula>MIN($E$33:$E$42)</formula>
    </cfRule>
  </conditionalFormatting>
  <conditionalFormatting sqref="E21:E30">
    <cfRule type="cellIs" dxfId="429" priority="43" stopIfTrue="1" operator="lessThan">
      <formula>0</formula>
    </cfRule>
    <cfRule type="cellIs" dxfId="428" priority="44" operator="equal">
      <formula>MIN($E$21:$E$30)</formula>
    </cfRule>
  </conditionalFormatting>
  <conditionalFormatting sqref="E45:E54">
    <cfRule type="cellIs" dxfId="427" priority="39" stopIfTrue="1" operator="lessThan">
      <formula>0</formula>
    </cfRule>
    <cfRule type="cellIs" dxfId="426" priority="40" operator="equal">
      <formula>MIN($E$45:$E$54)</formula>
    </cfRule>
  </conditionalFormatting>
  <conditionalFormatting sqref="S7:T16">
    <cfRule type="cellIs" dxfId="425" priority="13" operator="lessThanOrEqual">
      <formula>0</formula>
    </cfRule>
    <cfRule type="cellIs" dxfId="424" priority="14" operator="greaterThan">
      <formula>0</formula>
    </cfRule>
  </conditionalFormatting>
  <conditionalFormatting sqref="U7:U16">
    <cfRule type="cellIs" dxfId="423" priority="15" operator="lessThanOrEqual">
      <formula>0</formula>
    </cfRule>
    <cfRule type="cellIs" dxfId="422" priority="16" operator="greaterThan">
      <formula>0</formula>
    </cfRule>
  </conditionalFormatting>
  <conditionalFormatting sqref="R7:R16">
    <cfRule type="cellIs" dxfId="421" priority="17" operator="lessThanOrEqual">
      <formula>0</formula>
    </cfRule>
    <cfRule type="cellIs" dxfId="420" priority="18" operator="greaterThan">
      <formula>0</formula>
    </cfRule>
  </conditionalFormatting>
  <conditionalFormatting sqref="T21:T30">
    <cfRule type="cellIs" dxfId="419" priority="9" operator="equal">
      <formula>MAX($T$21:$T$30)</formula>
    </cfRule>
  </conditionalFormatting>
  <conditionalFormatting sqref="S33:S42">
    <cfRule type="cellIs" dxfId="418" priority="7" stopIfTrue="1" operator="lessThan">
      <formula>0</formula>
    </cfRule>
    <cfRule type="cellIs" dxfId="417" priority="8" operator="equal">
      <formula>MIN($E$21:$E$30)</formula>
    </cfRule>
  </conditionalFormatting>
  <conditionalFormatting sqref="T33:T42">
    <cfRule type="cellIs" dxfId="416" priority="6" operator="equal">
      <formula>MAX($T$21:$T$30)</formula>
    </cfRule>
  </conditionalFormatting>
  <conditionalFormatting sqref="S45:S54">
    <cfRule type="cellIs" dxfId="415" priority="4" stopIfTrue="1" operator="lessThan">
      <formula>0</formula>
    </cfRule>
    <cfRule type="cellIs" dxfId="414" priority="5" operator="equal">
      <formula>MIN($E$21:$E$30)</formula>
    </cfRule>
  </conditionalFormatting>
  <conditionalFormatting sqref="T45:T54">
    <cfRule type="cellIs" dxfId="413" priority="3" operator="equal">
      <formula>MAX($T$21:$T$30)</formula>
    </cfRule>
  </conditionalFormatting>
  <conditionalFormatting sqref="S21:S30">
    <cfRule type="cellIs" dxfId="412" priority="1" stopIfTrue="1" operator="lessThan">
      <formula>0</formula>
    </cfRule>
    <cfRule type="cellIs" dxfId="41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>
    <pageSetUpPr fitToPage="1"/>
  </sheetPr>
  <dimension ref="A1:W54"/>
  <sheetViews>
    <sheetView topLeftCell="A16" workbookViewId="0">
      <selection activeCell="U20" sqref="U20:U54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1.0000000000000009</v>
      </c>
    </row>
    <row r="2" spans="1:23" x14ac:dyDescent="0.2">
      <c r="A2" t="s">
        <v>40</v>
      </c>
      <c r="B2" s="149" t="s">
        <v>125</v>
      </c>
      <c r="C2" s="155">
        <f>Analysis!B31</f>
        <v>0.35438000268705383</v>
      </c>
      <c r="D2" s="149" t="s">
        <v>126</v>
      </c>
      <c r="E2" s="155">
        <f>Analysis!L31</f>
        <v>0.64561999731294706</v>
      </c>
      <c r="F2" s="149" t="s">
        <v>47</v>
      </c>
      <c r="G2" s="155">
        <f>Analysis!S31</f>
        <v>10.976061174287505</v>
      </c>
      <c r="H2" t="s">
        <v>155</v>
      </c>
      <c r="I2" s="169">
        <f>Analysis!T31</f>
        <v>-11.09851488158117</v>
      </c>
      <c r="J2" t="s">
        <v>48</v>
      </c>
      <c r="K2" s="169">
        <f>C2*G2+E2*I2</f>
        <v>-3.275726559586865</v>
      </c>
      <c r="L2" t="s">
        <v>47</v>
      </c>
      <c r="M2" s="176">
        <v>2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0.35438000268705383</v>
      </c>
      <c r="C4" t="s">
        <v>124</v>
      </c>
      <c r="D4">
        <f>$E$2</f>
        <v>0.64561999731294706</v>
      </c>
      <c r="E4" t="s">
        <v>47</v>
      </c>
      <c r="F4">
        <f>G2</f>
        <v>10.976061174287505</v>
      </c>
      <c r="G4" t="s">
        <v>155</v>
      </c>
      <c r="H4">
        <f>I2</f>
        <v>-11.09851488158117</v>
      </c>
      <c r="I4" t="s">
        <v>48</v>
      </c>
      <c r="J4">
        <f>K2</f>
        <v>-3.275726559586865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0.35438000268705383</v>
      </c>
      <c r="C7" s="95">
        <v>1</v>
      </c>
      <c r="D7" s="22">
        <f>C7*D4</f>
        <v>0.64561999731294706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1.0000000000000009</v>
      </c>
      <c r="R7" s="187">
        <f>B7-D7</f>
        <v>-0.29123999462589323</v>
      </c>
      <c r="S7" s="109">
        <f>SUM(C7)*$B$4*$F$4</f>
        <v>3.8896965884372734</v>
      </c>
      <c r="T7" s="261">
        <f>SUM(C7)*$D$4*$H$4</f>
        <v>-7.1654231480241384</v>
      </c>
      <c r="U7" s="263">
        <f>S7+T7</f>
        <v>-3.275726559586865</v>
      </c>
      <c r="V7" s="109">
        <f>(U7+W7*D7)/B7</f>
        <v>-7.4217126878813033</v>
      </c>
      <c r="W7" s="57">
        <f>COUNT(D7:M7)</f>
        <v>1</v>
      </c>
    </row>
    <row r="8" spans="1:23" x14ac:dyDescent="0.2">
      <c r="A8" s="99">
        <v>2</v>
      </c>
      <c r="B8" s="97">
        <f>C8*B4</f>
        <v>0.45951454971398886</v>
      </c>
      <c r="C8" s="97">
        <f>1/(1-B4*D4)</f>
        <v>1.2966717823516056</v>
      </c>
      <c r="D8" s="144">
        <f>C8*D4</f>
        <v>0.83715723263761788</v>
      </c>
      <c r="E8" s="1">
        <f>D8*D4</f>
        <v>0.54048545028601302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1.0000000000000018</v>
      </c>
      <c r="R8" s="188">
        <f>B8-E8</f>
        <v>-8.0970900572024163E-2</v>
      </c>
      <c r="S8" s="93">
        <f>SUM(C8:D8)*$B$4*$F$4</f>
        <v>8.2999474399120494</v>
      </c>
      <c r="T8" s="260">
        <f>SUM(C8:D8)*$D$4*$H$4</f>
        <v>-15.289787817929328</v>
      </c>
      <c r="U8" s="264">
        <f>S8+T8</f>
        <v>-6.9898403780172789</v>
      </c>
      <c r="V8" s="93">
        <f>(U8+W8*E8)/B8</f>
        <v>-12.858938810801643</v>
      </c>
      <c r="W8" s="9">
        <f>COUNT(D8:M8)</f>
        <v>2</v>
      </c>
    </row>
    <row r="9" spans="1:23" x14ac:dyDescent="0.2">
      <c r="A9" s="99">
        <v>3</v>
      </c>
      <c r="B9" s="97">
        <f>C9*B4</f>
        <v>0.50386148855499835</v>
      </c>
      <c r="C9" s="97">
        <f>1/(1-D4*B4/(1-D4*B4))</f>
        <v>1.4218112893913732</v>
      </c>
      <c r="D9" s="144">
        <f>C9*D4*C8</f>
        <v>1.1902796043598054</v>
      </c>
      <c r="E9" s="1">
        <f>D9*(D4)</f>
        <v>0.76846831496843326</v>
      </c>
      <c r="F9" s="1">
        <f>E9*D4</f>
        <v>0.49613851144500482</v>
      </c>
      <c r="G9" s="1"/>
      <c r="H9" s="1"/>
      <c r="I9" s="1"/>
      <c r="J9" s="1"/>
      <c r="K9" s="1"/>
      <c r="L9" s="1"/>
      <c r="M9" s="260"/>
      <c r="N9" s="97">
        <f>B9+F9</f>
        <v>1.0000000000000031</v>
      </c>
      <c r="R9" s="188">
        <f>B9-F9</f>
        <v>7.722977109993534E-3</v>
      </c>
      <c r="S9" s="93">
        <f>SUM(C9:E9)*$B$4*$F$4</f>
        <v>13.149349621166884</v>
      </c>
      <c r="T9" s="260">
        <f>SUM(C9:E9)*$D$4*$H$4</f>
        <v>-24.223137207425673</v>
      </c>
      <c r="U9" s="264">
        <f t="shared" ref="U9:U16" si="0">S9+T9</f>
        <v>-11.073787586258788</v>
      </c>
      <c r="V9" s="93">
        <f>(U9+W9*F9)/B9</f>
        <v>-19.02382355002608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0.52524322839078819</v>
      </c>
      <c r="C10" s="97">
        <f>1/(1-D4*B4/(1-D4*B4/(1-D4*B4)))</f>
        <v>1.4821469168919794</v>
      </c>
      <c r="D10" s="144">
        <f>C10*D4*C9</f>
        <v>1.3605364671712417</v>
      </c>
      <c r="E10" s="1">
        <f>D10*D4*C8</f>
        <v>1.1389829437596379</v>
      </c>
      <c r="F10" s="1">
        <f>E10*D4</f>
        <v>0.73535016508958995</v>
      </c>
      <c r="G10" s="1">
        <f>F10*D4</f>
        <v>0.47475677160921625</v>
      </c>
      <c r="H10" s="1"/>
      <c r="I10" s="1"/>
      <c r="J10" s="1"/>
      <c r="K10" s="1"/>
      <c r="L10" s="1"/>
      <c r="M10" s="260"/>
      <c r="N10" s="97">
        <f>B10+G10</f>
        <v>1.0000000000000044</v>
      </c>
      <c r="R10" s="188">
        <f>B10-G10</f>
        <v>5.0486456781571931E-2</v>
      </c>
      <c r="S10" s="93">
        <f>SUM(C10:F10)*$B$4*$F$4</f>
        <v>18.347762960083905</v>
      </c>
      <c r="T10" s="260">
        <f>SUM(C10:F10)*$D$4*$H$4</f>
        <v>-33.799419167926501</v>
      </c>
      <c r="U10" s="264">
        <f t="shared" si="0"/>
        <v>-15.451656207842596</v>
      </c>
      <c r="V10" s="93">
        <f>(U10+W10*G10)/B10</f>
        <v>-25.802577527610481</v>
      </c>
      <c r="W10" s="9">
        <f t="shared" si="1"/>
        <v>4</v>
      </c>
    </row>
    <row r="11" spans="1:23" x14ac:dyDescent="0.2">
      <c r="A11" s="99">
        <v>5</v>
      </c>
      <c r="B11" s="97">
        <f>C11*B4</f>
        <v>0.53621431577190437</v>
      </c>
      <c r="C11" s="97">
        <f>1/(1-D4*B4/(1-D4*B4/(1-D4*B4/(1-D4*B4))))</f>
        <v>1.5131054565892785</v>
      </c>
      <c r="D11" s="144">
        <f>C11*D4*C10</f>
        <v>1.4478961925015617</v>
      </c>
      <c r="E11" s="1">
        <f>D11*D4*C9</f>
        <v>1.3290960215385559</v>
      </c>
      <c r="F11" s="1">
        <f>E11*D4*C8</f>
        <v>1.1126623473008852</v>
      </c>
      <c r="G11" s="1">
        <f>F11*D4</f>
        <v>0.71835706167461488</v>
      </c>
      <c r="H11" s="1">
        <f>G11*D4</f>
        <v>0.4637856842281014</v>
      </c>
      <c r="I11" s="1"/>
      <c r="J11" s="1"/>
      <c r="K11" s="1"/>
      <c r="L11" s="1"/>
      <c r="M11" s="260"/>
      <c r="N11" s="97">
        <f>B11+H11</f>
        <v>1.0000000000000058</v>
      </c>
      <c r="R11" s="188">
        <f>B11-H11</f>
        <v>7.2428631543802968E-2</v>
      </c>
      <c r="S11" s="93">
        <f>SUM(C11:G11)*$B$4*$F$4</f>
        <v>23.809288221964287</v>
      </c>
      <c r="T11" s="260">
        <f>SUM(C11:G11)*$D$4*$H$4</f>
        <v>-43.860394013966832</v>
      </c>
      <c r="U11" s="264">
        <f t="shared" si="0"/>
        <v>-20.051105792002545</v>
      </c>
      <c r="V11" s="93">
        <f>(U11+W11*H11)/B11</f>
        <v>-33.069197985390936</v>
      </c>
      <c r="W11" s="9">
        <f t="shared" si="1"/>
        <v>5</v>
      </c>
    </row>
    <row r="12" spans="1:23" x14ac:dyDescent="0.2">
      <c r="A12" s="99">
        <v>6</v>
      </c>
      <c r="B12" s="97">
        <f>C12*B4</f>
        <v>0.54202348393506006</v>
      </c>
      <c r="C12" s="97">
        <f>1/(1-D4*B4/(1-D4*B4/(1-D4*B4/(1-D4*B4/(1-D4*B4)))))</f>
        <v>1.5294979395711292</v>
      </c>
      <c r="D12" s="144">
        <f>C12*D4*C11</f>
        <v>1.4941529870654657</v>
      </c>
      <c r="E12" s="1">
        <f>D12*D4*C10</f>
        <v>1.4297605045080188</v>
      </c>
      <c r="F12" s="1">
        <f>E12*D4*C9</f>
        <v>1.3124483703568526</v>
      </c>
      <c r="G12" s="1">
        <f>F12*D4*C8</f>
        <v>1.0987256457076942</v>
      </c>
      <c r="H12" s="1">
        <f>G12*D4</f>
        <v>0.70935924842946751</v>
      </c>
      <c r="I12" s="1">
        <f>H12*D4</f>
        <v>0.45797651606494694</v>
      </c>
      <c r="J12" s="1"/>
      <c r="K12" s="1"/>
      <c r="L12" s="1"/>
      <c r="M12" s="260"/>
      <c r="N12" s="97">
        <f>B12+I12</f>
        <v>1.0000000000000071</v>
      </c>
      <c r="R12" s="188">
        <f>B12-I12</f>
        <v>8.4046967870113121E-2</v>
      </c>
      <c r="S12" s="93">
        <f>SUM(C12:H12)*$B$4*$F$4</f>
        <v>29.460346843638153</v>
      </c>
      <c r="T12" s="260">
        <f>SUM(C12:H12)*$D$4*$H$4</f>
        <v>-54.270518643983664</v>
      </c>
      <c r="U12" s="264">
        <f t="shared" si="0"/>
        <v>-24.810171800345511</v>
      </c>
      <c r="V12" s="93">
        <f>(U12+W12*I12)/B12</f>
        <v>-40.703610374562885</v>
      </c>
      <c r="W12" s="9">
        <f t="shared" si="1"/>
        <v>6</v>
      </c>
    </row>
    <row r="13" spans="1:23" x14ac:dyDescent="0.2">
      <c r="A13" s="99">
        <v>7</v>
      </c>
      <c r="B13" s="97">
        <f>C13*B4</f>
        <v>0.54515068916661225</v>
      </c>
      <c r="C13" s="97">
        <f>1/(1-D4*B4/(1-D4*B4/(1-D4*B4/(1-D4*B4/(1-D4*B4/(1-D4*B4))))))</f>
        <v>1.5383223800244292</v>
      </c>
      <c r="D13" s="144">
        <f>C13*D4*C12</f>
        <v>1.5190540548074076</v>
      </c>
      <c r="E13" s="1">
        <f>D13*D4*C11</f>
        <v>1.4839504485640684</v>
      </c>
      <c r="F13" s="1">
        <f>E13*D4*C10</f>
        <v>1.4199976577839564</v>
      </c>
      <c r="G13" s="1">
        <f>F13*D4*C9</f>
        <v>1.3034865671509033</v>
      </c>
      <c r="H13" s="1">
        <f>G13*D4*C8</f>
        <v>1.0912232073363588</v>
      </c>
      <c r="I13" s="1">
        <f>H13*D4</f>
        <v>0.70451552418832541</v>
      </c>
      <c r="J13" s="1">
        <f>I13*D4</f>
        <v>0.45484931083339614</v>
      </c>
      <c r="K13" s="1"/>
      <c r="L13" s="1"/>
      <c r="M13" s="260"/>
      <c r="N13" s="97">
        <f>B13+J13</f>
        <v>1.0000000000000084</v>
      </c>
      <c r="R13" s="188">
        <f>B13-J13</f>
        <v>9.0301378333216109E-2</v>
      </c>
      <c r="S13" s="93">
        <f>SUM(C13:I13)*$B$4*$F$4</f>
        <v>35.242789801451622</v>
      </c>
      <c r="T13" s="260">
        <f>SUM(C13:I13)*$D$4*$H$4</f>
        <v>-64.922673556326629</v>
      </c>
      <c r="U13" s="264">
        <f t="shared" si="0"/>
        <v>-29.679883754875007</v>
      </c>
      <c r="V13" s="93">
        <f>(U13+W13*J13)/B13</f>
        <v>-48.602962640561543</v>
      </c>
      <c r="W13" s="9">
        <f t="shared" si="1"/>
        <v>7</v>
      </c>
    </row>
    <row r="14" spans="1:23" x14ac:dyDescent="0.2">
      <c r="A14" s="99">
        <v>8</v>
      </c>
      <c r="B14" s="97">
        <f>C14*B4</f>
        <v>0.54684912144418363</v>
      </c>
      <c r="C14" s="97">
        <f>1/(1-D4*B4/(1-D4*B4/(1-D4*B4/(1-D4*B4/(1-D4*B4/(1-D4*B4/(1-D4*B4)))))))</f>
        <v>1.5431150665888322</v>
      </c>
      <c r="D14" s="144">
        <f>C14*D4*C13</f>
        <v>1.5325781998722054</v>
      </c>
      <c r="E14" s="1">
        <f>D14*D4*C12</f>
        <v>1.513381823638515</v>
      </c>
      <c r="F14" s="1">
        <f>E14*D4*C11</f>
        <v>1.4784092961865092</v>
      </c>
      <c r="G14" s="1">
        <f>F14*D4*C10</f>
        <v>1.4146953086353227</v>
      </c>
      <c r="H14" s="1">
        <f>G14*D4*C9</f>
        <v>1.2986192768059501</v>
      </c>
      <c r="I14" s="1">
        <f>H14*D4*C8</f>
        <v>1.087148520020734</v>
      </c>
      <c r="J14" s="1">
        <f>I14*D4</f>
        <v>0.7018848245745607</v>
      </c>
      <c r="K14" s="1">
        <f>J14*D4</f>
        <v>0.4531508785558262</v>
      </c>
      <c r="L14" s="1"/>
      <c r="M14" s="260"/>
      <c r="N14" s="97">
        <f>B14+K14</f>
        <v>1.0000000000000098</v>
      </c>
      <c r="R14" s="188">
        <f>B14-K14</f>
        <v>9.369824288835743E-2</v>
      </c>
      <c r="S14" s="93">
        <f>SUM(C14:J14)*$B$4*$F$4</f>
        <v>41.113440701154175</v>
      </c>
      <c r="T14" s="260">
        <f>SUM(C14:J14)*$D$4*$H$4</f>
        <v>-75.737321150111768</v>
      </c>
      <c r="U14" s="264">
        <f t="shared" si="0"/>
        <v>-34.623880448957593</v>
      </c>
      <c r="V14" s="93">
        <f>(U14+W14*K14)/B14</f>
        <v>-56.685970965164998</v>
      </c>
      <c r="W14" s="9">
        <f t="shared" si="1"/>
        <v>8</v>
      </c>
    </row>
    <row r="15" spans="1:23" x14ac:dyDescent="0.2">
      <c r="A15" s="99">
        <v>9</v>
      </c>
      <c r="B15" s="97">
        <f>C15*B4</f>
        <v>0.54777600787988057</v>
      </c>
      <c r="C15" s="97">
        <f>1/(1-D4*B4/(1-D4*B4/(1-D4*B4/(1-D4*B4/(1-D4*B4/(1-D4*B4/(1-D4*B4/(1-D4*B4))))))))</f>
        <v>1.5457305822180125</v>
      </c>
      <c r="D15" s="144">
        <f>C15*D4*C14</f>
        <v>1.5399587394324183</v>
      </c>
      <c r="E15" s="1">
        <f>D15*D4*C13</f>
        <v>1.5294434250933693</v>
      </c>
      <c r="F15" s="1">
        <f>E15*D4*C12</f>
        <v>1.510286313620242</v>
      </c>
      <c r="G15" s="1">
        <f>F15*D4*C11</f>
        <v>1.4753853198733469</v>
      </c>
      <c r="H15" s="1">
        <f>G15*D4*C10</f>
        <v>1.4118016545473173</v>
      </c>
      <c r="I15" s="1">
        <f>H15*D4*C9</f>
        <v>1.2959630476121764</v>
      </c>
      <c r="J15" s="1">
        <f>I15*D4*C8</f>
        <v>1.0849248385396231</v>
      </c>
      <c r="K15" s="1">
        <f>J15*D4</f>
        <v>0.70044917134270102</v>
      </c>
      <c r="L15" s="1">
        <f>K15*D4</f>
        <v>0.45222399212013065</v>
      </c>
      <c r="M15" s="260"/>
      <c r="N15" s="97">
        <f>B15+L15</f>
        <v>1.0000000000000111</v>
      </c>
      <c r="R15" s="188">
        <f>B15-L15</f>
        <v>9.555201575974992E-2</v>
      </c>
      <c r="S15" s="93">
        <f>SUM(C15:K15)*$B$4*$F$4</f>
        <v>47.041769186792955</v>
      </c>
      <c r="T15" s="260">
        <f>SUM(C15:K15)*$D$4*$H$4</f>
        <v>-86.658219784304052</v>
      </c>
      <c r="U15" s="264">
        <f t="shared" si="0"/>
        <v>-39.616450597511097</v>
      </c>
      <c r="V15" s="93">
        <f>(U15+W15*L15)/B15</f>
        <v>-64.892281073078223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0.54828316463049109</v>
      </c>
      <c r="C16" s="145">
        <f>1/(1-D4*B4/(1-D4*B4/(1-D4*B4/(1-D4*B4/(1-D4*B4/(1-D4*B4/(1-D4*B4/(1-D4*B4/(1-D4*B4)))))))))</f>
        <v>1.5471616921755864</v>
      </c>
      <c r="D16" s="153">
        <f>C16*D4*C15</f>
        <v>1.5439970879473535</v>
      </c>
      <c r="E16" s="111">
        <f>D16*D4*C14</f>
        <v>1.5382317181244574</v>
      </c>
      <c r="F16" s="111">
        <f>E16*D4*C13</f>
        <v>1.5277281964207943</v>
      </c>
      <c r="G16" s="111">
        <f>F16*D4*C12</f>
        <v>1.5085925691204995</v>
      </c>
      <c r="H16" s="111">
        <f>G16*D4*C11</f>
        <v>1.4737307158767403</v>
      </c>
      <c r="I16" s="111">
        <f>H16*D4*C10</f>
        <v>1.4102183578799559</v>
      </c>
      <c r="J16" s="111">
        <f>I16*D4*C9</f>
        <v>1.294509660751707</v>
      </c>
      <c r="K16" s="111">
        <f>J16*D4*C8</f>
        <v>1.0837081252175607</v>
      </c>
      <c r="L16" s="111">
        <f>K16*D4</f>
        <v>0.69966363689098043</v>
      </c>
      <c r="M16" s="262">
        <f>L16*D4</f>
        <v>0.45171683536952156</v>
      </c>
      <c r="N16" s="145">
        <f>B16+M16</f>
        <v>1.0000000000000127</v>
      </c>
      <c r="R16" s="189">
        <f>B16-M16</f>
        <v>9.656632926096953E-2</v>
      </c>
      <c r="S16" s="94">
        <f>SUM(C16:L16)*$B$4*$F$4</f>
        <v>53.007002694236263</v>
      </c>
      <c r="T16" s="262">
        <f>SUM(C16:L16)*$D$4*$H$4</f>
        <v>-97.647103180676154</v>
      </c>
      <c r="U16" s="265">
        <f t="shared" si="0"/>
        <v>-44.640100486439891</v>
      </c>
      <c r="V16" s="94">
        <f>(U16+W16*M16)/B16</f>
        <v>-73.179215998333731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-27.468754798860118</v>
      </c>
      <c r="F21" s="8">
        <f t="shared" ref="F21:F30" si="4">U7/E21</f>
        <v>0.11925282320124679</v>
      </c>
      <c r="G21" s="284">
        <f>E21*U7</f>
        <v>89.980129653405243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9">
        <f>R21/R7</f>
        <v>-123.60939659487053</v>
      </c>
      <c r="T21" s="8">
        <f>U7/S21</f>
        <v>2.6500627378054843E-2</v>
      </c>
      <c r="U21" s="284">
        <f>S21*U7</f>
        <v>404.91058344032359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-889.20833893845008</v>
      </c>
      <c r="F22" s="9">
        <f t="shared" si="4"/>
        <v>7.8607454203160673E-3</v>
      </c>
      <c r="G22" s="285">
        <f t="shared" ref="G22:G30" si="5">E22*U8</f>
        <v>6215.4243519816528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0">
        <f t="shared" ref="S22:S30" si="7">R22/R8</f>
        <v>-4347.2407681435334</v>
      </c>
      <c r="T22" s="9">
        <f>U8/S22</f>
        <v>1.6078797450646504E-3</v>
      </c>
      <c r="U22" s="285">
        <f t="shared" ref="U22:U30" si="8">S22*U8</f>
        <v>30386.519054132521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75618.507174429382</v>
      </c>
      <c r="F23" s="9">
        <f t="shared" si="4"/>
        <v>-1.4644282200275202E-4</v>
      </c>
      <c r="G23" s="285">
        <f t="shared" si="5"/>
        <v>-837383.28603961726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0">
        <f t="shared" si="7"/>
        <v>376538.7309302066</v>
      </c>
      <c r="T23" s="9">
        <f t="shared" ref="T23:T30" si="11">U9/S23</f>
        <v>-2.940942505144676E-5</v>
      </c>
      <c r="U23" s="285">
        <f t="shared" si="8"/>
        <v>-4169709.9243205599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92698.127346267793</v>
      </c>
      <c r="F24" s="9">
        <f t="shared" si="4"/>
        <v>-1.6668790028652838E-4</v>
      </c>
      <c r="G24" s="285">
        <f t="shared" si="5"/>
        <v>-1432339.5948653424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0">
        <f t="shared" si="7"/>
        <v>463173.72005665087</v>
      </c>
      <c r="T24" s="9">
        <f t="shared" si="11"/>
        <v>-3.3360390580779713E-5</v>
      </c>
      <c r="U24" s="285">
        <f t="shared" si="8"/>
        <v>-7156801.0868228981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517033.10143796401</v>
      </c>
      <c r="F25" s="9">
        <f t="shared" si="4"/>
        <v>-3.8781087199710689E-5</v>
      </c>
      <c r="G25" s="285">
        <f t="shared" si="5"/>
        <v>-10367085.4148998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0">
        <f t="shared" si="7"/>
        <v>2584889.3732967214</v>
      </c>
      <c r="T25" s="9">
        <f t="shared" si="11"/>
        <v>-7.757046007129398E-6</v>
      </c>
      <c r="U25" s="285">
        <f t="shared" si="8"/>
        <v>-51829890.28459572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3564578.3255737666</v>
      </c>
      <c r="F26" s="9">
        <f t="shared" si="4"/>
        <v>-6.9601982434631961E-6</v>
      </c>
      <c r="G26" s="285">
        <f t="shared" si="5"/>
        <v>-88437800.653273091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0">
        <f t="shared" si="7"/>
        <v>17822606.073248506</v>
      </c>
      <c r="T26" s="9">
        <f t="shared" si="11"/>
        <v>-1.3920619520163916E-6</v>
      </c>
      <c r="U26" s="285">
        <f t="shared" si="8"/>
        <v>-442181918.60717672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26541610.374494039</v>
      </c>
      <c r="F27" s="9">
        <f t="shared" si="4"/>
        <v>-1.1182397501922787E-6</v>
      </c>
      <c r="G27" s="285">
        <f t="shared" si="5"/>
        <v>-787751910.58216763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0">
        <f t="shared" si="7"/>
        <v>132707741.79968375</v>
      </c>
      <c r="T27" s="9">
        <f t="shared" si="11"/>
        <v>-2.2364847259382524E-7</v>
      </c>
      <c r="U27" s="285">
        <f t="shared" si="8"/>
        <v>-3938750349.9865808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204635214.16133705</v>
      </c>
      <c r="F28" s="9">
        <f t="shared" si="4"/>
        <v>-1.6919805611589253E-7</v>
      </c>
      <c r="G28" s="285">
        <f t="shared" si="5"/>
        <v>-7085265190.7689676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0">
        <f t="shared" si="7"/>
        <v>1023175729.284806</v>
      </c>
      <c r="T28" s="9">
        <f t="shared" si="11"/>
        <v>-3.3839622518371785E-8</v>
      </c>
      <c r="U28" s="285">
        <f t="shared" si="8"/>
        <v>-35426314129.03212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1605321319.2872725</v>
      </c>
      <c r="F29" s="9">
        <f t="shared" si="4"/>
        <v>-2.4678206239172065E-8</v>
      </c>
      <c r="G29" s="285">
        <f t="shared" si="5"/>
        <v>-63597132738.675568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0">
        <f t="shared" si="7"/>
        <v>8026606219.6782198</v>
      </c>
      <c r="T29" s="9">
        <f t="shared" si="11"/>
        <v>-4.9356414795068007E-9</v>
      </c>
      <c r="U29" s="285">
        <f t="shared" si="8"/>
        <v>-317985648767.5575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12707674832.328814</v>
      </c>
      <c r="F30" s="10">
        <f t="shared" si="4"/>
        <v>-3.5128456681055263E-9</v>
      </c>
      <c r="G30" s="286">
        <f t="shared" si="5"/>
        <v>-567271881464.16138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1">
        <f t="shared" si="7"/>
        <v>63538373747.421013</v>
      </c>
      <c r="T30" s="10">
        <f t="shared" si="11"/>
        <v>-7.0256913820133472E-10</v>
      </c>
      <c r="U30" s="286">
        <f t="shared" si="8"/>
        <v>-2836359388829.8481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-27.468754798860118</v>
      </c>
      <c r="F33" s="8">
        <f t="shared" ref="F33:F42" si="14">U7/E33</f>
        <v>0.11925282320124679</v>
      </c>
      <c r="G33" s="287">
        <f>E33*U7</f>
        <v>89.980129653405243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9">
        <f>R33/R7</f>
        <v>-123.60939659487053</v>
      </c>
      <c r="T33" s="8">
        <f>U7/S33</f>
        <v>2.6500627378054843E-2</v>
      </c>
      <c r="U33" s="287">
        <f>S33*U7</f>
        <v>404.91058344032359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-988.00926548716666</v>
      </c>
      <c r="F34" s="9">
        <f t="shared" si="14"/>
        <v>7.0746708782844616E-3</v>
      </c>
      <c r="G34" s="285">
        <f t="shared" ref="G34:G42" si="16">E34*U8</f>
        <v>6906.027057757391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0">
        <f>R34/R8</f>
        <v>-4446.0416946922505</v>
      </c>
      <c r="T34" s="9">
        <f t="shared" ref="T34:T42" si="18">U8/S34</f>
        <v>1.5721490840632133E-3</v>
      </c>
      <c r="U34" s="285">
        <f t="shared" ref="U34:U42" si="19">S34*U8</f>
        <v>31077.121759908263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94264.166477713341</v>
      </c>
      <c r="F35" s="9">
        <f t="shared" si="14"/>
        <v>-1.1747610995825162E-4</v>
      </c>
      <c r="G35" s="285">
        <f t="shared" si="16"/>
        <v>-1043861.3565699338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0">
        <f t="shared" ref="S35:S42" si="21">R35/R9</f>
        <v>386897.43054314214</v>
      </c>
      <c r="T35" s="9">
        <f t="shared" si="18"/>
        <v>-2.8622024112987673E-5</v>
      </c>
      <c r="U35" s="285">
        <f t="shared" si="19"/>
        <v>-4284419.9635040695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129935.83662211895</v>
      </c>
      <c r="F36" s="9">
        <f t="shared" si="14"/>
        <v>-1.1891758739953551E-4</v>
      </c>
      <c r="G36" s="285">
        <f t="shared" si="16"/>
        <v>-2007723.8765633856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0">
        <f t="shared" si="21"/>
        <v>476325.76205620682</v>
      </c>
      <c r="T36" s="9">
        <f t="shared" si="18"/>
        <v>-3.2439262031809417E-5</v>
      </c>
      <c r="U36" s="285">
        <f t="shared" si="19"/>
        <v>-7360021.9182311436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815257.70598453586</v>
      </c>
      <c r="F37" s="9">
        <f t="shared" si="14"/>
        <v>-2.459480682588345E-5</v>
      </c>
      <c r="G37" s="285">
        <f t="shared" si="16"/>
        <v>-16346818.510441234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0">
        <f t="shared" si="21"/>
        <v>2658672.349532688</v>
      </c>
      <c r="T37" s="9">
        <f t="shared" si="18"/>
        <v>-7.541773921681965E-6</v>
      </c>
      <c r="U37" s="285">
        <f t="shared" si="19"/>
        <v>-53309320.546751894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6323131.1428306587</v>
      </c>
      <c r="F38" s="9">
        <f t="shared" si="14"/>
        <v>-3.9237161526336479E-6</v>
      </c>
      <c r="G38" s="285">
        <f t="shared" si="16"/>
        <v>-156877969.9697437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0">
        <f t="shared" si="21"/>
        <v>18331749.961296093</v>
      </c>
      <c r="T38" s="9">
        <f t="shared" si="18"/>
        <v>-1.3533989855156949E-6</v>
      </c>
      <c r="U38" s="285">
        <f t="shared" si="19"/>
        <v>-454813865.94073325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52966721.973507814</v>
      </c>
      <c r="F39" s="9">
        <f t="shared" si="14"/>
        <v>-5.6034964311591523E-7</v>
      </c>
      <c r="G39" s="285">
        <f t="shared" si="16"/>
        <v>-1572046151.0504956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0">
        <f t="shared" si="21"/>
        <v>136499311.83238676</v>
      </c>
      <c r="T39" s="9">
        <f t="shared" si="18"/>
        <v>-2.1743614203213114E-7</v>
      </c>
      <c r="U39" s="285">
        <f t="shared" si="19"/>
        <v>-4051283707.8056736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459418647.27698982</v>
      </c>
      <c r="F40" s="9">
        <f t="shared" si="14"/>
        <v>-7.5364551818207714E-8</v>
      </c>
      <c r="G40" s="285">
        <f t="shared" si="16"/>
        <v>-15906856319.340313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0">
        <f t="shared" si="21"/>
        <v>1052409233.7301743</v>
      </c>
      <c r="T40" s="9">
        <f t="shared" si="18"/>
        <v>-3.2899635749333192E-8</v>
      </c>
      <c r="U40" s="285">
        <f t="shared" si="19"/>
        <v>-36438491492.05262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4054550654.1076655</v>
      </c>
      <c r="F41" s="9">
        <f t="shared" si="14"/>
        <v>-9.7708609355701765E-9</v>
      </c>
      <c r="G41" s="285">
        <f t="shared" si="16"/>
        <v>-160626905683.56262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0">
        <f t="shared" si="21"/>
        <v>8255937729.0740757</v>
      </c>
      <c r="T41" s="9">
        <f t="shared" si="18"/>
        <v>-4.7985403836075422E-9</v>
      </c>
      <c r="U41" s="285">
        <f t="shared" si="19"/>
        <v>-327070949179.99109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36107662232.629761</v>
      </c>
      <c r="F42" s="10">
        <f t="shared" si="14"/>
        <v>-1.2363054744125622E-9</v>
      </c>
      <c r="G42" s="286">
        <f t="shared" si="16"/>
        <v>-1611849670395.0232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1">
        <f t="shared" si="21"/>
        <v>65353755747.975685</v>
      </c>
      <c r="T42" s="10">
        <f t="shared" si="18"/>
        <v>-6.8305332992010343E-10</v>
      </c>
      <c r="U42" s="286">
        <f t="shared" si="19"/>
        <v>-2917398223755.8833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-27.468754798860118</v>
      </c>
      <c r="F45" s="8">
        <f t="shared" ref="F45:F54" si="24">U7/E45</f>
        <v>0.11925282320124679</v>
      </c>
      <c r="G45" s="284">
        <f>E45*U7</f>
        <v>89.980129653405243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9">
        <f>R45/R7</f>
        <v>-123.60939659487053</v>
      </c>
      <c r="T45" s="8">
        <f>U7/S45</f>
        <v>2.6500627378054843E-2</v>
      </c>
      <c r="U45" s="287">
        <f>S45*U7</f>
        <v>404.91058344032359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-1679.6157513281835</v>
      </c>
      <c r="F46" s="9">
        <f t="shared" si="24"/>
        <v>4.1615711048732119E-3</v>
      </c>
      <c r="G46" s="285">
        <f t="shared" ref="G46:G54" si="26">E46*U8</f>
        <v>11740.245998187565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0">
        <f t="shared" ref="S46:S54" si="28">R46/R8</f>
        <v>-7904.0741238973333</v>
      </c>
      <c r="T46" s="9">
        <f t="shared" ref="T46:T54" si="29">U8/S46</f>
        <v>8.843338597855577E-4</v>
      </c>
      <c r="U46" s="285">
        <f t="shared" ref="U46:U54" si="30">S46*U8</f>
        <v>55248.216462059128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282792.49943314004</v>
      </c>
      <c r="F47" s="9">
        <f t="shared" si="24"/>
        <v>-3.9158703319417205E-5</v>
      </c>
      <c r="G47" s="285">
        <f t="shared" si="26"/>
        <v>-3131584.0697098016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0">
        <f t="shared" si="28"/>
        <v>1337826.055010624</v>
      </c>
      <c r="T47" s="9">
        <f t="shared" si="29"/>
        <v>-8.2774494821532294E-6</v>
      </c>
      <c r="U47" s="285">
        <f t="shared" si="30"/>
        <v>-14814801.560550215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692304.47585614352</v>
      </c>
      <c r="F48" s="9">
        <f t="shared" si="24"/>
        <v>-2.231916266139142E-5</v>
      </c>
      <c r="G48" s="285">
        <f t="shared" si="26"/>
        <v>-10697250.752079794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0">
        <f t="shared" si="28"/>
        <v>3276759.9579375582</v>
      </c>
      <c r="T48" s="9">
        <f t="shared" si="29"/>
        <v>-4.715528877973747E-6</v>
      </c>
      <c r="U48" s="285">
        <f t="shared" si="30"/>
        <v>-50631368.345675915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7721255.918825224</v>
      </c>
      <c r="F49" s="9">
        <f t="shared" si="24"/>
        <v>-2.5968710275637759E-6</v>
      </c>
      <c r="G49" s="285">
        <f t="shared" si="26"/>
        <v>-154819719.27549037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0">
        <f t="shared" si="28"/>
        <v>36547149.153289281</v>
      </c>
      <c r="T49" s="9">
        <f t="shared" si="29"/>
        <v>-5.4863665857772996E-7</v>
      </c>
      <c r="U49" s="285">
        <f t="shared" si="30"/>
        <v>-732810754.0686996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106462472.43360496</v>
      </c>
      <c r="F50" s="9">
        <f t="shared" si="24"/>
        <v>-2.3304147680600138E-7</v>
      </c>
      <c r="G50" s="285">
        <f t="shared" si="26"/>
        <v>-2641352231.3672872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0">
        <f t="shared" si="28"/>
        <v>503922236.26024067</v>
      </c>
      <c r="T50" s="9">
        <f t="shared" si="29"/>
        <v>-4.9234127837797555E-8</v>
      </c>
      <c r="U50" s="285">
        <f t="shared" si="30"/>
        <v>-12502397255.630871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1585419609.7839465</v>
      </c>
      <c r="F51" s="9">
        <f t="shared" si="24"/>
        <v>-1.8720522675331133E-8</v>
      </c>
      <c r="G51" s="285">
        <f t="shared" si="26"/>
        <v>-47055069721.08683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0">
        <f t="shared" si="28"/>
        <v>7504319341.6100464</v>
      </c>
      <c r="T51" s="9">
        <f t="shared" si="29"/>
        <v>-3.9550400780928404E-9</v>
      </c>
      <c r="U51" s="285">
        <f t="shared" si="30"/>
        <v>-222727325718.44632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24447088369.942387</v>
      </c>
      <c r="F52" s="9">
        <f t="shared" si="24"/>
        <v>-1.4162782874187807E-9</v>
      </c>
      <c r="G52" s="285">
        <f t="shared" si="26"/>
        <v>-846453065045.98669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0">
        <f t="shared" si="28"/>
        <v>115716218125.01709</v>
      </c>
      <c r="T52" s="9">
        <f t="shared" si="29"/>
        <v>-2.9921372310621806E-10</v>
      </c>
      <c r="U52" s="285">
        <f t="shared" si="30"/>
        <v>-4006544502366.0913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383564776740.57098</v>
      </c>
      <c r="F53" s="9">
        <f t="shared" si="24"/>
        <v>-1.0328490257671965E-10</v>
      </c>
      <c r="G53" s="285">
        <f t="shared" si="26"/>
        <v>-15195475028688.203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0">
        <f t="shared" si="28"/>
        <v>1815539943062.8823</v>
      </c>
      <c r="T53" s="9">
        <f t="shared" si="29"/>
        <v>-2.1820754067617315E-11</v>
      </c>
      <c r="U53" s="285">
        <f t="shared" si="30"/>
        <v>-71925248462158.781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6072574218858.8652</v>
      </c>
      <c r="F54" s="10">
        <f t="shared" si="24"/>
        <v>-7.3511000240732314E-12</v>
      </c>
      <c r="G54" s="286">
        <f t="shared" si="26"/>
        <v>-271080323341223.97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1">
        <f t="shared" si="28"/>
        <v>28743517969071.988</v>
      </c>
      <c r="T54" s="10">
        <f t="shared" si="29"/>
        <v>-1.5530493008709866E-12</v>
      </c>
      <c r="U54" s="286">
        <f t="shared" si="30"/>
        <v>-1283113530473164.2</v>
      </c>
    </row>
  </sheetData>
  <mergeCells count="2">
    <mergeCell ref="A18:F18"/>
    <mergeCell ref="O18:T18"/>
  </mergeCells>
  <conditionalFormatting sqref="F45:F54">
    <cfRule type="cellIs" dxfId="410" priority="53" operator="equal">
      <formula>MAX($F$45:$F$54)</formula>
    </cfRule>
  </conditionalFormatting>
  <conditionalFormatting sqref="F21:F30">
    <cfRule type="cellIs" dxfId="409" priority="51" operator="equal">
      <formula>MAX($F$21:$F$30)</formula>
    </cfRule>
  </conditionalFormatting>
  <conditionalFormatting sqref="F33:F42">
    <cfRule type="cellIs" dxfId="408" priority="32" operator="lessThanOrEqual">
      <formula>0</formula>
    </cfRule>
    <cfRule type="cellIs" dxfId="407" priority="49" operator="equal">
      <formula>MAX($F$33:$F$42)</formula>
    </cfRule>
  </conditionalFormatting>
  <conditionalFormatting sqref="E33:E42">
    <cfRule type="cellIs" dxfId="406" priority="47" stopIfTrue="1" operator="lessThan">
      <formula>0</formula>
    </cfRule>
    <cfRule type="cellIs" dxfId="405" priority="48" operator="equal">
      <formula>MIN($E$33:$E$42)</formula>
    </cfRule>
  </conditionalFormatting>
  <conditionalFormatting sqref="E21:E30">
    <cfRule type="cellIs" dxfId="404" priority="43" stopIfTrue="1" operator="lessThan">
      <formula>0</formula>
    </cfRule>
    <cfRule type="cellIs" dxfId="403" priority="44" operator="equal">
      <formula>MIN($E$21:$E$30)</formula>
    </cfRule>
  </conditionalFormatting>
  <conditionalFormatting sqref="E45:E54">
    <cfRule type="cellIs" dxfId="402" priority="39" stopIfTrue="1" operator="lessThan">
      <formula>0</formula>
    </cfRule>
    <cfRule type="cellIs" dxfId="401" priority="40" operator="equal">
      <formula>MIN($E$45:$E$54)</formula>
    </cfRule>
  </conditionalFormatting>
  <conditionalFormatting sqref="S7:T16">
    <cfRule type="cellIs" dxfId="400" priority="13" operator="lessThanOrEqual">
      <formula>0</formula>
    </cfRule>
    <cfRule type="cellIs" dxfId="399" priority="14" operator="greaterThan">
      <formula>0</formula>
    </cfRule>
  </conditionalFormatting>
  <conditionalFormatting sqref="U7:U16">
    <cfRule type="cellIs" dxfId="398" priority="15" operator="lessThanOrEqual">
      <formula>0</formula>
    </cfRule>
    <cfRule type="cellIs" dxfId="397" priority="16" operator="greaterThan">
      <formula>0</formula>
    </cfRule>
  </conditionalFormatting>
  <conditionalFormatting sqref="R7:R16">
    <cfRule type="cellIs" dxfId="396" priority="17" operator="lessThanOrEqual">
      <formula>0</formula>
    </cfRule>
    <cfRule type="cellIs" dxfId="395" priority="18" operator="greaterThan">
      <formula>0</formula>
    </cfRule>
  </conditionalFormatting>
  <conditionalFormatting sqref="T21:T30">
    <cfRule type="cellIs" dxfId="394" priority="9" operator="equal">
      <formula>MAX($T$21:$T$30)</formula>
    </cfRule>
  </conditionalFormatting>
  <conditionalFormatting sqref="S33:S42">
    <cfRule type="cellIs" dxfId="393" priority="7" stopIfTrue="1" operator="lessThan">
      <formula>0</formula>
    </cfRule>
    <cfRule type="cellIs" dxfId="392" priority="8" operator="equal">
      <formula>MIN($E$21:$E$30)</formula>
    </cfRule>
  </conditionalFormatting>
  <conditionalFormatting sqref="T33:T42">
    <cfRule type="cellIs" dxfId="391" priority="6" operator="equal">
      <formula>MAX($T$21:$T$30)</formula>
    </cfRule>
  </conditionalFormatting>
  <conditionalFormatting sqref="S45:S54">
    <cfRule type="cellIs" dxfId="390" priority="4" stopIfTrue="1" operator="lessThan">
      <formula>0</formula>
    </cfRule>
    <cfRule type="cellIs" dxfId="389" priority="5" operator="equal">
      <formula>MIN($E$21:$E$30)</formula>
    </cfRule>
  </conditionalFormatting>
  <conditionalFormatting sqref="T45:T54">
    <cfRule type="cellIs" dxfId="388" priority="3" operator="equal">
      <formula>MAX($T$21:$T$30)</formula>
    </cfRule>
  </conditionalFormatting>
  <conditionalFormatting sqref="S21:S30">
    <cfRule type="cellIs" dxfId="387" priority="1" stopIfTrue="1" operator="lessThan">
      <formula>0</formula>
    </cfRule>
    <cfRule type="cellIs" dxfId="38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>
    <pageSetUpPr fitToPage="1"/>
  </sheetPr>
  <dimension ref="A1:W54"/>
  <sheetViews>
    <sheetView topLeftCell="A12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1.0000000000000011</v>
      </c>
    </row>
    <row r="2" spans="1:23" x14ac:dyDescent="0.2">
      <c r="A2" t="s">
        <v>40</v>
      </c>
      <c r="B2" s="149" t="s">
        <v>125</v>
      </c>
      <c r="C2" s="155">
        <f>Analysis!B32</f>
        <v>0.35591376428051225</v>
      </c>
      <c r="D2" s="149" t="s">
        <v>126</v>
      </c>
      <c r="E2" s="155">
        <f>Analysis!M32</f>
        <v>0.64408623571948886</v>
      </c>
      <c r="F2" s="149" t="s">
        <v>47</v>
      </c>
      <c r="G2" s="155">
        <f>Analysis!S32</f>
        <v>12.524731197092033</v>
      </c>
      <c r="H2" t="s">
        <v>155</v>
      </c>
      <c r="I2" s="169">
        <f>Analysis!T32</f>
        <v>-12.664462540019802</v>
      </c>
      <c r="J2" t="s">
        <v>48</v>
      </c>
      <c r="K2" s="169">
        <f>C2*G2+E2*I2</f>
        <v>-3.6992817778532388</v>
      </c>
      <c r="L2" t="s">
        <v>47</v>
      </c>
      <c r="M2" s="176">
        <v>2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0.35591376428051225</v>
      </c>
      <c r="C4" t="s">
        <v>124</v>
      </c>
      <c r="D4">
        <f>$E$2</f>
        <v>0.64408623571948886</v>
      </c>
      <c r="E4" t="s">
        <v>47</v>
      </c>
      <c r="F4">
        <f>G2</f>
        <v>12.524731197092033</v>
      </c>
      <c r="G4" t="s">
        <v>155</v>
      </c>
      <c r="H4">
        <f>I2</f>
        <v>-12.664462540019802</v>
      </c>
      <c r="I4" t="s">
        <v>48</v>
      </c>
      <c r="J4">
        <f>K2</f>
        <v>-3.6992817778532388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0.35591376428051225</v>
      </c>
      <c r="C7" s="95">
        <v>1</v>
      </c>
      <c r="D7" s="22">
        <f>C7*D4</f>
        <v>0.64408623571948886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1.0000000000000011</v>
      </c>
      <c r="R7" s="187">
        <f>B7-D7</f>
        <v>-0.28817247143897662</v>
      </c>
      <c r="S7" s="109">
        <f>SUM(C7)*$B$4*$F$4</f>
        <v>4.4577242269585913</v>
      </c>
      <c r="T7" s="261">
        <f>SUM(C7)*$D$4*$H$4</f>
        <v>-8.15700600481183</v>
      </c>
      <c r="U7" s="263">
        <f>S7+T7</f>
        <v>-3.6992817778532388</v>
      </c>
      <c r="V7" s="109">
        <f>(U7+W7*D7)/B7</f>
        <v>-8.5840893181242848</v>
      </c>
      <c r="W7" s="57">
        <f>COUNT(D7:M7)</f>
        <v>1</v>
      </c>
    </row>
    <row r="8" spans="1:23" x14ac:dyDescent="0.2">
      <c r="A8" s="99">
        <v>2</v>
      </c>
      <c r="B8" s="97">
        <f>C8*B4</f>
        <v>0.46176938977034421</v>
      </c>
      <c r="C8" s="97">
        <f>1/(1-B4*D4)</f>
        <v>1.2974193080276666</v>
      </c>
      <c r="D8" s="144">
        <f>C8*D4</f>
        <v>0.83564991825732382</v>
      </c>
      <c r="E8" s="1">
        <f>D8*D4</f>
        <v>0.53823061022965824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1.0000000000000024</v>
      </c>
      <c r="R8" s="188">
        <f>B8-E8</f>
        <v>-7.6461220459314028E-2</v>
      </c>
      <c r="S8" s="93">
        <f>SUM(C8:D8)*$B$4*$F$4</f>
        <v>9.508634367790421</v>
      </c>
      <c r="T8" s="260">
        <f>SUM(C8:D8)*$D$4*$H$4</f>
        <v>-17.399458487485994</v>
      </c>
      <c r="U8" s="264">
        <f>S8+T8</f>
        <v>-7.8908241196955728</v>
      </c>
      <c r="V8" s="93">
        <f>(U8+W8*E8)/B8</f>
        <v>-14.757069329834319</v>
      </c>
      <c r="W8" s="9">
        <f>COUNT(D8:M8)</f>
        <v>2</v>
      </c>
    </row>
    <row r="9" spans="1:23" x14ac:dyDescent="0.2">
      <c r="A9" s="99">
        <v>3</v>
      </c>
      <c r="B9" s="97">
        <f>C9*B4</f>
        <v>0.50658062247820435</v>
      </c>
      <c r="C9" s="97">
        <f>1/(1-D4*B4/(1-D4*B4))</f>
        <v>1.4233240557646556</v>
      </c>
      <c r="D9" s="144">
        <f>C9*D4*C8</f>
        <v>1.1894006308534171</v>
      </c>
      <c r="E9" s="1">
        <f>D9*(D4)</f>
        <v>0.7660765750887627</v>
      </c>
      <c r="F9" s="1">
        <f>E9*D4</f>
        <v>0.49341937752179954</v>
      </c>
      <c r="G9" s="1"/>
      <c r="H9" s="1"/>
      <c r="I9" s="1"/>
      <c r="J9" s="1"/>
      <c r="K9" s="1"/>
      <c r="L9" s="1"/>
      <c r="M9" s="260"/>
      <c r="N9" s="97">
        <f>B9+F9</f>
        <v>1.000000000000004</v>
      </c>
      <c r="R9" s="188">
        <f>B9-F9</f>
        <v>1.3161244956404805E-2</v>
      </c>
      <c r="S9" s="93">
        <f>SUM(C9:E9)*$B$4*$F$4</f>
        <v>15.061764242388817</v>
      </c>
      <c r="T9" s="260">
        <f>SUM(C9:E9)*$D$4*$H$4</f>
        <v>-27.560902180808444</v>
      </c>
      <c r="U9" s="264">
        <f t="shared" ref="U9:U16" si="0">S9+T9</f>
        <v>-12.499137938419628</v>
      </c>
      <c r="V9" s="93">
        <f>(U9+W9*F9)/B9</f>
        <v>-21.75148301557531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0.52828268838531589</v>
      </c>
      <c r="C10" s="97">
        <f>1/(1-D4*B4/(1-D4*B4/(1-D4*B4)))</f>
        <v>1.4842996854961519</v>
      </c>
      <c r="D10" s="144">
        <f>C10*D4*C9</f>
        <v>1.3607219897077445</v>
      </c>
      <c r="E10" s="1">
        <f>D10*D4*C8</f>
        <v>1.1370872194702195</v>
      </c>
      <c r="F10" s="1">
        <f>E10*D4</f>
        <v>0.732382226873314</v>
      </c>
      <c r="G10" s="1">
        <f>F10*D4</f>
        <v>0.47171731161468949</v>
      </c>
      <c r="H10" s="1"/>
      <c r="I10" s="1"/>
      <c r="J10" s="1"/>
      <c r="K10" s="1"/>
      <c r="L10" s="1"/>
      <c r="M10" s="260"/>
      <c r="N10" s="97">
        <f>B10+G10</f>
        <v>1.0000000000000053</v>
      </c>
      <c r="R10" s="188">
        <f>B10-G10</f>
        <v>5.6565376770626397E-2</v>
      </c>
      <c r="S10" s="93">
        <f>SUM(C10:F10)*$B$4*$F$4</f>
        <v>21.015901290303159</v>
      </c>
      <c r="T10" s="260">
        <f>SUM(C10:F10)*$D$4*$H$4</f>
        <v>-38.456132388094446</v>
      </c>
      <c r="U10" s="264">
        <f t="shared" si="0"/>
        <v>-17.440231097791287</v>
      </c>
      <c r="V10" s="93">
        <f>(U10+W10*G10)/B10</f>
        <v>-29.441361970181209</v>
      </c>
      <c r="W10" s="9">
        <f t="shared" si="1"/>
        <v>4</v>
      </c>
    </row>
    <row r="11" spans="1:23" x14ac:dyDescent="0.2">
      <c r="A11" s="99">
        <v>5</v>
      </c>
      <c r="B11" s="97">
        <f>C11*B4</f>
        <v>0.53947547956966557</v>
      </c>
      <c r="C11" s="97">
        <f>1/(1-D4*B4/(1-D4*B4/(1-D4*B4/(1-D4*B4))))</f>
        <v>1.5157477279931206</v>
      </c>
      <c r="D11" s="144">
        <f>C11*D4*C10</f>
        <v>1.449080591293558</v>
      </c>
      <c r="E11" s="1">
        <f>D11*D4*C9</f>
        <v>1.3284351163712196</v>
      </c>
      <c r="F11" s="1">
        <f>E11*D4*C8</f>
        <v>1.110106696405768</v>
      </c>
      <c r="G11" s="1">
        <f>F11*D4</f>
        <v>0.71500444333498858</v>
      </c>
      <c r="H11" s="1">
        <f>G11*D4</f>
        <v>0.46052452043034137</v>
      </c>
      <c r="I11" s="1"/>
      <c r="J11" s="1"/>
      <c r="K11" s="1"/>
      <c r="L11" s="1"/>
      <c r="M11" s="260"/>
      <c r="N11" s="97">
        <f>B11+H11</f>
        <v>1.0000000000000069</v>
      </c>
      <c r="R11" s="188">
        <f>B11-H11</f>
        <v>7.8950959139324206E-2</v>
      </c>
      <c r="S11" s="93">
        <f>SUM(C11:G11)*$B$4*$F$4</f>
        <v>27.274026574362072</v>
      </c>
      <c r="T11" s="260">
        <f>SUM(C11:G11)*$D$4*$H$4</f>
        <v>-49.907618151214862</v>
      </c>
      <c r="U11" s="264">
        <f t="shared" si="0"/>
        <v>-22.63359157685279</v>
      </c>
      <c r="V11" s="93">
        <f>(U11+W11*H11)/B11</f>
        <v>-37.686548776820963</v>
      </c>
      <c r="W11" s="9">
        <f t="shared" si="1"/>
        <v>5</v>
      </c>
    </row>
    <row r="12" spans="1:23" x14ac:dyDescent="0.2">
      <c r="A12" s="99">
        <v>6</v>
      </c>
      <c r="B12" s="97">
        <f>C12*B4</f>
        <v>0.54543556934957982</v>
      </c>
      <c r="C12" s="97">
        <f>1/(1-D4*B4/(1-D4*B4/(1-D4*B4/(1-D4*B4/(1-D4*B4)))))</f>
        <v>1.5324936096590425</v>
      </c>
      <c r="D12" s="144">
        <f>C12*D4*C11</f>
        <v>1.4961309819964128</v>
      </c>
      <c r="E12" s="1">
        <f>D12*D4*C10</f>
        <v>1.4303266486926993</v>
      </c>
      <c r="F12" s="1">
        <f>E12*D4*C9</f>
        <v>1.3112425626436512</v>
      </c>
      <c r="G12" s="1">
        <f>F12*D4*C8</f>
        <v>1.0957397402886908</v>
      </c>
      <c r="H12" s="1">
        <f>G12*D4</f>
        <v>0.70575088465079316</v>
      </c>
      <c r="I12" s="1">
        <f>H12*D4</f>
        <v>0.45456443065042856</v>
      </c>
      <c r="J12" s="1"/>
      <c r="K12" s="1"/>
      <c r="L12" s="1"/>
      <c r="M12" s="260"/>
      <c r="N12" s="97">
        <f>B12+I12</f>
        <v>1.0000000000000084</v>
      </c>
      <c r="R12" s="188">
        <f>B12-I12</f>
        <v>9.0871138699151255E-2</v>
      </c>
      <c r="S12" s="93">
        <f>SUM(C12:H12)*$B$4*$F$4</f>
        <v>33.75248111327442</v>
      </c>
      <c r="T12" s="260">
        <f>SUM(C12:H12)*$D$4*$H$4</f>
        <v>-61.762275345175766</v>
      </c>
      <c r="U12" s="264">
        <f t="shared" si="0"/>
        <v>-28.009794231901346</v>
      </c>
      <c r="V12" s="93">
        <f>(U12+W12*I12)/B12</f>
        <v>-46.352693276215007</v>
      </c>
      <c r="W12" s="9">
        <f t="shared" si="1"/>
        <v>6</v>
      </c>
    </row>
    <row r="13" spans="1:23" x14ac:dyDescent="0.2">
      <c r="A13" s="99">
        <v>7</v>
      </c>
      <c r="B13" s="97">
        <f>C13*B4</f>
        <v>0.54866333078136076</v>
      </c>
      <c r="C13" s="97">
        <f>1/(1-D4*B4/(1-D4*B4/(1-D4*B4/(1-D4*B4/(1-D4*B4/(1-D4*B4))))))</f>
        <v>1.5415625520707135</v>
      </c>
      <c r="D13" s="144">
        <f>C13*D4*C12</f>
        <v>1.521611711661375</v>
      </c>
      <c r="E13" s="1">
        <f>D13*D4*C11</f>
        <v>1.4855072869711152</v>
      </c>
      <c r="F13" s="1">
        <f>E13*D4*C10</f>
        <v>1.4201702156763931</v>
      </c>
      <c r="G13" s="1">
        <f>F13*D4*C9</f>
        <v>1.3019317193703388</v>
      </c>
      <c r="H13" s="1">
        <f>G13*D4*C8</f>
        <v>1.0879591348684408</v>
      </c>
      <c r="I13" s="1">
        <f>H13*D4</f>
        <v>0.7007395037940457</v>
      </c>
      <c r="J13" s="1">
        <f>I13*D4</f>
        <v>0.4513366692186494</v>
      </c>
      <c r="K13" s="1"/>
      <c r="L13" s="1"/>
      <c r="M13" s="260"/>
      <c r="N13" s="97">
        <f>B13+J13</f>
        <v>1.0000000000000102</v>
      </c>
      <c r="R13" s="188">
        <f>B13-J13</f>
        <v>9.7326661562711358E-2</v>
      </c>
      <c r="S13" s="93">
        <f>SUM(C13:I13)*$B$4*$F$4</f>
        <v>40.384672949691549</v>
      </c>
      <c r="T13" s="260">
        <f>SUM(C13:I13)*$D$4*$H$4</f>
        <v>-73.898250089317571</v>
      </c>
      <c r="U13" s="264">
        <f t="shared" si="0"/>
        <v>-33.513577139626022</v>
      </c>
      <c r="V13" s="93">
        <f>(U13+W13*J13)/B13</f>
        <v>-55.323945946720215</v>
      </c>
      <c r="W13" s="9">
        <f t="shared" si="1"/>
        <v>7</v>
      </c>
    </row>
    <row r="14" spans="1:23" x14ac:dyDescent="0.2">
      <c r="A14" s="99">
        <v>8</v>
      </c>
      <c r="B14" s="97">
        <f>C14*B4</f>
        <v>0.5504273634101543</v>
      </c>
      <c r="C14" s="97">
        <f>1/(1-D4*B4/(1-D4*B4/(1-D4*B4/(1-D4*B4/(1-D4*B4/(1-D4*B4/(1-D4*B4)))))))</f>
        <v>1.5465189005062947</v>
      </c>
      <c r="D14" s="144">
        <f>C14*D4*C13</f>
        <v>1.5355374120219685</v>
      </c>
      <c r="E14" s="1">
        <f>D14*D4*C12</f>
        <v>1.5156645487322706</v>
      </c>
      <c r="F14" s="1">
        <f>E14*D4*C11</f>
        <v>1.4797012368465778</v>
      </c>
      <c r="G14" s="1">
        <f>F14*D4*C10</f>
        <v>1.4146195330712579</v>
      </c>
      <c r="H14" s="1">
        <f>G14*D4*C9</f>
        <v>1.2968431675418237</v>
      </c>
      <c r="I14" s="1">
        <f>H14*D4*C8</f>
        <v>1.0837068869488939</v>
      </c>
      <c r="J14" s="1">
        <f>I14*D4</f>
        <v>0.69800068943819882</v>
      </c>
      <c r="K14" s="1">
        <f>J14*D4</f>
        <v>0.44957263658985747</v>
      </c>
      <c r="L14" s="1"/>
      <c r="M14" s="260"/>
      <c r="N14" s="97">
        <f>B14+K14</f>
        <v>1.0000000000000118</v>
      </c>
      <c r="R14" s="188">
        <f>B14-K14</f>
        <v>0.10085472682029684</v>
      </c>
      <c r="S14" s="93">
        <f>SUM(C14:J14)*$B$4*$F$4</f>
        <v>47.120785723819509</v>
      </c>
      <c r="T14" s="260">
        <f>SUM(C14:J14)*$D$4*$H$4</f>
        <v>-86.224385478168287</v>
      </c>
      <c r="U14" s="264">
        <f t="shared" si="0"/>
        <v>-39.103599754348778</v>
      </c>
      <c r="V14" s="93">
        <f>(U14+W14*K14)/B14</f>
        <v>-64.50809138856647</v>
      </c>
      <c r="W14" s="9">
        <f t="shared" si="1"/>
        <v>8</v>
      </c>
    </row>
    <row r="15" spans="1:23" x14ac:dyDescent="0.2">
      <c r="A15" s="99">
        <v>9</v>
      </c>
      <c r="B15" s="97">
        <f>C15*B4</f>
        <v>0.55139624268618392</v>
      </c>
      <c r="C15" s="97">
        <f>1/(1-D4*B4/(1-D4*B4/(1-D4*B4/(1-D4*B4/(1-D4*B4/(1-D4*B4/(1-D4*B4/(1-D4*B4))))))))</f>
        <v>1.5492411309263183</v>
      </c>
      <c r="D15" s="144">
        <f>C15*D4*C14</f>
        <v>1.543185979436962</v>
      </c>
      <c r="E15" s="1">
        <f>D15*D4*C13</f>
        <v>1.5322281572876093</v>
      </c>
      <c r="F15" s="1">
        <f>E15*D4*C12</f>
        <v>1.5123981222392893</v>
      </c>
      <c r="G15" s="1">
        <f>F15*D4*C11</f>
        <v>1.4765123153099651</v>
      </c>
      <c r="H15" s="1">
        <f>G15*D4*C10</f>
        <v>1.4115708698798031</v>
      </c>
      <c r="I15" s="1">
        <f>H15*D4*C9</f>
        <v>1.2940483255807556</v>
      </c>
      <c r="J15" s="1">
        <f>I15*D4*C8</f>
        <v>1.0813713774925851</v>
      </c>
      <c r="K15" s="1">
        <f>J15*D4</f>
        <v>0.69649641994399747</v>
      </c>
      <c r="L15" s="1">
        <f>K15*D4</f>
        <v>0.44860375731382968</v>
      </c>
      <c r="M15" s="260"/>
      <c r="N15" s="97">
        <f>B15+L15</f>
        <v>1.0000000000000135</v>
      </c>
      <c r="R15" s="188">
        <f>B15-L15</f>
        <v>0.10279248537235425</v>
      </c>
      <c r="S15" s="93">
        <f>SUM(C15:K15)*$B$4*$F$4</f>
        <v>53.925324887103066</v>
      </c>
      <c r="T15" s="260">
        <f>SUM(C15:K15)*$D$4*$H$4</f>
        <v>-98.675731498904725</v>
      </c>
      <c r="U15" s="264">
        <f t="shared" si="0"/>
        <v>-44.750406611801658</v>
      </c>
      <c r="V15" s="93">
        <f>(U15+W15*L15)/B15</f>
        <v>-73.836144761596003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0.55192984362017605</v>
      </c>
      <c r="C16" s="145">
        <f>1/(1-D4*B4/(1-D4*B4/(1-D4*B4/(1-D4*B4/(1-D4*B4/(1-D4*B4/(1-D4*B4/(1-D4*B4/(1-D4*B4)))))))))</f>
        <v>1.5507403731235705</v>
      </c>
      <c r="D16" s="153">
        <f>C16*D4*C15</f>
        <v>1.5473983543089562</v>
      </c>
      <c r="E16" s="111">
        <f>D16*D4*C14</f>
        <v>1.5413504052436489</v>
      </c>
      <c r="F16" s="111">
        <f>E16*D4*C13</f>
        <v>1.5304056171004499</v>
      </c>
      <c r="G16" s="111">
        <f>F16*D4*C12</f>
        <v>1.5105991692937666</v>
      </c>
      <c r="H16" s="111">
        <f>G16*D4*C11</f>
        <v>1.4747560474730315</v>
      </c>
      <c r="I16" s="111">
        <f>H16*D4*C10</f>
        <v>1.4098918479762155</v>
      </c>
      <c r="J16" s="111">
        <f>I16*D4*C9</f>
        <v>1.2925090932762975</v>
      </c>
      <c r="K16" s="111">
        <f>J16*D4*C8</f>
        <v>1.0800851181431856</v>
      </c>
      <c r="L16" s="111">
        <f>K16*D4</f>
        <v>0.69566795800148384</v>
      </c>
      <c r="M16" s="262">
        <f>L16*D4</f>
        <v>0.44807015637983921</v>
      </c>
      <c r="N16" s="145">
        <f>B16+M16</f>
        <v>1.0000000000000153</v>
      </c>
      <c r="R16" s="189">
        <f>B16-M16</f>
        <v>0.10385968724033684</v>
      </c>
      <c r="S16" s="94">
        <f>SUM(C16:L16)*$B$4*$F$4</f>
        <v>60.773955235125825</v>
      </c>
      <c r="T16" s="262">
        <f>SUM(C16:L16)*$D$4*$H$4</f>
        <v>-111.20775816302906</v>
      </c>
      <c r="U16" s="265">
        <f t="shared" si="0"/>
        <v>-50.43380292790323</v>
      </c>
      <c r="V16" s="94">
        <f>(U16+W16*M16)/B16</f>
        <v>-83.258953824081644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-31.231296851704446</v>
      </c>
      <c r="F21" s="8">
        <f t="shared" ref="F21:F30" si="4">U7/E21</f>
        <v>0.11844790805257101</v>
      </c>
      <c r="G21" s="284">
        <f>E21*U7</f>
        <v>115.53336734223548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9">
        <f>R21/R7</f>
        <v>-156.15648425852223</v>
      </c>
      <c r="T21" s="8">
        <f>U7/S21</f>
        <v>2.3689581610514203E-2</v>
      </c>
      <c r="U21" s="284">
        <f>S21*U7</f>
        <v>577.66683671117744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-1177.0672696480187</v>
      </c>
      <c r="F22" s="9">
        <f t="shared" si="4"/>
        <v>6.7038004735746198E-3</v>
      </c>
      <c r="G22" s="285">
        <f t="shared" ref="G22:G30" si="5">E22*U8</f>
        <v>9288.0308018427986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0">
        <f t="shared" ref="S22:S30" si="7">R22/R8</f>
        <v>-6356.1632560993021</v>
      </c>
      <c r="T22" s="9">
        <f>U8/S22</f>
        <v>1.241444532143448E-3</v>
      </c>
      <c r="U22" s="285">
        <f t="shared" ref="U22:U30" si="8">S22*U8</f>
        <v>50155.366329951124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62228.15567317899</v>
      </c>
      <c r="F23" s="9">
        <f t="shared" si="4"/>
        <v>-2.0085984878074879E-4</v>
      </c>
      <c r="G23" s="285">
        <f t="shared" si="5"/>
        <v>-777798.30141251406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0">
        <f t="shared" si="7"/>
        <v>341229.11737270677</v>
      </c>
      <c r="T23" s="9">
        <f t="shared" ref="T23:T30" si="11">U9/S23</f>
        <v>-3.6629751982060406E-5</v>
      </c>
      <c r="U23" s="285">
        <f t="shared" si="8"/>
        <v>-4265069.8066466432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130468.50248918221</v>
      </c>
      <c r="F24" s="9">
        <f t="shared" si="4"/>
        <v>-1.3367388116712186E-4</v>
      </c>
      <c r="G24" s="285">
        <f t="shared" si="5"/>
        <v>-2275400.8343940955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0">
        <f t="shared" si="7"/>
        <v>717258.54783077247</v>
      </c>
      <c r="T24" s="9">
        <f t="shared" si="11"/>
        <v>-2.4315124790825185E-5</v>
      </c>
      <c r="U24" s="285">
        <f t="shared" si="8"/>
        <v>-12509154.831034858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841395.73127633834</v>
      </c>
      <c r="F25" s="9">
        <f t="shared" si="4"/>
        <v>-2.690005515302439E-5</v>
      </c>
      <c r="G25" s="285">
        <f t="shared" si="5"/>
        <v>-19043807.336216025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0">
        <f t="shared" si="7"/>
        <v>4627391.5349817649</v>
      </c>
      <c r="T25" s="9">
        <f t="shared" si="11"/>
        <v>-4.8912203356360214E-6</v>
      </c>
      <c r="U25" s="285">
        <f t="shared" si="8"/>
        <v>-104734490.06896318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6579316.6956934389</v>
      </c>
      <c r="F26" s="9">
        <f t="shared" si="4"/>
        <v>-4.2572497308474982E-6</v>
      </c>
      <c r="G26" s="285">
        <f t="shared" si="5"/>
        <v>-184285306.83288631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0">
        <f t="shared" si="7"/>
        <v>36185944.702272259</v>
      </c>
      <c r="T26" s="9">
        <f t="shared" si="11"/>
        <v>-7.7405176132219371E-7</v>
      </c>
      <c r="U26" s="285">
        <f t="shared" si="8"/>
        <v>-1013560865.1976066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55286382.103355266</v>
      </c>
      <c r="F27" s="9">
        <f t="shared" si="4"/>
        <v>-6.0618141149069913E-7</v>
      </c>
      <c r="G27" s="285">
        <f t="shared" si="5"/>
        <v>-1852844431.3916364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0">
        <f t="shared" si="7"/>
        <v>304074777.91613203</v>
      </c>
      <c r="T27" s="9">
        <f t="shared" si="11"/>
        <v>-1.1021491940008758E-7</v>
      </c>
      <c r="U27" s="285">
        <f t="shared" si="8"/>
        <v>-10190633525.906942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480171445.86875266</v>
      </c>
      <c r="F28" s="9">
        <f t="shared" si="4"/>
        <v>-8.1436745334992562E-8</v>
      </c>
      <c r="G28" s="285">
        <f t="shared" si="5"/>
        <v>-18776432032.718655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0">
        <f t="shared" si="7"/>
        <v>2640942595.3290792</v>
      </c>
      <c r="T28" s="9">
        <f t="shared" si="11"/>
        <v>-1.4806682971265496E-8</v>
      </c>
      <c r="U28" s="285">
        <f t="shared" si="8"/>
        <v>-103270362221.95941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4240076961.085135</v>
      </c>
      <c r="F29" s="9">
        <f t="shared" si="4"/>
        <v>-1.0554149611555395E-8</v>
      </c>
      <c r="G29" s="285">
        <f t="shared" si="5"/>
        <v>-189745168073.89212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0">
        <f t="shared" si="7"/>
        <v>23320422891.97057</v>
      </c>
      <c r="T29" s="9">
        <f t="shared" si="11"/>
        <v>-1.9189363254304289E-9</v>
      </c>
      <c r="U29" s="285">
        <f t="shared" si="8"/>
        <v>-1043598406774.8505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37768575606.460472</v>
      </c>
      <c r="F30" s="10">
        <f t="shared" si="4"/>
        <v>-1.3353377011993091E-9</v>
      </c>
      <c r="G30" s="286">
        <f t="shared" si="5"/>
        <v>-1904812899003.8406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1">
        <f t="shared" si="7"/>
        <v>207727165402.25574</v>
      </c>
      <c r="T30" s="10">
        <f t="shared" si="11"/>
        <v>-2.4278867345173703E-10</v>
      </c>
      <c r="U30" s="286">
        <f t="shared" si="8"/>
        <v>-10476470922669.324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-31.231296851704446</v>
      </c>
      <c r="F33" s="8">
        <f t="shared" ref="F33:F42" si="14">U7/E33</f>
        <v>0.11844790805257101</v>
      </c>
      <c r="G33" s="287">
        <f>E33*U7</f>
        <v>115.53336734223548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9">
        <f>R33/R7</f>
        <v>-156.15648425852223</v>
      </c>
      <c r="T33" s="8">
        <f>U7/S33</f>
        <v>2.3689581610514203E-2</v>
      </c>
      <c r="U33" s="287">
        <f>S33*U7</f>
        <v>577.66683671117744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-1294.7739966128208</v>
      </c>
      <c r="F34" s="9">
        <f t="shared" si="14"/>
        <v>6.0943640668860172E-3</v>
      </c>
      <c r="G34" s="285">
        <f t="shared" ref="G34:G42" si="16">E34*U8</f>
        <v>10216.83388202708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0">
        <f>R34/R8</f>
        <v>-6473.8699830641035</v>
      </c>
      <c r="T34" s="9">
        <f t="shared" ref="T34:T42" si="18">U8/S34</f>
        <v>1.2188728133772034E-3</v>
      </c>
      <c r="U34" s="285">
        <f t="shared" ref="U34:U42" si="19">S34*U8</f>
        <v>51084.169410135401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75904.673403547989</v>
      </c>
      <c r="F35" s="9">
        <f t="shared" si="14"/>
        <v>-1.6466888503646976E-4</v>
      </c>
      <c r="G35" s="285">
        <f t="shared" si="16"/>
        <v>-948742.98304163793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0">
        <f t="shared" ref="S35:S42" si="21">R35/R9</f>
        <v>348751.20212440973</v>
      </c>
      <c r="T35" s="9">
        <f t="shared" si="18"/>
        <v>-3.5839698507937533E-5</v>
      </c>
      <c r="U35" s="285">
        <f t="shared" si="19"/>
        <v>-4359089.3815426612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176768.91007985541</v>
      </c>
      <c r="F36" s="9">
        <f t="shared" si="14"/>
        <v>-9.8661190420377975E-5</v>
      </c>
      <c r="G36" s="285">
        <f t="shared" si="16"/>
        <v>-3082890.642697366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0">
        <f t="shared" si="21"/>
        <v>733487.55667698779</v>
      </c>
      <c r="T36" s="9">
        <f t="shared" si="18"/>
        <v>-2.3777132875713653E-5</v>
      </c>
      <c r="U36" s="285">
        <f t="shared" si="19"/>
        <v>-12792192.495800951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1266596.3921164335</v>
      </c>
      <c r="F37" s="9">
        <f t="shared" si="14"/>
        <v>-1.7869616333765909E-5</v>
      </c>
      <c r="G37" s="285">
        <f t="shared" si="16"/>
        <v>-28667625.431878641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0">
        <f t="shared" si="21"/>
        <v>4732494.7546317829</v>
      </c>
      <c r="T37" s="9">
        <f t="shared" si="18"/>
        <v>-4.7825920049252801E-6</v>
      </c>
      <c r="U37" s="285">
        <f t="shared" si="19"/>
        <v>-107113353.41593394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11004583.13074204</v>
      </c>
      <c r="F38" s="9">
        <f t="shared" si="14"/>
        <v>-2.5452844418662358E-6</v>
      </c>
      <c r="G38" s="285">
        <f t="shared" si="16"/>
        <v>-308236109.0999372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0">
        <f t="shared" si="21"/>
        <v>37008285.008223526</v>
      </c>
      <c r="T38" s="9">
        <f t="shared" si="18"/>
        <v>-7.5685199207899941E-7</v>
      </c>
      <c r="U38" s="285">
        <f t="shared" si="19"/>
        <v>-1036594447.9559003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102746758.59046713</v>
      </c>
      <c r="F39" s="9">
        <f t="shared" si="14"/>
        <v>-3.2617649062006925E-7</v>
      </c>
      <c r="G39" s="285">
        <f t="shared" si="16"/>
        <v>-3443411419.8681526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0">
        <f t="shared" si="21"/>
        <v>310985494.76597095</v>
      </c>
      <c r="T39" s="9">
        <f t="shared" si="18"/>
        <v>-1.0776572445877687E-7</v>
      </c>
      <c r="U39" s="285">
        <f t="shared" si="19"/>
        <v>-10422236368.144133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991525158.53996813</v>
      </c>
      <c r="F40" s="9">
        <f t="shared" si="14"/>
        <v>-3.9437829103529019E-8</v>
      </c>
      <c r="G40" s="285">
        <f t="shared" si="16"/>
        <v>-38772202945.914131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0">
        <f t="shared" si="21"/>
        <v>2700963936.825408</v>
      </c>
      <c r="T40" s="9">
        <f t="shared" si="18"/>
        <v>-1.4477646006747279E-8</v>
      </c>
      <c r="U40" s="285">
        <f t="shared" si="19"/>
        <v>-105617412736.55093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9728337585.9394016</v>
      </c>
      <c r="F41" s="9">
        <f t="shared" si="14"/>
        <v>-4.6000055216505326E-9</v>
      </c>
      <c r="G41" s="285">
        <f t="shared" si="16"/>
        <v>-435347062627.66119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0">
        <f t="shared" si="21"/>
        <v>23850432413.606792</v>
      </c>
      <c r="T41" s="9">
        <f t="shared" si="18"/>
        <v>-1.8762933030208427E-9</v>
      </c>
      <c r="U41" s="285">
        <f t="shared" si="19"/>
        <v>-1067316548376.198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96283748437.0569</v>
      </c>
      <c r="F42" s="10">
        <f t="shared" si="14"/>
        <v>-5.2380389989566171E-10</v>
      </c>
      <c r="G42" s="286">
        <f t="shared" si="16"/>
        <v>-4855955593834.3379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1">
        <f t="shared" si="21"/>
        <v>212448237244.74408</v>
      </c>
      <c r="T42" s="10">
        <f t="shared" si="18"/>
        <v>-2.373933697072883E-10</v>
      </c>
      <c r="U42" s="286">
        <f t="shared" si="19"/>
        <v>-10714572529581.854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-31.231296851704446</v>
      </c>
      <c r="F45" s="8">
        <f t="shared" ref="F45:F54" si="24">U7/E45</f>
        <v>0.11844790805257101</v>
      </c>
      <c r="G45" s="284">
        <f>E45*U7</f>
        <v>115.53336734223548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9">
        <f>R45/R7</f>
        <v>-156.15648425852223</v>
      </c>
      <c r="T45" s="8">
        <f>U7/S45</f>
        <v>2.3689581610514203E-2</v>
      </c>
      <c r="U45" s="287">
        <f>S45*U7</f>
        <v>577.66683671117744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-2236.4278123312356</v>
      </c>
      <c r="F46" s="9">
        <f t="shared" si="24"/>
        <v>3.5283160387234841E-3</v>
      </c>
      <c r="G46" s="285">
        <f t="shared" ref="G46:G54" si="26">E46*U8</f>
        <v>17647.258523501318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0">
        <f t="shared" ref="S46:S54" si="28">R46/R8</f>
        <v>-11652.965969515386</v>
      </c>
      <c r="T46" s="9">
        <f t="shared" ref="T46:T54" si="29">U8/S46</f>
        <v>6.7715156298733532E-4</v>
      </c>
      <c r="U46" s="285">
        <f t="shared" ref="U46:U54" si="30">S46*U8</f>
        <v>91951.504938243714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234552.2790758285</v>
      </c>
      <c r="F47" s="9">
        <f t="shared" si="24"/>
        <v>-5.3289347635708866E-5</v>
      </c>
      <c r="G47" s="285">
        <f t="shared" si="26"/>
        <v>-2931701.2899394762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0">
        <f t="shared" si="28"/>
        <v>1227467.4663006184</v>
      </c>
      <c r="T47" s="9">
        <f t="shared" si="29"/>
        <v>-1.018286698554214E-5</v>
      </c>
      <c r="U47" s="285">
        <f t="shared" si="30"/>
        <v>-15342285.176213875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982491.46691548801</v>
      </c>
      <c r="F48" s="9">
        <f t="shared" si="24"/>
        <v>-1.775102551531011E-5</v>
      </c>
      <c r="G48" s="285">
        <f t="shared" si="26"/>
        <v>-17134878.234614074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0">
        <f t="shared" si="28"/>
        <v>5143482.0487412112</v>
      </c>
      <c r="T48" s="9">
        <f t="shared" si="29"/>
        <v>-3.3907440392563471E-6</v>
      </c>
      <c r="U48" s="285">
        <f t="shared" si="30"/>
        <v>-89703515.577387705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12670637.708589118</v>
      </c>
      <c r="F49" s="9">
        <f t="shared" si="24"/>
        <v>-1.7863024811695175E-6</v>
      </c>
      <c r="G49" s="285">
        <f t="shared" si="26"/>
        <v>-286782038.91447598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0">
        <f t="shared" si="28"/>
        <v>66334380.951066285</v>
      </c>
      <c r="T49" s="9">
        <f t="shared" si="29"/>
        <v>-3.4120453454671111E-7</v>
      </c>
      <c r="U49" s="285">
        <f t="shared" si="30"/>
        <v>-1501385285.9497981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198153905.1647009</v>
      </c>
      <c r="F50" s="9">
        <f t="shared" si="24"/>
        <v>-1.4135373314303474E-7</v>
      </c>
      <c r="G50" s="285">
        <f t="shared" si="26"/>
        <v>-5550250109.910965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0">
        <f t="shared" si="28"/>
        <v>1037393834.2744733</v>
      </c>
      <c r="T50" s="9">
        <f t="shared" si="29"/>
        <v>-2.7000154913674303E-8</v>
      </c>
      <c r="U50" s="285">
        <f t="shared" si="30"/>
        <v>-29057187835.471165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3330192177.5171456</v>
      </c>
      <c r="F51" s="9">
        <f t="shared" si="24"/>
        <v>-1.0063556501598766E-8</v>
      </c>
      <c r="G51" s="285">
        <f t="shared" si="26"/>
        <v>-111606652431.00002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0">
        <f t="shared" si="28"/>
        <v>17434535365.282787</v>
      </c>
      <c r="T51" s="9">
        <f t="shared" si="29"/>
        <v>-1.9222523822665943E-9</v>
      </c>
      <c r="U51" s="285">
        <f t="shared" si="30"/>
        <v>-584293645857.94263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57846537876.159302</v>
      </c>
      <c r="F52" s="9">
        <f t="shared" si="24"/>
        <v>-6.7598859309547062E-10</v>
      </c>
      <c r="G52" s="285">
        <f t="shared" si="26"/>
        <v>-2262007864284.1104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0">
        <f t="shared" si="28"/>
        <v>302843639301.32855</v>
      </c>
      <c r="T52" s="9">
        <f t="shared" si="29"/>
        <v>-1.291214167303042E-10</v>
      </c>
      <c r="U52" s="285">
        <f t="shared" si="30"/>
        <v>-11842276459389.521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1021609133961.4905</v>
      </c>
      <c r="F53" s="9">
        <f t="shared" si="24"/>
        <v>-4.3803843489802355E-11</v>
      </c>
      <c r="G53" s="285">
        <f t="shared" si="26"/>
        <v>-45717424143107.25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0">
        <f t="shared" si="28"/>
        <v>5348424289377.6865</v>
      </c>
      <c r="T53" s="9">
        <f t="shared" si="29"/>
        <v>-8.3670262848590438E-12</v>
      </c>
      <c r="U53" s="285">
        <f t="shared" si="30"/>
        <v>-239344161682087.81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18200010085692.508</v>
      </c>
      <c r="F54" s="10">
        <f t="shared" si="24"/>
        <v>-2.7710865373393683E-12</v>
      </c>
      <c r="G54" s="286">
        <f t="shared" si="26"/>
        <v>-917895721947667.12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1">
        <f t="shared" si="28"/>
        <v>95282405742539.234</v>
      </c>
      <c r="T54" s="10">
        <f t="shared" si="29"/>
        <v>-5.2930866443674236E-13</v>
      </c>
      <c r="U54" s="286">
        <f t="shared" si="30"/>
        <v>-4805454073715739</v>
      </c>
    </row>
  </sheetData>
  <mergeCells count="2">
    <mergeCell ref="A18:F18"/>
    <mergeCell ref="O18:T18"/>
  </mergeCells>
  <conditionalFormatting sqref="F45:F54">
    <cfRule type="cellIs" dxfId="385" priority="53" operator="equal">
      <formula>MAX($F$45:$F$54)</formula>
    </cfRule>
  </conditionalFormatting>
  <conditionalFormatting sqref="F21:F30">
    <cfRule type="cellIs" dxfId="384" priority="51" operator="equal">
      <formula>MAX($F$21:$F$30)</formula>
    </cfRule>
  </conditionalFormatting>
  <conditionalFormatting sqref="F33:F42">
    <cfRule type="cellIs" dxfId="383" priority="32" operator="lessThanOrEqual">
      <formula>0</formula>
    </cfRule>
    <cfRule type="cellIs" dxfId="382" priority="49" operator="equal">
      <formula>MAX($F$33:$F$42)</formula>
    </cfRule>
  </conditionalFormatting>
  <conditionalFormatting sqref="E33:E42">
    <cfRule type="cellIs" dxfId="381" priority="47" stopIfTrue="1" operator="lessThan">
      <formula>0</formula>
    </cfRule>
    <cfRule type="cellIs" dxfId="380" priority="48" operator="equal">
      <formula>MIN($E$33:$E$42)</formula>
    </cfRule>
  </conditionalFormatting>
  <conditionalFormatting sqref="E21:E30">
    <cfRule type="cellIs" dxfId="379" priority="43" stopIfTrue="1" operator="lessThan">
      <formula>0</formula>
    </cfRule>
    <cfRule type="cellIs" dxfId="378" priority="44" operator="equal">
      <formula>MIN($E$21:$E$30)</formula>
    </cfRule>
  </conditionalFormatting>
  <conditionalFormatting sqref="E45:E54">
    <cfRule type="cellIs" dxfId="377" priority="39" stopIfTrue="1" operator="lessThan">
      <formula>0</formula>
    </cfRule>
    <cfRule type="cellIs" dxfId="376" priority="40" operator="equal">
      <formula>MIN($E$45:$E$54)</formula>
    </cfRule>
  </conditionalFormatting>
  <conditionalFormatting sqref="S7:T16">
    <cfRule type="cellIs" dxfId="375" priority="13" operator="lessThanOrEqual">
      <formula>0</formula>
    </cfRule>
    <cfRule type="cellIs" dxfId="374" priority="14" operator="greaterThan">
      <formula>0</formula>
    </cfRule>
  </conditionalFormatting>
  <conditionalFormatting sqref="U7:U16">
    <cfRule type="cellIs" dxfId="373" priority="15" operator="lessThanOrEqual">
      <formula>0</formula>
    </cfRule>
    <cfRule type="cellIs" dxfId="372" priority="16" operator="greaterThan">
      <formula>0</formula>
    </cfRule>
  </conditionalFormatting>
  <conditionalFormatting sqref="R7:R16">
    <cfRule type="cellIs" dxfId="371" priority="17" operator="lessThanOrEqual">
      <formula>0</formula>
    </cfRule>
    <cfRule type="cellIs" dxfId="370" priority="18" operator="greaterThan">
      <formula>0</formula>
    </cfRule>
  </conditionalFormatting>
  <conditionalFormatting sqref="T21:T30">
    <cfRule type="cellIs" dxfId="369" priority="9" operator="equal">
      <formula>MAX($T$21:$T$30)</formula>
    </cfRule>
  </conditionalFormatting>
  <conditionalFormatting sqref="S33:S42">
    <cfRule type="cellIs" dxfId="368" priority="7" stopIfTrue="1" operator="lessThan">
      <formula>0</formula>
    </cfRule>
    <cfRule type="cellIs" dxfId="367" priority="8" operator="equal">
      <formula>MIN($E$21:$E$30)</formula>
    </cfRule>
  </conditionalFormatting>
  <conditionalFormatting sqref="T33:T42">
    <cfRule type="cellIs" dxfId="366" priority="6" operator="equal">
      <formula>MAX($T$21:$T$30)</formula>
    </cfRule>
  </conditionalFormatting>
  <conditionalFormatting sqref="S45:S54">
    <cfRule type="cellIs" dxfId="365" priority="4" stopIfTrue="1" operator="lessThan">
      <formula>0</formula>
    </cfRule>
    <cfRule type="cellIs" dxfId="364" priority="5" operator="equal">
      <formula>MIN($E$21:$E$30)</formula>
    </cfRule>
  </conditionalFormatting>
  <conditionalFormatting sqref="T45:T54">
    <cfRule type="cellIs" dxfId="363" priority="3" operator="equal">
      <formula>MAX($T$21:$T$30)</formula>
    </cfRule>
  </conditionalFormatting>
  <conditionalFormatting sqref="S21:S30">
    <cfRule type="cellIs" dxfId="362" priority="1" stopIfTrue="1" operator="lessThan">
      <formula>0</formula>
    </cfRule>
    <cfRule type="cellIs" dxfId="36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>
    <pageSetUpPr fitToPage="1"/>
  </sheetPr>
  <dimension ref="A1:W54"/>
  <sheetViews>
    <sheetView topLeftCell="A19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1.0000000000000011</v>
      </c>
    </row>
    <row r="2" spans="1:23" x14ac:dyDescent="0.2">
      <c r="A2" t="s">
        <v>40</v>
      </c>
      <c r="B2" s="149" t="s">
        <v>125</v>
      </c>
      <c r="C2" s="155">
        <f>Analysis!B33</f>
        <v>0.35682821953299271</v>
      </c>
      <c r="D2" s="149" t="s">
        <v>126</v>
      </c>
      <c r="E2" s="155">
        <f>Analysis!N33</f>
        <v>0.6431717804670084</v>
      </c>
      <c r="F2" s="149" t="s">
        <v>47</v>
      </c>
      <c r="G2" s="155">
        <f>Analysis!S33</f>
        <v>14.084150560039753</v>
      </c>
      <c r="H2" t="s">
        <v>155</v>
      </c>
      <c r="I2" s="169">
        <f>Analysis!T33</f>
        <v>-14.24127946291059</v>
      </c>
      <c r="J2" t="s">
        <v>48</v>
      </c>
      <c r="K2" s="169">
        <f>C2*G2+E2*I2</f>
        <v>-4.1339667003148586</v>
      </c>
      <c r="L2" t="s">
        <v>47</v>
      </c>
      <c r="M2" s="176">
        <v>2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0.35682821953299271</v>
      </c>
      <c r="C4" t="s">
        <v>124</v>
      </c>
      <c r="D4">
        <f>$E$2</f>
        <v>0.6431717804670084</v>
      </c>
      <c r="E4" t="s">
        <v>47</v>
      </c>
      <c r="F4">
        <f>G2</f>
        <v>14.084150560039753</v>
      </c>
      <c r="G4" t="s">
        <v>155</v>
      </c>
      <c r="H4">
        <f>I2</f>
        <v>-14.24127946291059</v>
      </c>
      <c r="I4" t="s">
        <v>48</v>
      </c>
      <c r="J4">
        <f>K2</f>
        <v>-4.1339667003148586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0.35682821953299271</v>
      </c>
      <c r="C7" s="95">
        <v>1</v>
      </c>
      <c r="D7" s="22">
        <f>C7*D4</f>
        <v>0.6431717804670084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1.0000000000000011</v>
      </c>
      <c r="R7" s="187">
        <f>B7-D7</f>
        <v>-0.2863435609340157</v>
      </c>
      <c r="S7" s="109">
        <f>SUM(C7)*$B$4*$F$4</f>
        <v>5.025622367973587</v>
      </c>
      <c r="T7" s="261">
        <f>SUM(C7)*$D$4*$H$4</f>
        <v>-9.1595890682884455</v>
      </c>
      <c r="U7" s="263">
        <f>S7+T7</f>
        <v>-4.1339667003148586</v>
      </c>
      <c r="V7" s="109">
        <f>(U7+W7*D7)/B7</f>
        <v>-9.7828443176845976</v>
      </c>
      <c r="W7" s="57">
        <f>COUNT(D7:M7)</f>
        <v>1</v>
      </c>
    </row>
    <row r="8" spans="1:23" x14ac:dyDescent="0.2">
      <c r="A8" s="99">
        <v>2</v>
      </c>
      <c r="B8" s="97">
        <f>C8*B4</f>
        <v>0.46311365639706281</v>
      </c>
      <c r="C8" s="97">
        <f>1/(1-B4*D4)</f>
        <v>1.2978616349434853</v>
      </c>
      <c r="D8" s="144">
        <f>C8*D4</f>
        <v>0.83474797854642391</v>
      </c>
      <c r="E8" s="1">
        <f>D8*D4</f>
        <v>0.53688634360293963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1.0000000000000024</v>
      </c>
      <c r="R8" s="188">
        <f>B8-E8</f>
        <v>-7.3772687205876819E-2</v>
      </c>
      <c r="S8" s="93">
        <f>SUM(C8:D8)*$B$4*$F$4</f>
        <v>10.717690575710392</v>
      </c>
      <c r="T8" s="260">
        <f>SUM(C8:D8)*$D$4*$H$4</f>
        <v>-19.533827702649017</v>
      </c>
      <c r="U8" s="264">
        <f>S8+T8</f>
        <v>-8.8161371269386244</v>
      </c>
      <c r="V8" s="93">
        <f>(U8+W8*E8)/B8</f>
        <v>-16.718065495988359</v>
      </c>
      <c r="W8" s="9">
        <f>COUNT(D8:M8)</f>
        <v>2</v>
      </c>
    </row>
    <row r="9" spans="1:23" x14ac:dyDescent="0.2">
      <c r="A9" s="99">
        <v>3</v>
      </c>
      <c r="B9" s="97">
        <f>C9*B4</f>
        <v>0.50820213976524664</v>
      </c>
      <c r="C9" s="97">
        <f>1/(1-D4*B4/(1-D4*B4))</f>
        <v>1.4242207088620069</v>
      </c>
      <c r="D9" s="144">
        <f>C9*D4*C8</f>
        <v>1.1888653577265151</v>
      </c>
      <c r="E9" s="1">
        <f>D9*(D4)</f>
        <v>0.76464464886450956</v>
      </c>
      <c r="F9" s="1">
        <f>E9*D4</f>
        <v>0.49179786023475708</v>
      </c>
      <c r="G9" s="1"/>
      <c r="H9" s="1"/>
      <c r="I9" s="1"/>
      <c r="J9" s="1"/>
      <c r="K9" s="1"/>
      <c r="L9" s="1"/>
      <c r="M9" s="260"/>
      <c r="N9" s="97">
        <f>B9+F9</f>
        <v>1.0000000000000038</v>
      </c>
      <c r="R9" s="188">
        <f>B9-F9</f>
        <v>1.6404279530489563E-2</v>
      </c>
      <c r="S9" s="93">
        <f>SUM(C9:E9)*$B$4*$F$4</f>
        <v>16.975199036572182</v>
      </c>
      <c r="T9" s="260">
        <f>SUM(C9:E9)*$D$4*$H$4</f>
        <v>-30.9386253368857</v>
      </c>
      <c r="U9" s="264">
        <f t="shared" ref="U9:U16" si="0">S9+T9</f>
        <v>-13.963426300313518</v>
      </c>
      <c r="V9" s="93">
        <f>(U9+W9*F9)/B9</f>
        <v>-24.57296367421403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0.53009610993644252</v>
      </c>
      <c r="C10" s="97">
        <f>1/(1-D4*B4/(1-D4*B4/(1-D4*B4)))</f>
        <v>1.4855778801077397</v>
      </c>
      <c r="D10" s="144">
        <f>C10*D4*C9</f>
        <v>1.3608169240180925</v>
      </c>
      <c r="E10" s="1">
        <f>D10*D4*C8</f>
        <v>1.1359391764958653</v>
      </c>
      <c r="F10" s="1">
        <f>E10*D4</f>
        <v>0.73060402264907298</v>
      </c>
      <c r="G10" s="1">
        <f>F10*D4</f>
        <v>0.46990389006356281</v>
      </c>
      <c r="H10" s="1"/>
      <c r="I10" s="1"/>
      <c r="J10" s="1"/>
      <c r="K10" s="1"/>
      <c r="L10" s="1"/>
      <c r="M10" s="260"/>
      <c r="N10" s="97">
        <f>B10+G10</f>
        <v>1.0000000000000053</v>
      </c>
      <c r="R10" s="188">
        <f>B10-G10</f>
        <v>6.0192219872879704E-2</v>
      </c>
      <c r="S10" s="93">
        <f>SUM(C10:F10)*$B$4*$F$4</f>
        <v>23.685446648110361</v>
      </c>
      <c r="T10" s="260">
        <f>SUM(C10:F10)*$D$4*$H$4</f>
        <v>-43.16857541428012</v>
      </c>
      <c r="U10" s="264">
        <f t="shared" si="0"/>
        <v>-19.483128766169759</v>
      </c>
      <c r="V10" s="93">
        <f>(U10+W10*G10)/B10</f>
        <v>-33.208153910101572</v>
      </c>
      <c r="W10" s="9">
        <f t="shared" si="1"/>
        <v>4</v>
      </c>
    </row>
    <row r="11" spans="1:23" x14ac:dyDescent="0.2">
      <c r="A11" s="99">
        <v>5</v>
      </c>
      <c r="B11" s="97">
        <f>C11*B4</f>
        <v>0.54142227927071496</v>
      </c>
      <c r="C11" s="97">
        <f>1/(1-D4*B4/(1-D4*B4/(1-D4*B4/(1-D4*B4))))</f>
        <v>1.5173191178077621</v>
      </c>
      <c r="D11" s="144">
        <f>C11*D4*C10</f>
        <v>1.449770756597714</v>
      </c>
      <c r="E11" s="1">
        <f>D11*D4*C9</f>
        <v>1.3280169339769679</v>
      </c>
      <c r="F11" s="1">
        <f>E11*D4*C8</f>
        <v>1.1085594511126935</v>
      </c>
      <c r="G11" s="1">
        <f>F11*D4</f>
        <v>0.71299415592568061</v>
      </c>
      <c r="H11" s="1">
        <f>G11*D4</f>
        <v>0.45857772072929182</v>
      </c>
      <c r="I11" s="1"/>
      <c r="J11" s="1"/>
      <c r="K11" s="1"/>
      <c r="L11" s="1"/>
      <c r="M11" s="260"/>
      <c r="N11" s="97">
        <f>B11+H11</f>
        <v>1.0000000000000067</v>
      </c>
      <c r="R11" s="188">
        <f>B11-H11</f>
        <v>8.2844558541423141E-2</v>
      </c>
      <c r="S11" s="93">
        <f>SUM(C11:G11)*$B$4*$F$4</f>
        <v>30.740025401037478</v>
      </c>
      <c r="T11" s="260">
        <f>SUM(C11:G11)*$D$4*$H$4</f>
        <v>-56.026095875521186</v>
      </c>
      <c r="U11" s="264">
        <f t="shared" si="0"/>
        <v>-25.286070474483708</v>
      </c>
      <c r="V11" s="93">
        <f>(U11+W11*H11)/B11</f>
        <v>-42.468111770000682</v>
      </c>
      <c r="W11" s="9">
        <f t="shared" si="1"/>
        <v>5</v>
      </c>
    </row>
    <row r="12" spans="1:23" x14ac:dyDescent="0.2">
      <c r="A12" s="99">
        <v>6</v>
      </c>
      <c r="B12" s="97">
        <f>C12*B4</f>
        <v>0.54747359959569641</v>
      </c>
      <c r="C12" s="97">
        <f>1/(1-D4*B4/(1-D4*B4/(1-D4*B4/(1-D4*B4/(1-D4*B4)))))</f>
        <v>1.5342777550279383</v>
      </c>
      <c r="D12" s="144">
        <f>C12*D4*C11</f>
        <v>1.4972968105694857</v>
      </c>
      <c r="E12" s="1">
        <f>D12*D4*C10</f>
        <v>1.4306398070347721</v>
      </c>
      <c r="F12" s="1">
        <f>E12*D4*C9</f>
        <v>1.3104926289328593</v>
      </c>
      <c r="G12" s="1">
        <f>F12*D4*C8</f>
        <v>1.0939310729016931</v>
      </c>
      <c r="H12" s="1">
        <f>G12*D4</f>
        <v>0.70358559586636671</v>
      </c>
      <c r="I12" s="1">
        <f>H12*D4</f>
        <v>0.45252640040431208</v>
      </c>
      <c r="J12" s="1"/>
      <c r="K12" s="1"/>
      <c r="L12" s="1"/>
      <c r="M12" s="260"/>
      <c r="N12" s="97">
        <f>B12+I12</f>
        <v>1.0000000000000084</v>
      </c>
      <c r="R12" s="188">
        <f>B12-I12</f>
        <v>9.4947199191384335E-2</v>
      </c>
      <c r="S12" s="93">
        <f>SUM(C12:H12)*$B$4*$F$4</f>
        <v>38.045085408189209</v>
      </c>
      <c r="T12" s="260">
        <f>SUM(C12:H12)*$D$4*$H$4</f>
        <v>-69.340137975281635</v>
      </c>
      <c r="U12" s="264">
        <f t="shared" si="0"/>
        <v>-31.295052567092426</v>
      </c>
      <c r="V12" s="93">
        <f>(U12+W12*I12)/B12</f>
        <v>-52.203237171203348</v>
      </c>
      <c r="W12" s="9">
        <f t="shared" si="1"/>
        <v>6</v>
      </c>
    </row>
    <row r="13" spans="1:23" x14ac:dyDescent="0.2">
      <c r="A13" s="99">
        <v>7</v>
      </c>
      <c r="B13" s="97">
        <f>C13*B4</f>
        <v>0.5507624600247667</v>
      </c>
      <c r="C13" s="97">
        <f>1/(1-D4*B4/(1-D4*B4/(1-D4*B4/(1-D4*B4/(1-D4*B4/(1-D4*B4))))))</f>
        <v>1.5434946842085246</v>
      </c>
      <c r="D13" s="144">
        <f>C13*D4*C12</f>
        <v>1.5231269682645507</v>
      </c>
      <c r="E13" s="1">
        <f>D13*D4*C11</f>
        <v>1.486414793019895</v>
      </c>
      <c r="F13" s="1">
        <f>E13*D4*C10</f>
        <v>1.420242237643454</v>
      </c>
      <c r="G13" s="1">
        <f>F13*D4*C9</f>
        <v>1.3009682622969398</v>
      </c>
      <c r="H13" s="1">
        <f>G13*D4*C8</f>
        <v>1.0859806271054244</v>
      </c>
      <c r="I13" s="1">
        <f>H13*D4</f>
        <v>0.69847209348807415</v>
      </c>
      <c r="J13" s="1">
        <f>I13*D4</f>
        <v>0.44923753997524341</v>
      </c>
      <c r="K13" s="1"/>
      <c r="L13" s="1"/>
      <c r="M13" s="260"/>
      <c r="N13" s="97">
        <f>B13+J13</f>
        <v>1.0000000000000102</v>
      </c>
      <c r="R13" s="188">
        <f>B13-J13</f>
        <v>0.10152492004952329</v>
      </c>
      <c r="S13" s="93">
        <f>SUM(C13:I13)*$B$4*$F$4</f>
        <v>45.525603666339464</v>
      </c>
      <c r="T13" s="260">
        <f>SUM(C13:I13)*$D$4*$H$4</f>
        <v>-82.973966433847849</v>
      </c>
      <c r="U13" s="264">
        <f t="shared" si="0"/>
        <v>-37.448362767508385</v>
      </c>
      <c r="V13" s="93">
        <f>(U13+W13*J13)/B13</f>
        <v>-62.284019840675256</v>
      </c>
      <c r="W13" s="9">
        <f t="shared" si="1"/>
        <v>7</v>
      </c>
    </row>
    <row r="14" spans="1:23" x14ac:dyDescent="0.2">
      <c r="A14" s="99">
        <v>8</v>
      </c>
      <c r="B14" s="97">
        <f>C14*B4</f>
        <v>0.55256656650674885</v>
      </c>
      <c r="C14" s="97">
        <f>1/(1-D4*B4/(1-D4*B4/(1-D4*B4/(1-D4*B4/(1-D4*B4/(1-D4*B4/(1-D4*B4)))))))</f>
        <v>1.5485506365778281</v>
      </c>
      <c r="D14" s="144">
        <f>C14*D4*C13</f>
        <v>1.5372961177110842</v>
      </c>
      <c r="E14" s="1">
        <f>D14*D4*C12</f>
        <v>1.5170101970871535</v>
      </c>
      <c r="F14" s="1">
        <f>E14*D4*C11</f>
        <v>1.4804454553658184</v>
      </c>
      <c r="G14" s="1">
        <f>F14*D4*C10</f>
        <v>1.4145386443349868</v>
      </c>
      <c r="H14" s="1">
        <f>G14*D4*C9</f>
        <v>1.2957436649158078</v>
      </c>
      <c r="I14" s="1">
        <f>H14*D4*C8</f>
        <v>1.0816194050028054</v>
      </c>
      <c r="J14" s="1">
        <f>I14*D4</f>
        <v>0.69566707850332066</v>
      </c>
      <c r="K14" s="1">
        <f>J14*D4</f>
        <v>0.44743343349326287</v>
      </c>
      <c r="L14" s="1"/>
      <c r="M14" s="260"/>
      <c r="N14" s="97">
        <f>B14+K14</f>
        <v>1.0000000000000118</v>
      </c>
      <c r="R14" s="188">
        <f>B14-K14</f>
        <v>0.10513313301348598</v>
      </c>
      <c r="S14" s="93">
        <f>SUM(C14:J14)*$B$4*$F$4</f>
        <v>53.125206749168981</v>
      </c>
      <c r="T14" s="260">
        <f>SUM(C14:J14)*$D$4*$H$4</f>
        <v>-96.824836281214431</v>
      </c>
      <c r="U14" s="264">
        <f t="shared" si="0"/>
        <v>-43.699629532045449</v>
      </c>
      <c r="V14" s="93">
        <f>(U14+W14*K14)/B14</f>
        <v>-72.606930089407314</v>
      </c>
      <c r="W14" s="9">
        <f t="shared" si="1"/>
        <v>8</v>
      </c>
    </row>
    <row r="15" spans="1:23" x14ac:dyDescent="0.2">
      <c r="A15" s="99">
        <v>9</v>
      </c>
      <c r="B15" s="97">
        <f>C15*B4</f>
        <v>0.55356123928407952</v>
      </c>
      <c r="C15" s="97">
        <f>1/(1-D4*B4/(1-D4*B4/(1-D4*B4/(1-D4*B4/(1-D4*B4/(1-D4*B4/(1-D4*B4/(1-D4*B4))))))))</f>
        <v>1.551338176135749</v>
      </c>
      <c r="D15" s="144">
        <f>C15*D4*C14</f>
        <v>1.5451081107243307</v>
      </c>
      <c r="E15" s="1">
        <f>D15*D4*C13</f>
        <v>1.5338786113637315</v>
      </c>
      <c r="F15" s="1">
        <f>E15*D4*C12</f>
        <v>1.5136377876223697</v>
      </c>
      <c r="G15" s="1">
        <f>F15*D4*C11</f>
        <v>1.4771543316308835</v>
      </c>
      <c r="H15" s="1">
        <f>G15*D4*C10</f>
        <v>1.4113940356028785</v>
      </c>
      <c r="I15" s="1">
        <f>H15*D4*C9</f>
        <v>1.2928631449246528</v>
      </c>
      <c r="J15" s="1">
        <f>I15*D4*C8</f>
        <v>1.0792148967630262</v>
      </c>
      <c r="K15" s="1">
        <f>J15*D4</f>
        <v>0.69412056665759425</v>
      </c>
      <c r="L15" s="1">
        <f>K15*D4</f>
        <v>0.44643876071593369</v>
      </c>
      <c r="M15" s="260"/>
      <c r="N15" s="97">
        <f>B15+L15</f>
        <v>1.0000000000000133</v>
      </c>
      <c r="R15" s="188">
        <f>B15-L15</f>
        <v>0.10712247856814583</v>
      </c>
      <c r="S15" s="93">
        <f>SUM(C15:K15)*$B$4*$F$4</f>
        <v>60.803545898076713</v>
      </c>
      <c r="T15" s="260">
        <f>SUM(C15:K15)*$D$4*$H$4</f>
        <v>-110.81920875518621</v>
      </c>
      <c r="U15" s="264">
        <f t="shared" si="0"/>
        <v>-50.015662857109497</v>
      </c>
      <c r="V15" s="93">
        <f>(U15+W15*L15)/B15</f>
        <v>-83.094174133569965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0.55411117332186954</v>
      </c>
      <c r="C16" s="145">
        <f>1/(1-D4*B4/(1-D4*B4/(1-D4*B4/(1-D4*B4/(1-D4*B4/(1-D4*B4/(1-D4*B4/(1-D4*B4/(1-D4*B4)))))))))</f>
        <v>1.5528793491923805</v>
      </c>
      <c r="D16" s="153">
        <f>C16*D4*C15</f>
        <v>1.5494272003373899</v>
      </c>
      <c r="E16" s="111">
        <f>D16*D4*C14</f>
        <v>1.5432048092708739</v>
      </c>
      <c r="F16" s="111">
        <f>E16*D4*C13</f>
        <v>1.5319891426785492</v>
      </c>
      <c r="G16" s="111">
        <f>F16*D4*C12</f>
        <v>1.5117732520722729</v>
      </c>
      <c r="H16" s="111">
        <f>G16*D4*C11</f>
        <v>1.4753347372822041</v>
      </c>
      <c r="I16" s="111">
        <f>H16*D4*C10</f>
        <v>1.4096554463736084</v>
      </c>
      <c r="J16" s="111">
        <f>I16*D4*C9</f>
        <v>1.2912705649066099</v>
      </c>
      <c r="K16" s="111">
        <f>J16*D4*C8</f>
        <v>1.0778854938122915</v>
      </c>
      <c r="L16" s="111">
        <f>K16*D4</f>
        <v>0.69326553219481213</v>
      </c>
      <c r="M16" s="262">
        <f>L16*D4</f>
        <v>0.44588882667814544</v>
      </c>
      <c r="N16" s="145">
        <f>B16+M16</f>
        <v>1.0000000000000151</v>
      </c>
      <c r="R16" s="189">
        <f>B16-M16</f>
        <v>0.1082223466437241</v>
      </c>
      <c r="S16" s="94">
        <f>SUM(C16:L16)*$B$4*$F$4</f>
        <v>68.532831815146565</v>
      </c>
      <c r="T16" s="262">
        <f>SUM(C16:L16)*$D$4*$H$4</f>
        <v>-124.9064356910643</v>
      </c>
      <c r="U16" s="265">
        <f t="shared" si="0"/>
        <v>-56.373603875917738</v>
      </c>
      <c r="V16" s="94">
        <f>(U16+W16*M16)/B16</f>
        <v>-93.690071791749091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-34.923083192027413</v>
      </c>
      <c r="F21" s="8">
        <f t="shared" ref="F21:F30" si="4">U7/E21</f>
        <v>0.11837347457507993</v>
      </c>
      <c r="G21" s="284">
        <f>E21*U7</f>
        <v>144.37086298816686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9">
        <f>R21/R7</f>
        <v>-192.07695755615075</v>
      </c>
      <c r="T21" s="8">
        <f>U7/S21</f>
        <v>2.1522449922741809E-2</v>
      </c>
      <c r="U21" s="284">
        <f>S21*U7</f>
        <v>794.03974643491767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-1491.0667371113095</v>
      </c>
      <c r="F22" s="9">
        <f t="shared" si="4"/>
        <v>5.9126375148160059E-3</v>
      </c>
      <c r="G22" s="285">
        <f t="shared" ref="G22:G30" si="5">E22*U8</f>
        <v>13145.44881979025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0">
        <f t="shared" ref="S22:S30" si="7">R22/R8</f>
        <v>-8810.8489011122838</v>
      </c>
      <c r="T22" s="9">
        <f>U8/S22</f>
        <v>1.0006001948150165E-3</v>
      </c>
      <c r="U22" s="285">
        <f t="shared" ref="U22:U30" si="8">S22*U8</f>
        <v>77677.65211694238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67665.269781395487</v>
      </c>
      <c r="F23" s="9">
        <f t="shared" si="4"/>
        <v>-2.0636031372408346E-4</v>
      </c>
      <c r="G23" s="285">
        <f t="shared" si="5"/>
        <v>-944839.00768334733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0">
        <f t="shared" si="7"/>
        <v>405077.22315078654</v>
      </c>
      <c r="T23" s="9">
        <f t="shared" ref="T23:T30" si="11">U9/S23</f>
        <v>-3.447102306000491E-5</v>
      </c>
      <c r="U23" s="285">
        <f t="shared" si="8"/>
        <v>-5656265.9514016602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184575.34916411579</v>
      </c>
      <c r="F24" s="9">
        <f t="shared" si="4"/>
        <v>-1.0555650499594218E-4</v>
      </c>
      <c r="G24" s="285">
        <f t="shared" si="5"/>
        <v>-3596105.2948252116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0">
        <f t="shared" si="7"/>
        <v>1107119.8261293138</v>
      </c>
      <c r="T24" s="9">
        <f t="shared" si="11"/>
        <v>-1.7598030769881716E-5</v>
      </c>
      <c r="U24" s="285">
        <f t="shared" si="8"/>
        <v>-21570158.132056896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1341186.4575806006</v>
      </c>
      <c r="F25" s="9">
        <f t="shared" si="4"/>
        <v>-1.8853508646439716E-5</v>
      </c>
      <c r="G25" s="285">
        <f t="shared" si="5"/>
        <v>-33913335.285806224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0">
        <f t="shared" si="7"/>
        <v>8046816.9755129488</v>
      </c>
      <c r="T25" s="9">
        <f t="shared" si="11"/>
        <v>-3.1423692810997276E-6</v>
      </c>
      <c r="U25" s="285">
        <f t="shared" si="8"/>
        <v>-203472381.13809228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11702398.906579057</v>
      </c>
      <c r="F26" s="9">
        <f t="shared" si="4"/>
        <v>-2.6742425050558166E-6</v>
      </c>
      <c r="G26" s="285">
        <f t="shared" si="5"/>
        <v>-366227188.94247651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0">
        <f t="shared" si="7"/>
        <v>70214077.474387899</v>
      </c>
      <c r="T26" s="9">
        <f t="shared" si="11"/>
        <v>-4.4570908986887953E-7</v>
      </c>
      <c r="U26" s="285">
        <f t="shared" si="8"/>
        <v>-2197353245.5108695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109442194.04043916</v>
      </c>
      <c r="F27" s="9">
        <f t="shared" si="4"/>
        <v>-3.4217481745359679E-7</v>
      </c>
      <c r="G27" s="285">
        <f t="shared" si="5"/>
        <v>-4098430984.4984097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0">
        <f t="shared" si="7"/>
        <v>656652819.49968922</v>
      </c>
      <c r="T27" s="9">
        <f t="shared" si="11"/>
        <v>-5.7029166182581374E-8</v>
      </c>
      <c r="U27" s="285">
        <f t="shared" si="8"/>
        <v>-24590572996.931564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1056861018.1696687</v>
      </c>
      <c r="F28" s="9">
        <f t="shared" si="4"/>
        <v>-4.1348511091578458E-8</v>
      </c>
      <c r="G28" s="285">
        <f t="shared" si="5"/>
        <v>-46184434960.874878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0">
        <f t="shared" si="7"/>
        <v>6341165728.5480413</v>
      </c>
      <c r="T28" s="9">
        <f t="shared" si="11"/>
        <v>-6.891418928748217E-9</v>
      </c>
      <c r="U28" s="285">
        <f t="shared" si="8"/>
        <v>-277106593138.85248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10372343179.990631</v>
      </c>
      <c r="F29" s="9">
        <f t="shared" si="4"/>
        <v>-4.8220216000561097E-9</v>
      </c>
      <c r="G29" s="285">
        <f t="shared" si="5"/>
        <v>-518779619528.65039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0">
        <f t="shared" si="7"/>
        <v>62234058659.863892</v>
      </c>
      <c r="T29" s="9">
        <f t="shared" si="11"/>
        <v>-8.036702721007925E-10</v>
      </c>
      <c r="U29" s="285">
        <f t="shared" si="8"/>
        <v>-3112677696161.3281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102669286469.81378</v>
      </c>
      <c r="F30" s="10">
        <f t="shared" si="4"/>
        <v>-5.4907953307430816E-10</v>
      </c>
      <c r="G30" s="286">
        <f t="shared" si="5"/>
        <v>-5787837685672.4023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1">
        <f t="shared" si="7"/>
        <v>616015718356.87097</v>
      </c>
      <c r="T30" s="10">
        <f t="shared" si="11"/>
        <v>-9.1513255581019625E-11</v>
      </c>
      <c r="U30" s="286">
        <f t="shared" si="8"/>
        <v>-34727026087989.152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-34.923083192027413</v>
      </c>
      <c r="F33" s="8">
        <f t="shared" ref="F33:F42" si="14">U7/E33</f>
        <v>0.11837347457507993</v>
      </c>
      <c r="G33" s="287">
        <f>E33*U7</f>
        <v>144.37086298816686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9">
        <f>R33/R7</f>
        <v>-192.07695755615075</v>
      </c>
      <c r="T33" s="8">
        <f>U7/S33</f>
        <v>2.1522449922741809E-2</v>
      </c>
      <c r="U33" s="287">
        <f>S33*U7</f>
        <v>794.03974643491767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-1626.6182586668831</v>
      </c>
      <c r="F34" s="9">
        <f t="shared" si="14"/>
        <v>5.4199177219146728E-3</v>
      </c>
      <c r="G34" s="285">
        <f t="shared" ref="G34:G42" si="16">E34*U8</f>
        <v>14340.489621589362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0">
        <f>R34/R8</f>
        <v>-8946.4004226678571</v>
      </c>
      <c r="T34" s="9">
        <f t="shared" ref="T34:T42" si="18">U8/S34</f>
        <v>9.8543958580266772E-4</v>
      </c>
      <c r="U34" s="285">
        <f t="shared" ref="U34:U42" si="19">S34*U8</f>
        <v>78872.692918741493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81076.404332663064</v>
      </c>
      <c r="F35" s="9">
        <f t="shared" si="14"/>
        <v>-1.7222552498776891E-4</v>
      </c>
      <c r="G35" s="285">
        <f t="shared" si="16"/>
        <v>-1132104.3965935602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0">
        <f t="shared" ref="S35:S42" si="21">R35/R9</f>
        <v>412392.38745147793</v>
      </c>
      <c r="T35" s="9">
        <f t="shared" si="18"/>
        <v>-3.3859563670913915E-5</v>
      </c>
      <c r="U35" s="285">
        <f t="shared" si="19"/>
        <v>-5758410.7089890493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243220.80213885283</v>
      </c>
      <c r="F36" s="9">
        <f t="shared" si="14"/>
        <v>-8.0104697438860493E-5</v>
      </c>
      <c r="G36" s="285">
        <f t="shared" si="16"/>
        <v>-4738702.2066823673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0">
        <f t="shared" si="21"/>
        <v>1127554.360735242</v>
      </c>
      <c r="T36" s="9">
        <f t="shared" si="18"/>
        <v>-1.727910373515423E-5</v>
      </c>
      <c r="U36" s="285">
        <f t="shared" si="19"/>
        <v>-21968286.801060949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1944002.1509617113</v>
      </c>
      <c r="F37" s="9">
        <f t="shared" si="14"/>
        <v>-1.3007223506401222E-5</v>
      </c>
      <c r="G37" s="285">
        <f t="shared" si="16"/>
        <v>-49156175.391765751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0">
        <f t="shared" si="21"/>
        <v>8195770.6330284253</v>
      </c>
      <c r="T37" s="9">
        <f t="shared" si="18"/>
        <v>-3.0852584347080773E-6</v>
      </c>
      <c r="U37" s="285">
        <f t="shared" si="19"/>
        <v>-207238833.81946072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18658370.284615561</v>
      </c>
      <c r="F38" s="9">
        <f t="shared" si="14"/>
        <v>-1.6772661325569375E-6</v>
      </c>
      <c r="G38" s="285">
        <f t="shared" si="16"/>
        <v>-583914678.87331927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0">
        <f t="shared" si="21"/>
        <v>71514273.805099696</v>
      </c>
      <c r="T38" s="9">
        <f t="shared" si="18"/>
        <v>-4.3760568208217995E-7</v>
      </c>
      <c r="U38" s="285">
        <f t="shared" si="19"/>
        <v>-2238042958.0280361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191944696.8339819</v>
      </c>
      <c r="F39" s="9">
        <f t="shared" si="14"/>
        <v>-1.9509975209108526E-7</v>
      </c>
      <c r="G39" s="285">
        <f t="shared" si="16"/>
        <v>-7188014638.3383722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0">
        <f t="shared" si="21"/>
        <v>668812986.67241681</v>
      </c>
      <c r="T39" s="9">
        <f t="shared" si="18"/>
        <v>-5.5992278131181857E-8</v>
      </c>
      <c r="U39" s="285">
        <f t="shared" si="19"/>
        <v>-25045951348.529415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2038927917.9238677</v>
      </c>
      <c r="F40" s="9">
        <f t="shared" si="14"/>
        <v>-2.1432650535553245E-8</v>
      </c>
      <c r="G40" s="285">
        <f t="shared" si="16"/>
        <v>-89100394655.817795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0">
        <f t="shared" si="21"/>
        <v>6458594646.0180111</v>
      </c>
      <c r="T40" s="9">
        <f t="shared" si="18"/>
        <v>-6.7661204839644284E-9</v>
      </c>
      <c r="U40" s="285">
        <f t="shared" si="19"/>
        <v>-282238193328.63928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22011698399.043247</v>
      </c>
      <c r="F41" s="9">
        <f t="shared" si="14"/>
        <v>-2.2722309723852776E-9</v>
      </c>
      <c r="G41" s="285">
        <f t="shared" si="16"/>
        <v>-1100929686038.9238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0">
        <f t="shared" si="21"/>
        <v>63386541142.067314</v>
      </c>
      <c r="T41" s="9">
        <f t="shared" si="18"/>
        <v>-7.8905808640055203E-10</v>
      </c>
      <c r="U41" s="285">
        <f t="shared" si="19"/>
        <v>-3170319871439.939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239667918913.16037</v>
      </c>
      <c r="F42" s="10">
        <f t="shared" si="14"/>
        <v>-2.3521547702988049E-10</v>
      </c>
      <c r="G42" s="286">
        <f t="shared" si="16"/>
        <v>-13510944322576.076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1">
        <f t="shared" si="21"/>
        <v>627423416750.84766</v>
      </c>
      <c r="T42" s="10">
        <f t="shared" si="18"/>
        <v>-8.9849378220296674E-11</v>
      </c>
      <c r="U42" s="286">
        <f t="shared" si="19"/>
        <v>-35370119158387.133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-34.923083192027413</v>
      </c>
      <c r="F45" s="8">
        <f t="shared" ref="F45:F54" si="24">U7/E45</f>
        <v>0.11837347457507993</v>
      </c>
      <c r="G45" s="284">
        <f>E45*U7</f>
        <v>144.37086298816686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9">
        <f>R45/R7</f>
        <v>-192.07695755615075</v>
      </c>
      <c r="T45" s="8">
        <f>U7/S45</f>
        <v>2.1522449922741809E-2</v>
      </c>
      <c r="U45" s="287">
        <f>S45*U7</f>
        <v>794.03974643491767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-2846.5819526670457</v>
      </c>
      <c r="F46" s="9">
        <f t="shared" si="24"/>
        <v>3.0970958410940982E-3</v>
      </c>
      <c r="G46" s="285">
        <f t="shared" ref="G46:G54" si="26">E46*U8</f>
        <v>25095.856837781386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0">
        <f t="shared" ref="S46:S54" si="28">R46/R8</f>
        <v>-16266.182586668832</v>
      </c>
      <c r="T46" s="9">
        <f t="shared" ref="T46:T54" si="29">U8/S46</f>
        <v>5.4199177219146715E-4</v>
      </c>
      <c r="U46" s="285">
        <f t="shared" ref="U46:U54" si="30">S46*U8</f>
        <v>143404.89621589365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256640.34754925675</v>
      </c>
      <c r="F47" s="9">
        <f t="shared" si="24"/>
        <v>-5.4408538772858113E-5</v>
      </c>
      <c r="G47" s="285">
        <f t="shared" si="26"/>
        <v>-3583578.5786908935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0">
        <f t="shared" si="28"/>
        <v>1471872.0170016163</v>
      </c>
      <c r="T47" s="9">
        <f t="shared" si="29"/>
        <v>-9.4868481355863596E-6</v>
      </c>
      <c r="U47" s="285">
        <f t="shared" si="30"/>
        <v>-20552376.432895876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1399018.0155814751</v>
      </c>
      <c r="F48" s="9">
        <f t="shared" si="24"/>
        <v>-1.3926288689050204E-5</v>
      </c>
      <c r="G48" s="285">
        <f t="shared" si="26"/>
        <v>-27257248.14376517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0">
        <f t="shared" si="28"/>
        <v>8025788.0672990717</v>
      </c>
      <c r="T48" s="9">
        <f t="shared" si="29"/>
        <v>-2.4275658169387022E-6</v>
      </c>
      <c r="U48" s="285">
        <f t="shared" si="30"/>
        <v>-156367462.36517653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20329760.091097321</v>
      </c>
      <c r="F49" s="9">
        <f t="shared" si="24"/>
        <v>-1.2437958126990797E-6</v>
      </c>
      <c r="G49" s="285">
        <f t="shared" si="26"/>
        <v>-514059746.39283317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0">
        <f t="shared" si="28"/>
        <v>116628480.73683539</v>
      </c>
      <c r="T49" s="9">
        <f t="shared" si="29"/>
        <v>-2.1680871014293744E-7</v>
      </c>
      <c r="U49" s="285">
        <f t="shared" si="30"/>
        <v>-2949075983.2435851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354767810.81349224</v>
      </c>
      <c r="F50" s="9">
        <f t="shared" si="24"/>
        <v>-8.8212773575291458E-8</v>
      </c>
      <c r="G50" s="285">
        <f t="shared" si="26"/>
        <v>-11102477288.52054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0">
        <f t="shared" si="28"/>
        <v>2035246764.9992039</v>
      </c>
      <c r="T50" s="9">
        <f t="shared" si="29"/>
        <v>-1.5376539643881791E-8</v>
      </c>
      <c r="U50" s="285">
        <f t="shared" si="30"/>
        <v>-63693154497.654892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6635653686.5173655</v>
      </c>
      <c r="F51" s="9">
        <f t="shared" si="24"/>
        <v>-5.6435077140324153E-9</v>
      </c>
      <c r="G51" s="285">
        <f t="shared" si="26"/>
        <v>-248494366452.25665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0">
        <f t="shared" si="28"/>
        <v>38067697301.458229</v>
      </c>
      <c r="T51" s="9">
        <f t="shared" si="29"/>
        <v>-9.8373070666593432E-10</v>
      </c>
      <c r="U51" s="285">
        <f t="shared" si="30"/>
        <v>-1425572938268.7078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128158305795.67775</v>
      </c>
      <c r="F52" s="9">
        <f t="shared" si="24"/>
        <v>-3.4098164188995747E-10</v>
      </c>
      <c r="G52" s="285">
        <f t="shared" si="26"/>
        <v>-5600470484725.7109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0">
        <f t="shared" si="28"/>
        <v>735223964647.61292</v>
      </c>
      <c r="T52" s="9">
        <f t="shared" si="29"/>
        <v>-5.9437166949516317E-11</v>
      </c>
      <c r="U52" s="285">
        <f t="shared" si="30"/>
        <v>-32129014878182.363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2515566180057.8545</v>
      </c>
      <c r="F53" s="9">
        <f t="shared" si="24"/>
        <v>-1.988246751510994E-11</v>
      </c>
      <c r="G53" s="285">
        <f t="shared" si="26"/>
        <v>-125817709956520.45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0">
        <f t="shared" si="28"/>
        <v>14431405980132.918</v>
      </c>
      <c r="T53" s="9">
        <f t="shared" si="29"/>
        <v>-3.4657512182779601E-12</v>
      </c>
      <c r="U53" s="285">
        <f t="shared" si="30"/>
        <v>-721796336056401.88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49800007589491.133</v>
      </c>
      <c r="F54" s="10">
        <f t="shared" si="24"/>
        <v>-1.1319999053135441E-12</v>
      </c>
      <c r="G54" s="286">
        <f t="shared" si="26"/>
        <v>-2807405900867670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1">
        <f t="shared" si="28"/>
        <v>285694780381598.69</v>
      </c>
      <c r="T54" s="10">
        <f t="shared" si="29"/>
        <v>-1.9732108441260381E-13</v>
      </c>
      <c r="U54" s="286">
        <f t="shared" si="30"/>
        <v>-1.6105644378649558E+16</v>
      </c>
    </row>
  </sheetData>
  <mergeCells count="2">
    <mergeCell ref="A18:F18"/>
    <mergeCell ref="O18:T18"/>
  </mergeCells>
  <conditionalFormatting sqref="F45:F54">
    <cfRule type="cellIs" dxfId="360" priority="53" operator="equal">
      <formula>MAX($F$45:$F$54)</formula>
    </cfRule>
  </conditionalFormatting>
  <conditionalFormatting sqref="F21:F30">
    <cfRule type="cellIs" dxfId="359" priority="51" operator="equal">
      <formula>MAX($F$21:$F$30)</formula>
    </cfRule>
  </conditionalFormatting>
  <conditionalFormatting sqref="F33:F42">
    <cfRule type="cellIs" dxfId="358" priority="32" operator="lessThanOrEqual">
      <formula>0</formula>
    </cfRule>
    <cfRule type="cellIs" dxfId="357" priority="49" operator="equal">
      <formula>MAX($F$33:$F$42)</formula>
    </cfRule>
  </conditionalFormatting>
  <conditionalFormatting sqref="E33:E42">
    <cfRule type="cellIs" dxfId="356" priority="47" stopIfTrue="1" operator="lessThan">
      <formula>0</formula>
    </cfRule>
    <cfRule type="cellIs" dxfId="355" priority="48" operator="equal">
      <formula>MIN($E$33:$E$42)</formula>
    </cfRule>
  </conditionalFormatting>
  <conditionalFormatting sqref="E21:E30">
    <cfRule type="cellIs" dxfId="354" priority="43" stopIfTrue="1" operator="lessThan">
      <formula>0</formula>
    </cfRule>
    <cfRule type="cellIs" dxfId="353" priority="44" operator="equal">
      <formula>MIN($E$21:$E$30)</formula>
    </cfRule>
  </conditionalFormatting>
  <conditionalFormatting sqref="E45:E54">
    <cfRule type="cellIs" dxfId="352" priority="39" stopIfTrue="1" operator="lessThan">
      <formula>0</formula>
    </cfRule>
    <cfRule type="cellIs" dxfId="351" priority="40" operator="equal">
      <formula>MIN($E$45:$E$54)</formula>
    </cfRule>
  </conditionalFormatting>
  <conditionalFormatting sqref="S7:T16">
    <cfRule type="cellIs" dxfId="350" priority="13" operator="lessThanOrEqual">
      <formula>0</formula>
    </cfRule>
    <cfRule type="cellIs" dxfId="349" priority="14" operator="greaterThan">
      <formula>0</formula>
    </cfRule>
  </conditionalFormatting>
  <conditionalFormatting sqref="U7:U16">
    <cfRule type="cellIs" dxfId="348" priority="15" operator="lessThanOrEqual">
      <formula>0</formula>
    </cfRule>
    <cfRule type="cellIs" dxfId="347" priority="16" operator="greaterThan">
      <formula>0</formula>
    </cfRule>
  </conditionalFormatting>
  <conditionalFormatting sqref="R7:R16">
    <cfRule type="cellIs" dxfId="346" priority="17" operator="lessThanOrEqual">
      <formula>0</formula>
    </cfRule>
    <cfRule type="cellIs" dxfId="345" priority="18" operator="greaterThan">
      <formula>0</formula>
    </cfRule>
  </conditionalFormatting>
  <conditionalFormatting sqref="T21:T30">
    <cfRule type="cellIs" dxfId="344" priority="9" operator="equal">
      <formula>MAX($T$21:$T$30)</formula>
    </cfRule>
  </conditionalFormatting>
  <conditionalFormatting sqref="S33:S42">
    <cfRule type="cellIs" dxfId="343" priority="7" stopIfTrue="1" operator="lessThan">
      <formula>0</formula>
    </cfRule>
    <cfRule type="cellIs" dxfId="342" priority="8" operator="equal">
      <formula>MIN($E$21:$E$30)</formula>
    </cfRule>
  </conditionalFormatting>
  <conditionalFormatting sqref="T33:T42">
    <cfRule type="cellIs" dxfId="341" priority="6" operator="equal">
      <formula>MAX($T$21:$T$30)</formula>
    </cfRule>
  </conditionalFormatting>
  <conditionalFormatting sqref="S45:S54">
    <cfRule type="cellIs" dxfId="340" priority="4" stopIfTrue="1" operator="lessThan">
      <formula>0</formula>
    </cfRule>
    <cfRule type="cellIs" dxfId="339" priority="5" operator="equal">
      <formula>MIN($E$21:$E$30)</formula>
    </cfRule>
  </conditionalFormatting>
  <conditionalFormatting sqref="T45:T54">
    <cfRule type="cellIs" dxfId="338" priority="3" operator="equal">
      <formula>MAX($T$21:$T$30)</formula>
    </cfRule>
  </conditionalFormatting>
  <conditionalFormatting sqref="S21:S30">
    <cfRule type="cellIs" dxfId="337" priority="1" stopIfTrue="1" operator="lessThan">
      <formula>0</formula>
    </cfRule>
    <cfRule type="cellIs" dxfId="33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>
    <pageSetUpPr fitToPage="1"/>
  </sheetPr>
  <dimension ref="A1:W54"/>
  <sheetViews>
    <sheetView topLeftCell="A16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Analysis!B42</f>
        <v>0.19215152348245085</v>
      </c>
      <c r="D2" s="149" t="s">
        <v>126</v>
      </c>
      <c r="E2" s="155">
        <f>Analysis!I42</f>
        <v>0.80784847651754976</v>
      </c>
      <c r="F2" s="149" t="s">
        <v>47</v>
      </c>
      <c r="G2" s="155">
        <f>Analysis!S42</f>
        <v>-3.95739491862569</v>
      </c>
      <c r="H2" t="s">
        <v>155</v>
      </c>
      <c r="I2" s="169">
        <f>Analysis!T42</f>
        <v>-6.6123342542485357</v>
      </c>
      <c r="J2" t="s">
        <v>48</v>
      </c>
      <c r="K2" s="169">
        <f>C2*G2+E2*I2</f>
        <v>-6.1021836161551244</v>
      </c>
      <c r="L2" t="s">
        <v>47</v>
      </c>
      <c r="M2" s="176">
        <v>3</v>
      </c>
      <c r="N2" t="s">
        <v>155</v>
      </c>
      <c r="O2" s="176">
        <v>4</v>
      </c>
    </row>
    <row r="4" spans="1:23" x14ac:dyDescent="0.2">
      <c r="A4" t="s">
        <v>123</v>
      </c>
      <c r="B4">
        <f>$C$2</f>
        <v>0.19215152348245085</v>
      </c>
      <c r="C4" t="s">
        <v>124</v>
      </c>
      <c r="D4">
        <f>$E$2</f>
        <v>0.80784847651754976</v>
      </c>
      <c r="E4" t="s">
        <v>47</v>
      </c>
      <c r="F4">
        <f>G2</f>
        <v>-3.95739491862569</v>
      </c>
      <c r="G4" t="s">
        <v>155</v>
      </c>
      <c r="H4">
        <f>I2</f>
        <v>-6.6123342542485357</v>
      </c>
      <c r="I4" t="s">
        <v>48</v>
      </c>
      <c r="J4">
        <f>K2</f>
        <v>-6.1021836161551244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0.19215152348245085</v>
      </c>
      <c r="C7" s="95">
        <v>1</v>
      </c>
      <c r="D7" s="22">
        <f>C7*D4</f>
        <v>0.80784847651754976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1.0000000000000007</v>
      </c>
      <c r="R7" s="187">
        <f>B7-D7</f>
        <v>-0.61569695303509886</v>
      </c>
      <c r="S7" s="109">
        <f>SUM(C7)*$B$4*$F$4</f>
        <v>-0.76041946263563598</v>
      </c>
      <c r="T7" s="261">
        <f>SUM(C7)*$D$4*$H$4</f>
        <v>-5.3417641535194882</v>
      </c>
      <c r="U7" s="263">
        <f>S7+T7</f>
        <v>-6.1021836161551244</v>
      </c>
      <c r="V7" s="109">
        <f>(U7+W7*D7)/B7</f>
        <v>-27.552917841534079</v>
      </c>
      <c r="W7" s="57">
        <f>COUNT(D7:M7)</f>
        <v>1</v>
      </c>
    </row>
    <row r="8" spans="1:23" x14ac:dyDescent="0.2">
      <c r="A8" s="99">
        <v>2</v>
      </c>
      <c r="B8" s="97">
        <f>C8*B4</f>
        <v>0.22745998057153888</v>
      </c>
      <c r="C8" s="97">
        <f>1/(1-B4*D4)</f>
        <v>1.1837531987734291</v>
      </c>
      <c r="D8" s="144">
        <f>C8*D4</f>
        <v>0.95629321820189095</v>
      </c>
      <c r="E8" s="1">
        <f>D8*D4</f>
        <v>0.7725400194284624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1.0000000000000013</v>
      </c>
      <c r="R8" s="188">
        <f>B8-E8</f>
        <v>-0.54508003885692347</v>
      </c>
      <c r="S8" s="93">
        <f>SUM(C8:D8)*$B$4*$F$4</f>
        <v>-1.6273329464116908</v>
      </c>
      <c r="T8" s="260">
        <f>SUM(C8:D8)*$D$4*$H$4</f>
        <v>-11.431623237066583</v>
      </c>
      <c r="U8" s="264">
        <f>S8+T8</f>
        <v>-13.058956183478275</v>
      </c>
      <c r="V8" s="93">
        <f>(U8+W8*E8)/B8</f>
        <v>-50.619349019948139</v>
      </c>
      <c r="W8" s="9">
        <f>COUNT(D8:M8)</f>
        <v>2</v>
      </c>
    </row>
    <row r="9" spans="1:23" x14ac:dyDescent="0.2">
      <c r="A9" s="99">
        <v>3</v>
      </c>
      <c r="B9" s="97">
        <f>C9*B4</f>
        <v>0.23540860827105908</v>
      </c>
      <c r="C9" s="97">
        <f>1/(1-D4*B4/(1-D4*B4))</f>
        <v>1.2251196555959594</v>
      </c>
      <c r="D9" s="144">
        <f>C9*D4*C8</f>
        <v>1.1715736181322522</v>
      </c>
      <c r="E9" s="1">
        <f>D9*(D4)</f>
        <v>0.94645396253629355</v>
      </c>
      <c r="F9" s="1">
        <f>E9*D4</f>
        <v>0.76459139172894286</v>
      </c>
      <c r="G9" s="1"/>
      <c r="H9" s="1"/>
      <c r="I9" s="1"/>
      <c r="J9" s="1"/>
      <c r="K9" s="1"/>
      <c r="L9" s="1"/>
      <c r="M9" s="260"/>
      <c r="N9" s="97">
        <f>B9+F9</f>
        <v>1.000000000000002</v>
      </c>
      <c r="R9" s="188">
        <f>B9-F9</f>
        <v>-0.52918278345788372</v>
      </c>
      <c r="S9" s="93">
        <f>SUM(C9:E9)*$B$4*$F$4</f>
        <v>-2.5421942249120661</v>
      </c>
      <c r="T9" s="260">
        <f>SUM(C9:E9)*$D$4*$H$4</f>
        <v>-17.858304066615478</v>
      </c>
      <c r="U9" s="264">
        <f t="shared" ref="U9:U16" si="0">S9+T9</f>
        <v>-20.400498291527544</v>
      </c>
      <c r="V9" s="93">
        <f>(U9+W9*F9)/B9</f>
        <v>-76.916151237306892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0.23727521552980932</v>
      </c>
      <c r="C10" s="97">
        <f>1/(1-D4*B4/(1-D4*B4/(1-D4*B4)))</f>
        <v>1.2348339020662493</v>
      </c>
      <c r="D10" s="144">
        <f>C10*D4*C9</f>
        <v>1.2221287544862818</v>
      </c>
      <c r="E10" s="1">
        <f>D10*D4*C8</f>
        <v>1.1687134396847552</v>
      </c>
      <c r="F10" s="1">
        <f>E10*D4</f>
        <v>0.94414337173491469</v>
      </c>
      <c r="G10" s="1">
        <f>F10*D4</f>
        <v>0.76272478447019354</v>
      </c>
      <c r="H10" s="1"/>
      <c r="I10" s="1"/>
      <c r="J10" s="1"/>
      <c r="K10" s="1"/>
      <c r="L10" s="1"/>
      <c r="M10" s="260"/>
      <c r="N10" s="97">
        <f>B10+G10</f>
        <v>1.0000000000000029</v>
      </c>
      <c r="R10" s="188">
        <f>B10-G10</f>
        <v>-0.52544956894038419</v>
      </c>
      <c r="S10" s="93">
        <f>SUM(C10:F10)*$B$4*$F$4</f>
        <v>-3.474979664177289</v>
      </c>
      <c r="T10" s="260">
        <f>SUM(C10:F10)*$D$4*$H$4</f>
        <v>-24.410897822069405</v>
      </c>
      <c r="U10" s="264">
        <f t="shared" si="0"/>
        <v>-27.885877486246695</v>
      </c>
      <c r="V10" s="93">
        <f>(U10+W10*G10)/B10</f>
        <v>-104.6673934861345</v>
      </c>
      <c r="W10" s="9">
        <f t="shared" si="1"/>
        <v>4</v>
      </c>
    </row>
    <row r="11" spans="1:23" x14ac:dyDescent="0.2">
      <c r="A11" s="99">
        <v>5</v>
      </c>
      <c r="B11" s="97">
        <f>C11*B4</f>
        <v>0.23771785813537552</v>
      </c>
      <c r="C11" s="97">
        <f>1/(1-D4*B4/(1-D4*B4/(1-D4*B4/(1-D4*B4))))</f>
        <v>1.2371375143277812</v>
      </c>
      <c r="D11" s="144">
        <f>C11*D4*C10</f>
        <v>1.2341172738577786</v>
      </c>
      <c r="E11" s="1">
        <f>D11*D4*C9</f>
        <v>1.2214194996315337</v>
      </c>
      <c r="F11" s="1">
        <f>E11*D4*C8</f>
        <v>1.1680351840771828</v>
      </c>
      <c r="G11" s="1">
        <f>F11*D4</f>
        <v>0.94359544397564787</v>
      </c>
      <c r="H11" s="1">
        <f>G11*D4</f>
        <v>0.76228214186462806</v>
      </c>
      <c r="I11" s="1"/>
      <c r="J11" s="1"/>
      <c r="K11" s="1"/>
      <c r="L11" s="1"/>
      <c r="M11" s="260"/>
      <c r="N11" s="97">
        <f>B11+H11</f>
        <v>1.0000000000000036</v>
      </c>
      <c r="R11" s="188">
        <f>B11-H11</f>
        <v>-0.52456428372925257</v>
      </c>
      <c r="S11" s="93">
        <f>SUM(C11:G11)*$B$4*$F$4</f>
        <v>-4.4137064250991864</v>
      </c>
      <c r="T11" s="260">
        <f>SUM(C11:G11)*$D$4*$H$4</f>
        <v>-31.0052279356909</v>
      </c>
      <c r="U11" s="264">
        <f t="shared" si="0"/>
        <v>-35.418934360790089</v>
      </c>
      <c r="V11" s="93">
        <f>(U11+W11*H11)/B11</f>
        <v>-132.96234409729161</v>
      </c>
      <c r="W11" s="9">
        <f t="shared" si="1"/>
        <v>5</v>
      </c>
    </row>
    <row r="12" spans="1:23" x14ac:dyDescent="0.2">
      <c r="A12" s="99">
        <v>6</v>
      </c>
      <c r="B12" s="97">
        <f>C12*B4</f>
        <v>0.23782306766455649</v>
      </c>
      <c r="C12" s="97">
        <f>1/(1-D4*B4/(1-D4*B4/(1-D4*B4/(1-D4*B4/(1-D4*B4)))))</f>
        <v>1.2376850485199344</v>
      </c>
      <c r="D12" s="144">
        <f>C12*D4*C11</f>
        <v>1.2369667656662748</v>
      </c>
      <c r="E12" s="1">
        <f>D12*D4*C10</f>
        <v>1.2339469420472784</v>
      </c>
      <c r="F12" s="1">
        <f>E12*D4*C9</f>
        <v>1.2212509203569708</v>
      </c>
      <c r="G12" s="1">
        <f>F12*D4*C8</f>
        <v>1.1678739728601888</v>
      </c>
      <c r="H12" s="1">
        <f>G12*D4</f>
        <v>0.9434652097396018</v>
      </c>
      <c r="I12" s="1">
        <f>H12*D4</f>
        <v>0.76217693233544781</v>
      </c>
      <c r="J12" s="1"/>
      <c r="K12" s="1"/>
      <c r="L12" s="1"/>
      <c r="M12" s="260"/>
      <c r="N12" s="97">
        <f>B12+I12</f>
        <v>1.0000000000000042</v>
      </c>
      <c r="R12" s="188">
        <f>B12-I12</f>
        <v>-0.52435386467089129</v>
      </c>
      <c r="S12" s="93">
        <f>SUM(C12:H12)*$B$4*$F$4</f>
        <v>-5.3542570486214753</v>
      </c>
      <c r="T12" s="260">
        <f>SUM(C12:H12)*$D$4*$H$4</f>
        <v>-37.612370246183254</v>
      </c>
      <c r="U12" s="264">
        <f t="shared" si="0"/>
        <v>-42.966627294804731</v>
      </c>
      <c r="V12" s="93">
        <f>(U12+W12*I12)/B12</f>
        <v>-161.43751772197814</v>
      </c>
      <c r="W12" s="9">
        <f t="shared" si="1"/>
        <v>6</v>
      </c>
    </row>
    <row r="13" spans="1:23" x14ac:dyDescent="0.2">
      <c r="A13" s="99">
        <v>7</v>
      </c>
      <c r="B13" s="97">
        <f>C13*B4</f>
        <v>0.23784808809614644</v>
      </c>
      <c r="C13" s="97">
        <f>1/(1-D4*B4/(1-D4*B4/(1-D4*B4/(1-D4*B4/(1-D4*B4/(1-D4*B4))))))</f>
        <v>1.2378152605064776</v>
      </c>
      <c r="D13" s="144">
        <f>C13*D4*C12</f>
        <v>1.2376444183030233</v>
      </c>
      <c r="E13" s="1">
        <f>D13*D4*C11</f>
        <v>1.2369261590288585</v>
      </c>
      <c r="F13" s="1">
        <f>E13*D4*C10</f>
        <v>1.2339064345433928</v>
      </c>
      <c r="G13" s="1">
        <f>F13*D4*C9</f>
        <v>1.2212108296328759</v>
      </c>
      <c r="H13" s="1">
        <f>G13*D4*C8</f>
        <v>1.1678356343726242</v>
      </c>
      <c r="I13" s="1">
        <f>H13*D4</f>
        <v>0.94343423805083071</v>
      </c>
      <c r="J13" s="1">
        <f>I13*D4</f>
        <v>0.762151911903859</v>
      </c>
      <c r="K13" s="1"/>
      <c r="L13" s="1"/>
      <c r="M13" s="260"/>
      <c r="N13" s="97">
        <f>B13+J13</f>
        <v>1.0000000000000053</v>
      </c>
      <c r="R13" s="188">
        <f>B13-J13</f>
        <v>-0.52430382380771257</v>
      </c>
      <c r="S13" s="93">
        <f>SUM(C13:I13)*$B$4*$F$4</f>
        <v>-6.2953400965046322</v>
      </c>
      <c r="T13" s="260">
        <f>SUM(C13:I13)*$D$4*$H$4</f>
        <v>-44.223252709979256</v>
      </c>
      <c r="U13" s="264">
        <f t="shared" si="0"/>
        <v>-50.518592806483888</v>
      </c>
      <c r="V13" s="93">
        <f>(U13+W13*J13)/B13</f>
        <v>-189.96801607626179</v>
      </c>
      <c r="W13" s="9">
        <f t="shared" si="1"/>
        <v>7</v>
      </c>
    </row>
    <row r="14" spans="1:23" x14ac:dyDescent="0.2">
      <c r="A14" s="99">
        <v>8</v>
      </c>
      <c r="B14" s="97">
        <f>C14*B4</f>
        <v>0.23785403911149655</v>
      </c>
      <c r="C14" s="97">
        <f>1/(1-D4*B4/(1-D4*B4/(1-D4*B4/(1-D4*B4/(1-D4*B4/(1-D4*B4/(1-D4*B4)))))))</f>
        <v>1.2378462309366998</v>
      </c>
      <c r="D14" s="144">
        <f>C14*D4*C13</f>
        <v>1.2378055954285583</v>
      </c>
      <c r="E14" s="1">
        <f>D14*D4*C12</f>
        <v>1.2376347545590698</v>
      </c>
      <c r="F14" s="1">
        <f>E14*D4*C11</f>
        <v>1.2369165008931988</v>
      </c>
      <c r="G14" s="1">
        <f>F14*D4*C10</f>
        <v>1.2338967999862696</v>
      </c>
      <c r="H14" s="1">
        <f>G14*D4*C9</f>
        <v>1.2212012942052548</v>
      </c>
      <c r="I14" s="1">
        <f>H14*D4*C8</f>
        <v>1.1678265157078573</v>
      </c>
      <c r="J14" s="1">
        <f>I14*D4</f>
        <v>0.94342687155139093</v>
      </c>
      <c r="K14" s="1">
        <f>J14*D4</f>
        <v>0.76214596088850928</v>
      </c>
      <c r="L14" s="1"/>
      <c r="M14" s="260"/>
      <c r="N14" s="97">
        <f>B14+K14</f>
        <v>1.0000000000000058</v>
      </c>
      <c r="R14" s="188">
        <f>B14-K14</f>
        <v>-0.52429192177701278</v>
      </c>
      <c r="S14" s="93">
        <f>SUM(C14:J14)*$B$4*$F$4</f>
        <v>-7.2365733071431899</v>
      </c>
      <c r="T14" s="260">
        <f>SUM(C14:J14)*$D$4*$H$4</f>
        <v>-50.835190031078916</v>
      </c>
      <c r="U14" s="264">
        <f t="shared" si="0"/>
        <v>-58.071763338222105</v>
      </c>
      <c r="V14" s="93">
        <f>(U14+W14*K14)/B14</f>
        <v>-218.51466489812435</v>
      </c>
      <c r="W14" s="9">
        <f t="shared" si="1"/>
        <v>8</v>
      </c>
    </row>
    <row r="15" spans="1:23" x14ac:dyDescent="0.2">
      <c r="A15" s="99">
        <v>9</v>
      </c>
      <c r="B15" s="97">
        <f>C15*B4</f>
        <v>0.23785545458190549</v>
      </c>
      <c r="C15" s="97">
        <f>1/(1-D4*B4/(1-D4*B4/(1-D4*B4/(1-D4*B4/(1-D4*B4/(1-D4*B4/(1-D4*B4/(1-D4*B4))))))))</f>
        <v>1.2378535973649398</v>
      </c>
      <c r="D15" s="144">
        <f>C15*D4*C14</f>
        <v>1.2378439319876797</v>
      </c>
      <c r="E15" s="1">
        <f>D15*D4*C13</f>
        <v>1.2378032965550074</v>
      </c>
      <c r="F15" s="1">
        <f>E15*D4*C12</f>
        <v>1.2376324560028074</v>
      </c>
      <c r="G15" s="1">
        <f>F15*D4*C11</f>
        <v>1.2369142036708893</v>
      </c>
      <c r="H15" s="1">
        <f>G15*D4*C10</f>
        <v>1.2338945083721999</v>
      </c>
      <c r="I15" s="1">
        <f>H15*D4*C9</f>
        <v>1.2211990261694938</v>
      </c>
      <c r="J15" s="1">
        <f>I15*D4*C8</f>
        <v>1.1678243468006406</v>
      </c>
      <c r="K15" s="1">
        <f>J15*D4</f>
        <v>0.94342511940300022</v>
      </c>
      <c r="L15" s="1">
        <f>K15*D4</f>
        <v>0.76214454541810117</v>
      </c>
      <c r="M15" s="260"/>
      <c r="N15" s="97">
        <f>B15+L15</f>
        <v>1.0000000000000067</v>
      </c>
      <c r="R15" s="188">
        <f>B15-L15</f>
        <v>-0.52428909083619568</v>
      </c>
      <c r="S15" s="93">
        <f>SUM(C15:K15)*$B$4*$F$4</f>
        <v>-8.1778478345863146</v>
      </c>
      <c r="T15" s="260">
        <f>SUM(C15:K15)*$D$4*$H$4</f>
        <v>-57.447417592810766</v>
      </c>
      <c r="U15" s="264">
        <f t="shared" si="0"/>
        <v>-65.625265427397082</v>
      </c>
      <c r="V15" s="93">
        <f>(U15+W15*L15)/B15</f>
        <v>-247.06586873078464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0.23785579125911435</v>
      </c>
      <c r="C16" s="145">
        <f>1/(1-D4*B4/(1-D4*B4/(1-D4*B4/(1-D4*B4/(1-D4*B4/(1-D4*B4/(1-D4*B4/(1-D4*B4/(1-D4*B4)))))))))</f>
        <v>1.2378553495093036</v>
      </c>
      <c r="D16" s="153">
        <f>C16*D4*C15</f>
        <v>1.2378530505433485</v>
      </c>
      <c r="E16" s="111">
        <f>D16*D4*C14</f>
        <v>1.2378433851703581</v>
      </c>
      <c r="F16" s="111">
        <f>E16*D4*C13</f>
        <v>1.2378027497556363</v>
      </c>
      <c r="G16" s="111">
        <f>F16*D4*C12</f>
        <v>1.2376319092789052</v>
      </c>
      <c r="H16" s="111">
        <f>G16*D4*C11</f>
        <v>1.2369136572642749</v>
      </c>
      <c r="I16" s="111">
        <f>H16*D4*C10</f>
        <v>1.2338939632995354</v>
      </c>
      <c r="J16" s="111">
        <f>I16*D4*C9</f>
        <v>1.221198486705056</v>
      </c>
      <c r="K16" s="111">
        <f>J16*D4*C8</f>
        <v>1.1678238309144573</v>
      </c>
      <c r="L16" s="111">
        <f>K16*D4</f>
        <v>0.94342470264513301</v>
      </c>
      <c r="M16" s="262">
        <f>L16*D4</f>
        <v>0.76214420874089306</v>
      </c>
      <c r="N16" s="145">
        <f>B16+M16</f>
        <v>1.0000000000000073</v>
      </c>
      <c r="R16" s="189">
        <f>B16-M16</f>
        <v>-0.52428841748177868</v>
      </c>
      <c r="S16" s="94">
        <f>SUM(C16:L16)*$B$4*$F$4</f>
        <v>-9.1191335217180995</v>
      </c>
      <c r="T16" s="262">
        <f>SUM(C16:L16)*$D$4*$H$4</f>
        <v>-64.059723548676089</v>
      </c>
      <c r="U16" s="265">
        <f t="shared" si="0"/>
        <v>-73.178857070394187</v>
      </c>
      <c r="V16" s="94">
        <f>(U16+W16*M16)/B16</f>
        <v>-275.6183258601788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4</v>
      </c>
      <c r="D21" s="57">
        <f>SUM($C$21:C21)</f>
        <v>4</v>
      </c>
      <c r="E21" s="57">
        <f t="shared" ref="E21:E30" si="3">D21/R7</f>
        <v>-6.4967026071541616</v>
      </c>
      <c r="F21" s="8">
        <f t="shared" ref="F21:F30" si="4">U7/E21</f>
        <v>0.93927396483185277</v>
      </c>
      <c r="G21" s="284">
        <f>E21*U7</f>
        <v>39.644072208408403</v>
      </c>
      <c r="O21" s="101">
        <v>1</v>
      </c>
      <c r="P21" s="109">
        <v>1</v>
      </c>
      <c r="Q21" s="110">
        <f>P21*4+6</f>
        <v>10</v>
      </c>
      <c r="R21" s="57">
        <f>SUM($Q$21)</f>
        <v>10</v>
      </c>
      <c r="S21" s="279">
        <f>R21/R7</f>
        <v>-16.241756517885403</v>
      </c>
      <c r="T21" s="8">
        <f>U7/S21</f>
        <v>0.37570958593274117</v>
      </c>
      <c r="U21" s="284">
        <f>S21*U7</f>
        <v>99.110180521021007</v>
      </c>
    </row>
    <row r="22" spans="1:21" x14ac:dyDescent="0.2">
      <c r="A22" s="97">
        <v>2</v>
      </c>
      <c r="B22" s="93">
        <f>C21</f>
        <v>4</v>
      </c>
      <c r="C22" s="1">
        <f t="shared" si="2"/>
        <v>16</v>
      </c>
      <c r="D22" s="9">
        <f>SUM($C$21:C22)</f>
        <v>20</v>
      </c>
      <c r="E22" s="9">
        <f t="shared" si="3"/>
        <v>-36.691859129425474</v>
      </c>
      <c r="F22" s="9">
        <f t="shared" si="4"/>
        <v>0.35590881719605993</v>
      </c>
      <c r="G22" s="285">
        <f t="shared" ref="G22:G30" si="5">E22*U8</f>
        <v>479.1573806615246</v>
      </c>
      <c r="O22" s="99">
        <v>2</v>
      </c>
      <c r="P22" s="93">
        <f>Q21</f>
        <v>10</v>
      </c>
      <c r="Q22" s="1">
        <f>P22*3+3</f>
        <v>33</v>
      </c>
      <c r="R22" s="9">
        <f>SUM($Q$21:Q22)</f>
        <v>43</v>
      </c>
      <c r="S22" s="280">
        <f t="shared" ref="S22:S30" si="6">R22/R8</f>
        <v>-78.887497128264769</v>
      </c>
      <c r="T22" s="9">
        <f>U8/S22</f>
        <v>0.16553898474235346</v>
      </c>
      <c r="U22" s="285">
        <f t="shared" ref="U22:U30" si="7">S22*U8</f>
        <v>1030.1883684222778</v>
      </c>
    </row>
    <row r="23" spans="1:21" x14ac:dyDescent="0.2">
      <c r="A23" s="97">
        <v>3</v>
      </c>
      <c r="B23" s="93">
        <f t="shared" ref="B23:B30" si="8">C22</f>
        <v>16</v>
      </c>
      <c r="C23" s="1">
        <f t="shared" si="2"/>
        <v>64</v>
      </c>
      <c r="D23" s="9">
        <f>SUM($C$21:C23)</f>
        <v>84</v>
      </c>
      <c r="E23" s="9">
        <f t="shared" si="3"/>
        <v>-158.73532288996952</v>
      </c>
      <c r="F23" s="9">
        <f t="shared" si="4"/>
        <v>0.12851895797426605</v>
      </c>
      <c r="G23" s="285">
        <f t="shared" si="5"/>
        <v>3238.2796834218962</v>
      </c>
      <c r="O23" s="99">
        <v>3</v>
      </c>
      <c r="P23" s="93">
        <f t="shared" ref="P23:P30" si="9">Q22</f>
        <v>33</v>
      </c>
      <c r="Q23" s="1">
        <f t="shared" ref="Q23:Q30" si="10">P23*3+3</f>
        <v>102</v>
      </c>
      <c r="R23" s="9">
        <f>SUM($Q$21:Q23)</f>
        <v>145</v>
      </c>
      <c r="S23" s="280">
        <f t="shared" si="6"/>
        <v>-274.00740260768549</v>
      </c>
      <c r="T23" s="9">
        <f t="shared" ref="T23:T30" si="11">U9/S23</f>
        <v>7.4452361860954122E-2</v>
      </c>
      <c r="U23" s="285">
        <f t="shared" si="7"/>
        <v>5589.887548763988</v>
      </c>
    </row>
    <row r="24" spans="1:21" x14ac:dyDescent="0.2">
      <c r="A24" s="97">
        <v>4</v>
      </c>
      <c r="B24" s="93">
        <f t="shared" si="8"/>
        <v>64</v>
      </c>
      <c r="C24" s="1">
        <f t="shared" si="2"/>
        <v>256</v>
      </c>
      <c r="D24" s="9">
        <f>SUM($C$21:C24)</f>
        <v>340</v>
      </c>
      <c r="E24" s="9">
        <f t="shared" si="3"/>
        <v>-647.06495180049387</v>
      </c>
      <c r="F24" s="9">
        <f t="shared" si="4"/>
        <v>4.3095947954919681E-2</v>
      </c>
      <c r="G24" s="285">
        <f t="shared" si="5"/>
        <v>18043.973971552696</v>
      </c>
      <c r="O24" s="99">
        <v>4</v>
      </c>
      <c r="P24" s="93">
        <f t="shared" si="9"/>
        <v>102</v>
      </c>
      <c r="Q24" s="1">
        <f t="shared" si="10"/>
        <v>309</v>
      </c>
      <c r="R24" s="9">
        <f>SUM($Q$21:Q24)</f>
        <v>454</v>
      </c>
      <c r="S24" s="280">
        <f t="shared" si="6"/>
        <v>-864.02202387477712</v>
      </c>
      <c r="T24" s="9">
        <f t="shared" si="11"/>
        <v>3.2274498468442048E-2</v>
      </c>
      <c r="U24" s="285">
        <f t="shared" si="7"/>
        <v>24094.012303190953</v>
      </c>
    </row>
    <row r="25" spans="1:21" x14ac:dyDescent="0.2">
      <c r="A25" s="97">
        <v>5</v>
      </c>
      <c r="B25" s="93">
        <f t="shared" si="8"/>
        <v>256</v>
      </c>
      <c r="C25" s="1">
        <f t="shared" si="2"/>
        <v>1024</v>
      </c>
      <c r="D25" s="9">
        <f>SUM($C$21:C25)</f>
        <v>1364</v>
      </c>
      <c r="E25" s="9">
        <f t="shared" si="3"/>
        <v>-2600.2532812623053</v>
      </c>
      <c r="F25" s="9">
        <f t="shared" si="4"/>
        <v>1.362134012714169E-2</v>
      </c>
      <c r="G25" s="285">
        <f t="shared" si="5"/>
        <v>92098.200290458641</v>
      </c>
      <c r="O25" s="99">
        <v>5</v>
      </c>
      <c r="P25" s="93">
        <f t="shared" si="9"/>
        <v>309</v>
      </c>
      <c r="Q25" s="1">
        <f t="shared" si="10"/>
        <v>930</v>
      </c>
      <c r="R25" s="9">
        <f>SUM($Q$21:Q25)</f>
        <v>1384</v>
      </c>
      <c r="S25" s="280">
        <f t="shared" si="6"/>
        <v>-2638.3801622192309</v>
      </c>
      <c r="T25" s="9">
        <f t="shared" si="11"/>
        <v>1.3424499951893978E-2</v>
      </c>
      <c r="U25" s="285">
        <f t="shared" si="7"/>
        <v>93448.613784453642</v>
      </c>
    </row>
    <row r="26" spans="1:21" x14ac:dyDescent="0.2">
      <c r="A26" s="97">
        <v>6</v>
      </c>
      <c r="B26" s="93">
        <f t="shared" si="8"/>
        <v>1024</v>
      </c>
      <c r="C26" s="1">
        <f t="shared" si="2"/>
        <v>4096</v>
      </c>
      <c r="D26" s="9">
        <f>SUM($C$21:C26)</f>
        <v>5460</v>
      </c>
      <c r="E26" s="9">
        <f t="shared" si="3"/>
        <v>-10412.815405540967</v>
      </c>
      <c r="F26" s="9">
        <f t="shared" si="4"/>
        <v>4.1263218084074474E-3</v>
      </c>
      <c r="G26" s="285">
        <f t="shared" si="5"/>
        <v>447403.55861947971</v>
      </c>
      <c r="O26" s="99">
        <v>6</v>
      </c>
      <c r="P26" s="93">
        <f t="shared" si="9"/>
        <v>930</v>
      </c>
      <c r="Q26" s="1">
        <f t="shared" si="10"/>
        <v>2793</v>
      </c>
      <c r="R26" s="9">
        <f>SUM($Q$21:Q26)</f>
        <v>4177</v>
      </c>
      <c r="S26" s="280">
        <f t="shared" si="6"/>
        <v>-7965.9944961437031</v>
      </c>
      <c r="T26" s="9">
        <f t="shared" si="11"/>
        <v>5.3937555838890743E-3</v>
      </c>
      <c r="U26" s="285">
        <f t="shared" si="7"/>
        <v>342271.9165482723</v>
      </c>
    </row>
    <row r="27" spans="1:21" x14ac:dyDescent="0.2">
      <c r="A27" s="97">
        <v>7</v>
      </c>
      <c r="B27" s="93">
        <f t="shared" si="8"/>
        <v>4096</v>
      </c>
      <c r="C27" s="1">
        <f t="shared" si="2"/>
        <v>16384</v>
      </c>
      <c r="D27" s="9">
        <f>SUM($C$21:C27)</f>
        <v>21844</v>
      </c>
      <c r="E27" s="9">
        <f t="shared" si="3"/>
        <v>-41662.866086613256</v>
      </c>
      <c r="F27" s="9">
        <f t="shared" si="4"/>
        <v>1.2125568294188017E-3</v>
      </c>
      <c r="G27" s="285">
        <f t="shared" si="5"/>
        <v>2104749.3669806821</v>
      </c>
      <c r="O27" s="99">
        <v>7</v>
      </c>
      <c r="P27" s="93">
        <f t="shared" si="9"/>
        <v>2793</v>
      </c>
      <c r="Q27" s="1">
        <f t="shared" si="10"/>
        <v>8382</v>
      </c>
      <c r="R27" s="9">
        <f>SUM($Q$21:Q27)</f>
        <v>12559</v>
      </c>
      <c r="S27" s="280">
        <f t="shared" si="6"/>
        <v>-23953.668521414387</v>
      </c>
      <c r="T27" s="9">
        <f t="shared" si="11"/>
        <v>2.1090127702702685E-3</v>
      </c>
      <c r="U27" s="285">
        <f t="shared" si="7"/>
        <v>1210105.6262548245</v>
      </c>
    </row>
    <row r="28" spans="1:21" x14ac:dyDescent="0.2">
      <c r="A28" s="97">
        <v>8</v>
      </c>
      <c r="B28" s="93">
        <f t="shared" si="8"/>
        <v>16384</v>
      </c>
      <c r="C28" s="1">
        <f t="shared" si="2"/>
        <v>65536</v>
      </c>
      <c r="D28" s="9">
        <f>SUM($C$21:C28)</f>
        <v>87380</v>
      </c>
      <c r="E28" s="9">
        <f t="shared" si="3"/>
        <v>-166662.87686416745</v>
      </c>
      <c r="F28" s="9">
        <f t="shared" si="4"/>
        <v>3.4843850310799202E-4</v>
      </c>
      <c r="G28" s="285">
        <f t="shared" si="5"/>
        <v>9678407.1425231844</v>
      </c>
      <c r="O28" s="99">
        <v>8</v>
      </c>
      <c r="P28" s="93">
        <f t="shared" si="9"/>
        <v>8382</v>
      </c>
      <c r="Q28" s="1">
        <f t="shared" si="10"/>
        <v>25149</v>
      </c>
      <c r="R28" s="9">
        <f>SUM($Q$21:Q28)</f>
        <v>37708</v>
      </c>
      <c r="S28" s="280">
        <f t="shared" si="6"/>
        <v>-71921.764257198753</v>
      </c>
      <c r="T28" s="9">
        <f t="shared" si="11"/>
        <v>8.0742962770702083E-4</v>
      </c>
      <c r="U28" s="285">
        <f t="shared" si="7"/>
        <v>4176623.6728114476</v>
      </c>
    </row>
    <row r="29" spans="1:21" x14ac:dyDescent="0.2">
      <c r="A29" s="97">
        <v>9</v>
      </c>
      <c r="B29" s="93">
        <f t="shared" si="8"/>
        <v>65536</v>
      </c>
      <c r="C29" s="1">
        <f t="shared" si="2"/>
        <v>262144</v>
      </c>
      <c r="D29" s="9">
        <f>SUM($C$21:C29)</f>
        <v>349524</v>
      </c>
      <c r="E29" s="9">
        <f t="shared" si="3"/>
        <v>-666662.73647338245</v>
      </c>
      <c r="F29" s="9">
        <f t="shared" si="4"/>
        <v>9.8438478464466081E-5</v>
      </c>
      <c r="G29" s="285">
        <f t="shared" si="5"/>
        <v>43749919.031620599</v>
      </c>
      <c r="O29" s="99">
        <v>9</v>
      </c>
      <c r="P29" s="93">
        <f t="shared" si="9"/>
        <v>25149</v>
      </c>
      <c r="Q29" s="1">
        <f t="shared" si="10"/>
        <v>75450</v>
      </c>
      <c r="R29" s="9">
        <f>SUM($Q$21:Q29)</f>
        <v>113158</v>
      </c>
      <c r="S29" s="280">
        <f t="shared" si="6"/>
        <v>-215831.30753211514</v>
      </c>
      <c r="T29" s="9">
        <f t="shared" si="11"/>
        <v>3.0405813770846107E-4</v>
      </c>
      <c r="U29" s="285">
        <f t="shared" si="7"/>
        <v>14163986.844337223</v>
      </c>
    </row>
    <row r="30" spans="1:21" ht="17" thickBot="1" x14ac:dyDescent="0.25">
      <c r="A30" s="145">
        <v>10</v>
      </c>
      <c r="B30" s="94">
        <f t="shared" si="8"/>
        <v>262144</v>
      </c>
      <c r="C30" s="111">
        <f t="shared" si="2"/>
        <v>1048576</v>
      </c>
      <c r="D30" s="10">
        <f>SUM($C$21:C30)</f>
        <v>1398100</v>
      </c>
      <c r="E30" s="10">
        <f t="shared" si="3"/>
        <v>-2666662.0001167394</v>
      </c>
      <c r="F30" s="10">
        <f t="shared" si="4"/>
        <v>2.744211942390547E-5</v>
      </c>
      <c r="G30" s="286">
        <f t="shared" si="5"/>
        <v>195143277.36159435</v>
      </c>
      <c r="O30" s="100">
        <v>10</v>
      </c>
      <c r="P30" s="94">
        <f t="shared" si="9"/>
        <v>75450</v>
      </c>
      <c r="Q30" s="111">
        <f t="shared" si="10"/>
        <v>226353</v>
      </c>
      <c r="R30" s="10">
        <f>SUM($Q$21:Q30)</f>
        <v>339511</v>
      </c>
      <c r="S30" s="281">
        <f t="shared" si="6"/>
        <v>-647565.32602935005</v>
      </c>
      <c r="T30" s="10">
        <f t="shared" si="11"/>
        <v>1.1300613873059264E-4</v>
      </c>
      <c r="U30" s="286">
        <f t="shared" si="7"/>
        <v>47388090.437245019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4</v>
      </c>
      <c r="D33" s="57">
        <f>SUM($C$33:C33)</f>
        <v>4</v>
      </c>
      <c r="E33" s="9">
        <f t="shared" ref="E33:E42" si="13">D33/R7</f>
        <v>-6.4967026071541616</v>
      </c>
      <c r="F33" s="8">
        <f t="shared" ref="F33:F42" si="14">U7/E33</f>
        <v>0.93927396483185277</v>
      </c>
      <c r="G33" s="287">
        <f>E33*U7</f>
        <v>39.644072208408403</v>
      </c>
      <c r="O33" s="101">
        <v>1</v>
      </c>
      <c r="P33" s="109">
        <v>1</v>
      </c>
      <c r="Q33" s="110">
        <f>P33*4+6</f>
        <v>10</v>
      </c>
      <c r="R33" s="57">
        <f>SUM($Q$21)</f>
        <v>10</v>
      </c>
      <c r="S33" s="279">
        <f>R33/R7</f>
        <v>-16.241756517885403</v>
      </c>
      <c r="T33" s="8">
        <f>U7/S33</f>
        <v>0.37570958593274117</v>
      </c>
      <c r="U33" s="287">
        <f>S33*U7</f>
        <v>99.110180521021007</v>
      </c>
    </row>
    <row r="34" spans="1:21" x14ac:dyDescent="0.2">
      <c r="A34" s="97">
        <v>2</v>
      </c>
      <c r="B34" s="93">
        <f t="shared" ref="B34:B42" si="15">B33*($O$2+1)</f>
        <v>5</v>
      </c>
      <c r="C34" s="1">
        <f t="shared" si="12"/>
        <v>20</v>
      </c>
      <c r="D34" s="9">
        <f>SUM($C$33:C34)</f>
        <v>24</v>
      </c>
      <c r="E34" s="9">
        <f t="shared" si="13"/>
        <v>-44.030230955310572</v>
      </c>
      <c r="F34" s="9">
        <f t="shared" si="14"/>
        <v>0.29659068099671659</v>
      </c>
      <c r="G34" s="285">
        <f t="shared" ref="G34:G42" si="16">E34*U8</f>
        <v>574.98885679382954</v>
      </c>
      <c r="O34" s="99">
        <v>2</v>
      </c>
      <c r="P34" s="93">
        <f>Q33+1</f>
        <v>11</v>
      </c>
      <c r="Q34" s="1">
        <f t="shared" ref="Q34:Q42" si="17">P34*4+6</f>
        <v>50</v>
      </c>
      <c r="R34" s="9">
        <f>SUM($Q$33:Q34)</f>
        <v>60</v>
      </c>
      <c r="S34" s="280">
        <f>R34/R8</f>
        <v>-110.07557738827643</v>
      </c>
      <c r="T34" s="9">
        <f t="shared" ref="T34:T42" si="18">U8/S34</f>
        <v>0.11863627239868664</v>
      </c>
      <c r="U34" s="285">
        <f t="shared" ref="U34:U42" si="19">S34*U8</f>
        <v>1437.4721419845739</v>
      </c>
    </row>
    <row r="35" spans="1:21" x14ac:dyDescent="0.2">
      <c r="A35" s="97">
        <v>3</v>
      </c>
      <c r="B35" s="93">
        <f t="shared" si="15"/>
        <v>25</v>
      </c>
      <c r="C35" s="1">
        <f t="shared" si="12"/>
        <v>100</v>
      </c>
      <c r="D35" s="9">
        <f>SUM($C$33:C35)</f>
        <v>124</v>
      </c>
      <c r="E35" s="9">
        <f t="shared" si="13"/>
        <v>-234.32357188519313</v>
      </c>
      <c r="F35" s="9">
        <f t="shared" si="14"/>
        <v>8.7061229595470538E-2</v>
      </c>
      <c r="G35" s="285">
        <f t="shared" si="16"/>
        <v>4780.3176279085146</v>
      </c>
      <c r="O35" s="99">
        <v>3</v>
      </c>
      <c r="P35" s="93">
        <f t="shared" ref="P35:P42" si="20">Q34+1</f>
        <v>51</v>
      </c>
      <c r="Q35" s="1">
        <f t="shared" si="17"/>
        <v>210</v>
      </c>
      <c r="R35" s="9">
        <f>SUM($Q$33:Q35)</f>
        <v>270</v>
      </c>
      <c r="S35" s="280">
        <f t="shared" ref="S35:S42" si="21">R35/R9</f>
        <v>-510.22068071775919</v>
      </c>
      <c r="T35" s="9">
        <f t="shared" si="18"/>
        <v>3.9983675814216101E-2</v>
      </c>
      <c r="U35" s="285">
        <f t="shared" si="19"/>
        <v>10408.756125284666</v>
      </c>
    </row>
    <row r="36" spans="1:21" x14ac:dyDescent="0.2">
      <c r="A36" s="97">
        <v>4</v>
      </c>
      <c r="B36" s="93">
        <f t="shared" si="15"/>
        <v>125</v>
      </c>
      <c r="C36" s="1">
        <f t="shared" si="12"/>
        <v>500</v>
      </c>
      <c r="D36" s="9">
        <f>SUM($C$33:C36)</f>
        <v>624</v>
      </c>
      <c r="E36" s="9">
        <f t="shared" si="13"/>
        <v>-1187.5544997750242</v>
      </c>
      <c r="F36" s="9">
        <f t="shared" si="14"/>
        <v>2.3481766513898539E-2</v>
      </c>
      <c r="G36" s="285">
        <f t="shared" si="16"/>
        <v>33115.999288967301</v>
      </c>
      <c r="O36" s="99">
        <v>4</v>
      </c>
      <c r="P36" s="93">
        <f t="shared" si="20"/>
        <v>211</v>
      </c>
      <c r="Q36" s="1">
        <f t="shared" si="17"/>
        <v>850</v>
      </c>
      <c r="R36" s="9">
        <f>SUM($Q$33:Q36)</f>
        <v>1120</v>
      </c>
      <c r="S36" s="280">
        <f t="shared" si="21"/>
        <v>-2131.5080765192743</v>
      </c>
      <c r="T36" s="9">
        <f t="shared" si="18"/>
        <v>1.30826984863149E-2</v>
      </c>
      <c r="U36" s="285">
        <f t="shared" si="19"/>
        <v>59438.973082761826</v>
      </c>
    </row>
    <row r="37" spans="1:21" x14ac:dyDescent="0.2">
      <c r="A37" s="97">
        <v>5</v>
      </c>
      <c r="B37" s="93">
        <f t="shared" si="15"/>
        <v>625</v>
      </c>
      <c r="C37" s="1">
        <f t="shared" si="12"/>
        <v>2500</v>
      </c>
      <c r="D37" s="9">
        <f>SUM($C$33:C37)</f>
        <v>3124</v>
      </c>
      <c r="E37" s="9">
        <f t="shared" si="13"/>
        <v>-5955.4188054717315</v>
      </c>
      <c r="F37" s="9">
        <f t="shared" si="14"/>
        <v>5.9473456893153866E-3</v>
      </c>
      <c r="G37" s="285">
        <f t="shared" si="16"/>
        <v>210934.58776201817</v>
      </c>
      <c r="O37" s="99">
        <v>5</v>
      </c>
      <c r="P37" s="93">
        <f t="shared" si="20"/>
        <v>851</v>
      </c>
      <c r="Q37" s="1">
        <f t="shared" si="17"/>
        <v>3410</v>
      </c>
      <c r="R37" s="9">
        <f>SUM($Q$33:Q37)</f>
        <v>4530</v>
      </c>
      <c r="S37" s="280">
        <f t="shared" si="21"/>
        <v>-8635.73853674358</v>
      </c>
      <c r="T37" s="9">
        <f t="shared" si="18"/>
        <v>4.101436629894319E-3</v>
      </c>
      <c r="U37" s="285">
        <f t="shared" si="19"/>
        <v>305868.65638986632</v>
      </c>
    </row>
    <row r="38" spans="1:21" x14ac:dyDescent="0.2">
      <c r="A38" s="97">
        <v>6</v>
      </c>
      <c r="B38" s="93">
        <f t="shared" si="15"/>
        <v>3125</v>
      </c>
      <c r="C38" s="1">
        <f t="shared" si="12"/>
        <v>12500</v>
      </c>
      <c r="D38" s="9">
        <f>SUM($C$33:C38)</f>
        <v>15624</v>
      </c>
      <c r="E38" s="9">
        <f t="shared" si="13"/>
        <v>-29796.671775855688</v>
      </c>
      <c r="F38" s="9">
        <f t="shared" si="14"/>
        <v>1.4419941803574415E-3</v>
      </c>
      <c r="G38" s="285">
        <f t="shared" si="16"/>
        <v>1280262.4908188188</v>
      </c>
      <c r="O38" s="99">
        <v>6</v>
      </c>
      <c r="P38" s="93">
        <f t="shared" si="20"/>
        <v>3411</v>
      </c>
      <c r="Q38" s="1">
        <f t="shared" si="17"/>
        <v>13650</v>
      </c>
      <c r="R38" s="9">
        <f>SUM($Q$33:Q38)</f>
        <v>18180</v>
      </c>
      <c r="S38" s="280">
        <f t="shared" si="21"/>
        <v>-34671.242504163878</v>
      </c>
      <c r="T38" s="9">
        <f t="shared" si="18"/>
        <v>1.2392583649012466E-3</v>
      </c>
      <c r="U38" s="285">
        <f t="shared" si="19"/>
        <v>1489706.3545242017</v>
      </c>
    </row>
    <row r="39" spans="1:21" x14ac:dyDescent="0.2">
      <c r="A39" s="97">
        <v>7</v>
      </c>
      <c r="B39" s="93">
        <f t="shared" si="15"/>
        <v>15625</v>
      </c>
      <c r="C39" s="1">
        <f t="shared" si="12"/>
        <v>62500</v>
      </c>
      <c r="D39" s="9">
        <f>SUM($C$33:C39)</f>
        <v>78124</v>
      </c>
      <c r="E39" s="9">
        <f t="shared" si="13"/>
        <v>-149005.20738649397</v>
      </c>
      <c r="F39" s="9">
        <f t="shared" si="14"/>
        <v>3.3903910938795124E-4</v>
      </c>
      <c r="G39" s="285">
        <f t="shared" si="16"/>
        <v>7527533.398003974</v>
      </c>
      <c r="O39" s="99">
        <v>7</v>
      </c>
      <c r="P39" s="93">
        <f t="shared" si="20"/>
        <v>13651</v>
      </c>
      <c r="Q39" s="1">
        <f t="shared" si="17"/>
        <v>54610</v>
      </c>
      <c r="R39" s="9">
        <f>SUM($Q$33:Q39)</f>
        <v>72790</v>
      </c>
      <c r="S39" s="280">
        <f t="shared" si="21"/>
        <v>-138831.7168304605</v>
      </c>
      <c r="T39" s="9">
        <f t="shared" si="18"/>
        <v>3.6388365684605445E-4</v>
      </c>
      <c r="U39" s="285">
        <f t="shared" si="19"/>
        <v>7013582.97118311</v>
      </c>
    </row>
    <row r="40" spans="1:21" x14ac:dyDescent="0.2">
      <c r="A40" s="97">
        <v>8</v>
      </c>
      <c r="B40" s="93">
        <f t="shared" si="15"/>
        <v>78125</v>
      </c>
      <c r="C40" s="1">
        <f t="shared" si="12"/>
        <v>312500</v>
      </c>
      <c r="D40" s="9">
        <f>SUM($C$33:C40)</f>
        <v>390624</v>
      </c>
      <c r="E40" s="9">
        <f t="shared" si="13"/>
        <v>-745050.57921937003</v>
      </c>
      <c r="F40" s="9">
        <f t="shared" si="14"/>
        <v>7.7943383923098278E-5</v>
      </c>
      <c r="G40" s="285">
        <f t="shared" si="16"/>
        <v>43266400.911432557</v>
      </c>
      <c r="O40" s="99">
        <v>8</v>
      </c>
      <c r="P40" s="93">
        <f t="shared" si="20"/>
        <v>54611</v>
      </c>
      <c r="Q40" s="1">
        <f t="shared" si="17"/>
        <v>218450</v>
      </c>
      <c r="R40" s="9">
        <f>SUM($Q$33:Q40)</f>
        <v>291240</v>
      </c>
      <c r="S40" s="280">
        <f t="shared" si="21"/>
        <v>-555492.06063080952</v>
      </c>
      <c r="T40" s="9">
        <f t="shared" si="18"/>
        <v>1.0454112210402534E-4</v>
      </c>
      <c r="U40" s="285">
        <f t="shared" si="19"/>
        <v>32258403.481213696</v>
      </c>
    </row>
    <row r="41" spans="1:21" x14ac:dyDescent="0.2">
      <c r="A41" s="97">
        <v>9</v>
      </c>
      <c r="B41" s="93">
        <f t="shared" si="15"/>
        <v>390625</v>
      </c>
      <c r="C41" s="1">
        <f t="shared" si="12"/>
        <v>1562500</v>
      </c>
      <c r="D41" s="9">
        <f>SUM($C$33:C41)</f>
        <v>1953124</v>
      </c>
      <c r="E41" s="9">
        <f t="shared" si="13"/>
        <v>-3725280.6402760288</v>
      </c>
      <c r="F41" s="9">
        <f t="shared" si="14"/>
        <v>1.7616193721859973E-5</v>
      </c>
      <c r="G41" s="285">
        <f t="shared" si="16"/>
        <v>244472530.80965814</v>
      </c>
      <c r="O41" s="99">
        <v>9</v>
      </c>
      <c r="P41" s="93">
        <f t="shared" si="20"/>
        <v>218451</v>
      </c>
      <c r="Q41" s="1">
        <f t="shared" si="17"/>
        <v>873810</v>
      </c>
      <c r="R41" s="9">
        <f>SUM($Q$33:Q41)</f>
        <v>1165050</v>
      </c>
      <c r="S41" s="280">
        <f t="shared" si="21"/>
        <v>-2222151.9012380103</v>
      </c>
      <c r="T41" s="9">
        <f t="shared" si="18"/>
        <v>2.9532303975635412E-5</v>
      </c>
      <c r="U41" s="285">
        <f t="shared" si="19"/>
        <v>145829308.33873948</v>
      </c>
    </row>
    <row r="42" spans="1:21" ht="17" thickBot="1" x14ac:dyDescent="0.25">
      <c r="A42" s="145">
        <v>10</v>
      </c>
      <c r="B42" s="94">
        <f t="shared" si="15"/>
        <v>1953125</v>
      </c>
      <c r="C42" s="111">
        <f t="shared" si="12"/>
        <v>7812500</v>
      </c>
      <c r="D42" s="10">
        <f>SUM($C$33:C42)</f>
        <v>9765624</v>
      </c>
      <c r="E42" s="9">
        <f t="shared" si="13"/>
        <v>-18626434.753042009</v>
      </c>
      <c r="F42" s="10">
        <f t="shared" si="14"/>
        <v>3.9287635041613565E-6</v>
      </c>
      <c r="G42" s="286">
        <f t="shared" si="16"/>
        <v>1363061206.5238843</v>
      </c>
      <c r="O42" s="100">
        <v>10</v>
      </c>
      <c r="P42" s="94">
        <f t="shared" si="20"/>
        <v>873811</v>
      </c>
      <c r="Q42" s="111">
        <f t="shared" si="17"/>
        <v>3495250</v>
      </c>
      <c r="R42" s="10">
        <f>SUM($Q$33:Q42)</f>
        <v>4660300</v>
      </c>
      <c r="S42" s="281">
        <f t="shared" si="21"/>
        <v>-8888809.7554853298</v>
      </c>
      <c r="T42" s="10">
        <f t="shared" si="18"/>
        <v>8.2326947120490621E-6</v>
      </c>
      <c r="U42" s="286">
        <f t="shared" si="19"/>
        <v>650472938.62258649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4</v>
      </c>
      <c r="D45" s="57">
        <f>SUM(C45:C45)</f>
        <v>4</v>
      </c>
      <c r="E45" s="57">
        <f t="shared" ref="E45:E54" si="23">D45/R7</f>
        <v>-6.4967026071541616</v>
      </c>
      <c r="F45" s="8">
        <f t="shared" ref="F45:F54" si="24">U7/E45</f>
        <v>0.93927396483185277</v>
      </c>
      <c r="G45" s="284">
        <f>E45*U7</f>
        <v>39.644072208408403</v>
      </c>
      <c r="O45" s="101">
        <v>1</v>
      </c>
      <c r="P45" s="109">
        <v>1</v>
      </c>
      <c r="Q45" s="110">
        <f>P45*4+6</f>
        <v>10</v>
      </c>
      <c r="R45" s="57">
        <f>SUM($Q$21)</f>
        <v>10</v>
      </c>
      <c r="S45" s="279">
        <f>R45/R7</f>
        <v>-16.241756517885403</v>
      </c>
      <c r="T45" s="8">
        <f>U7/S45</f>
        <v>0.37570958593274117</v>
      </c>
      <c r="U45" s="287">
        <f>S45*U7</f>
        <v>99.110180521021007</v>
      </c>
    </row>
    <row r="46" spans="1:21" x14ac:dyDescent="0.2">
      <c r="A46" s="97">
        <v>2</v>
      </c>
      <c r="B46" s="93">
        <f t="shared" ref="B46:B54" si="25">B45*$O$2*2</f>
        <v>8</v>
      </c>
      <c r="C46" s="1">
        <f t="shared" si="22"/>
        <v>32</v>
      </c>
      <c r="D46" s="9">
        <f>SUM($C$45:C46)</f>
        <v>36</v>
      </c>
      <c r="E46" s="9">
        <f t="shared" si="23"/>
        <v>-66.045346432965857</v>
      </c>
      <c r="F46" s="9">
        <f t="shared" si="24"/>
        <v>0.19772712066447773</v>
      </c>
      <c r="G46" s="285">
        <f t="shared" ref="G46:G54" si="26">E46*U8</f>
        <v>862.48328519074425</v>
      </c>
      <c r="O46" s="99">
        <v>2</v>
      </c>
      <c r="P46" s="93">
        <f>Q45*2</f>
        <v>20</v>
      </c>
      <c r="Q46" s="1">
        <f t="shared" ref="Q46:Q54" si="27">P46*4+6</f>
        <v>86</v>
      </c>
      <c r="R46" s="9">
        <f>SUM($Q$45:Q46)</f>
        <v>96</v>
      </c>
      <c r="S46" s="280">
        <f t="shared" ref="S46:S54" si="28">R46/R8</f>
        <v>-176.12092382124229</v>
      </c>
      <c r="T46" s="9">
        <f t="shared" ref="T46:T54" si="29">U8/S46</f>
        <v>7.4147670249179148E-2</v>
      </c>
      <c r="U46" s="285">
        <f t="shared" ref="U46:U54" si="30">S46*U8</f>
        <v>2299.9554271753182</v>
      </c>
    </row>
    <row r="47" spans="1:21" x14ac:dyDescent="0.2">
      <c r="A47" s="97">
        <v>3</v>
      </c>
      <c r="B47" s="93">
        <f t="shared" si="25"/>
        <v>64</v>
      </c>
      <c r="C47" s="1">
        <f t="shared" si="22"/>
        <v>256</v>
      </c>
      <c r="D47" s="9">
        <f>SUM($C$45:C47)</f>
        <v>292</v>
      </c>
      <c r="E47" s="9">
        <f t="shared" si="23"/>
        <v>-551.79421766513224</v>
      </c>
      <c r="F47" s="9">
        <f t="shared" si="24"/>
        <v>3.6971207088487487E-2</v>
      </c>
      <c r="G47" s="285">
        <f t="shared" si="26"/>
        <v>11256.876994752309</v>
      </c>
      <c r="O47" s="99">
        <v>3</v>
      </c>
      <c r="P47" s="93">
        <f t="shared" ref="P47:P54" si="31">Q46*2</f>
        <v>172</v>
      </c>
      <c r="Q47" s="1">
        <f t="shared" si="27"/>
        <v>694</v>
      </c>
      <c r="R47" s="9">
        <f>SUM($Q$45:Q47)</f>
        <v>790</v>
      </c>
      <c r="S47" s="280">
        <f t="shared" si="28"/>
        <v>-1492.8679176556659</v>
      </c>
      <c r="T47" s="9">
        <f t="shared" si="29"/>
        <v>1.3665306923846009E-2</v>
      </c>
      <c r="U47" s="285">
        <f t="shared" si="30"/>
        <v>30455.249403610695</v>
      </c>
    </row>
    <row r="48" spans="1:21" x14ac:dyDescent="0.2">
      <c r="A48" s="97">
        <v>4</v>
      </c>
      <c r="B48" s="93">
        <f t="shared" si="25"/>
        <v>512</v>
      </c>
      <c r="C48" s="1">
        <f t="shared" si="22"/>
        <v>2048</v>
      </c>
      <c r="D48" s="9">
        <f>SUM($C$45:C48)</f>
        <v>2340</v>
      </c>
      <c r="E48" s="9">
        <f t="shared" si="23"/>
        <v>-4453.3293741563402</v>
      </c>
      <c r="F48" s="9">
        <f t="shared" si="24"/>
        <v>6.2618044037062786E-3</v>
      </c>
      <c r="G48" s="285">
        <f t="shared" si="26"/>
        <v>124184.99733362737</v>
      </c>
      <c r="O48" s="99">
        <v>4</v>
      </c>
      <c r="P48" s="93">
        <f t="shared" si="31"/>
        <v>1388</v>
      </c>
      <c r="Q48" s="1">
        <f t="shared" si="27"/>
        <v>5558</v>
      </c>
      <c r="R48" s="9">
        <f>SUM($Q$45:Q48)</f>
        <v>6348</v>
      </c>
      <c r="S48" s="280">
        <f t="shared" si="28"/>
        <v>-12081.083276557458</v>
      </c>
      <c r="T48" s="9">
        <f t="shared" si="29"/>
        <v>2.3082265760353952E-3</v>
      </c>
      <c r="U48" s="285">
        <f t="shared" si="30"/>
        <v>336891.60815122508</v>
      </c>
    </row>
    <row r="49" spans="1:21" x14ac:dyDescent="0.2">
      <c r="A49" s="97">
        <v>5</v>
      </c>
      <c r="B49" s="93">
        <f t="shared" si="25"/>
        <v>4096</v>
      </c>
      <c r="C49" s="1">
        <f t="shared" si="22"/>
        <v>16384</v>
      </c>
      <c r="D49" s="9">
        <f>SUM($C$45:C49)</f>
        <v>18724</v>
      </c>
      <c r="E49" s="9">
        <f t="shared" si="23"/>
        <v>-35694.385951873468</v>
      </c>
      <c r="F49" s="9">
        <f t="shared" si="24"/>
        <v>9.9228305561959319E-4</v>
      </c>
      <c r="G49" s="285">
        <f t="shared" si="26"/>
        <v>1264257.1130781143</v>
      </c>
      <c r="O49" s="99">
        <v>5</v>
      </c>
      <c r="P49" s="93">
        <f t="shared" si="31"/>
        <v>11116</v>
      </c>
      <c r="Q49" s="1">
        <f t="shared" si="27"/>
        <v>44470</v>
      </c>
      <c r="R49" s="9">
        <f>SUM($Q$45:Q49)</f>
        <v>50818</v>
      </c>
      <c r="S49" s="280">
        <f t="shared" si="28"/>
        <v>-96876.591823451497</v>
      </c>
      <c r="T49" s="9">
        <f t="shared" si="29"/>
        <v>3.6560879872134412E-4</v>
      </c>
      <c r="U49" s="285">
        <f t="shared" si="30"/>
        <v>3431265.6468918826</v>
      </c>
    </row>
    <row r="50" spans="1:21" x14ac:dyDescent="0.2">
      <c r="A50" s="97">
        <v>6</v>
      </c>
      <c r="B50" s="93">
        <f t="shared" si="25"/>
        <v>32768</v>
      </c>
      <c r="C50" s="1">
        <f t="shared" si="22"/>
        <v>131072</v>
      </c>
      <c r="D50" s="9">
        <f>SUM($C$45:C50)</f>
        <v>149796</v>
      </c>
      <c r="E50" s="9">
        <f t="shared" si="23"/>
        <v>-285677.30704916018</v>
      </c>
      <c r="F50" s="9">
        <f t="shared" si="24"/>
        <v>1.5040266144559711E-4</v>
      </c>
      <c r="G50" s="285">
        <f t="shared" si="26"/>
        <v>12274590.378564758</v>
      </c>
      <c r="O50" s="99">
        <v>6</v>
      </c>
      <c r="P50" s="93">
        <f t="shared" si="31"/>
        <v>88940</v>
      </c>
      <c r="Q50" s="1">
        <f t="shared" si="27"/>
        <v>355766</v>
      </c>
      <c r="R50" s="9">
        <f>SUM($Q$45:Q50)</f>
        <v>406584</v>
      </c>
      <c r="S50" s="280">
        <f t="shared" si="28"/>
        <v>-775400.02542975615</v>
      </c>
      <c r="T50" s="9">
        <f t="shared" si="29"/>
        <v>5.5412207745274438E-5</v>
      </c>
      <c r="U50" s="285">
        <f t="shared" si="30"/>
        <v>33316323.897022441</v>
      </c>
    </row>
    <row r="51" spans="1:21" x14ac:dyDescent="0.2">
      <c r="A51" s="97">
        <v>7</v>
      </c>
      <c r="B51" s="93">
        <f t="shared" si="25"/>
        <v>262144</v>
      </c>
      <c r="C51" s="1">
        <f t="shared" si="22"/>
        <v>1048576</v>
      </c>
      <c r="D51" s="9">
        <f>SUM($C$45:C51)</f>
        <v>1198372</v>
      </c>
      <c r="E51" s="9">
        <f t="shared" si="23"/>
        <v>-2285644.211588853</v>
      </c>
      <c r="F51" s="9">
        <f t="shared" si="24"/>
        <v>2.2102561960580103E-5</v>
      </c>
      <c r="G51" s="285">
        <f t="shared" si="26"/>
        <v>115467529.22575417</v>
      </c>
      <c r="O51" s="99">
        <v>7</v>
      </c>
      <c r="P51" s="93">
        <f t="shared" si="31"/>
        <v>711532</v>
      </c>
      <c r="Q51" s="1">
        <f t="shared" si="27"/>
        <v>2846134</v>
      </c>
      <c r="R51" s="9">
        <f>SUM($Q$45:Q51)</f>
        <v>3252718</v>
      </c>
      <c r="S51" s="280">
        <f t="shared" si="28"/>
        <v>-6203879.9877090501</v>
      </c>
      <c r="T51" s="9">
        <f t="shared" si="29"/>
        <v>8.1430641641311377E-6</v>
      </c>
      <c r="U51" s="285">
        <f t="shared" si="30"/>
        <v>313411286.91936779</v>
      </c>
    </row>
    <row r="52" spans="1:21" x14ac:dyDescent="0.2">
      <c r="A52" s="97">
        <v>8</v>
      </c>
      <c r="B52" s="93">
        <f t="shared" si="25"/>
        <v>2097152</v>
      </c>
      <c r="C52" s="1">
        <f t="shared" si="22"/>
        <v>8388608</v>
      </c>
      <c r="D52" s="9">
        <f>SUM($C$45:C52)</f>
        <v>9586980</v>
      </c>
      <c r="E52" s="9">
        <f t="shared" si="23"/>
        <v>-18285576.416104786</v>
      </c>
      <c r="F52" s="9">
        <f t="shared" si="24"/>
        <v>3.1758235024560748E-6</v>
      </c>
      <c r="G52" s="285">
        <f t="shared" si="26"/>
        <v>1061875666.1390127</v>
      </c>
      <c r="O52" s="99">
        <v>8</v>
      </c>
      <c r="P52" s="93">
        <f t="shared" si="31"/>
        <v>5692268</v>
      </c>
      <c r="Q52" s="1">
        <f t="shared" si="27"/>
        <v>22769078</v>
      </c>
      <c r="R52" s="9">
        <f>SUM($Q$45:Q52)</f>
        <v>26021796</v>
      </c>
      <c r="S52" s="280">
        <f t="shared" si="28"/>
        <v>-49632265.764848769</v>
      </c>
      <c r="T52" s="9">
        <f t="shared" si="29"/>
        <v>1.1700405460705457E-6</v>
      </c>
      <c r="U52" s="285">
        <f t="shared" si="30"/>
        <v>2882233191.4360409</v>
      </c>
    </row>
    <row r="53" spans="1:21" x14ac:dyDescent="0.2">
      <c r="A53" s="97">
        <v>9</v>
      </c>
      <c r="B53" s="93">
        <f t="shared" si="25"/>
        <v>16777216</v>
      </c>
      <c r="C53" s="1">
        <f t="shared" si="22"/>
        <v>67108864</v>
      </c>
      <c r="D53" s="9">
        <f>SUM($C$45:C53)</f>
        <v>76695844</v>
      </c>
      <c r="E53" s="9">
        <f t="shared" si="23"/>
        <v>-146285408.83365849</v>
      </c>
      <c r="F53" s="9">
        <f t="shared" si="24"/>
        <v>4.4861114960562975E-7</v>
      </c>
      <c r="G53" s="285">
        <f t="shared" si="26"/>
        <v>9600018782.8641357</v>
      </c>
      <c r="O53" s="99">
        <v>9</v>
      </c>
      <c r="P53" s="93">
        <f t="shared" si="31"/>
        <v>45538156</v>
      </c>
      <c r="Q53" s="1">
        <f t="shared" si="27"/>
        <v>182152630</v>
      </c>
      <c r="R53" s="9">
        <f>SUM($Q$45:Q53)</f>
        <v>208174426</v>
      </c>
      <c r="S53" s="280">
        <f t="shared" si="28"/>
        <v>-397060380.69184279</v>
      </c>
      <c r="T53" s="9">
        <f t="shared" si="29"/>
        <v>1.65277798084641E-7</v>
      </c>
      <c r="U53" s="285">
        <f t="shared" si="30"/>
        <v>26057192873.605515</v>
      </c>
    </row>
    <row r="54" spans="1:21" ht="17" thickBot="1" x14ac:dyDescent="0.25">
      <c r="A54" s="145">
        <v>10</v>
      </c>
      <c r="B54" s="94">
        <f t="shared" si="25"/>
        <v>134217728</v>
      </c>
      <c r="C54" s="111">
        <f t="shared" si="22"/>
        <v>536870912</v>
      </c>
      <c r="D54" s="10">
        <f>SUM($C$45:C54)</f>
        <v>613566756</v>
      </c>
      <c r="E54" s="10">
        <f t="shared" si="23"/>
        <v>-1170284781.3175733</v>
      </c>
      <c r="F54" s="10">
        <f t="shared" si="24"/>
        <v>6.2530811507268559E-8</v>
      </c>
      <c r="G54" s="286">
        <f t="shared" si="26"/>
        <v>85640102743.696213</v>
      </c>
      <c r="O54" s="100">
        <v>10</v>
      </c>
      <c r="P54" s="94">
        <f t="shared" si="31"/>
        <v>364305260</v>
      </c>
      <c r="Q54" s="111">
        <f t="shared" si="27"/>
        <v>1457221046</v>
      </c>
      <c r="R54" s="10">
        <f>SUM($Q$45:Q54)</f>
        <v>1665395472</v>
      </c>
      <c r="S54" s="281">
        <f t="shared" si="28"/>
        <v>-3176487247.227581</v>
      </c>
      <c r="T54" s="10">
        <f t="shared" si="29"/>
        <v>2.3037667515984599E-8</v>
      </c>
      <c r="U54" s="286">
        <f t="shared" si="30"/>
        <v>232451706250.79703</v>
      </c>
    </row>
  </sheetData>
  <mergeCells count="2">
    <mergeCell ref="A18:F18"/>
    <mergeCell ref="O18:T18"/>
  </mergeCells>
  <conditionalFormatting sqref="F45:F54">
    <cfRule type="cellIs" dxfId="335" priority="49" operator="equal">
      <formula>MAX($F$45:$F$54)</formula>
    </cfRule>
  </conditionalFormatting>
  <conditionalFormatting sqref="F21:F30">
    <cfRule type="cellIs" dxfId="334" priority="47" operator="equal">
      <formula>MAX($F$21:$F$30)</formula>
    </cfRule>
  </conditionalFormatting>
  <conditionalFormatting sqref="E33:E42">
    <cfRule type="cellIs" dxfId="333" priority="43" stopIfTrue="1" operator="lessThan">
      <formula>0</formula>
    </cfRule>
    <cfRule type="cellIs" dxfId="332" priority="44" operator="equal">
      <formula>MIN($E$33:$E$42)</formula>
    </cfRule>
  </conditionalFormatting>
  <conditionalFormatting sqref="E21:E30">
    <cfRule type="cellIs" dxfId="331" priority="39" stopIfTrue="1" operator="lessThan">
      <formula>0</formula>
    </cfRule>
    <cfRule type="cellIs" dxfId="330" priority="40" operator="equal">
      <formula>MIN($E$21:$E$30)</formula>
    </cfRule>
  </conditionalFormatting>
  <conditionalFormatting sqref="E45:E54">
    <cfRule type="cellIs" dxfId="329" priority="35" stopIfTrue="1" operator="lessThan">
      <formula>0</formula>
    </cfRule>
    <cfRule type="cellIs" dxfId="328" priority="36" operator="equal">
      <formula>MIN($E$45:$E$54)</formula>
    </cfRule>
  </conditionalFormatting>
  <conditionalFormatting sqref="F33:F42">
    <cfRule type="cellIs" dxfId="327" priority="25" operator="lessThanOrEqual">
      <formula>0</formula>
    </cfRule>
    <cfRule type="cellIs" dxfId="326" priority="26" operator="equal">
      <formula>MAX($F$33:$F$42)</formula>
    </cfRule>
  </conditionalFormatting>
  <conditionalFormatting sqref="R7:R16">
    <cfRule type="cellIs" dxfId="325" priority="19" operator="lessThanOrEqual">
      <formula>0</formula>
    </cfRule>
    <cfRule type="cellIs" dxfId="324" priority="20" operator="greaterThan">
      <formula>0</formula>
    </cfRule>
  </conditionalFormatting>
  <conditionalFormatting sqref="S7:T16">
    <cfRule type="cellIs" dxfId="323" priority="13" operator="lessThanOrEqual">
      <formula>0</formula>
    </cfRule>
    <cfRule type="cellIs" dxfId="322" priority="14" operator="greaterThan">
      <formula>0</formula>
    </cfRule>
  </conditionalFormatting>
  <conditionalFormatting sqref="U7:U16">
    <cfRule type="cellIs" dxfId="321" priority="15" operator="lessThanOrEqual">
      <formula>0</formula>
    </cfRule>
    <cfRule type="cellIs" dxfId="320" priority="16" operator="greaterThan">
      <formula>0</formula>
    </cfRule>
  </conditionalFormatting>
  <conditionalFormatting sqref="T21:T30">
    <cfRule type="cellIs" dxfId="319" priority="9" operator="equal">
      <formula>MAX($T$21:$T$30)</formula>
    </cfRule>
  </conditionalFormatting>
  <conditionalFormatting sqref="S33:S42">
    <cfRule type="cellIs" dxfId="318" priority="7" stopIfTrue="1" operator="lessThan">
      <formula>0</formula>
    </cfRule>
    <cfRule type="cellIs" dxfId="317" priority="8" operator="equal">
      <formula>MIN($E$21:$E$30)</formula>
    </cfRule>
  </conditionalFormatting>
  <conditionalFormatting sqref="T33:T42">
    <cfRule type="cellIs" dxfId="316" priority="6" operator="equal">
      <formula>MAX($T$21:$T$30)</formula>
    </cfRule>
  </conditionalFormatting>
  <conditionalFormatting sqref="S45:S54">
    <cfRule type="cellIs" dxfId="315" priority="4" stopIfTrue="1" operator="lessThan">
      <formula>0</formula>
    </cfRule>
    <cfRule type="cellIs" dxfId="314" priority="5" operator="equal">
      <formula>MIN($E$21:$E$30)</formula>
    </cfRule>
  </conditionalFormatting>
  <conditionalFormatting sqref="T45:T54">
    <cfRule type="cellIs" dxfId="313" priority="3" operator="equal">
      <formula>MAX($T$21:$T$30)</formula>
    </cfRule>
  </conditionalFormatting>
  <conditionalFormatting sqref="S21:S30">
    <cfRule type="cellIs" dxfId="312" priority="1" stopIfTrue="1" operator="lessThan">
      <formula>0</formula>
    </cfRule>
    <cfRule type="cellIs" dxfId="31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>
    <pageSetUpPr fitToPage="1"/>
  </sheetPr>
  <dimension ref="A1:W54"/>
  <sheetViews>
    <sheetView topLeftCell="A10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1.0000000000000004</v>
      </c>
    </row>
    <row r="2" spans="1:23" x14ac:dyDescent="0.2">
      <c r="A2" t="s">
        <v>40</v>
      </c>
      <c r="B2" s="149" t="s">
        <v>125</v>
      </c>
      <c r="C2" s="155">
        <f>Analysis!B43</f>
        <v>0.20122178796010506</v>
      </c>
      <c r="D2" s="149" t="s">
        <v>126</v>
      </c>
      <c r="E2" s="155">
        <f>Analysis!J43</f>
        <v>0.7987782120398953</v>
      </c>
      <c r="F2" s="149" t="s">
        <v>47</v>
      </c>
      <c r="G2" s="155">
        <f>Analysis!S43</f>
        <v>-5.053396800292691</v>
      </c>
      <c r="H2" t="s">
        <v>155</v>
      </c>
      <c r="I2" s="169">
        <f>Analysis!T43</f>
        <v>-8.4436224966118516</v>
      </c>
      <c r="J2" t="s">
        <v>48</v>
      </c>
      <c r="K2" s="169">
        <f>C2*G2+E2*I2</f>
        <v>-7.7614352204102213</v>
      </c>
      <c r="L2" t="s">
        <v>47</v>
      </c>
      <c r="M2" s="176">
        <v>3</v>
      </c>
      <c r="N2" t="s">
        <v>155</v>
      </c>
      <c r="O2" s="176">
        <v>5</v>
      </c>
    </row>
    <row r="4" spans="1:23" x14ac:dyDescent="0.2">
      <c r="A4" t="s">
        <v>123</v>
      </c>
      <c r="B4">
        <f>$C$2</f>
        <v>0.20122178796010506</v>
      </c>
      <c r="C4" t="s">
        <v>124</v>
      </c>
      <c r="D4">
        <f>$E$2</f>
        <v>0.7987782120398953</v>
      </c>
      <c r="E4" t="s">
        <v>47</v>
      </c>
      <c r="F4">
        <f>G2</f>
        <v>-5.053396800292691</v>
      </c>
      <c r="G4" t="s">
        <v>155</v>
      </c>
      <c r="H4">
        <f>I2</f>
        <v>-8.4436224966118516</v>
      </c>
      <c r="I4" t="s">
        <v>48</v>
      </c>
      <c r="J4">
        <f>K2</f>
        <v>-7.7614352204102213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0.20122178796010506</v>
      </c>
      <c r="C7" s="95">
        <v>1</v>
      </c>
      <c r="D7" s="22">
        <f>C7*D4</f>
        <v>0.7987782120398953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1.0000000000000004</v>
      </c>
      <c r="R7" s="187">
        <f>B7-D7</f>
        <v>-0.59755642407979026</v>
      </c>
      <c r="S7" s="109">
        <f>SUM(C7)*$B$4*$F$4</f>
        <v>-1.0168535394267693</v>
      </c>
      <c r="T7" s="261">
        <f>SUM(C7)*$D$4*$H$4</f>
        <v>-6.744581680983452</v>
      </c>
      <c r="U7" s="263">
        <f>S7+T7</f>
        <v>-7.7614352204102213</v>
      </c>
      <c r="V7" s="109">
        <f>(U7+W7*D7)/B7</f>
        <v>-34.601904092765373</v>
      </c>
      <c r="W7" s="57">
        <f>COUNT(D7:M7)</f>
        <v>1</v>
      </c>
    </row>
    <row r="8" spans="1:23" x14ac:dyDescent="0.2">
      <c r="A8" s="99">
        <v>2</v>
      </c>
      <c r="B8" s="97">
        <f>C8*B4</f>
        <v>0.23975856015476082</v>
      </c>
      <c r="C8" s="97">
        <f>1/(1-B4*D4)</f>
        <v>1.1915139140016795</v>
      </c>
      <c r="D8" s="144">
        <f>C8*D4</f>
        <v>0.95175535384691912</v>
      </c>
      <c r="E8" s="1">
        <f>D8*D4</f>
        <v>0.76024143984523995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1.0000000000000009</v>
      </c>
      <c r="R8" s="188">
        <f>B8-E8</f>
        <v>-0.52048287969047913</v>
      </c>
      <c r="S8" s="93">
        <f>SUM(C8:D8)*$B$4*$F$4</f>
        <v>-2.179390940956468</v>
      </c>
      <c r="T8" s="260">
        <f>SUM(C8:D8)*$D$4*$H$4</f>
        <v>-14.455454641346472</v>
      </c>
      <c r="U8" s="264">
        <f>S8+T8</f>
        <v>-16.63484558230294</v>
      </c>
      <c r="V8" s="93">
        <f>(U8+W8*E8)/B8</f>
        <v>-63.039929389200324</v>
      </c>
      <c r="W8" s="9">
        <f>COUNT(D8:M8)</f>
        <v>2</v>
      </c>
    </row>
    <row r="9" spans="1:23" x14ac:dyDescent="0.2">
      <c r="A9" s="99">
        <v>3</v>
      </c>
      <c r="B9" s="97">
        <f>C9*B4</f>
        <v>0.24888713788022204</v>
      </c>
      <c r="C9" s="97">
        <f>1/(1-D4*B4/(1-D4*B4))</f>
        <v>1.2368796659811376</v>
      </c>
      <c r="D9" s="144">
        <f>C9*D4*C8</f>
        <v>1.1772068441619368</v>
      </c>
      <c r="E9" s="1">
        <f>D9*(D4)</f>
        <v>0.94032717818079947</v>
      </c>
      <c r="F9" s="1">
        <f>E9*D4</f>
        <v>0.75111286211977901</v>
      </c>
      <c r="G9" s="1"/>
      <c r="H9" s="1"/>
      <c r="I9" s="1"/>
      <c r="J9" s="1"/>
      <c r="K9" s="1"/>
      <c r="L9" s="1"/>
      <c r="M9" s="260"/>
      <c r="N9" s="97">
        <f>B9+F9</f>
        <v>1.0000000000000011</v>
      </c>
      <c r="R9" s="188">
        <f>B9-F9</f>
        <v>-0.50222572423955691</v>
      </c>
      <c r="S9" s="93">
        <f>SUM(C9:E9)*$B$4*$F$4</f>
        <v>-3.4109474316737347</v>
      </c>
      <c r="T9" s="260">
        <f>SUM(C9:E9)*$D$4*$H$4</f>
        <v>-22.624117112709335</v>
      </c>
      <c r="U9" s="264">
        <f t="shared" ref="U9:U16" si="0">S9+T9</f>
        <v>-26.035064544383069</v>
      </c>
      <c r="V9" s="93">
        <f>(U9+W9*F9)/B9</f>
        <v>-95.552249748915443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0.25115227182756772</v>
      </c>
      <c r="C10" s="97">
        <f>1/(1-D4*B4/(1-D4*B4/(1-D4*B4)))</f>
        <v>1.2481365679812071</v>
      </c>
      <c r="D10" s="144">
        <f>C10*D4*C9</f>
        <v>1.2331496032149536</v>
      </c>
      <c r="E10" s="1">
        <f>D10*D4*C8</f>
        <v>1.1736567369540361</v>
      </c>
      <c r="F10" s="1">
        <f>E10*D4</f>
        <v>0.93749142989272261</v>
      </c>
      <c r="G10" s="1">
        <f>F10*D4</f>
        <v>0.74884772817243384</v>
      </c>
      <c r="H10" s="1"/>
      <c r="I10" s="1"/>
      <c r="J10" s="1"/>
      <c r="K10" s="1"/>
      <c r="L10" s="1"/>
      <c r="M10" s="260"/>
      <c r="N10" s="97">
        <f>B10+G10</f>
        <v>1.0000000000000016</v>
      </c>
      <c r="R10" s="188">
        <f>B10-G10</f>
        <v>-0.49769545634486612</v>
      </c>
      <c r="S10" s="93">
        <f>SUM(C10:F10)*$B$4*$F$4</f>
        <v>-4.6698331112239755</v>
      </c>
      <c r="T10" s="260">
        <f>SUM(C10:F10)*$D$4*$H$4</f>
        <v>-30.974048507483641</v>
      </c>
      <c r="U10" s="264">
        <f t="shared" si="0"/>
        <v>-35.643881618707617</v>
      </c>
      <c r="V10" s="93">
        <f>(U10+W10*G10)/B10</f>
        <v>-129.99480541602739</v>
      </c>
      <c r="W10" s="9">
        <f t="shared" si="1"/>
        <v>4</v>
      </c>
    </row>
    <row r="11" spans="1:23" x14ac:dyDescent="0.2">
      <c r="A11" s="99">
        <v>5</v>
      </c>
      <c r="B11" s="97">
        <f>C11*B4</f>
        <v>0.25172073350871527</v>
      </c>
      <c r="C11" s="97">
        <f>1/(1-D4*B4/(1-D4*B4/(1-D4*B4/(1-D4*B4))))</f>
        <v>1.2509616183244645</v>
      </c>
      <c r="D11" s="144">
        <f>C11*D4*C10</f>
        <v>1.2471890885604344</v>
      </c>
      <c r="E11" s="1">
        <f>D11*D4*C9</f>
        <v>1.232213500626701</v>
      </c>
      <c r="F11" s="1">
        <f>E11*D4*C8</f>
        <v>1.1727657963039166</v>
      </c>
      <c r="G11" s="1">
        <f>F11*D4</f>
        <v>0.93677976591318657</v>
      </c>
      <c r="H11" s="1">
        <f>G11*D4</f>
        <v>0.74827926649128684</v>
      </c>
      <c r="I11" s="1"/>
      <c r="J11" s="1"/>
      <c r="K11" s="1"/>
      <c r="L11" s="1"/>
      <c r="M11" s="260"/>
      <c r="N11" s="97">
        <f>B11+H11</f>
        <v>1.0000000000000022</v>
      </c>
      <c r="R11" s="188">
        <f>B11-H11</f>
        <v>-0.49655853298257158</v>
      </c>
      <c r="S11" s="93">
        <f>SUM(C11:G11)*$B$4*$F$4</f>
        <v>-5.938332919281601</v>
      </c>
      <c r="T11" s="260">
        <f>SUM(C11:G11)*$D$4*$H$4</f>
        <v>-39.387748451508493</v>
      </c>
      <c r="U11" s="264">
        <f t="shared" si="0"/>
        <v>-45.326081370790092</v>
      </c>
      <c r="V11" s="93">
        <f>(U11+W11*H11)/B11</f>
        <v>-165.2016679702464</v>
      </c>
      <c r="W11" s="9">
        <f t="shared" si="1"/>
        <v>5</v>
      </c>
    </row>
    <row r="12" spans="1:23" x14ac:dyDescent="0.2">
      <c r="A12" s="99">
        <v>6</v>
      </c>
      <c r="B12" s="97">
        <f>C12*B4</f>
        <v>0.25186379974148149</v>
      </c>
      <c r="C12" s="97">
        <f>1/(1-D4*B4/(1-D4*B4/(1-D4*B4/(1-D4*B4/(1-D4*B4)))))</f>
        <v>1.2516726061067347</v>
      </c>
      <c r="D12" s="144">
        <f>C12*D4*C11</f>
        <v>1.2507224424257291</v>
      </c>
      <c r="E12" s="1">
        <f>D12*D4*C10</f>
        <v>1.2469506339453766</v>
      </c>
      <c r="F12" s="1">
        <f>E12*D4*C9</f>
        <v>1.2319779092487326</v>
      </c>
      <c r="G12" s="1">
        <f>F12*D4*C8</f>
        <v>1.1725415709486151</v>
      </c>
      <c r="H12" s="1">
        <f>G12*D4</f>
        <v>0.93660065958478478</v>
      </c>
      <c r="I12" s="1">
        <f>H12*D4</f>
        <v>0.74813620025852101</v>
      </c>
      <c r="J12" s="1"/>
      <c r="K12" s="1"/>
      <c r="L12" s="1"/>
      <c r="M12" s="260"/>
      <c r="N12" s="97">
        <f>B12+I12</f>
        <v>1.0000000000000024</v>
      </c>
      <c r="R12" s="188">
        <f>B12-I12</f>
        <v>-0.49627240051703952</v>
      </c>
      <c r="S12" s="93">
        <f>SUM(C12:H12)*$B$4*$F$4</f>
        <v>-7.2099652675495918</v>
      </c>
      <c r="T12" s="260">
        <f>SUM(C12:H12)*$D$4*$H$4</f>
        <v>-47.822225894453886</v>
      </c>
      <c r="U12" s="264">
        <f t="shared" si="0"/>
        <v>-55.032191162003478</v>
      </c>
      <c r="V12" s="93">
        <f>(U12+W12*I12)/B12</f>
        <v>-200.67740585320786</v>
      </c>
      <c r="W12" s="9">
        <f t="shared" si="1"/>
        <v>6</v>
      </c>
    </row>
    <row r="13" spans="1:23" x14ac:dyDescent="0.2">
      <c r="A13" s="99">
        <v>7</v>
      </c>
      <c r="B13" s="97">
        <f>C13*B4</f>
        <v>0.2518998312110623</v>
      </c>
      <c r="C13" s="97">
        <f>1/(1-D4*B4/(1-D4*B4/(1-D4*B4/(1-D4*B4/(1-D4*B4/(1-D4*B4))))))</f>
        <v>1.2518516695667412</v>
      </c>
      <c r="D13" s="144">
        <f>C13*D4*C12</f>
        <v>1.2516123234958736</v>
      </c>
      <c r="E13" s="1">
        <f>D13*D4*C11</f>
        <v>1.250662205576313</v>
      </c>
      <c r="F13" s="1">
        <f>E13*D4*C10</f>
        <v>1.2468905787524591</v>
      </c>
      <c r="G13" s="1">
        <f>F13*D4*C9</f>
        <v>1.2319185751668564</v>
      </c>
      <c r="H13" s="1">
        <f>G13*D4*C8</f>
        <v>1.1724850994185239</v>
      </c>
      <c r="I13" s="1">
        <f>H13*D4</f>
        <v>0.93655555135694735</v>
      </c>
      <c r="J13" s="1">
        <f>I13*D4</f>
        <v>0.7481001687889407</v>
      </c>
      <c r="K13" s="1"/>
      <c r="L13" s="1"/>
      <c r="M13" s="260"/>
      <c r="N13" s="97">
        <f>B13+J13</f>
        <v>1.0000000000000031</v>
      </c>
      <c r="R13" s="188">
        <f>B13-J13</f>
        <v>-0.4962003375778784</v>
      </c>
      <c r="S13" s="93">
        <f>SUM(C13:I13)*$B$4*$F$4</f>
        <v>-8.4825678248030627</v>
      </c>
      <c r="T13" s="260">
        <f>SUM(C13:I13)*$D$4*$H$4</f>
        <v>-56.263138535288121</v>
      </c>
      <c r="U13" s="264">
        <f t="shared" si="0"/>
        <v>-64.745706360091191</v>
      </c>
      <c r="V13" s="93">
        <f>(U13+W13*J13)/B13</f>
        <v>-236.24075050970197</v>
      </c>
      <c r="W13" s="9">
        <f t="shared" si="1"/>
        <v>7</v>
      </c>
    </row>
    <row r="14" spans="1:23" x14ac:dyDescent="0.2">
      <c r="A14" s="99">
        <v>8</v>
      </c>
      <c r="B14" s="97">
        <f>C14*B4</f>
        <v>0.25190890742205091</v>
      </c>
      <c r="C14" s="97">
        <f>1/(1-D4*B4/(1-D4*B4/(1-D4*B4/(1-D4*B4/(1-D4*B4/(1-D4*B4/(1-D4*B4)))))))</f>
        <v>1.2518967750748504</v>
      </c>
      <c r="D14" s="144">
        <f>C14*D4*C13</f>
        <v>1.2518364816676431</v>
      </c>
      <c r="E14" s="1">
        <f>D14*D4*C12</f>
        <v>1.2515971385006051</v>
      </c>
      <c r="F14" s="1">
        <f>E14*D4*C11</f>
        <v>1.2506470321082048</v>
      </c>
      <c r="G14" s="1">
        <f>F14*D4*C10</f>
        <v>1.2468754510430373</v>
      </c>
      <c r="H14" s="1">
        <f>G14*D4*C9</f>
        <v>1.2319036291029803</v>
      </c>
      <c r="I14" s="1">
        <f>H14*D4*C8</f>
        <v>1.172470874422211</v>
      </c>
      <c r="J14" s="1">
        <f>I14*D4</f>
        <v>0.93654418873982626</v>
      </c>
      <c r="K14" s="1">
        <f>J14*D4</f>
        <v>0.7480910925779527</v>
      </c>
      <c r="L14" s="1"/>
      <c r="M14" s="260"/>
      <c r="N14" s="97">
        <f>B14+K14</f>
        <v>1.0000000000000036</v>
      </c>
      <c r="R14" s="188">
        <f>B14-K14</f>
        <v>-0.49618218515590179</v>
      </c>
      <c r="S14" s="93">
        <f>SUM(C14:J14)*$B$4*$F$4</f>
        <v>-9.7554605780768853</v>
      </c>
      <c r="T14" s="260">
        <f>SUM(C14:J14)*$D$4*$H$4</f>
        <v>-64.705975987008955</v>
      </c>
      <c r="U14" s="264">
        <f t="shared" si="0"/>
        <v>-74.461436565085847</v>
      </c>
      <c r="V14" s="93">
        <f>(U14+W14*K14)/B14</f>
        <v>-271.83122869782295</v>
      </c>
      <c r="W14" s="9">
        <f t="shared" si="1"/>
        <v>8</v>
      </c>
    </row>
    <row r="15" spans="1:23" x14ac:dyDescent="0.2">
      <c r="A15" s="99">
        <v>9</v>
      </c>
      <c r="B15" s="97">
        <f>C15*B4</f>
        <v>0.25191119379345678</v>
      </c>
      <c r="C15" s="97">
        <f>1/(1-D4*B4/(1-D4*B4/(1-D4*B4/(1-D4*B4/(1-D4*B4/(1-D4*B4/(1-D4*B4/(1-D4*B4))))))))</f>
        <v>1.2519081375193901</v>
      </c>
      <c r="D15" s="144">
        <f>C15*D4*C14</f>
        <v>1.2518929489352033</v>
      </c>
      <c r="E15" s="1">
        <f>D15*D4*C13</f>
        <v>1.2518326557122692</v>
      </c>
      <c r="F15" s="1">
        <f>E15*D4*C12</f>
        <v>1.2515933132767294</v>
      </c>
      <c r="G15" s="1">
        <f>F15*D4*C11</f>
        <v>1.2506432097881148</v>
      </c>
      <c r="H15" s="1">
        <f>G15*D4*C10</f>
        <v>1.2468716402499327</v>
      </c>
      <c r="I15" s="1">
        <f>H15*D4*C9</f>
        <v>1.2318998640678669</v>
      </c>
      <c r="J15" s="1">
        <f>I15*D4*C8</f>
        <v>1.1724672910298843</v>
      </c>
      <c r="K15" s="1">
        <f>J15*D4</f>
        <v>0.93654132640411059</v>
      </c>
      <c r="L15" s="1">
        <f>K15*D4</f>
        <v>0.74808880620654739</v>
      </c>
      <c r="M15" s="260"/>
      <c r="N15" s="97">
        <f>B15+L15</f>
        <v>1.0000000000000042</v>
      </c>
      <c r="R15" s="188">
        <f>B15-L15</f>
        <v>-0.49617761241309061</v>
      </c>
      <c r="S15" s="93">
        <f>SUM(C15:K15)*$B$4*$F$4</f>
        <v>-11.028437983389484</v>
      </c>
      <c r="T15" s="260">
        <f>SUM(C15:K15)*$D$4*$H$4</f>
        <v>-73.149374918400014</v>
      </c>
      <c r="U15" s="264">
        <f t="shared" si="0"/>
        <v>-84.177812901789494</v>
      </c>
      <c r="V15" s="93">
        <f>(U15+W15*L15)/B15</f>
        <v>-307.42982270739475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0.25191176975556362</v>
      </c>
      <c r="C16" s="145">
        <f>1/(1-D4*B4/(1-D4*B4/(1-D4*B4/(1-D4*B4/(1-D4*B4/(1-D4*B4/(1-D4*B4/(1-D4*B4/(1-D4*B4)))))))))</f>
        <v>1.2519109998441547</v>
      </c>
      <c r="D16" s="153">
        <f>C16*D4*C15</f>
        <v>1.2519071736610325</v>
      </c>
      <c r="E16" s="111">
        <f>D16*D4*C14</f>
        <v>1.2518919850885395</v>
      </c>
      <c r="F16" s="111">
        <f>E16*D4*C13</f>
        <v>1.2518316919120258</v>
      </c>
      <c r="G16" s="111">
        <f>F16*D4*C12</f>
        <v>1.2515923496607584</v>
      </c>
      <c r="H16" s="111">
        <f>G16*D4*C11</f>
        <v>1.2506422469036393</v>
      </c>
      <c r="I16" s="111">
        <f>H16*D4*C10</f>
        <v>1.2468706802692315</v>
      </c>
      <c r="J16" s="111">
        <f>I16*D4*C9</f>
        <v>1.2318989156141071</v>
      </c>
      <c r="K16" s="111">
        <f>J16*D4*C8</f>
        <v>1.1724663883339403</v>
      </c>
      <c r="L16" s="111">
        <f>K16*D4</f>
        <v>0.9365406053502584</v>
      </c>
      <c r="M16" s="262">
        <f>L16*D4</f>
        <v>0.7480882302444406</v>
      </c>
      <c r="N16" s="145">
        <f>B16+M16</f>
        <v>1.0000000000000042</v>
      </c>
      <c r="R16" s="189">
        <f>B16-M16</f>
        <v>-0.49617646048887698</v>
      </c>
      <c r="S16" s="94">
        <f>SUM(C16:L16)*$B$4*$F$4</f>
        <v>-12.301439623708092</v>
      </c>
      <c r="T16" s="262">
        <f>SUM(C16:L16)*$D$4*$H$4</f>
        <v>-81.592934595632272</v>
      </c>
      <c r="U16" s="265">
        <f t="shared" si="0"/>
        <v>-93.894374219340364</v>
      </c>
      <c r="V16" s="94">
        <f>(U16+W16*M16)/B16</f>
        <v>-343.03078415409158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5</v>
      </c>
      <c r="D21" s="57">
        <f>SUM($C$21:C21)</f>
        <v>5</v>
      </c>
      <c r="E21" s="57">
        <f t="shared" ref="E21:E30" si="3">D21/R7</f>
        <v>-8.3674106720545645</v>
      </c>
      <c r="F21" s="8">
        <f t="shared" ref="F21:F30" si="4">U7/E21</f>
        <v>0.92757909520705406</v>
      </c>
      <c r="G21" s="284">
        <f>E21*U7</f>
        <v>64.943115893720659</v>
      </c>
      <c r="O21" s="101">
        <v>1</v>
      </c>
      <c r="P21" s="109">
        <v>1</v>
      </c>
      <c r="Q21" s="110">
        <f>P21*5+10</f>
        <v>15</v>
      </c>
      <c r="R21" s="57">
        <f>SUM($Q$21)</f>
        <v>15</v>
      </c>
      <c r="S21" s="279">
        <f>R21/R7</f>
        <v>-25.102232016163693</v>
      </c>
      <c r="T21" s="8">
        <f>U7/S21</f>
        <v>0.30919303173568469</v>
      </c>
      <c r="U21" s="284">
        <f>S21*U7</f>
        <v>194.82934768116198</v>
      </c>
    </row>
    <row r="22" spans="1:21" x14ac:dyDescent="0.2">
      <c r="A22" s="97">
        <v>2</v>
      </c>
      <c r="B22" s="93">
        <f>C21</f>
        <v>5</v>
      </c>
      <c r="C22" s="1">
        <f t="shared" si="2"/>
        <v>25</v>
      </c>
      <c r="D22" s="9">
        <f>SUM($C$21:C22)</f>
        <v>30</v>
      </c>
      <c r="E22" s="9">
        <f t="shared" si="3"/>
        <v>-57.638783465539554</v>
      </c>
      <c r="F22" s="9">
        <f t="shared" si="4"/>
        <v>0.28860507772944932</v>
      </c>
      <c r="G22" s="285">
        <f t="shared" ref="G22:G30" si="5">E22*U8</f>
        <v>958.81226250104646</v>
      </c>
      <c r="O22" s="99">
        <v>2</v>
      </c>
      <c r="P22" s="93">
        <f>Q21</f>
        <v>15</v>
      </c>
      <c r="Q22" s="1">
        <f t="shared" ref="Q22:Q30" si="6">P22*5+10</f>
        <v>85</v>
      </c>
      <c r="R22" s="9">
        <f>SUM($Q$21:Q22)</f>
        <v>100</v>
      </c>
      <c r="S22" s="280">
        <f t="shared" ref="S22:S30" si="7">R22/R8</f>
        <v>-192.12927821846517</v>
      </c>
      <c r="T22" s="9">
        <f>U8/S22</f>
        <v>8.6581523318834799E-2</v>
      </c>
      <c r="U22" s="285">
        <f t="shared" ref="U22:U30" si="8">S22*U8</f>
        <v>3196.0408750034881</v>
      </c>
    </row>
    <row r="23" spans="1:21" x14ac:dyDescent="0.2">
      <c r="A23" s="97">
        <v>3</v>
      </c>
      <c r="B23" s="93">
        <f t="shared" ref="B23:B30" si="9">C22</f>
        <v>25</v>
      </c>
      <c r="C23" s="1">
        <f t="shared" si="2"/>
        <v>125</v>
      </c>
      <c r="D23" s="9">
        <f>SUM($C$21:C23)</f>
        <v>155</v>
      </c>
      <c r="E23" s="9">
        <f t="shared" si="3"/>
        <v>-308.62616652042789</v>
      </c>
      <c r="F23" s="9">
        <f t="shared" si="4"/>
        <v>8.4357929976944496E-2</v>
      </c>
      <c r="G23" s="285">
        <f t="shared" si="5"/>
        <v>8035.1021654448568</v>
      </c>
      <c r="O23" s="99">
        <v>3</v>
      </c>
      <c r="P23" s="93">
        <f t="shared" ref="P23:P30" si="10">Q22</f>
        <v>85</v>
      </c>
      <c r="Q23" s="1">
        <f t="shared" si="6"/>
        <v>435</v>
      </c>
      <c r="R23" s="9">
        <f>SUM($Q$21:Q23)</f>
        <v>535</v>
      </c>
      <c r="S23" s="280">
        <f t="shared" si="7"/>
        <v>-1065.2580586350255</v>
      </c>
      <c r="T23" s="9">
        <f t="shared" ref="T23:T30" si="11">U9/S23</f>
        <v>2.4440147937245599E-2</v>
      </c>
      <c r="U23" s="285">
        <f t="shared" si="8"/>
        <v>27734.062312987091</v>
      </c>
    </row>
    <row r="24" spans="1:21" x14ac:dyDescent="0.2">
      <c r="A24" s="97">
        <v>4</v>
      </c>
      <c r="B24" s="93">
        <f t="shared" si="9"/>
        <v>125</v>
      </c>
      <c r="C24" s="1">
        <f t="shared" si="2"/>
        <v>625</v>
      </c>
      <c r="D24" s="9">
        <f>SUM($C$21:C24)</f>
        <v>780</v>
      </c>
      <c r="E24" s="9">
        <f t="shared" si="3"/>
        <v>-1567.2234698070415</v>
      </c>
      <c r="F24" s="9">
        <f t="shared" si="4"/>
        <v>2.2743330677083427E-2</v>
      </c>
      <c r="G24" s="285">
        <f t="shared" si="5"/>
        <v>55861.927827862382</v>
      </c>
      <c r="O24" s="99">
        <v>4</v>
      </c>
      <c r="P24" s="93">
        <f t="shared" si="10"/>
        <v>435</v>
      </c>
      <c r="Q24" s="1">
        <f t="shared" si="6"/>
        <v>2185</v>
      </c>
      <c r="R24" s="9">
        <f>SUM($Q$21:Q24)</f>
        <v>2720</v>
      </c>
      <c r="S24" s="280">
        <f t="shared" si="7"/>
        <v>-5465.1895357373751</v>
      </c>
      <c r="T24" s="9">
        <f t="shared" si="11"/>
        <v>6.5219845323989242E-3</v>
      </c>
      <c r="U24" s="285">
        <f t="shared" si="8"/>
        <v>194800.56883562263</v>
      </c>
    </row>
    <row r="25" spans="1:21" x14ac:dyDescent="0.2">
      <c r="A25" s="97">
        <v>5</v>
      </c>
      <c r="B25" s="93">
        <f t="shared" si="9"/>
        <v>625</v>
      </c>
      <c r="C25" s="1">
        <f t="shared" si="2"/>
        <v>3125</v>
      </c>
      <c r="D25" s="9">
        <f>SUM($C$21:C25)</f>
        <v>3905</v>
      </c>
      <c r="E25" s="9">
        <f t="shared" si="3"/>
        <v>-7864.1282761665061</v>
      </c>
      <c r="F25" s="9">
        <f t="shared" si="4"/>
        <v>5.7636498005962091E-3</v>
      </c>
      <c r="G25" s="285">
        <f t="shared" si="5"/>
        <v>356450.11815585429</v>
      </c>
      <c r="O25" s="99">
        <v>5</v>
      </c>
      <c r="P25" s="93">
        <f t="shared" si="10"/>
        <v>2185</v>
      </c>
      <c r="Q25" s="1">
        <f t="shared" si="6"/>
        <v>10935</v>
      </c>
      <c r="R25" s="9">
        <f>SUM($Q$21:Q25)</f>
        <v>13655</v>
      </c>
      <c r="S25" s="280">
        <f t="shared" si="7"/>
        <v>-27499.275700653943</v>
      </c>
      <c r="T25" s="9">
        <f t="shared" si="11"/>
        <v>1.6482645530082895E-3</v>
      </c>
      <c r="U25" s="285">
        <f t="shared" si="8"/>
        <v>1246434.4080456314</v>
      </c>
    </row>
    <row r="26" spans="1:21" x14ac:dyDescent="0.2">
      <c r="A26" s="97">
        <v>6</v>
      </c>
      <c r="B26" s="93">
        <f t="shared" si="9"/>
        <v>3125</v>
      </c>
      <c r="C26" s="1">
        <f t="shared" si="2"/>
        <v>15625</v>
      </c>
      <c r="D26" s="9">
        <f>SUM($C$21:C26)</f>
        <v>19530</v>
      </c>
      <c r="E26" s="9">
        <f t="shared" si="3"/>
        <v>-39353.387332547092</v>
      </c>
      <c r="F26" s="9">
        <f t="shared" si="4"/>
        <v>1.3984105280942178E-3</v>
      </c>
      <c r="G26" s="285">
        <f t="shared" si="5"/>
        <v>2165703.1345570977</v>
      </c>
      <c r="O26" s="99">
        <v>6</v>
      </c>
      <c r="P26" s="93">
        <f t="shared" si="10"/>
        <v>10935</v>
      </c>
      <c r="Q26" s="1">
        <f t="shared" si="6"/>
        <v>54685</v>
      </c>
      <c r="R26" s="9">
        <f>SUM($Q$21:Q26)</f>
        <v>68340</v>
      </c>
      <c r="S26" s="280">
        <f t="shared" si="7"/>
        <v>-137706.63032802191</v>
      </c>
      <c r="T26" s="9">
        <f t="shared" si="11"/>
        <v>3.9963356180392265E-4</v>
      </c>
      <c r="U26" s="285">
        <f t="shared" si="8"/>
        <v>7578297.6044870475</v>
      </c>
    </row>
    <row r="27" spans="1:21" x14ac:dyDescent="0.2">
      <c r="A27" s="97">
        <v>7</v>
      </c>
      <c r="B27" s="93">
        <f t="shared" si="9"/>
        <v>15625</v>
      </c>
      <c r="C27" s="1">
        <f t="shared" si="2"/>
        <v>78125</v>
      </c>
      <c r="D27" s="9">
        <f>SUM($C$21:C27)</f>
        <v>97655</v>
      </c>
      <c r="E27" s="9">
        <f t="shared" si="3"/>
        <v>-196805.58960658323</v>
      </c>
      <c r="F27" s="9">
        <f t="shared" si="4"/>
        <v>3.2898306643382765E-4</v>
      </c>
      <c r="G27" s="285">
        <f t="shared" si="5"/>
        <v>12742316.914692452</v>
      </c>
      <c r="O27" s="99">
        <v>7</v>
      </c>
      <c r="P27" s="93">
        <f t="shared" si="10"/>
        <v>54685</v>
      </c>
      <c r="Q27" s="1">
        <f t="shared" si="6"/>
        <v>273435</v>
      </c>
      <c r="R27" s="9">
        <f>SUM($Q$21:Q27)</f>
        <v>341775</v>
      </c>
      <c r="S27" s="280">
        <f t="shared" si="7"/>
        <v>-688784.29560995323</v>
      </c>
      <c r="T27" s="9">
        <f t="shared" si="11"/>
        <v>9.3999974698545649E-5</v>
      </c>
      <c r="U27" s="285">
        <f t="shared" si="8"/>
        <v>44595825.749004282</v>
      </c>
    </row>
    <row r="28" spans="1:21" x14ac:dyDescent="0.2">
      <c r="A28" s="97">
        <v>8</v>
      </c>
      <c r="B28" s="93">
        <f t="shared" si="9"/>
        <v>78125</v>
      </c>
      <c r="C28" s="1">
        <f t="shared" si="2"/>
        <v>390625</v>
      </c>
      <c r="D28" s="9">
        <f>SUM($C$21:C28)</f>
        <v>488280</v>
      </c>
      <c r="E28" s="9">
        <f t="shared" si="3"/>
        <v>-984074.024839447</v>
      </c>
      <c r="F28" s="9">
        <f t="shared" si="4"/>
        <v>7.5666499354288242E-5</v>
      </c>
      <c r="G28" s="285">
        <f t="shared" si="5"/>
        <v>73275565.575931191</v>
      </c>
      <c r="O28" s="99">
        <v>8</v>
      </c>
      <c r="P28" s="93">
        <f t="shared" si="10"/>
        <v>273435</v>
      </c>
      <c r="Q28" s="1">
        <f t="shared" si="6"/>
        <v>1367185</v>
      </c>
      <c r="R28" s="9">
        <f>SUM($Q$21:Q28)</f>
        <v>1708960</v>
      </c>
      <c r="S28" s="280">
        <f t="shared" si="7"/>
        <v>-3444218.779162819</v>
      </c>
      <c r="T28" s="9">
        <f t="shared" si="11"/>
        <v>2.1619252823185951E-5</v>
      </c>
      <c r="U28" s="285">
        <f t="shared" si="8"/>
        <v>256461478.14090967</v>
      </c>
    </row>
    <row r="29" spans="1:21" x14ac:dyDescent="0.2">
      <c r="A29" s="97">
        <v>9</v>
      </c>
      <c r="B29" s="93">
        <f t="shared" si="9"/>
        <v>390625</v>
      </c>
      <c r="C29" s="1">
        <f t="shared" si="2"/>
        <v>1953125</v>
      </c>
      <c r="D29" s="9">
        <f>SUM($C$21:C29)</f>
        <v>2441405</v>
      </c>
      <c r="E29" s="9">
        <f t="shared" si="3"/>
        <v>-4920425.5470668403</v>
      </c>
      <c r="F29" s="9">
        <f t="shared" si="4"/>
        <v>1.7107831852464367E-5</v>
      </c>
      <c r="G29" s="285">
        <f t="shared" si="5"/>
        <v>414190661.09817773</v>
      </c>
      <c r="O29" s="99">
        <v>9</v>
      </c>
      <c r="P29" s="93">
        <f t="shared" si="10"/>
        <v>1367185</v>
      </c>
      <c r="Q29" s="1">
        <f t="shared" si="6"/>
        <v>6835935</v>
      </c>
      <c r="R29" s="9">
        <f>SUM($Q$21:Q29)</f>
        <v>8544895</v>
      </c>
      <c r="S29" s="280">
        <f t="shared" si="7"/>
        <v>-17221444.068068881</v>
      </c>
      <c r="T29" s="9">
        <f t="shared" si="11"/>
        <v>4.8879648285632264E-6</v>
      </c>
      <c r="U29" s="285">
        <f t="shared" si="8"/>
        <v>1449663496.6605349</v>
      </c>
    </row>
    <row r="30" spans="1:21" ht="17" thickBot="1" x14ac:dyDescent="0.25">
      <c r="A30" s="145">
        <v>10</v>
      </c>
      <c r="B30" s="94">
        <f t="shared" si="9"/>
        <v>1953125</v>
      </c>
      <c r="C30" s="111">
        <f t="shared" si="2"/>
        <v>9765625</v>
      </c>
      <c r="D30" s="10">
        <f>SUM($C$21:C30)</f>
        <v>12207030</v>
      </c>
      <c r="E30" s="10">
        <f t="shared" si="3"/>
        <v>-24602194.928740781</v>
      </c>
      <c r="F30" s="10">
        <f t="shared" si="4"/>
        <v>3.8165039538667773E-6</v>
      </c>
      <c r="G30" s="286">
        <f t="shared" si="5"/>
        <v>2310007697.2563448</v>
      </c>
      <c r="O30" s="100">
        <v>10</v>
      </c>
      <c r="P30" s="94">
        <f t="shared" si="10"/>
        <v>6835935</v>
      </c>
      <c r="Q30" s="111">
        <f t="shared" si="6"/>
        <v>34179685</v>
      </c>
      <c r="R30" s="10">
        <f>SUM($Q$21:Q30)</f>
        <v>42724580</v>
      </c>
      <c r="S30" s="281">
        <f t="shared" si="7"/>
        <v>-86107631.865292355</v>
      </c>
      <c r="T30" s="10">
        <f t="shared" si="11"/>
        <v>1.090430339162383E-6</v>
      </c>
      <c r="U30" s="286">
        <f t="shared" si="8"/>
        <v>8085022209.5009575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5</v>
      </c>
      <c r="D33" s="57">
        <f>SUM($C$33:C33)</f>
        <v>5</v>
      </c>
      <c r="E33" s="9">
        <f t="shared" ref="E33:E42" si="13">D33/R7</f>
        <v>-8.3674106720545645</v>
      </c>
      <c r="F33" s="8">
        <f t="shared" ref="F33:F42" si="14">U7/E33</f>
        <v>0.92757909520705406</v>
      </c>
      <c r="G33" s="287">
        <f>E33*U7</f>
        <v>64.943115893720659</v>
      </c>
      <c r="O33" s="101">
        <v>1</v>
      </c>
      <c r="P33" s="109">
        <v>1</v>
      </c>
      <c r="Q33" s="110">
        <f>P33*5+10</f>
        <v>15</v>
      </c>
      <c r="R33" s="57">
        <f>SUM($Q$21)</f>
        <v>15</v>
      </c>
      <c r="S33" s="279">
        <f>R33/R7</f>
        <v>-25.102232016163693</v>
      </c>
      <c r="T33" s="8">
        <f>U7/S33</f>
        <v>0.30919303173568469</v>
      </c>
      <c r="U33" s="287">
        <f>S33*U7</f>
        <v>194.82934768116198</v>
      </c>
    </row>
    <row r="34" spans="1:21" x14ac:dyDescent="0.2">
      <c r="A34" s="97">
        <v>2</v>
      </c>
      <c r="B34" s="93">
        <f t="shared" ref="B34:B42" si="15">B33*($O$2+1)</f>
        <v>6</v>
      </c>
      <c r="C34" s="1">
        <f t="shared" si="12"/>
        <v>30</v>
      </c>
      <c r="D34" s="9">
        <f>SUM($C$33:C34)</f>
        <v>35</v>
      </c>
      <c r="E34" s="9">
        <f t="shared" si="13"/>
        <v>-67.245247376462814</v>
      </c>
      <c r="F34" s="9">
        <f t="shared" si="14"/>
        <v>0.24737578091095655</v>
      </c>
      <c r="G34" s="285">
        <f t="shared" ref="G34:G42" si="16">E34*U8</f>
        <v>1118.6143062512208</v>
      </c>
      <c r="O34" s="99">
        <v>2</v>
      </c>
      <c r="P34" s="93">
        <f>Q33+1</f>
        <v>16</v>
      </c>
      <c r="Q34" s="1">
        <f t="shared" ref="Q34:Q42" si="17">P34*5+10</f>
        <v>90</v>
      </c>
      <c r="R34" s="9">
        <f>SUM($Q$33:Q34)</f>
        <v>105</v>
      </c>
      <c r="S34" s="280">
        <f>R34/R8</f>
        <v>-201.73574212938843</v>
      </c>
      <c r="T34" s="9">
        <f t="shared" ref="T34:T42" si="18">U8/S34</f>
        <v>8.2458593636985517E-2</v>
      </c>
      <c r="U34" s="285">
        <f t="shared" ref="U34:U42" si="19">S34*U8</f>
        <v>3355.8429187536622</v>
      </c>
    </row>
    <row r="35" spans="1:21" x14ac:dyDescent="0.2">
      <c r="A35" s="97">
        <v>3</v>
      </c>
      <c r="B35" s="93">
        <f t="shared" si="15"/>
        <v>36</v>
      </c>
      <c r="C35" s="1">
        <f t="shared" si="12"/>
        <v>180</v>
      </c>
      <c r="D35" s="9">
        <f>SUM($C$33:C35)</f>
        <v>215</v>
      </c>
      <c r="E35" s="9">
        <f t="shared" si="13"/>
        <v>-428.09436001220644</v>
      </c>
      <c r="F35" s="9">
        <f t="shared" si="14"/>
        <v>6.0816182076401847E-2</v>
      </c>
      <c r="G35" s="285">
        <f t="shared" si="16"/>
        <v>11145.464294004156</v>
      </c>
      <c r="O35" s="99">
        <v>3</v>
      </c>
      <c r="P35" s="93">
        <f t="shared" ref="P35:P42" si="20">Q34+1</f>
        <v>91</v>
      </c>
      <c r="Q35" s="1">
        <f t="shared" si="17"/>
        <v>465</v>
      </c>
      <c r="R35" s="9">
        <f>SUM($Q$33:Q35)</f>
        <v>570</v>
      </c>
      <c r="S35" s="280">
        <f t="shared" ref="S35:S42" si="21">R35/R9</f>
        <v>-1134.9478381718961</v>
      </c>
      <c r="T35" s="9">
        <f t="shared" si="18"/>
        <v>2.2939437098993678E-2</v>
      </c>
      <c r="U35" s="285">
        <f t="shared" si="19"/>
        <v>29548.440221313347</v>
      </c>
    </row>
    <row r="36" spans="1:21" x14ac:dyDescent="0.2">
      <c r="A36" s="97">
        <v>4</v>
      </c>
      <c r="B36" s="93">
        <f t="shared" si="15"/>
        <v>216</v>
      </c>
      <c r="C36" s="1">
        <f t="shared" si="12"/>
        <v>1080</v>
      </c>
      <c r="D36" s="9">
        <f>SUM($C$33:C36)</f>
        <v>1295</v>
      </c>
      <c r="E36" s="9">
        <f t="shared" si="13"/>
        <v>-2601.9928120514342</v>
      </c>
      <c r="F36" s="9">
        <f t="shared" si="14"/>
        <v>1.369868565878384E-2</v>
      </c>
      <c r="G36" s="285">
        <f t="shared" si="16"/>
        <v>92745.12376548945</v>
      </c>
      <c r="O36" s="99">
        <v>4</v>
      </c>
      <c r="P36" s="93">
        <f t="shared" si="20"/>
        <v>466</v>
      </c>
      <c r="Q36" s="1">
        <f t="shared" si="17"/>
        <v>2340</v>
      </c>
      <c r="R36" s="9">
        <f>SUM($Q$33:Q36)</f>
        <v>2910</v>
      </c>
      <c r="S36" s="280">
        <f t="shared" si="21"/>
        <v>-5846.9490988955013</v>
      </c>
      <c r="T36" s="9">
        <f t="shared" si="18"/>
        <v>6.0961504907646293E-3</v>
      </c>
      <c r="U36" s="285">
        <f t="shared" si="19"/>
        <v>208407.96151164043</v>
      </c>
    </row>
    <row r="37" spans="1:21" x14ac:dyDescent="0.2">
      <c r="A37" s="97">
        <v>5</v>
      </c>
      <c r="B37" s="93">
        <f t="shared" si="15"/>
        <v>1296</v>
      </c>
      <c r="C37" s="1">
        <f t="shared" si="12"/>
        <v>6480</v>
      </c>
      <c r="D37" s="9">
        <f>SUM($C$33:C37)</f>
        <v>7775</v>
      </c>
      <c r="E37" s="9">
        <f t="shared" si="13"/>
        <v>-15657.771407732289</v>
      </c>
      <c r="F37" s="9">
        <f t="shared" si="14"/>
        <v>2.8947977455084494E-3</v>
      </c>
      <c r="G37" s="285">
        <f t="shared" si="16"/>
        <v>709705.42091210431</v>
      </c>
      <c r="O37" s="99">
        <v>5</v>
      </c>
      <c r="P37" s="93">
        <f t="shared" si="20"/>
        <v>2341</v>
      </c>
      <c r="Q37" s="1">
        <f t="shared" si="17"/>
        <v>11715</v>
      </c>
      <c r="R37" s="9">
        <f>SUM($Q$33:Q37)</f>
        <v>14625</v>
      </c>
      <c r="S37" s="280">
        <f t="shared" si="21"/>
        <v>-29452.721136731154</v>
      </c>
      <c r="T37" s="9">
        <f t="shared" si="18"/>
        <v>1.5389437587232954E-3</v>
      </c>
      <c r="U37" s="285">
        <f t="shared" si="19"/>
        <v>1334976.4348346656</v>
      </c>
    </row>
    <row r="38" spans="1:21" x14ac:dyDescent="0.2">
      <c r="A38" s="97">
        <v>6</v>
      </c>
      <c r="B38" s="93">
        <f t="shared" si="15"/>
        <v>7776</v>
      </c>
      <c r="C38" s="1">
        <f t="shared" si="12"/>
        <v>38880</v>
      </c>
      <c r="D38" s="9">
        <f>SUM($C$33:C38)</f>
        <v>46655</v>
      </c>
      <c r="E38" s="9">
        <f t="shared" si="13"/>
        <v>-94010.869738862501</v>
      </c>
      <c r="F38" s="9">
        <f t="shared" si="14"/>
        <v>5.8538115129525394E-4</v>
      </c>
      <c r="G38" s="285">
        <f t="shared" si="16"/>
        <v>5173624.1547752889</v>
      </c>
      <c r="O38" s="99">
        <v>6</v>
      </c>
      <c r="P38" s="93">
        <f t="shared" si="20"/>
        <v>11716</v>
      </c>
      <c r="Q38" s="1">
        <f t="shared" si="17"/>
        <v>58590</v>
      </c>
      <c r="R38" s="9">
        <f>SUM($Q$33:Q38)</f>
        <v>73215</v>
      </c>
      <c r="S38" s="280">
        <f t="shared" si="21"/>
        <v>-147529.86449321226</v>
      </c>
      <c r="T38" s="9">
        <f t="shared" si="18"/>
        <v>3.7302407448856209E-4</v>
      </c>
      <c r="U38" s="285">
        <f t="shared" si="19"/>
        <v>8118891.7048949264</v>
      </c>
    </row>
    <row r="39" spans="1:21" x14ac:dyDescent="0.2">
      <c r="A39" s="97">
        <v>7</v>
      </c>
      <c r="B39" s="93">
        <f t="shared" si="15"/>
        <v>46656</v>
      </c>
      <c r="C39" s="1">
        <f t="shared" si="12"/>
        <v>233280</v>
      </c>
      <c r="D39" s="9">
        <f>SUM($C$33:C39)</f>
        <v>279935</v>
      </c>
      <c r="E39" s="9">
        <f t="shared" si="13"/>
        <v>-564157.2139318916</v>
      </c>
      <c r="F39" s="9">
        <f t="shared" si="14"/>
        <v>1.1476536107523333E-4</v>
      </c>
      <c r="G39" s="285">
        <f t="shared" si="16"/>
        <v>36526757.314161398</v>
      </c>
      <c r="O39" s="99">
        <v>7</v>
      </c>
      <c r="P39" s="93">
        <f t="shared" si="20"/>
        <v>58591</v>
      </c>
      <c r="Q39" s="1">
        <f t="shared" si="17"/>
        <v>292965</v>
      </c>
      <c r="R39" s="9">
        <f>SUM($Q$33:Q39)</f>
        <v>366180</v>
      </c>
      <c r="S39" s="280">
        <f t="shared" si="21"/>
        <v>-737968.05900505499</v>
      </c>
      <c r="T39" s="9">
        <f t="shared" si="18"/>
        <v>8.7735106648630288E-5</v>
      </c>
      <c r="U39" s="285">
        <f t="shared" si="19"/>
        <v>47780263.251467742</v>
      </c>
    </row>
    <row r="40" spans="1:21" x14ac:dyDescent="0.2">
      <c r="A40" s="97">
        <v>8</v>
      </c>
      <c r="B40" s="93">
        <f t="shared" si="15"/>
        <v>279936</v>
      </c>
      <c r="C40" s="1">
        <f t="shared" si="12"/>
        <v>1399680</v>
      </c>
      <c r="D40" s="9">
        <f>SUM($C$33:C40)</f>
        <v>1679615</v>
      </c>
      <c r="E40" s="9">
        <f t="shared" si="13"/>
        <v>-3385077.1959341113</v>
      </c>
      <c r="F40" s="9">
        <f t="shared" si="14"/>
        <v>2.1996968534284262E-5</v>
      </c>
      <c r="G40" s="285">
        <f t="shared" si="16"/>
        <v>252057710.89296651</v>
      </c>
      <c r="O40" s="99">
        <v>8</v>
      </c>
      <c r="P40" s="93">
        <f t="shared" si="20"/>
        <v>292966</v>
      </c>
      <c r="Q40" s="1">
        <f t="shared" si="17"/>
        <v>1464840</v>
      </c>
      <c r="R40" s="9">
        <f>SUM($Q$33:Q40)</f>
        <v>1831020</v>
      </c>
      <c r="S40" s="280">
        <f t="shared" si="21"/>
        <v>-3690217.1314850585</v>
      </c>
      <c r="T40" s="9">
        <f t="shared" si="18"/>
        <v>2.0178063759386496E-5</v>
      </c>
      <c r="U40" s="285">
        <f t="shared" si="19"/>
        <v>274778868.84746772</v>
      </c>
    </row>
    <row r="41" spans="1:21" x14ac:dyDescent="0.2">
      <c r="A41" s="97">
        <v>9</v>
      </c>
      <c r="B41" s="93">
        <f t="shared" si="15"/>
        <v>1679616</v>
      </c>
      <c r="C41" s="1">
        <f t="shared" si="12"/>
        <v>8398080</v>
      </c>
      <c r="D41" s="9">
        <f>SUM($C$33:C41)</f>
        <v>10077695</v>
      </c>
      <c r="E41" s="9">
        <f t="shared" si="13"/>
        <v>-20310660.432639305</v>
      </c>
      <c r="F41" s="9">
        <f t="shared" si="14"/>
        <v>4.1445138222347241E-6</v>
      </c>
      <c r="G41" s="285">
        <f t="shared" si="16"/>
        <v>1709706973.8104901</v>
      </c>
      <c r="O41" s="99">
        <v>9</v>
      </c>
      <c r="P41" s="93">
        <f t="shared" si="20"/>
        <v>1464841</v>
      </c>
      <c r="Q41" s="1">
        <f t="shared" si="17"/>
        <v>7324215</v>
      </c>
      <c r="R41" s="9">
        <f>SUM($Q$33:Q41)</f>
        <v>9155235</v>
      </c>
      <c r="S41" s="280">
        <f t="shared" si="21"/>
        <v>-18451527.781503063</v>
      </c>
      <c r="T41" s="9">
        <f t="shared" si="18"/>
        <v>4.5621053117441297E-6</v>
      </c>
      <c r="U41" s="285">
        <f t="shared" si="19"/>
        <v>1553209253.3435359</v>
      </c>
    </row>
    <row r="42" spans="1:21" ht="17" thickBot="1" x14ac:dyDescent="0.25">
      <c r="A42" s="145">
        <v>10</v>
      </c>
      <c r="B42" s="94">
        <f t="shared" si="15"/>
        <v>10077696</v>
      </c>
      <c r="C42" s="111">
        <f t="shared" si="12"/>
        <v>50388480</v>
      </c>
      <c r="D42" s="10">
        <f>SUM($C$33:C42)</f>
        <v>60466175</v>
      </c>
      <c r="E42" s="9">
        <f t="shared" si="13"/>
        <v>-121864255.59250306</v>
      </c>
      <c r="F42" s="10">
        <f t="shared" si="14"/>
        <v>7.704833034332065E-7</v>
      </c>
      <c r="G42" s="286">
        <f t="shared" si="16"/>
        <v>11442368018.563824</v>
      </c>
      <c r="O42" s="100">
        <v>10</v>
      </c>
      <c r="P42" s="94">
        <f t="shared" si="20"/>
        <v>7324216</v>
      </c>
      <c r="Q42" s="111">
        <f t="shared" si="17"/>
        <v>36621090</v>
      </c>
      <c r="R42" s="10">
        <f>SUM($Q$33:Q42)</f>
        <v>45776325</v>
      </c>
      <c r="S42" s="281">
        <f t="shared" si="21"/>
        <v>-92258155.404827371</v>
      </c>
      <c r="T42" s="10">
        <f t="shared" si="18"/>
        <v>1.0177352214265859E-6</v>
      </c>
      <c r="U42" s="286">
        <f t="shared" si="19"/>
        <v>8662521768.3669205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5</v>
      </c>
      <c r="D45" s="57">
        <f>SUM(C45:C45)</f>
        <v>5</v>
      </c>
      <c r="E45" s="57">
        <f t="shared" ref="E45:E54" si="23">D45/R7</f>
        <v>-8.3674106720545645</v>
      </c>
      <c r="F45" s="8">
        <f t="shared" ref="F45:F54" si="24">U7/E45</f>
        <v>0.92757909520705406</v>
      </c>
      <c r="G45" s="284">
        <f>E45*U7</f>
        <v>64.943115893720659</v>
      </c>
      <c r="O45" s="101">
        <v>1</v>
      </c>
      <c r="P45" s="109">
        <v>1</v>
      </c>
      <c r="Q45" s="110">
        <f>P45*5+10</f>
        <v>15</v>
      </c>
      <c r="R45" s="57">
        <f>SUM($Q$21)</f>
        <v>15</v>
      </c>
      <c r="S45" s="279">
        <f>R45/R7</f>
        <v>-25.102232016163693</v>
      </c>
      <c r="T45" s="8">
        <f>U7/S45</f>
        <v>0.30919303173568469</v>
      </c>
      <c r="U45" s="287">
        <f>S45*U7</f>
        <v>194.82934768116198</v>
      </c>
    </row>
    <row r="46" spans="1:21" x14ac:dyDescent="0.2">
      <c r="A46" s="97">
        <v>2</v>
      </c>
      <c r="B46" s="93">
        <f t="shared" ref="B46:B54" si="25">B45*$O$2*2</f>
        <v>10</v>
      </c>
      <c r="C46" s="1">
        <f t="shared" si="22"/>
        <v>50</v>
      </c>
      <c r="D46" s="9">
        <f>SUM($C$45:C46)</f>
        <v>55</v>
      </c>
      <c r="E46" s="9">
        <f t="shared" si="23"/>
        <v>-105.67110302015584</v>
      </c>
      <c r="F46" s="9">
        <f t="shared" si="24"/>
        <v>0.15742095148879054</v>
      </c>
      <c r="G46" s="285">
        <f t="shared" ref="G46:G54" si="26">E46*U8</f>
        <v>1757.8224812519184</v>
      </c>
      <c r="O46" s="99">
        <v>2</v>
      </c>
      <c r="P46" s="93">
        <f>Q45*2</f>
        <v>30</v>
      </c>
      <c r="Q46" s="1">
        <f t="shared" ref="Q46:Q54" si="27">P46*5+10</f>
        <v>160</v>
      </c>
      <c r="R46" s="9">
        <f>SUM($Q$45:Q46)</f>
        <v>175</v>
      </c>
      <c r="S46" s="280">
        <f t="shared" ref="S46:S54" si="28">R46/R8</f>
        <v>-336.22623688231403</v>
      </c>
      <c r="T46" s="9">
        <f t="shared" ref="T46:T54" si="29">U8/S46</f>
        <v>4.9475156182191317E-2</v>
      </c>
      <c r="U46" s="285">
        <f t="shared" ref="U46:U54" si="30">S46*U8</f>
        <v>5593.0715312561033</v>
      </c>
    </row>
    <row r="47" spans="1:21" x14ac:dyDescent="0.2">
      <c r="A47" s="97">
        <v>3</v>
      </c>
      <c r="B47" s="93">
        <f t="shared" si="25"/>
        <v>100</v>
      </c>
      <c r="C47" s="1">
        <f t="shared" si="22"/>
        <v>500</v>
      </c>
      <c r="D47" s="9">
        <f>SUM($C$45:C47)</f>
        <v>555</v>
      </c>
      <c r="E47" s="9">
        <f t="shared" si="23"/>
        <v>-1105.0807897989516</v>
      </c>
      <c r="F47" s="9">
        <f t="shared" si="24"/>
        <v>2.3559421885452965E-2</v>
      </c>
      <c r="G47" s="285">
        <f t="shared" si="26"/>
        <v>28770.849689173523</v>
      </c>
      <c r="O47" s="99">
        <v>3</v>
      </c>
      <c r="P47" s="93">
        <f t="shared" ref="P47:P54" si="31">Q46*2</f>
        <v>320</v>
      </c>
      <c r="Q47" s="1">
        <f t="shared" si="27"/>
        <v>1610</v>
      </c>
      <c r="R47" s="9">
        <f>SUM($Q$45:Q47)</f>
        <v>1785</v>
      </c>
      <c r="S47" s="280">
        <f t="shared" si="28"/>
        <v>-3554.1787563804119</v>
      </c>
      <c r="T47" s="9">
        <f t="shared" si="29"/>
        <v>7.3251984013593258E-3</v>
      </c>
      <c r="U47" s="285">
        <f t="shared" si="30"/>
        <v>92533.273324639173</v>
      </c>
    </row>
    <row r="48" spans="1:21" x14ac:dyDescent="0.2">
      <c r="A48" s="97">
        <v>4</v>
      </c>
      <c r="B48" s="93">
        <f t="shared" si="25"/>
        <v>1000</v>
      </c>
      <c r="C48" s="1">
        <f t="shared" si="22"/>
        <v>5000</v>
      </c>
      <c r="D48" s="9">
        <f>SUM($C$45:C48)</f>
        <v>5555</v>
      </c>
      <c r="E48" s="9">
        <f t="shared" si="23"/>
        <v>-11161.444070228354</v>
      </c>
      <c r="F48" s="9">
        <f t="shared" si="24"/>
        <v>3.1934829753600489E-3</v>
      </c>
      <c r="G48" s="285">
        <f t="shared" si="26"/>
        <v>397837.19113304553</v>
      </c>
      <c r="O48" s="99">
        <v>4</v>
      </c>
      <c r="P48" s="93">
        <f t="shared" si="31"/>
        <v>3220</v>
      </c>
      <c r="Q48" s="1">
        <f t="shared" si="27"/>
        <v>16110</v>
      </c>
      <c r="R48" s="9">
        <f>SUM($Q$45:Q48)</f>
        <v>17895</v>
      </c>
      <c r="S48" s="280">
        <f t="shared" si="28"/>
        <v>-35955.723066919243</v>
      </c>
      <c r="T48" s="9">
        <f t="shared" si="29"/>
        <v>9.9132707058536304E-4</v>
      </c>
      <c r="U48" s="285">
        <f t="shared" si="30"/>
        <v>1281601.5365123043</v>
      </c>
    </row>
    <row r="49" spans="1:21" x14ac:dyDescent="0.2">
      <c r="A49" s="97">
        <v>5</v>
      </c>
      <c r="B49" s="93">
        <f t="shared" si="25"/>
        <v>10000</v>
      </c>
      <c r="C49" s="1">
        <f t="shared" si="22"/>
        <v>50000</v>
      </c>
      <c r="D49" s="9">
        <f>SUM($C$45:C49)</f>
        <v>55555</v>
      </c>
      <c r="E49" s="9">
        <f t="shared" si="23"/>
        <v>-111880.06309409226</v>
      </c>
      <c r="F49" s="9">
        <f t="shared" si="24"/>
        <v>4.0513099579386546E-4</v>
      </c>
      <c r="G49" s="285">
        <f t="shared" si="26"/>
        <v>5071084.8435719553</v>
      </c>
      <c r="O49" s="99">
        <v>5</v>
      </c>
      <c r="P49" s="93">
        <f t="shared" si="31"/>
        <v>32220</v>
      </c>
      <c r="Q49" s="1">
        <f t="shared" si="27"/>
        <v>161110</v>
      </c>
      <c r="R49" s="9">
        <f>SUM($Q$45:Q49)</f>
        <v>179005</v>
      </c>
      <c r="S49" s="280">
        <f t="shared" si="28"/>
        <v>-360491.23740721779</v>
      </c>
      <c r="T49" s="9">
        <f t="shared" si="29"/>
        <v>1.2573421117470572E-4</v>
      </c>
      <c r="U49" s="285">
        <f t="shared" si="30"/>
        <v>16339655.160176363</v>
      </c>
    </row>
    <row r="50" spans="1:21" x14ac:dyDescent="0.2">
      <c r="A50" s="97">
        <v>6</v>
      </c>
      <c r="B50" s="93">
        <f t="shared" si="25"/>
        <v>100000</v>
      </c>
      <c r="C50" s="1">
        <f t="shared" si="22"/>
        <v>500000</v>
      </c>
      <c r="D50" s="9">
        <f>SUM($C$45:C50)</f>
        <v>555555</v>
      </c>
      <c r="E50" s="9">
        <f t="shared" si="23"/>
        <v>-1119455.7654650896</v>
      </c>
      <c r="F50" s="9">
        <f t="shared" si="24"/>
        <v>4.9159772864396994E-5</v>
      </c>
      <c r="G50" s="285">
        <f t="shared" si="26"/>
        <v>61606103.682481743</v>
      </c>
      <c r="O50" s="99">
        <v>6</v>
      </c>
      <c r="P50" s="93">
        <f t="shared" si="31"/>
        <v>322220</v>
      </c>
      <c r="Q50" s="1">
        <f t="shared" si="27"/>
        <v>1611110</v>
      </c>
      <c r="R50" s="9">
        <f>SUM($Q$45:Q50)</f>
        <v>1790115</v>
      </c>
      <c r="S50" s="280">
        <f t="shared" si="28"/>
        <v>-3607121.8107937807</v>
      </c>
      <c r="T50" s="9">
        <f t="shared" si="29"/>
        <v>1.5256538051287248E-5</v>
      </c>
      <c r="U50" s="285">
        <f t="shared" si="30"/>
        <v>198507817.03623548</v>
      </c>
    </row>
    <row r="51" spans="1:21" x14ac:dyDescent="0.2">
      <c r="A51" s="97">
        <v>7</v>
      </c>
      <c r="B51" s="93">
        <f t="shared" si="25"/>
        <v>1000000</v>
      </c>
      <c r="C51" s="1">
        <f t="shared" si="22"/>
        <v>5000000</v>
      </c>
      <c r="D51" s="9">
        <f>SUM($C$45:C51)</f>
        <v>5555555</v>
      </c>
      <c r="E51" s="9">
        <f t="shared" si="23"/>
        <v>-11196193.511512995</v>
      </c>
      <c r="F51" s="9">
        <f t="shared" si="24"/>
        <v>5.7828320217503813E-6</v>
      </c>
      <c r="G51" s="285">
        <f t="shared" si="26"/>
        <v>724905457.4471786</v>
      </c>
      <c r="O51" s="99">
        <v>7</v>
      </c>
      <c r="P51" s="93">
        <f t="shared" si="31"/>
        <v>3222220</v>
      </c>
      <c r="Q51" s="1">
        <f t="shared" si="27"/>
        <v>16111110</v>
      </c>
      <c r="R51" s="9">
        <f>SUM($Q$45:Q51)</f>
        <v>17901225</v>
      </c>
      <c r="S51" s="280">
        <f t="shared" si="28"/>
        <v>-36076607.862424947</v>
      </c>
      <c r="T51" s="9">
        <f t="shared" si="29"/>
        <v>1.7946727865045791E-6</v>
      </c>
      <c r="U51" s="285">
        <f t="shared" si="30"/>
        <v>2335805459.1287227</v>
      </c>
    </row>
    <row r="52" spans="1:21" x14ac:dyDescent="0.2">
      <c r="A52" s="97">
        <v>8</v>
      </c>
      <c r="B52" s="93">
        <f t="shared" si="25"/>
        <v>10000000</v>
      </c>
      <c r="C52" s="1">
        <f t="shared" si="22"/>
        <v>50000000</v>
      </c>
      <c r="D52" s="9">
        <f>SUM($C$45:C52)</f>
        <v>55555555</v>
      </c>
      <c r="E52" s="9">
        <f t="shared" si="23"/>
        <v>-111966041.22847396</v>
      </c>
      <c r="F52" s="9">
        <f t="shared" si="24"/>
        <v>6.6503589613517245E-7</v>
      </c>
      <c r="G52" s="285">
        <f t="shared" si="26"/>
        <v>8337152276.3778009</v>
      </c>
      <c r="O52" s="99">
        <v>8</v>
      </c>
      <c r="P52" s="93">
        <f t="shared" si="31"/>
        <v>32222220</v>
      </c>
      <c r="Q52" s="1">
        <f t="shared" si="27"/>
        <v>161111110</v>
      </c>
      <c r="R52" s="9">
        <f>SUM($Q$45:Q52)</f>
        <v>179012335</v>
      </c>
      <c r="S52" s="280">
        <f t="shared" si="28"/>
        <v>-360779448.26607156</v>
      </c>
      <c r="T52" s="9">
        <f t="shared" si="29"/>
        <v>2.0639046077306271E-7</v>
      </c>
      <c r="U52" s="285">
        <f t="shared" si="30"/>
        <v>26864156001.050758</v>
      </c>
    </row>
    <row r="53" spans="1:21" x14ac:dyDescent="0.2">
      <c r="A53" s="97">
        <v>9</v>
      </c>
      <c r="B53" s="93">
        <f t="shared" si="25"/>
        <v>100000000</v>
      </c>
      <c r="C53" s="1">
        <f t="shared" si="22"/>
        <v>500000000</v>
      </c>
      <c r="D53" s="9">
        <f>SUM($C$45:C53)</f>
        <v>555555555</v>
      </c>
      <c r="E53" s="9">
        <f t="shared" si="23"/>
        <v>-1119670741.0842924</v>
      </c>
      <c r="F53" s="9">
        <f t="shared" si="24"/>
        <v>7.5180863277959244E-8</v>
      </c>
      <c r="G53" s="285">
        <f t="shared" si="26"/>
        <v>94251434154.601547</v>
      </c>
      <c r="O53" s="99">
        <v>9</v>
      </c>
      <c r="P53" s="93">
        <f t="shared" si="31"/>
        <v>322222220</v>
      </c>
      <c r="Q53" s="1">
        <f t="shared" si="27"/>
        <v>1611111110</v>
      </c>
      <c r="R53" s="9">
        <f>SUM($Q$45:Q53)</f>
        <v>1790123445</v>
      </c>
      <c r="S53" s="280">
        <f t="shared" si="28"/>
        <v>-3607827923.3397579</v>
      </c>
      <c r="T53" s="9">
        <f t="shared" si="29"/>
        <v>2.3331992182117789E-8</v>
      </c>
      <c r="U53" s="285">
        <f t="shared" si="30"/>
        <v>303699063912.74585</v>
      </c>
    </row>
    <row r="54" spans="1:21" ht="17" thickBot="1" x14ac:dyDescent="0.25">
      <c r="A54" s="145">
        <v>10</v>
      </c>
      <c r="B54" s="94">
        <f t="shared" si="25"/>
        <v>1000000000</v>
      </c>
      <c r="C54" s="111">
        <f t="shared" si="22"/>
        <v>5000000000</v>
      </c>
      <c r="D54" s="10">
        <f>SUM($C$45:C54)</f>
        <v>5555555555</v>
      </c>
      <c r="E54" s="10">
        <f t="shared" si="23"/>
        <v>-11196733415.217188</v>
      </c>
      <c r="F54" s="10">
        <f t="shared" si="24"/>
        <v>8.3858720876332532E-9</v>
      </c>
      <c r="G54" s="286">
        <f t="shared" si="26"/>
        <v>1051310277322.5955</v>
      </c>
      <c r="O54" s="100">
        <v>10</v>
      </c>
      <c r="P54" s="94">
        <f t="shared" si="31"/>
        <v>3222222220</v>
      </c>
      <c r="Q54" s="111">
        <f t="shared" si="27"/>
        <v>16111111110</v>
      </c>
      <c r="R54" s="10">
        <f>SUM($Q$45:Q54)</f>
        <v>17901234555</v>
      </c>
      <c r="S54" s="281">
        <f t="shared" si="28"/>
        <v>-36078363204.417473</v>
      </c>
      <c r="T54" s="10">
        <f t="shared" si="29"/>
        <v>2.6025120288118792E-9</v>
      </c>
      <c r="U54" s="286">
        <f t="shared" si="30"/>
        <v>3387555335936.854</v>
      </c>
    </row>
  </sheetData>
  <mergeCells count="2">
    <mergeCell ref="A18:F18"/>
    <mergeCell ref="O18:T18"/>
  </mergeCells>
  <conditionalFormatting sqref="F45:F54">
    <cfRule type="cellIs" dxfId="310" priority="53" operator="equal">
      <formula>MAX($F$45:$F$54)</formula>
    </cfRule>
  </conditionalFormatting>
  <conditionalFormatting sqref="F21:F30">
    <cfRule type="cellIs" dxfId="309" priority="51" operator="equal">
      <formula>MAX($F$21:$F$30)</formula>
    </cfRule>
  </conditionalFormatting>
  <conditionalFormatting sqref="E33:E42">
    <cfRule type="cellIs" dxfId="308" priority="49" stopIfTrue="1" operator="lessThan">
      <formula>0</formula>
    </cfRule>
    <cfRule type="cellIs" dxfId="307" priority="50" operator="equal">
      <formula>MIN($E$33:$E$42)</formula>
    </cfRule>
  </conditionalFormatting>
  <conditionalFormatting sqref="E21:E30">
    <cfRule type="cellIs" dxfId="306" priority="45" stopIfTrue="1" operator="lessThan">
      <formula>0</formula>
    </cfRule>
    <cfRule type="cellIs" dxfId="305" priority="46" operator="equal">
      <formula>MIN($E$21:$E$30)</formula>
    </cfRule>
  </conditionalFormatting>
  <conditionalFormatting sqref="E45:E54">
    <cfRule type="cellIs" dxfId="304" priority="41" stopIfTrue="1" operator="lessThan">
      <formula>0</formula>
    </cfRule>
    <cfRule type="cellIs" dxfId="303" priority="42" operator="equal">
      <formula>MIN($E$45:$E$54)</formula>
    </cfRule>
  </conditionalFormatting>
  <conditionalFormatting sqref="F33:F42">
    <cfRule type="cellIs" dxfId="302" priority="31" operator="lessThanOrEqual">
      <formula>0</formula>
    </cfRule>
    <cfRule type="cellIs" dxfId="301" priority="32" operator="equal">
      <formula>MAX($F$33:$F$42)</formula>
    </cfRule>
  </conditionalFormatting>
  <conditionalFormatting sqref="S7:T16">
    <cfRule type="cellIs" dxfId="300" priority="13" operator="lessThanOrEqual">
      <formula>0</formula>
    </cfRule>
    <cfRule type="cellIs" dxfId="299" priority="14" operator="greaterThan">
      <formula>0</formula>
    </cfRule>
  </conditionalFormatting>
  <conditionalFormatting sqref="U7:U16">
    <cfRule type="cellIs" dxfId="298" priority="15" operator="lessThanOrEqual">
      <formula>0</formula>
    </cfRule>
    <cfRule type="cellIs" dxfId="297" priority="16" operator="greaterThan">
      <formula>0</formula>
    </cfRule>
  </conditionalFormatting>
  <conditionalFormatting sqref="R7:R16">
    <cfRule type="cellIs" dxfId="296" priority="17" operator="lessThanOrEqual">
      <formula>0</formula>
    </cfRule>
    <cfRule type="cellIs" dxfId="295" priority="18" operator="greaterThan">
      <formula>0</formula>
    </cfRule>
  </conditionalFormatting>
  <conditionalFormatting sqref="T21:T30">
    <cfRule type="cellIs" dxfId="294" priority="9" operator="equal">
      <formula>MAX($T$21:$T$30)</formula>
    </cfRule>
  </conditionalFormatting>
  <conditionalFormatting sqref="S33:S42">
    <cfRule type="cellIs" dxfId="293" priority="7" stopIfTrue="1" operator="lessThan">
      <formula>0</formula>
    </cfRule>
    <cfRule type="cellIs" dxfId="292" priority="8" operator="equal">
      <formula>MIN($E$21:$E$30)</formula>
    </cfRule>
  </conditionalFormatting>
  <conditionalFormatting sqref="T33:T42">
    <cfRule type="cellIs" dxfId="291" priority="6" operator="equal">
      <formula>MAX($T$21:$T$30)</formula>
    </cfRule>
  </conditionalFormatting>
  <conditionalFormatting sqref="S45:S54">
    <cfRule type="cellIs" dxfId="290" priority="4" stopIfTrue="1" operator="lessThan">
      <formula>0</formula>
    </cfRule>
    <cfRule type="cellIs" dxfId="289" priority="5" operator="equal">
      <formula>MIN($E$21:$E$30)</formula>
    </cfRule>
  </conditionalFormatting>
  <conditionalFormatting sqref="T45:T54">
    <cfRule type="cellIs" dxfId="288" priority="3" operator="equal">
      <formula>MAX($T$21:$T$30)</formula>
    </cfRule>
  </conditionalFormatting>
  <conditionalFormatting sqref="S21:S30">
    <cfRule type="cellIs" dxfId="287" priority="1" stopIfTrue="1" operator="lessThan">
      <formula>0</formula>
    </cfRule>
    <cfRule type="cellIs" dxfId="28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>
    <pageSetUpPr fitToPage="1"/>
  </sheetPr>
  <dimension ref="A1:W54"/>
  <sheetViews>
    <sheetView topLeftCell="A15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1.0000000000000007</v>
      </c>
    </row>
    <row r="2" spans="1:23" x14ac:dyDescent="0.2">
      <c r="A2" t="s">
        <v>40</v>
      </c>
      <c r="B2" s="149" t="s">
        <v>125</v>
      </c>
      <c r="C2" s="155">
        <f>Analysis!B44</f>
        <v>0.20655344629805641</v>
      </c>
      <c r="D2" s="149" t="s">
        <v>126</v>
      </c>
      <c r="E2" s="155">
        <f>Analysis!K44</f>
        <v>0.79344655370194417</v>
      </c>
      <c r="F2" s="149" t="s">
        <v>47</v>
      </c>
      <c r="G2" s="155">
        <f>Analysis!S44</f>
        <v>-6.1725129695547825</v>
      </c>
      <c r="H2" t="s">
        <v>155</v>
      </c>
      <c r="I2" s="169">
        <f>Analysis!T44</f>
        <v>-10.313531952872276</v>
      </c>
      <c r="J2" t="s">
        <v>48</v>
      </c>
      <c r="K2" s="169">
        <f>C2*G2+E2*I2</f>
        <v>-9.4581902106823801</v>
      </c>
      <c r="L2" t="s">
        <v>47</v>
      </c>
      <c r="M2" s="176">
        <v>3</v>
      </c>
      <c r="N2" t="s">
        <v>155</v>
      </c>
      <c r="O2" s="176">
        <v>6</v>
      </c>
    </row>
    <row r="4" spans="1:23" x14ac:dyDescent="0.2">
      <c r="A4" t="s">
        <v>123</v>
      </c>
      <c r="B4">
        <f>$C$2</f>
        <v>0.20655344629805641</v>
      </c>
      <c r="C4" t="s">
        <v>124</v>
      </c>
      <c r="D4">
        <f>$E$2</f>
        <v>0.79344655370194417</v>
      </c>
      <c r="E4" t="s">
        <v>47</v>
      </c>
      <c r="F4">
        <f>G2</f>
        <v>-6.1725129695547825</v>
      </c>
      <c r="G4" t="s">
        <v>155</v>
      </c>
      <c r="H4">
        <f>I2</f>
        <v>-10.313531952872276</v>
      </c>
      <c r="I4" t="s">
        <v>48</v>
      </c>
      <c r="J4">
        <f>K2</f>
        <v>-9.4581902106823801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0.20655344629805641</v>
      </c>
      <c r="C7" s="95">
        <v>1</v>
      </c>
      <c r="D7" s="22">
        <f>C7*D4</f>
        <v>0.79344655370194417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1.0000000000000007</v>
      </c>
      <c r="R7" s="187">
        <f>B7-D7</f>
        <v>-0.58689310740388778</v>
      </c>
      <c r="S7" s="109">
        <f>SUM(C7)*$B$4*$F$4</f>
        <v>-1.2749538261809905</v>
      </c>
      <c r="T7" s="261">
        <f>SUM(C7)*$D$4*$H$4</f>
        <v>-8.1832363845013898</v>
      </c>
      <c r="U7" s="263">
        <f>S7+T7</f>
        <v>-9.4581902106823801</v>
      </c>
      <c r="V7" s="109">
        <f>(U7+W7*D7)/B7</f>
        <v>-41.94916043413393</v>
      </c>
      <c r="W7" s="57">
        <f>COUNT(D7:M7)</f>
        <v>1</v>
      </c>
    </row>
    <row r="8" spans="1:23" x14ac:dyDescent="0.2">
      <c r="A8" s="99">
        <v>2</v>
      </c>
      <c r="B8" s="97">
        <f>C8*B4</f>
        <v>0.24704073498937493</v>
      </c>
      <c r="C8" s="97">
        <f>1/(1-B4*D4)</f>
        <v>1.1960136198013147</v>
      </c>
      <c r="D8" s="144">
        <f>C8*D4</f>
        <v>0.94897288481194053</v>
      </c>
      <c r="E8" s="1">
        <f>D8*D4</f>
        <v>0.75295926501062627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1.0000000000000011</v>
      </c>
      <c r="R8" s="188">
        <f>B8-E8</f>
        <v>-0.50591853002125131</v>
      </c>
      <c r="S8" s="93">
        <f>SUM(C8:D8)*$B$4*$F$4</f>
        <v>-2.7347587511632585</v>
      </c>
      <c r="T8" s="260">
        <f>SUM(C8:D8)*$D$4*$H$4</f>
        <v>-17.552931608815651</v>
      </c>
      <c r="U8" s="264">
        <f>S8+T8</f>
        <v>-20.28769035997891</v>
      </c>
      <c r="V8" s="93">
        <f>(U8+W8*E8)/B8</f>
        <v>-76.027023764989409</v>
      </c>
      <c r="W8" s="9">
        <f>COUNT(D8:M8)</f>
        <v>2</v>
      </c>
    </row>
    <row r="9" spans="1:23" x14ac:dyDescent="0.2">
      <c r="A9" s="99">
        <v>3</v>
      </c>
      <c r="B9" s="97">
        <f>C9*B4</f>
        <v>0.25691162361110131</v>
      </c>
      <c r="C9" s="97">
        <f>1/(1-D4*B4/(1-D4*B4))</f>
        <v>1.2438021645999462</v>
      </c>
      <c r="D9" s="144">
        <f>C9*D4*C8</f>
        <v>1.1803345282757471</v>
      </c>
      <c r="E9" s="1">
        <f>D9*(D4)</f>
        <v>0.9365323636758015</v>
      </c>
      <c r="F9" s="1">
        <f>E9*D4</f>
        <v>0.74308837638890057</v>
      </c>
      <c r="G9" s="1"/>
      <c r="H9" s="1"/>
      <c r="I9" s="1"/>
      <c r="J9" s="1"/>
      <c r="K9" s="1"/>
      <c r="L9" s="1"/>
      <c r="M9" s="260"/>
      <c r="N9" s="97">
        <f>B9+F9</f>
        <v>1.0000000000000018</v>
      </c>
      <c r="R9" s="188">
        <f>B9-F9</f>
        <v>-0.48617675277779926</v>
      </c>
      <c r="S9" s="93">
        <f>SUM(C9:E9)*$B$4*$F$4</f>
        <v>-4.2846978721783886</v>
      </c>
      <c r="T9" s="260">
        <f>SUM(C9:E9)*$D$4*$H$4</f>
        <v>-27.501149299840154</v>
      </c>
      <c r="U9" s="264">
        <f t="shared" ref="U9:U16" si="0">S9+T9</f>
        <v>-31.785847172018542</v>
      </c>
      <c r="V9" s="93">
        <f>(U9+W9*F9)/B9</f>
        <v>-115.04571738487383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0.25943894461669975</v>
      </c>
      <c r="C10" s="97">
        <f>1/(1-D4*B4/(1-D4*B4/(1-D4*B4)))</f>
        <v>1.2560378404063499</v>
      </c>
      <c r="D10" s="144">
        <f>C10*D4*C9</f>
        <v>1.239571863821084</v>
      </c>
      <c r="E10" s="1">
        <f>D10*D4*C8</f>
        <v>1.1763200875420079</v>
      </c>
      <c r="F10" s="1">
        <f>E10*D4</f>
        <v>0.93334711951057547</v>
      </c>
      <c r="G10" s="1">
        <f>F10*D4</f>
        <v>0.74056105538330275</v>
      </c>
      <c r="H10" s="1"/>
      <c r="I10" s="1"/>
      <c r="J10" s="1"/>
      <c r="K10" s="1"/>
      <c r="L10" s="1"/>
      <c r="M10" s="260"/>
      <c r="N10" s="97">
        <f>B10+G10</f>
        <v>1.0000000000000024</v>
      </c>
      <c r="R10" s="188">
        <f>B10-G10</f>
        <v>-0.481122110766603</v>
      </c>
      <c r="S10" s="93">
        <f>SUM(C10:F10)*$B$4*$F$4</f>
        <v>-5.8715154186594312</v>
      </c>
      <c r="T10" s="260">
        <f>SUM(C10:F10)*$D$4*$H$4</f>
        <v>-37.686069581090813</v>
      </c>
      <c r="U10" s="264">
        <f t="shared" si="0"/>
        <v>-43.557584999750247</v>
      </c>
      <c r="V10" s="93">
        <f>(U10+W10*G10)/B10</f>
        <v>-156.47358124353073</v>
      </c>
      <c r="W10" s="9">
        <f t="shared" si="1"/>
        <v>4</v>
      </c>
    </row>
    <row r="11" spans="1:23" x14ac:dyDescent="0.2">
      <c r="A11" s="99">
        <v>5</v>
      </c>
      <c r="B11" s="97">
        <f>C11*B4</f>
        <v>0.26009405008714215</v>
      </c>
      <c r="C11" s="97">
        <f>1/(1-D4*B4/(1-D4*B4/(1-D4*B4/(1-D4*B4))))</f>
        <v>1.2592094431183041</v>
      </c>
      <c r="D11" s="144">
        <f>C11*D4*C10</f>
        <v>1.2549267405796032</v>
      </c>
      <c r="E11" s="1">
        <f>D11*D4*C9</f>
        <v>1.2384753299119733</v>
      </c>
      <c r="F11" s="1">
        <f>E11*D4*C8</f>
        <v>1.175279506594985</v>
      </c>
      <c r="G11" s="1">
        <f>F11*D4</f>
        <v>0.93252147414431219</v>
      </c>
      <c r="H11" s="1">
        <f>G11*D4</f>
        <v>0.73990594991286118</v>
      </c>
      <c r="I11" s="1"/>
      <c r="J11" s="1"/>
      <c r="K11" s="1"/>
      <c r="L11" s="1"/>
      <c r="M11" s="260"/>
      <c r="N11" s="97">
        <f>B11+H11</f>
        <v>1.0000000000000033</v>
      </c>
      <c r="R11" s="188">
        <f>B11-H11</f>
        <v>-0.47981189982571903</v>
      </c>
      <c r="S11" s="93">
        <f>SUM(C11:G11)*$B$4*$F$4</f>
        <v>-7.4717553326693675</v>
      </c>
      <c r="T11" s="260">
        <f>SUM(C11:G11)*$D$4*$H$4</f>
        <v>-47.957140751944749</v>
      </c>
      <c r="U11" s="264">
        <f t="shared" si="0"/>
        <v>-55.428896084614117</v>
      </c>
      <c r="V11" s="93">
        <f>(U11+W11*H11)/B11</f>
        <v>-198.88715761747858</v>
      </c>
      <c r="W11" s="9">
        <f t="shared" si="1"/>
        <v>5</v>
      </c>
    </row>
    <row r="12" spans="1:23" x14ac:dyDescent="0.2">
      <c r="A12" s="99">
        <v>6</v>
      </c>
      <c r="B12" s="97">
        <f>C12*B4</f>
        <v>0.26026439989322619</v>
      </c>
      <c r="C12" s="97">
        <f>1/(1-D4*B4/(1-D4*B4/(1-D4*B4/(1-D4*B4/(1-D4*B4)))))</f>
        <v>1.2600341681913403</v>
      </c>
      <c r="D12" s="144">
        <f>C12*D4*C11</f>
        <v>1.258919533185185</v>
      </c>
      <c r="E12" s="1">
        <f>D12*D4*C10</f>
        <v>1.2546378166603782</v>
      </c>
      <c r="F12" s="1">
        <f>E12*D4*C9</f>
        <v>1.2381901936290247</v>
      </c>
      <c r="G12" s="1">
        <f>F12*D4*C8</f>
        <v>1.1750089199939906</v>
      </c>
      <c r="H12" s="1">
        <f>G12*D4</f>
        <v>0.93230677813827523</v>
      </c>
      <c r="I12" s="1">
        <f>H12*D4</f>
        <v>0.73973560010677752</v>
      </c>
      <c r="J12" s="1"/>
      <c r="K12" s="1"/>
      <c r="L12" s="1"/>
      <c r="M12" s="260"/>
      <c r="N12" s="97">
        <f>B12+I12</f>
        <v>1.0000000000000038</v>
      </c>
      <c r="R12" s="188">
        <f>B12-I12</f>
        <v>-0.47947120021355133</v>
      </c>
      <c r="S12" s="93">
        <f>SUM(C12:H12)*$B$4*$F$4</f>
        <v>-9.0765204815773881</v>
      </c>
      <c r="T12" s="260">
        <f>SUM(C12:H12)*$D$4*$H$4</f>
        <v>-58.257256948670189</v>
      </c>
      <c r="U12" s="264">
        <f t="shared" si="0"/>
        <v>-67.333777430247579</v>
      </c>
      <c r="V12" s="93">
        <f>(U12+W12*I12)/B12</f>
        <v>-241.65949647900297</v>
      </c>
      <c r="W12" s="9">
        <f t="shared" si="1"/>
        <v>6</v>
      </c>
    </row>
    <row r="13" spans="1:23" x14ac:dyDescent="0.2">
      <c r="A13" s="99">
        <v>7</v>
      </c>
      <c r="B13" s="97">
        <f>C13*B4</f>
        <v>0.2603087332261641</v>
      </c>
      <c r="C13" s="97">
        <f>1/(1-D4*B4/(1-D4*B4/(1-D4*B4/(1-D4*B4/(1-D4*B4/(1-D4*B4))))))</f>
        <v>1.2602488019034979</v>
      </c>
      <c r="D13" s="144">
        <f>C13*D4*C12</f>
        <v>1.259958652677037</v>
      </c>
      <c r="E13" s="1">
        <f>D13*D4*C11</f>
        <v>1.258844084472432</v>
      </c>
      <c r="F13" s="1">
        <f>E13*D4*C10</f>
        <v>1.2545626245565598</v>
      </c>
      <c r="G13" s="1">
        <f>F13*D4*C9</f>
        <v>1.2381159872530092</v>
      </c>
      <c r="H13" s="1">
        <f>G13*D4*C8</f>
        <v>1.1749385001552719</v>
      </c>
      <c r="I13" s="1">
        <f>H13*D4</f>
        <v>0.93225090375993169</v>
      </c>
      <c r="J13" s="1">
        <f>I13*D4</f>
        <v>0.73969126677384067</v>
      </c>
      <c r="K13" s="1"/>
      <c r="L13" s="1"/>
      <c r="M13" s="260"/>
      <c r="N13" s="97">
        <f>B13+J13</f>
        <v>1.0000000000000049</v>
      </c>
      <c r="R13" s="188">
        <f>B13-J13</f>
        <v>-0.47938253354767657</v>
      </c>
      <c r="S13" s="93">
        <f>SUM(C13:I13)*$B$4*$F$4</f>
        <v>-10.682735545626601</v>
      </c>
      <c r="T13" s="260">
        <f>SUM(C13:I13)*$D$4*$H$4</f>
        <v>-68.566679363467387</v>
      </c>
      <c r="U13" s="264">
        <f t="shared" si="0"/>
        <v>-79.249414909093986</v>
      </c>
      <c r="V13" s="93">
        <f>(U13+W13*J13)/B13</f>
        <v>-284.55278900428391</v>
      </c>
      <c r="W13" s="9">
        <f t="shared" si="1"/>
        <v>7</v>
      </c>
    </row>
    <row r="14" spans="1:23" x14ac:dyDescent="0.2">
      <c r="A14" s="99">
        <v>8</v>
      </c>
      <c r="B14" s="97">
        <f>C14*B4</f>
        <v>0.26032027339985586</v>
      </c>
      <c r="C14" s="97">
        <f>1/(1-D4*B4/(1-D4*B4/(1-D4*B4/(1-D4*B4/(1-D4*B4/(1-D4*B4/(1-D4*B4)))))))</f>
        <v>1.2603046720615543</v>
      </c>
      <c r="D14" s="144">
        <f>C14*D4*C13</f>
        <v>1.2602291403355961</v>
      </c>
      <c r="E14" s="1">
        <f>D14*D4*C12</f>
        <v>1.2599389956358513</v>
      </c>
      <c r="F14" s="1">
        <f>E14*D4*C11</f>
        <v>1.2588244448200019</v>
      </c>
      <c r="G14" s="1">
        <f>F14*D4*C10</f>
        <v>1.2545430517006342</v>
      </c>
      <c r="H14" s="1">
        <f>G14*D4*C9</f>
        <v>1.2380966709866361</v>
      </c>
      <c r="I14" s="1">
        <f>H14*D4*C8</f>
        <v>1.174920169542248</v>
      </c>
      <c r="J14" s="1">
        <f>I14*D4</f>
        <v>0.9322363593982006</v>
      </c>
      <c r="K14" s="1">
        <f>J14*D4</f>
        <v>0.73967972660014925</v>
      </c>
      <c r="L14" s="1"/>
      <c r="M14" s="260"/>
      <c r="N14" s="97">
        <f>B14+K14</f>
        <v>1.0000000000000051</v>
      </c>
      <c r="R14" s="188">
        <f>B14-K14</f>
        <v>-0.47935945320029338</v>
      </c>
      <c r="S14" s="93">
        <f>SUM(C14:J14)*$B$4*$F$4</f>
        <v>-12.28939914445403</v>
      </c>
      <c r="T14" s="260">
        <f>SUM(C14:J14)*$D$4*$H$4</f>
        <v>-78.878980679477664</v>
      </c>
      <c r="U14" s="264">
        <f t="shared" si="0"/>
        <v>-91.168379823931701</v>
      </c>
      <c r="V14" s="93">
        <f>(U14+W14*K14)/B14</f>
        <v>-327.484835882082</v>
      </c>
      <c r="W14" s="9">
        <f t="shared" si="1"/>
        <v>8</v>
      </c>
    </row>
    <row r="15" spans="1:23" x14ac:dyDescent="0.2">
      <c r="A15" s="99">
        <v>9</v>
      </c>
      <c r="B15" s="97">
        <f>C15*B4</f>
        <v>0.26032327752882539</v>
      </c>
      <c r="C15" s="97">
        <f>1/(1-D4*B4/(1-D4*B4/(1-D4*B4/(1-D4*B4/(1-D4*B4/(1-D4*B4/(1-D4*B4/(1-D4*B4))))))))</f>
        <v>1.2603192161373051</v>
      </c>
      <c r="D15" s="144">
        <f>C15*D4*C14</f>
        <v>1.2602995534708472</v>
      </c>
      <c r="E15" s="1">
        <f>D15*D4*C13</f>
        <v>1.260224022051653</v>
      </c>
      <c r="F15" s="1">
        <f>E15*D4*C12</f>
        <v>1.2599338785302996</v>
      </c>
      <c r="G15" s="1">
        <f>F15*D4*C11</f>
        <v>1.2588193322410774</v>
      </c>
      <c r="H15" s="1">
        <f>G15*D4*C10</f>
        <v>1.2545379565101233</v>
      </c>
      <c r="I15" s="1">
        <f>H15*D4*C9</f>
        <v>1.2380916425913164</v>
      </c>
      <c r="J15" s="1">
        <f>I15*D4*C8</f>
        <v>1.1749153977314355</v>
      </c>
      <c r="K15" s="1">
        <f>J15*D4</f>
        <v>0.93223257322135655</v>
      </c>
      <c r="L15" s="1">
        <f>K15*D4</f>
        <v>0.73967672247118066</v>
      </c>
      <c r="M15" s="260"/>
      <c r="N15" s="97">
        <f>B15+L15</f>
        <v>1.000000000000006</v>
      </c>
      <c r="R15" s="188">
        <f>B15-L15</f>
        <v>-0.47935344494235527</v>
      </c>
      <c r="S15" s="93">
        <f>SUM(C15:K15)*$B$4*$F$4</f>
        <v>-13.896198039216248</v>
      </c>
      <c r="T15" s="260">
        <f>SUM(C15:K15)*$D$4*$H$4</f>
        <v>-89.192150386635532</v>
      </c>
      <c r="U15" s="264">
        <f t="shared" si="0"/>
        <v>-103.08834842585178</v>
      </c>
      <c r="V15" s="93">
        <f>(U15+W15*L15)/B15</f>
        <v>-370.42887151316461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0.260324059572698</v>
      </c>
      <c r="C16" s="145">
        <f>1/(1-D4*B4/(1-D4*B4/(1-D4*B4/(1-D4*B4/(1-D4*B4/(1-D4*B4/(1-D4*B4/(1-D4*B4/(1-D4*B4)))))))))</f>
        <v>1.26032300229477</v>
      </c>
      <c r="D16" s="153">
        <f>C16*D4*C15</f>
        <v>1.2603178836296167</v>
      </c>
      <c r="E16" s="111">
        <f>D16*D4*C14</f>
        <v>1.2602982209839475</v>
      </c>
      <c r="F16" s="111">
        <f>E16*D4*C13</f>
        <v>1.2602226896446109</v>
      </c>
      <c r="G16" s="111">
        <f>F16*D4*C12</f>
        <v>1.2599325464300197</v>
      </c>
      <c r="H16" s="111">
        <f>G16*D4*C11</f>
        <v>1.2588180013191828</v>
      </c>
      <c r="I16" s="111">
        <f>H16*D4*C10</f>
        <v>1.2545366301148329</v>
      </c>
      <c r="J16" s="111">
        <f>I16*D4*C9</f>
        <v>1.2380903335843507</v>
      </c>
      <c r="K16" s="111">
        <f>J16*D4*C8</f>
        <v>1.174914155519319</v>
      </c>
      <c r="L16" s="111">
        <f>K16*D4</f>
        <v>0.93223158759243374</v>
      </c>
      <c r="M16" s="262">
        <f>L16*D4</f>
        <v>0.73967594042730866</v>
      </c>
      <c r="N16" s="145">
        <f>B16+M16</f>
        <v>1.0000000000000067</v>
      </c>
      <c r="R16" s="189">
        <f>B16-M16</f>
        <v>-0.47935188085461067</v>
      </c>
      <c r="S16" s="94">
        <f>SUM(C16:L16)*$B$4*$F$4</f>
        <v>-15.503036981072418</v>
      </c>
      <c r="T16" s="262">
        <f>SUM(C16:L16)*$D$4*$H$4</f>
        <v>-99.505577134346225</v>
      </c>
      <c r="U16" s="265">
        <f t="shared" si="0"/>
        <v>-115.00861411541864</v>
      </c>
      <c r="V16" s="94">
        <f>(U16+W16*M16)/B16</f>
        <v>-413.37652342922962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6</v>
      </c>
      <c r="D21" s="57">
        <f>SUM($C$21:C21)</f>
        <v>6</v>
      </c>
      <c r="E21" s="57">
        <f t="shared" ref="E21:E30" si="3">D21/R7</f>
        <v>-10.223326742651491</v>
      </c>
      <c r="F21" s="8">
        <f t="shared" ref="F21:F30" si="4">U7/E21</f>
        <v>0.92515777386073572</v>
      </c>
      <c r="G21" s="284">
        <f>E21*U7</f>
        <v>96.694168917953718</v>
      </c>
      <c r="O21" s="101">
        <v>1</v>
      </c>
      <c r="P21" s="109">
        <v>1</v>
      </c>
      <c r="Q21" s="110">
        <f>P21*6+15</f>
        <v>21</v>
      </c>
      <c r="R21" s="57">
        <f>SUM($Q$21)</f>
        <v>21</v>
      </c>
      <c r="S21" s="279">
        <f>R21/R7</f>
        <v>-35.781643599280223</v>
      </c>
      <c r="T21" s="8">
        <f>U7/S21</f>
        <v>0.26433079253163877</v>
      </c>
      <c r="U21" s="284">
        <f>S21*U7</f>
        <v>338.42959121283803</v>
      </c>
    </row>
    <row r="22" spans="1:21" x14ac:dyDescent="0.2">
      <c r="A22" s="97">
        <v>2</v>
      </c>
      <c r="B22" s="93">
        <f>C21</f>
        <v>6</v>
      </c>
      <c r="C22" s="1">
        <f t="shared" si="2"/>
        <v>36</v>
      </c>
      <c r="D22" s="9">
        <f>SUM($C$21:C22)</f>
        <v>42</v>
      </c>
      <c r="E22" s="9">
        <f t="shared" si="3"/>
        <v>-83.017319010307403</v>
      </c>
      <c r="F22" s="9">
        <f t="shared" si="4"/>
        <v>0.24437901153444858</v>
      </c>
      <c r="G22" s="285">
        <f t="shared" ref="G22:G30" si="5">E22*U8</f>
        <v>1684.2296625967074</v>
      </c>
      <c r="O22" s="99">
        <v>2</v>
      </c>
      <c r="P22" s="93">
        <f>Q21</f>
        <v>21</v>
      </c>
      <c r="Q22" s="1">
        <f t="shared" ref="Q22:Q30" si="6">P22*6+15</f>
        <v>141</v>
      </c>
      <c r="R22" s="9">
        <f>SUM($Q$21:Q22)</f>
        <v>162</v>
      </c>
      <c r="S22" s="280">
        <f t="shared" ref="S22:S30" si="7">R22/R8</f>
        <v>-320.20965903975713</v>
      </c>
      <c r="T22" s="9">
        <f>U8/S22</f>
        <v>6.3357521508931119E-2</v>
      </c>
      <c r="U22" s="285">
        <f t="shared" ref="U22:U30" si="8">S22*U8</f>
        <v>6496.3144128730146</v>
      </c>
    </row>
    <row r="23" spans="1:21" x14ac:dyDescent="0.2">
      <c r="A23" s="97">
        <v>3</v>
      </c>
      <c r="B23" s="93">
        <f t="shared" ref="B23:B30" si="9">C22</f>
        <v>36</v>
      </c>
      <c r="C23" s="1">
        <f t="shared" si="2"/>
        <v>216</v>
      </c>
      <c r="D23" s="9">
        <f>SUM($C$21:C23)</f>
        <v>258</v>
      </c>
      <c r="E23" s="9">
        <f t="shared" si="3"/>
        <v>-530.67119833661718</v>
      </c>
      <c r="F23" s="9">
        <f t="shared" si="4"/>
        <v>5.9897441714664219E-2</v>
      </c>
      <c r="G23" s="285">
        <f t="shared" si="5"/>
        <v>16867.833608919653</v>
      </c>
      <c r="O23" s="99">
        <v>3</v>
      </c>
      <c r="P23" s="93">
        <f t="shared" ref="P23:P30" si="10">Q22</f>
        <v>141</v>
      </c>
      <c r="Q23" s="1">
        <f t="shared" si="6"/>
        <v>861</v>
      </c>
      <c r="R23" s="9">
        <f>SUM($Q$21:Q23)</f>
        <v>1023</v>
      </c>
      <c r="S23" s="280">
        <f t="shared" si="7"/>
        <v>-2104.173007357982</v>
      </c>
      <c r="T23" s="9">
        <f t="shared" ref="T23:T30" si="11">U9/S23</f>
        <v>1.5106099669973966E-2</v>
      </c>
      <c r="U23" s="285">
        <f t="shared" si="8"/>
        <v>66882.921635367456</v>
      </c>
    </row>
    <row r="24" spans="1:21" x14ac:dyDescent="0.2">
      <c r="A24" s="97">
        <v>4</v>
      </c>
      <c r="B24" s="93">
        <f t="shared" si="9"/>
        <v>216</v>
      </c>
      <c r="C24" s="1">
        <f t="shared" si="2"/>
        <v>1296</v>
      </c>
      <c r="D24" s="9">
        <f>SUM($C$21:C24)</f>
        <v>1554</v>
      </c>
      <c r="E24" s="9">
        <f t="shared" si="3"/>
        <v>-3229.9492482769315</v>
      </c>
      <c r="F24" s="9">
        <f t="shared" si="4"/>
        <v>1.3485532326239101E-2</v>
      </c>
      <c r="G24" s="285">
        <f t="shared" si="5"/>
        <v>140688.78892670185</v>
      </c>
      <c r="O24" s="99">
        <v>4</v>
      </c>
      <c r="P24" s="93">
        <f t="shared" si="10"/>
        <v>861</v>
      </c>
      <c r="Q24" s="1">
        <f t="shared" si="6"/>
        <v>5181</v>
      </c>
      <c r="R24" s="9">
        <f>SUM($Q$21:Q24)</f>
        <v>6204</v>
      </c>
      <c r="S24" s="280">
        <f t="shared" si="7"/>
        <v>-12894.85530007084</v>
      </c>
      <c r="T24" s="9">
        <f t="shared" si="11"/>
        <v>3.3779041320076662E-3</v>
      </c>
      <c r="U24" s="285">
        <f t="shared" si="8"/>
        <v>561668.75579231558</v>
      </c>
    </row>
    <row r="25" spans="1:21" x14ac:dyDescent="0.2">
      <c r="A25" s="97">
        <v>5</v>
      </c>
      <c r="B25" s="93">
        <f t="shared" si="9"/>
        <v>1296</v>
      </c>
      <c r="C25" s="1">
        <f t="shared" si="2"/>
        <v>7776</v>
      </c>
      <c r="D25" s="9">
        <f>SUM($C$21:C25)</f>
        <v>9330</v>
      </c>
      <c r="E25" s="9">
        <f t="shared" si="3"/>
        <v>-19445.120063485116</v>
      </c>
      <c r="F25" s="9">
        <f t="shared" si="4"/>
        <v>2.850529896634626E-3</v>
      </c>
      <c r="G25" s="285">
        <f t="shared" si="5"/>
        <v>1077821.5393517616</v>
      </c>
      <c r="O25" s="99">
        <v>5</v>
      </c>
      <c r="P25" s="93">
        <f t="shared" si="10"/>
        <v>5181</v>
      </c>
      <c r="Q25" s="1">
        <f t="shared" si="6"/>
        <v>31101</v>
      </c>
      <c r="R25" s="9">
        <f>SUM($Q$21:Q25)</f>
        <v>37305</v>
      </c>
      <c r="S25" s="280">
        <f t="shared" si="7"/>
        <v>-77749.218003034533</v>
      </c>
      <c r="T25" s="9">
        <f t="shared" si="11"/>
        <v>7.1291901717198932E-4</v>
      </c>
      <c r="U25" s="285">
        <f t="shared" si="8"/>
        <v>4309553.3253502101</v>
      </c>
    </row>
    <row r="26" spans="1:21" x14ac:dyDescent="0.2">
      <c r="A26" s="97">
        <v>6</v>
      </c>
      <c r="B26" s="93">
        <f t="shared" si="9"/>
        <v>7776</v>
      </c>
      <c r="C26" s="1">
        <f t="shared" si="2"/>
        <v>46656</v>
      </c>
      <c r="D26" s="9">
        <f>SUM($C$21:C26)</f>
        <v>55986</v>
      </c>
      <c r="E26" s="9">
        <f t="shared" si="3"/>
        <v>-116766.13730932001</v>
      </c>
      <c r="F26" s="9">
        <f t="shared" si="4"/>
        <v>5.7665500445455904E-4</v>
      </c>
      <c r="G26" s="285">
        <f t="shared" si="5"/>
        <v>7862305.1009754818</v>
      </c>
      <c r="O26" s="99">
        <v>6</v>
      </c>
      <c r="P26" s="93">
        <f t="shared" si="10"/>
        <v>31101</v>
      </c>
      <c r="Q26" s="1">
        <f t="shared" si="6"/>
        <v>186621</v>
      </c>
      <c r="R26" s="9">
        <f>SUM($Q$21:Q26)</f>
        <v>223926</v>
      </c>
      <c r="S26" s="280">
        <f t="shared" si="7"/>
        <v>-467027.00787923398</v>
      </c>
      <c r="T26" s="9">
        <f t="shared" si="11"/>
        <v>1.4417533952909862E-4</v>
      </c>
      <c r="U26" s="285">
        <f t="shared" si="8"/>
        <v>31446692.602454823</v>
      </c>
    </row>
    <row r="27" spans="1:21" x14ac:dyDescent="0.2">
      <c r="A27" s="97">
        <v>7</v>
      </c>
      <c r="B27" s="93">
        <f t="shared" si="9"/>
        <v>46656</v>
      </c>
      <c r="C27" s="1">
        <f t="shared" si="2"/>
        <v>279936</v>
      </c>
      <c r="D27" s="9">
        <f>SUM($C$21:C27)</f>
        <v>335922</v>
      </c>
      <c r="E27" s="9">
        <f t="shared" si="3"/>
        <v>-700738.92245093896</v>
      </c>
      <c r="F27" s="9">
        <f t="shared" si="4"/>
        <v>1.1309406737663056E-4</v>
      </c>
      <c r="G27" s="285">
        <f t="shared" si="5"/>
        <v>55533149.608265899</v>
      </c>
      <c r="O27" s="99">
        <v>7</v>
      </c>
      <c r="P27" s="93">
        <f t="shared" si="10"/>
        <v>186621</v>
      </c>
      <c r="Q27" s="1">
        <f t="shared" si="6"/>
        <v>1119741</v>
      </c>
      <c r="R27" s="9">
        <f>SUM($Q$21:Q27)</f>
        <v>1343667</v>
      </c>
      <c r="S27" s="280">
        <f t="shared" si="7"/>
        <v>-2802911.883451771</v>
      </c>
      <c r="T27" s="9">
        <f t="shared" si="11"/>
        <v>2.827395872734278E-5</v>
      </c>
      <c r="U27" s="285">
        <f t="shared" si="8"/>
        <v>222129126.80529949</v>
      </c>
    </row>
    <row r="28" spans="1:21" x14ac:dyDescent="0.2">
      <c r="A28" s="97">
        <v>8</v>
      </c>
      <c r="B28" s="93">
        <f t="shared" si="9"/>
        <v>279936</v>
      </c>
      <c r="C28" s="1">
        <f t="shared" si="2"/>
        <v>1679616</v>
      </c>
      <c r="D28" s="9">
        <f>SUM($C$21:C28)</f>
        <v>2015538</v>
      </c>
      <c r="E28" s="9">
        <f t="shared" si="3"/>
        <v>-4204648.4877765346</v>
      </c>
      <c r="F28" s="9">
        <f t="shared" si="4"/>
        <v>2.1682758996137289E-5</v>
      </c>
      <c r="G28" s="285">
        <f t="shared" si="5"/>
        <v>383330990.35973114</v>
      </c>
      <c r="O28" s="99">
        <v>8</v>
      </c>
      <c r="P28" s="93">
        <f t="shared" si="10"/>
        <v>1119741</v>
      </c>
      <c r="Q28" s="1">
        <f t="shared" si="6"/>
        <v>6718461</v>
      </c>
      <c r="R28" s="9">
        <f>SUM($Q$21:Q28)</f>
        <v>8062128</v>
      </c>
      <c r="S28" s="280">
        <f t="shared" si="7"/>
        <v>-16818543.884293351</v>
      </c>
      <c r="T28" s="9">
        <f t="shared" si="11"/>
        <v>5.4207058857855601E-6</v>
      </c>
      <c r="U28" s="285">
        <f t="shared" si="8"/>
        <v>1533319396.9287198</v>
      </c>
    </row>
    <row r="29" spans="1:21" x14ac:dyDescent="0.2">
      <c r="A29" s="97">
        <v>9</v>
      </c>
      <c r="B29" s="93">
        <f t="shared" si="9"/>
        <v>1679616</v>
      </c>
      <c r="C29" s="1">
        <f t="shared" si="2"/>
        <v>10077696</v>
      </c>
      <c r="D29" s="9">
        <f>SUM($C$21:C29)</f>
        <v>12093234</v>
      </c>
      <c r="E29" s="9">
        <f t="shared" si="3"/>
        <v>-25228219.652107172</v>
      </c>
      <c r="F29" s="9">
        <f t="shared" si="4"/>
        <v>4.0862316028408844E-6</v>
      </c>
      <c r="G29" s="285">
        <f t="shared" si="5"/>
        <v>2600735497.6603451</v>
      </c>
      <c r="O29" s="99">
        <v>9</v>
      </c>
      <c r="P29" s="93">
        <f t="shared" si="10"/>
        <v>6718461</v>
      </c>
      <c r="Q29" s="1">
        <f t="shared" si="6"/>
        <v>40310781</v>
      </c>
      <c r="R29" s="9">
        <f>SUM($Q$21:Q29)</f>
        <v>48372909</v>
      </c>
      <c r="S29" s="280">
        <f t="shared" si="7"/>
        <v>-100912822.28255832</v>
      </c>
      <c r="T29" s="9">
        <f t="shared" si="11"/>
        <v>1.0215584709067191E-6</v>
      </c>
      <c r="U29" s="285">
        <f t="shared" si="8"/>
        <v>10402936184.100431</v>
      </c>
    </row>
    <row r="30" spans="1:21" ht="17" thickBot="1" x14ac:dyDescent="0.25">
      <c r="A30" s="145">
        <v>10</v>
      </c>
      <c r="B30" s="94">
        <f t="shared" si="9"/>
        <v>10077696</v>
      </c>
      <c r="C30" s="111">
        <f t="shared" si="2"/>
        <v>60466176</v>
      </c>
      <c r="D30" s="10">
        <f>SUM($C$21:C30)</f>
        <v>72559410</v>
      </c>
      <c r="E30" s="10">
        <f t="shared" si="3"/>
        <v>-151369824.3358047</v>
      </c>
      <c r="F30" s="10">
        <f t="shared" si="4"/>
        <v>7.5978560865789907E-7</v>
      </c>
      <c r="G30" s="286">
        <f t="shared" si="5"/>
        <v>17408833715.755268</v>
      </c>
      <c r="O30" s="100">
        <v>10</v>
      </c>
      <c r="P30" s="94">
        <f t="shared" si="10"/>
        <v>40310781</v>
      </c>
      <c r="Q30" s="111">
        <f t="shared" si="6"/>
        <v>241864701</v>
      </c>
      <c r="R30" s="10">
        <f>SUM($Q$21:Q30)</f>
        <v>290237610</v>
      </c>
      <c r="S30" s="281">
        <f t="shared" si="7"/>
        <v>-605479234.7587142</v>
      </c>
      <c r="T30" s="10">
        <f t="shared" si="11"/>
        <v>1.8994642179801594E-7</v>
      </c>
      <c r="U30" s="286">
        <f t="shared" si="8"/>
        <v>69635327665.263931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6</v>
      </c>
      <c r="D33" s="57">
        <f>SUM($C$33:C33)</f>
        <v>6</v>
      </c>
      <c r="E33" s="9">
        <f t="shared" ref="E33:E42" si="13">D33/R7</f>
        <v>-10.223326742651491</v>
      </c>
      <c r="F33" s="8">
        <f t="shared" ref="F33:F42" si="14">U7/E33</f>
        <v>0.92515777386073572</v>
      </c>
      <c r="G33" s="287">
        <f>E33*U7</f>
        <v>96.694168917953718</v>
      </c>
      <c r="O33" s="101">
        <v>1</v>
      </c>
      <c r="P33" s="109">
        <v>1</v>
      </c>
      <c r="Q33" s="110">
        <f>P33*6+15</f>
        <v>21</v>
      </c>
      <c r="R33" s="57">
        <f>SUM($Q$21)</f>
        <v>21</v>
      </c>
      <c r="S33" s="279">
        <f>R33/R7</f>
        <v>-35.781643599280223</v>
      </c>
      <c r="T33" s="8">
        <f>U7/S33</f>
        <v>0.26433079253163877</v>
      </c>
      <c r="U33" s="287">
        <f>S33*U7</f>
        <v>338.42959121283803</v>
      </c>
    </row>
    <row r="34" spans="1:21" x14ac:dyDescent="0.2">
      <c r="A34" s="97">
        <v>2</v>
      </c>
      <c r="B34" s="93">
        <f t="shared" ref="B34:B42" si="15">B33*($O$2+1)</f>
        <v>7</v>
      </c>
      <c r="C34" s="1">
        <f t="shared" si="12"/>
        <v>42</v>
      </c>
      <c r="D34" s="9">
        <f>SUM($C$33:C34)</f>
        <v>48</v>
      </c>
      <c r="E34" s="9">
        <f t="shared" si="13"/>
        <v>-94.876936011779875</v>
      </c>
      <c r="F34" s="9">
        <f t="shared" si="14"/>
        <v>0.21383163509264255</v>
      </c>
      <c r="G34" s="285">
        <f t="shared" ref="G34:G42" si="16">E34*U8</f>
        <v>1924.8339001105226</v>
      </c>
      <c r="O34" s="99">
        <v>2</v>
      </c>
      <c r="P34" s="93">
        <f>Q33+1</f>
        <v>22</v>
      </c>
      <c r="Q34" s="1">
        <f t="shared" ref="Q34:Q42" si="17">P34*6+15</f>
        <v>147</v>
      </c>
      <c r="R34" s="9">
        <f>SUM($Q$33:Q34)</f>
        <v>168</v>
      </c>
      <c r="S34" s="280">
        <f>R34/R8</f>
        <v>-332.06927604122961</v>
      </c>
      <c r="T34" s="9">
        <f t="shared" ref="T34:T42" si="18">U8/S34</f>
        <v>6.1094752883612144E-2</v>
      </c>
      <c r="U34" s="285">
        <f t="shared" ref="U34:U42" si="19">S34*U8</f>
        <v>6736.9186503868295</v>
      </c>
    </row>
    <row r="35" spans="1:21" x14ac:dyDescent="0.2">
      <c r="A35" s="97">
        <v>3</v>
      </c>
      <c r="B35" s="93">
        <f t="shared" si="15"/>
        <v>49</v>
      </c>
      <c r="C35" s="1">
        <f t="shared" si="12"/>
        <v>294</v>
      </c>
      <c r="D35" s="9">
        <f>SUM($C$33:C35)</f>
        <v>342</v>
      </c>
      <c r="E35" s="9">
        <f t="shared" si="13"/>
        <v>-703.44786756249255</v>
      </c>
      <c r="F35" s="9">
        <f t="shared" si="14"/>
        <v>4.5185789363694058E-2</v>
      </c>
      <c r="G35" s="285">
        <f t="shared" si="16"/>
        <v>22359.686411823728</v>
      </c>
      <c r="O35" s="99">
        <v>3</v>
      </c>
      <c r="P35" s="93">
        <f t="shared" ref="P35:P42" si="20">Q34+1</f>
        <v>148</v>
      </c>
      <c r="Q35" s="1">
        <f t="shared" si="17"/>
        <v>903</v>
      </c>
      <c r="R35" s="9">
        <f>SUM($Q$33:Q35)</f>
        <v>1071</v>
      </c>
      <c r="S35" s="280">
        <f t="shared" ref="S35:S42" si="21">R35/R9</f>
        <v>-2202.9025326299106</v>
      </c>
      <c r="T35" s="9">
        <f t="shared" si="18"/>
        <v>1.4429075595129197E-2</v>
      </c>
      <c r="U35" s="285">
        <f t="shared" si="19"/>
        <v>70021.123237026928</v>
      </c>
    </row>
    <row r="36" spans="1:21" x14ac:dyDescent="0.2">
      <c r="A36" s="97">
        <v>4</v>
      </c>
      <c r="B36" s="93">
        <f t="shared" si="15"/>
        <v>343</v>
      </c>
      <c r="C36" s="1">
        <f t="shared" si="12"/>
        <v>2058</v>
      </c>
      <c r="D36" s="9">
        <f>SUM($C$33:C36)</f>
        <v>2400</v>
      </c>
      <c r="E36" s="9">
        <f t="shared" si="13"/>
        <v>-4988.3386073775009</v>
      </c>
      <c r="F36" s="9">
        <f t="shared" si="14"/>
        <v>8.7318821812398181E-3</v>
      </c>
      <c r="G36" s="285">
        <f t="shared" si="16"/>
        <v>217279.98289838128</v>
      </c>
      <c r="O36" s="99">
        <v>4</v>
      </c>
      <c r="P36" s="93">
        <f t="shared" si="20"/>
        <v>904</v>
      </c>
      <c r="Q36" s="1">
        <f t="shared" si="17"/>
        <v>5439</v>
      </c>
      <c r="R36" s="9">
        <f>SUM($Q$33:Q36)</f>
        <v>6510</v>
      </c>
      <c r="S36" s="280">
        <f t="shared" si="21"/>
        <v>-13530.868472511471</v>
      </c>
      <c r="T36" s="9">
        <f t="shared" si="18"/>
        <v>3.2191270714248179E-3</v>
      </c>
      <c r="U36" s="285">
        <f t="shared" si="19"/>
        <v>589371.95361185924</v>
      </c>
    </row>
    <row r="37" spans="1:21" x14ac:dyDescent="0.2">
      <c r="A37" s="97">
        <v>5</v>
      </c>
      <c r="B37" s="93">
        <f t="shared" si="15"/>
        <v>2401</v>
      </c>
      <c r="C37" s="1">
        <f t="shared" si="12"/>
        <v>14406</v>
      </c>
      <c r="D37" s="9">
        <f>SUM($C$33:C37)</f>
        <v>16806</v>
      </c>
      <c r="E37" s="9">
        <f t="shared" si="13"/>
        <v>-35026.225914997951</v>
      </c>
      <c r="F37" s="9">
        <f t="shared" si="14"/>
        <v>1.5824969615376089E-3</v>
      </c>
      <c r="G37" s="285">
        <f t="shared" si="16"/>
        <v>1941465.0364786393</v>
      </c>
      <c r="O37" s="99">
        <v>5</v>
      </c>
      <c r="P37" s="93">
        <f t="shared" si="20"/>
        <v>5440</v>
      </c>
      <c r="Q37" s="1">
        <f t="shared" si="17"/>
        <v>32655</v>
      </c>
      <c r="R37" s="9">
        <f>SUM($Q$33:Q37)</f>
        <v>39165</v>
      </c>
      <c r="S37" s="280">
        <f t="shared" si="21"/>
        <v>-81625.737115369193</v>
      </c>
      <c r="T37" s="9">
        <f t="shared" si="18"/>
        <v>6.7906150735608478E-4</v>
      </c>
      <c r="U37" s="285">
        <f t="shared" si="19"/>
        <v>4524424.5003978284</v>
      </c>
    </row>
    <row r="38" spans="1:21" x14ac:dyDescent="0.2">
      <c r="A38" s="97">
        <v>6</v>
      </c>
      <c r="B38" s="93">
        <f t="shared" si="15"/>
        <v>16807</v>
      </c>
      <c r="C38" s="1">
        <f t="shared" si="12"/>
        <v>100842</v>
      </c>
      <c r="D38" s="9">
        <f>SUM($C$33:C38)</f>
        <v>117648</v>
      </c>
      <c r="E38" s="9">
        <f t="shared" si="13"/>
        <v>-245370.31618917015</v>
      </c>
      <c r="F38" s="9">
        <f t="shared" si="14"/>
        <v>2.7441696483912129E-4</v>
      </c>
      <c r="G38" s="285">
        <f t="shared" si="16"/>
        <v>16521710.258271057</v>
      </c>
      <c r="O38" s="99">
        <v>6</v>
      </c>
      <c r="P38" s="93">
        <f t="shared" si="20"/>
        <v>32656</v>
      </c>
      <c r="Q38" s="1">
        <f t="shared" si="17"/>
        <v>195951</v>
      </c>
      <c r="R38" s="9">
        <f>SUM($Q$33:Q38)</f>
        <v>235116</v>
      </c>
      <c r="S38" s="280">
        <f t="shared" si="21"/>
        <v>-490365.21879787953</v>
      </c>
      <c r="T38" s="9">
        <f t="shared" si="18"/>
        <v>1.3731352642692518E-4</v>
      </c>
      <c r="U38" s="285">
        <f t="shared" si="19"/>
        <v>33018142.502071075</v>
      </c>
    </row>
    <row r="39" spans="1:21" x14ac:dyDescent="0.2">
      <c r="A39" s="97">
        <v>7</v>
      </c>
      <c r="B39" s="93">
        <f t="shared" si="15"/>
        <v>117649</v>
      </c>
      <c r="C39" s="1">
        <f t="shared" si="12"/>
        <v>705894</v>
      </c>
      <c r="D39" s="9">
        <f>SUM($C$33:C39)</f>
        <v>823542</v>
      </c>
      <c r="E39" s="9">
        <f t="shared" si="13"/>
        <v>-1717922.4155401886</v>
      </c>
      <c r="F39" s="9">
        <f t="shared" si="14"/>
        <v>4.6130962721139279E-5</v>
      </c>
      <c r="G39" s="285">
        <f t="shared" si="16"/>
        <v>136144346.29077739</v>
      </c>
      <c r="O39" s="99">
        <v>7</v>
      </c>
      <c r="P39" s="93">
        <f t="shared" si="20"/>
        <v>195952</v>
      </c>
      <c r="Q39" s="1">
        <f t="shared" si="17"/>
        <v>1175727</v>
      </c>
      <c r="R39" s="9">
        <f>SUM($Q$33:Q39)</f>
        <v>1410843</v>
      </c>
      <c r="S39" s="280">
        <f t="shared" si="21"/>
        <v>-2943042.1454011649</v>
      </c>
      <c r="T39" s="9">
        <f t="shared" si="18"/>
        <v>2.6927720023625939E-5</v>
      </c>
      <c r="U39" s="285">
        <f t="shared" si="19"/>
        <v>233234368.07584703</v>
      </c>
    </row>
    <row r="40" spans="1:21" x14ac:dyDescent="0.2">
      <c r="A40" s="97">
        <v>8</v>
      </c>
      <c r="B40" s="93">
        <f t="shared" si="15"/>
        <v>823543</v>
      </c>
      <c r="C40" s="1">
        <f t="shared" si="12"/>
        <v>4941258</v>
      </c>
      <c r="D40" s="9">
        <f>SUM($C$33:C40)</f>
        <v>5764800</v>
      </c>
      <c r="E40" s="9">
        <f t="shared" si="13"/>
        <v>-12026048.430907363</v>
      </c>
      <c r="F40" s="9">
        <f t="shared" si="14"/>
        <v>7.5809090864481963E-6</v>
      </c>
      <c r="G40" s="285">
        <f t="shared" si="16"/>
        <v>1096395351.1299603</v>
      </c>
      <c r="O40" s="99">
        <v>8</v>
      </c>
      <c r="P40" s="93">
        <f t="shared" si="20"/>
        <v>1175728</v>
      </c>
      <c r="Q40" s="1">
        <f t="shared" si="17"/>
        <v>7054383</v>
      </c>
      <c r="R40" s="9">
        <f>SUM($Q$33:Q40)</f>
        <v>8465226</v>
      </c>
      <c r="S40" s="280">
        <f t="shared" si="21"/>
        <v>-17659453.555123545</v>
      </c>
      <c r="T40" s="9">
        <f t="shared" si="18"/>
        <v>5.1625821568799889E-6</v>
      </c>
      <c r="U40" s="285">
        <f t="shared" si="19"/>
        <v>1609983769.1965845</v>
      </c>
    </row>
    <row r="41" spans="1:21" x14ac:dyDescent="0.2">
      <c r="A41" s="97">
        <v>9</v>
      </c>
      <c r="B41" s="93">
        <f t="shared" si="15"/>
        <v>5764801</v>
      </c>
      <c r="C41" s="1">
        <f t="shared" si="12"/>
        <v>34588806</v>
      </c>
      <c r="D41" s="9">
        <f>SUM($C$33:C41)</f>
        <v>40353606</v>
      </c>
      <c r="E41" s="9">
        <f t="shared" si="13"/>
        <v>-84183406.682000026</v>
      </c>
      <c r="F41" s="9">
        <f t="shared" si="14"/>
        <v>1.2245685045185273E-6</v>
      </c>
      <c r="G41" s="285">
        <f t="shared" si="16"/>
        <v>8678328359.709198</v>
      </c>
      <c r="O41" s="99">
        <v>9</v>
      </c>
      <c r="P41" s="93">
        <f t="shared" si="20"/>
        <v>7054384</v>
      </c>
      <c r="Q41" s="1">
        <f t="shared" si="17"/>
        <v>42326319</v>
      </c>
      <c r="R41" s="9">
        <f>SUM($Q$33:Q41)</f>
        <v>50791545</v>
      </c>
      <c r="S41" s="280">
        <f t="shared" si="21"/>
        <v>-105958443.6826316</v>
      </c>
      <c r="T41" s="9">
        <f t="shared" si="18"/>
        <v>9.7291301044986683E-7</v>
      </c>
      <c r="U41" s="285">
        <f t="shared" si="19"/>
        <v>10923080961.016119</v>
      </c>
    </row>
    <row r="42" spans="1:21" ht="17" thickBot="1" x14ac:dyDescent="0.25">
      <c r="A42" s="145">
        <v>10</v>
      </c>
      <c r="B42" s="94">
        <f t="shared" si="15"/>
        <v>40353607</v>
      </c>
      <c r="C42" s="111">
        <f t="shared" si="12"/>
        <v>242121642</v>
      </c>
      <c r="D42" s="10">
        <f>SUM($C$33:C42)</f>
        <v>282475248</v>
      </c>
      <c r="E42" s="9">
        <f t="shared" si="13"/>
        <v>-589285782.07806361</v>
      </c>
      <c r="F42" s="10">
        <f t="shared" si="14"/>
        <v>1.9516611059213248E-7</v>
      </c>
      <c r="G42" s="286">
        <f t="shared" si="16"/>
        <v>67772941114.718697</v>
      </c>
      <c r="O42" s="100">
        <v>10</v>
      </c>
      <c r="P42" s="94">
        <f t="shared" si="20"/>
        <v>42326320</v>
      </c>
      <c r="Q42" s="111">
        <f t="shared" si="17"/>
        <v>253957935</v>
      </c>
      <c r="R42" s="10">
        <f>SUM($Q$33:Q42)</f>
        <v>304749480</v>
      </c>
      <c r="S42" s="281">
        <f t="shared" si="21"/>
        <v>-635753174.59207332</v>
      </c>
      <c r="T42" s="10">
        <f t="shared" si="18"/>
        <v>1.8090136032621957E-7</v>
      </c>
      <c r="U42" s="286">
        <f t="shared" si="19"/>
        <v>73117091529.312134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6</v>
      </c>
      <c r="D45" s="57">
        <f>SUM(C45:C45)</f>
        <v>6</v>
      </c>
      <c r="E45" s="57">
        <f t="shared" ref="E45:E54" si="23">D45/R7</f>
        <v>-10.223326742651491</v>
      </c>
      <c r="F45" s="8">
        <f t="shared" ref="F45:F54" si="24">U7/E45</f>
        <v>0.92515777386073572</v>
      </c>
      <c r="G45" s="284">
        <f>E45*U7</f>
        <v>96.694168917953718</v>
      </c>
      <c r="O45" s="101">
        <v>1</v>
      </c>
      <c r="P45" s="109">
        <v>1</v>
      </c>
      <c r="Q45" s="110">
        <f>P45*6+15</f>
        <v>21</v>
      </c>
      <c r="R45" s="57">
        <f>SUM($Q$21)</f>
        <v>21</v>
      </c>
      <c r="S45" s="279">
        <f>R45/R7</f>
        <v>-35.781643599280223</v>
      </c>
      <c r="T45" s="8">
        <f>U7/S45</f>
        <v>0.26433079253163877</v>
      </c>
      <c r="U45" s="287">
        <f>S45*U7</f>
        <v>338.42959121283803</v>
      </c>
    </row>
    <row r="46" spans="1:21" x14ac:dyDescent="0.2">
      <c r="A46" s="97">
        <v>2</v>
      </c>
      <c r="B46" s="93">
        <f t="shared" ref="B46:B54" si="25">B45*$O$2*2</f>
        <v>12</v>
      </c>
      <c r="C46" s="1">
        <f t="shared" si="22"/>
        <v>72</v>
      </c>
      <c r="D46" s="9">
        <f>SUM($C$45:C46)</f>
        <v>78</v>
      </c>
      <c r="E46" s="9">
        <f t="shared" si="23"/>
        <v>-154.17502101914232</v>
      </c>
      <c r="F46" s="9">
        <f t="shared" si="24"/>
        <v>0.13158869851854924</v>
      </c>
      <c r="G46" s="285">
        <f t="shared" ref="G46:G54" si="26">E46*U8</f>
        <v>3127.8550876795994</v>
      </c>
      <c r="O46" s="99">
        <v>2</v>
      </c>
      <c r="P46" s="93">
        <f>Q45*2</f>
        <v>42</v>
      </c>
      <c r="Q46" s="1">
        <f t="shared" ref="Q46:Q54" si="27">P46*6+15</f>
        <v>267</v>
      </c>
      <c r="R46" s="9">
        <f>SUM($Q$45:Q46)</f>
        <v>288</v>
      </c>
      <c r="S46" s="280">
        <f t="shared" ref="S46:S54" si="28">R46/R8</f>
        <v>-569.26161607067934</v>
      </c>
      <c r="T46" s="9">
        <f t="shared" ref="T46:T54" si="29">U8/S46</f>
        <v>3.5638605848773749E-2</v>
      </c>
      <c r="U46" s="285">
        <f t="shared" ref="U46:U54" si="30">S46*U8</f>
        <v>11549.003400663136</v>
      </c>
    </row>
    <row r="47" spans="1:21" x14ac:dyDescent="0.2">
      <c r="A47" s="97">
        <v>3</v>
      </c>
      <c r="B47" s="93">
        <f t="shared" si="25"/>
        <v>144</v>
      </c>
      <c r="C47" s="1">
        <f t="shared" si="22"/>
        <v>864</v>
      </c>
      <c r="D47" s="9">
        <f>SUM($C$45:C47)</f>
        <v>942</v>
      </c>
      <c r="E47" s="9">
        <f t="shared" si="23"/>
        <v>-1937.5669334616023</v>
      </c>
      <c r="F47" s="9">
        <f t="shared" si="24"/>
        <v>1.6405031807201029E-2</v>
      </c>
      <c r="G47" s="285">
        <f t="shared" si="26"/>
        <v>61587.206432567109</v>
      </c>
      <c r="O47" s="99">
        <v>3</v>
      </c>
      <c r="P47" s="93">
        <f t="shared" ref="P47:P54" si="31">Q46*2</f>
        <v>534</v>
      </c>
      <c r="Q47" s="1">
        <f t="shared" si="27"/>
        <v>3219</v>
      </c>
      <c r="R47" s="9">
        <f>SUM($Q$45:Q47)</f>
        <v>3507</v>
      </c>
      <c r="S47" s="280">
        <f t="shared" si="28"/>
        <v>-7213.4259401802965</v>
      </c>
      <c r="T47" s="9">
        <f t="shared" si="29"/>
        <v>4.4064841637819693E-3</v>
      </c>
      <c r="U47" s="285">
        <f t="shared" si="30"/>
        <v>229284.85452124508</v>
      </c>
    </row>
    <row r="48" spans="1:21" x14ac:dyDescent="0.2">
      <c r="A48" s="97">
        <v>4</v>
      </c>
      <c r="B48" s="93">
        <f t="shared" si="25"/>
        <v>1728</v>
      </c>
      <c r="C48" s="1">
        <f t="shared" si="22"/>
        <v>10368</v>
      </c>
      <c r="D48" s="9">
        <f>SUM($C$45:C48)</f>
        <v>11310</v>
      </c>
      <c r="E48" s="9">
        <f t="shared" si="23"/>
        <v>-23507.545687266473</v>
      </c>
      <c r="F48" s="9">
        <f t="shared" si="24"/>
        <v>1.8529192957538075E-3</v>
      </c>
      <c r="G48" s="285">
        <f t="shared" si="26"/>
        <v>1023931.9194086217</v>
      </c>
      <c r="O48" s="99">
        <v>4</v>
      </c>
      <c r="P48" s="93">
        <f t="shared" si="31"/>
        <v>6438</v>
      </c>
      <c r="Q48" s="1">
        <f t="shared" si="27"/>
        <v>38643</v>
      </c>
      <c r="R48" s="9">
        <f>SUM($Q$45:Q48)</f>
        <v>42150</v>
      </c>
      <c r="S48" s="280">
        <f t="shared" si="28"/>
        <v>-87607.696792067349</v>
      </c>
      <c r="T48" s="9">
        <f t="shared" si="29"/>
        <v>4.9718902099586161E-4</v>
      </c>
      <c r="U48" s="285">
        <f t="shared" si="30"/>
        <v>3815979.6996528208</v>
      </c>
    </row>
    <row r="49" spans="1:21" x14ac:dyDescent="0.2">
      <c r="A49" s="97">
        <v>5</v>
      </c>
      <c r="B49" s="93">
        <f t="shared" si="25"/>
        <v>20736</v>
      </c>
      <c r="C49" s="1">
        <f t="shared" si="22"/>
        <v>124416</v>
      </c>
      <c r="D49" s="9">
        <f>SUM($C$45:C49)</f>
        <v>135726</v>
      </c>
      <c r="E49" s="9">
        <f t="shared" si="23"/>
        <v>-282873.35109716834</v>
      </c>
      <c r="F49" s="9">
        <f t="shared" si="24"/>
        <v>1.9594951546204163E-4</v>
      </c>
      <c r="G49" s="285">
        <f t="shared" si="26"/>
        <v>15679357.583071509</v>
      </c>
      <c r="O49" s="99">
        <v>5</v>
      </c>
      <c r="P49" s="93">
        <f t="shared" si="31"/>
        <v>77286</v>
      </c>
      <c r="Q49" s="1">
        <f t="shared" si="27"/>
        <v>463731</v>
      </c>
      <c r="R49" s="9">
        <f>SUM($Q$45:Q49)</f>
        <v>505881</v>
      </c>
      <c r="S49" s="280">
        <f t="shared" si="28"/>
        <v>-1054331.9167026703</v>
      </c>
      <c r="T49" s="9">
        <f t="shared" si="29"/>
        <v>5.2572529775977079E-5</v>
      </c>
      <c r="U49" s="285">
        <f t="shared" si="30"/>
        <v>58440454.249604337</v>
      </c>
    </row>
    <row r="50" spans="1:21" x14ac:dyDescent="0.2">
      <c r="A50" s="97">
        <v>6</v>
      </c>
      <c r="B50" s="93">
        <f t="shared" si="25"/>
        <v>248832</v>
      </c>
      <c r="C50" s="1">
        <f t="shared" si="22"/>
        <v>1492992</v>
      </c>
      <c r="D50" s="9">
        <f>SUM($C$45:C50)</f>
        <v>1628718</v>
      </c>
      <c r="E50" s="9">
        <f t="shared" si="23"/>
        <v>-3396904.7552273972</v>
      </c>
      <c r="F50" s="9">
        <f t="shared" si="24"/>
        <v>1.9822097551198514E-5</v>
      </c>
      <c r="G50" s="285">
        <f t="shared" si="26"/>
        <v>228726428.74023119</v>
      </c>
      <c r="O50" s="99">
        <v>6</v>
      </c>
      <c r="P50" s="93">
        <f t="shared" si="31"/>
        <v>927462</v>
      </c>
      <c r="Q50" s="1">
        <f t="shared" si="27"/>
        <v>5564787</v>
      </c>
      <c r="R50" s="9">
        <f>SUM($Q$45:Q50)</f>
        <v>6070668</v>
      </c>
      <c r="S50" s="280">
        <f t="shared" si="28"/>
        <v>-12661173.387048461</v>
      </c>
      <c r="T50" s="9">
        <f t="shared" si="29"/>
        <v>5.3181309008156832E-6</v>
      </c>
      <c r="U50" s="285">
        <f t="shared" si="30"/>
        <v>852524630.8492949</v>
      </c>
    </row>
    <row r="51" spans="1:21" x14ac:dyDescent="0.2">
      <c r="A51" s="97">
        <v>7</v>
      </c>
      <c r="B51" s="93">
        <f t="shared" si="25"/>
        <v>2985984</v>
      </c>
      <c r="C51" s="1">
        <f t="shared" si="22"/>
        <v>17915904</v>
      </c>
      <c r="D51" s="9">
        <f>SUM($C$45:C51)</f>
        <v>19544622</v>
      </c>
      <c r="E51" s="9">
        <f t="shared" si="23"/>
        <v>-40770409.083033904</v>
      </c>
      <c r="F51" s="9">
        <f t="shared" si="24"/>
        <v>1.9437973935383603E-6</v>
      </c>
      <c r="G51" s="285">
        <f t="shared" si="26"/>
        <v>3231031065.4348478</v>
      </c>
      <c r="O51" s="99">
        <v>7</v>
      </c>
      <c r="P51" s="93">
        <f t="shared" si="31"/>
        <v>11129574</v>
      </c>
      <c r="Q51" s="1">
        <f t="shared" si="27"/>
        <v>66777459</v>
      </c>
      <c r="R51" s="9">
        <f>SUM($Q$45:Q51)</f>
        <v>72848127</v>
      </c>
      <c r="S51" s="280">
        <f t="shared" si="28"/>
        <v>-151962413.9429664</v>
      </c>
      <c r="T51" s="9">
        <f t="shared" si="29"/>
        <v>5.2150668611277387E-7</v>
      </c>
      <c r="U51" s="285">
        <f t="shared" si="30"/>
        <v>12042932393.153633</v>
      </c>
    </row>
    <row r="52" spans="1:21" x14ac:dyDescent="0.2">
      <c r="A52" s="97">
        <v>8</v>
      </c>
      <c r="B52" s="93">
        <f t="shared" si="25"/>
        <v>35831808</v>
      </c>
      <c r="C52" s="1">
        <f t="shared" si="22"/>
        <v>214990848</v>
      </c>
      <c r="D52" s="9">
        <f>SUM($C$45:C52)</f>
        <v>234535470</v>
      </c>
      <c r="E52" s="9">
        <f t="shared" si="23"/>
        <v>-489268477.82847995</v>
      </c>
      <c r="F52" s="9">
        <f t="shared" si="24"/>
        <v>1.8633609961664459E-7</v>
      </c>
      <c r="G52" s="285">
        <f t="shared" si="26"/>
        <v>44605814422.54377</v>
      </c>
      <c r="O52" s="99">
        <v>8</v>
      </c>
      <c r="P52" s="93">
        <f t="shared" si="31"/>
        <v>133554918</v>
      </c>
      <c r="Q52" s="1">
        <f t="shared" si="27"/>
        <v>801329523</v>
      </c>
      <c r="R52" s="9">
        <f>SUM($Q$45:Q52)</f>
        <v>874177650</v>
      </c>
      <c r="S52" s="280">
        <f t="shared" si="28"/>
        <v>-1823637030.966692</v>
      </c>
      <c r="T52" s="9">
        <f t="shared" si="29"/>
        <v>4.9992612716141348E-8</v>
      </c>
      <c r="U52" s="285">
        <f t="shared" si="30"/>
        <v>166258033500.15848</v>
      </c>
    </row>
    <row r="53" spans="1:21" x14ac:dyDescent="0.2">
      <c r="A53" s="97">
        <v>9</v>
      </c>
      <c r="B53" s="93">
        <f t="shared" si="25"/>
        <v>429981696</v>
      </c>
      <c r="C53" s="1">
        <f t="shared" si="22"/>
        <v>2579890176</v>
      </c>
      <c r="D53" s="9">
        <f>SUM($C$45:C53)</f>
        <v>2814425646</v>
      </c>
      <c r="E53" s="9">
        <f t="shared" si="23"/>
        <v>-5871295336.8645325</v>
      </c>
      <c r="F53" s="9">
        <f t="shared" si="24"/>
        <v>1.7558024679593855E-8</v>
      </c>
      <c r="G53" s="285">
        <f t="shared" si="26"/>
        <v>605262139397.76965</v>
      </c>
      <c r="O53" s="99">
        <v>9</v>
      </c>
      <c r="P53" s="93">
        <f t="shared" si="31"/>
        <v>1602659046</v>
      </c>
      <c r="Q53" s="1">
        <f t="shared" si="27"/>
        <v>9615954291</v>
      </c>
      <c r="R53" s="9">
        <f>SUM($Q$45:Q53)</f>
        <v>10490131941</v>
      </c>
      <c r="S53" s="280">
        <f t="shared" si="28"/>
        <v>-21883918957.256046</v>
      </c>
      <c r="T53" s="9">
        <f t="shared" si="29"/>
        <v>4.7106895536948969E-9</v>
      </c>
      <c r="U53" s="285">
        <f t="shared" si="30"/>
        <v>2255977062388.7144</v>
      </c>
    </row>
    <row r="54" spans="1:21" ht="17" thickBot="1" x14ac:dyDescent="0.25">
      <c r="A54" s="145">
        <v>10</v>
      </c>
      <c r="B54" s="94">
        <f t="shared" si="25"/>
        <v>5159780352</v>
      </c>
      <c r="C54" s="111">
        <f t="shared" si="22"/>
        <v>30958682112</v>
      </c>
      <c r="D54" s="10">
        <f>SUM($C$45:C54)</f>
        <v>33773107758</v>
      </c>
      <c r="E54" s="10">
        <f t="shared" si="23"/>
        <v>-70455773945.828156</v>
      </c>
      <c r="F54" s="10">
        <f t="shared" si="24"/>
        <v>1.6323518666312026E-9</v>
      </c>
      <c r="G54" s="286">
        <f t="shared" si="26"/>
        <v>8103020917938.917</v>
      </c>
      <c r="O54" s="100">
        <v>10</v>
      </c>
      <c r="P54" s="94">
        <f t="shared" si="31"/>
        <v>19231908582</v>
      </c>
      <c r="Q54" s="111">
        <f t="shared" si="27"/>
        <v>115391451507</v>
      </c>
      <c r="R54" s="10">
        <f>SUM($Q$45:Q54)</f>
        <v>125881583448</v>
      </c>
      <c r="S54" s="281">
        <f t="shared" si="28"/>
        <v>-262607884678.73016</v>
      </c>
      <c r="T54" s="10">
        <f t="shared" si="29"/>
        <v>4.3794806182654467E-10</v>
      </c>
      <c r="U54" s="286">
        <f t="shared" si="30"/>
        <v>30202168872682.438</v>
      </c>
    </row>
  </sheetData>
  <mergeCells count="2">
    <mergeCell ref="A18:F18"/>
    <mergeCell ref="O18:T18"/>
  </mergeCells>
  <conditionalFormatting sqref="F45:F54">
    <cfRule type="cellIs" dxfId="285" priority="53" operator="equal">
      <formula>MAX($F$45:$F$54)</formula>
    </cfRule>
  </conditionalFormatting>
  <conditionalFormatting sqref="F21:F30">
    <cfRule type="cellIs" dxfId="284" priority="51" operator="equal">
      <formula>MAX($F$21:$F$30)</formula>
    </cfRule>
  </conditionalFormatting>
  <conditionalFormatting sqref="E33:E42">
    <cfRule type="cellIs" dxfId="283" priority="49" stopIfTrue="1" operator="lessThan">
      <formula>0</formula>
    </cfRule>
    <cfRule type="cellIs" dxfId="282" priority="50" operator="equal">
      <formula>MIN($E$33:$E$42)</formula>
    </cfRule>
  </conditionalFormatting>
  <conditionalFormatting sqref="E21:E30">
    <cfRule type="cellIs" dxfId="281" priority="45" stopIfTrue="1" operator="lessThan">
      <formula>0</formula>
    </cfRule>
    <cfRule type="cellIs" dxfId="280" priority="46" operator="equal">
      <formula>MIN($E$21:$E$30)</formula>
    </cfRule>
  </conditionalFormatting>
  <conditionalFormatting sqref="E45:E54">
    <cfRule type="cellIs" dxfId="279" priority="41" stopIfTrue="1" operator="lessThan">
      <formula>0</formula>
    </cfRule>
    <cfRule type="cellIs" dxfId="278" priority="42" operator="equal">
      <formula>MIN($E$45:$E$54)</formula>
    </cfRule>
  </conditionalFormatting>
  <conditionalFormatting sqref="F33:F42">
    <cfRule type="cellIs" dxfId="277" priority="31" operator="lessThanOrEqual">
      <formula>0</formula>
    </cfRule>
    <cfRule type="cellIs" dxfId="276" priority="32" operator="equal">
      <formula>MAX($F$33:$F$42)</formula>
    </cfRule>
  </conditionalFormatting>
  <conditionalFormatting sqref="S7:T16">
    <cfRule type="cellIs" dxfId="275" priority="13" operator="lessThanOrEqual">
      <formula>0</formula>
    </cfRule>
    <cfRule type="cellIs" dxfId="274" priority="14" operator="greaterThan">
      <formula>0</formula>
    </cfRule>
  </conditionalFormatting>
  <conditionalFormatting sqref="U7:U16">
    <cfRule type="cellIs" dxfId="273" priority="15" operator="lessThanOrEqual">
      <formula>0</formula>
    </cfRule>
    <cfRule type="cellIs" dxfId="272" priority="16" operator="greaterThan">
      <formula>0</formula>
    </cfRule>
  </conditionalFormatting>
  <conditionalFormatting sqref="R7:R16">
    <cfRule type="cellIs" dxfId="271" priority="17" operator="lessThanOrEqual">
      <formula>0</formula>
    </cfRule>
    <cfRule type="cellIs" dxfId="270" priority="18" operator="greaterThan">
      <formula>0</formula>
    </cfRule>
  </conditionalFormatting>
  <conditionalFormatting sqref="T21:T30">
    <cfRule type="cellIs" dxfId="269" priority="9" operator="equal">
      <formula>MAX($T$21:$T$30)</formula>
    </cfRule>
  </conditionalFormatting>
  <conditionalFormatting sqref="S33:S42">
    <cfRule type="cellIs" dxfId="268" priority="7" stopIfTrue="1" operator="lessThan">
      <formula>0</formula>
    </cfRule>
    <cfRule type="cellIs" dxfId="267" priority="8" operator="equal">
      <formula>MIN($E$21:$E$30)</formula>
    </cfRule>
  </conditionalFormatting>
  <conditionalFormatting sqref="T33:T42">
    <cfRule type="cellIs" dxfId="266" priority="6" operator="equal">
      <formula>MAX($T$21:$T$30)</formula>
    </cfRule>
  </conditionalFormatting>
  <conditionalFormatting sqref="S45:S54">
    <cfRule type="cellIs" dxfId="265" priority="4" stopIfTrue="1" operator="lessThan">
      <formula>0</formula>
    </cfRule>
    <cfRule type="cellIs" dxfId="264" priority="5" operator="equal">
      <formula>MIN($E$21:$E$30)</formula>
    </cfRule>
  </conditionalFormatting>
  <conditionalFormatting sqref="T45:T54">
    <cfRule type="cellIs" dxfId="263" priority="3" operator="equal">
      <formula>MAX($T$21:$T$30)</formula>
    </cfRule>
  </conditionalFormatting>
  <conditionalFormatting sqref="S21:S30">
    <cfRule type="cellIs" dxfId="262" priority="1" stopIfTrue="1" operator="lessThan">
      <formula>0</formula>
    </cfRule>
    <cfRule type="cellIs" dxfId="26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54"/>
  <sheetViews>
    <sheetView topLeftCell="A14"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 t="s">
        <v>53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(SUM(HS!B4:B11)+Rules!$B$5*HS!B12+HS!B36)/(9+Rules!$B$5)</f>
        <v>-0.20335368314889377</v>
      </c>
      <c r="C2">
        <f>(SUM(HS!C4:C11)+Rules!$B$5*HS!C12+HS!C36)/(9+Rules!$B$5)</f>
        <v>-7.5884358318949102E-2</v>
      </c>
      <c r="D2">
        <f>(SUM(HS!D4:D11)+Rules!$B$5*HS!D12+HS!D36)/(9+Rules!$B$5)</f>
        <v>-4.9750706146412048E-2</v>
      </c>
      <c r="E2">
        <f>(SUM(HS!E4:E11)+Rules!$B$5*HS!E12+HS!E36)/(9+Rules!$B$5)</f>
        <v>-2.2100412135834389E-2</v>
      </c>
      <c r="F2">
        <f>(SUM(HS!F4:F11)+Rules!$B$5*HS!F12+HS!F36)/(9+Rules!$B$5)</f>
        <v>1.3730032284783571E-2</v>
      </c>
      <c r="G2">
        <f>(SUM(HS!G4:G11)+Rules!$B$5*HS!G12+HS!G36)/(9+Rules!$B$5)</f>
        <v>3.8883411946301231E-2</v>
      </c>
      <c r="H2">
        <f>(SUM(HS!H4:H11)+Rules!$B$5*HS!H12+HS!H36)/(9+Rules!$B$5)</f>
        <v>-2.7257021375862247E-2</v>
      </c>
      <c r="I2">
        <f>(SUM(HS!I4:I11)+Rules!$B$5*HS!I12+HS!I36)/(9+Rules!$B$5)</f>
        <v>-0.10316172777512726</v>
      </c>
      <c r="J2">
        <f>(SUM(HS!J4:J11)+Rules!$B$5*HS!J12+HS!J36)/(9+Rules!$B$5)</f>
        <v>-0.19004714305350842</v>
      </c>
      <c r="K2">
        <f>(SUM(HS!K4:K11)+Rules!$B$5*HS!K12+HS!K36)/(9+Rules!$B$5)</f>
        <v>-0.24199803315764098</v>
      </c>
    </row>
    <row r="3" spans="1:11" x14ac:dyDescent="0.2">
      <c r="A3">
        <v>3</v>
      </c>
      <c r="B3">
        <f>(SUM(HS!B5:B12)+Rules!$B$5*HS!B13+HS!B37)/(9+Rules!$B$5)</f>
        <v>-0.22793749290805351</v>
      </c>
      <c r="C3">
        <f>(SUM(HS!C5:C12)+Rules!$B$5*HS!C13+HS!C37)/(9+Rules!$B$5)</f>
        <v>-0.10052250439785246</v>
      </c>
      <c r="D3">
        <f>(SUM(HS!D5:D12)+Rules!$B$5*HS!D13+HS!D37)/(9+Rules!$B$5)</f>
        <v>-6.8875858278897514E-2</v>
      </c>
      <c r="E3">
        <f>(SUM(HS!E5:E12)+Rules!$B$5*HS!E13+HS!E37)/(9+Rules!$B$5)</f>
        <v>-3.6261290708905339E-2</v>
      </c>
      <c r="F3">
        <f>(SUM(HS!F5:F12)+Rules!$B$5*HS!F13+HS!F37)/(9+Rules!$B$5)</f>
        <v>1.6995712139687808E-4</v>
      </c>
      <c r="G3">
        <f>(SUM(HS!G5:G12)+Rules!$B$5*HS!G13+HS!G37)/(9+Rules!$B$5)</f>
        <v>2.447130320655936E-2</v>
      </c>
      <c r="H3">
        <f>(SUM(HS!H5:H12)+Rules!$B$5*HS!H13+HS!H37)/(9+Rules!$B$5)</f>
        <v>-5.7437588540356667E-2</v>
      </c>
      <c r="I3">
        <f>(SUM(HS!I5:I12)+Rules!$B$5*HS!I13+HS!I37)/(9+Rules!$B$5)</f>
        <v>-0.13094188065020101</v>
      </c>
      <c r="J3">
        <f>(SUM(HS!J5:J12)+Rules!$B$5*HS!J13+HS!J37)/(9+Rules!$B$5)</f>
        <v>-0.21507662281362433</v>
      </c>
      <c r="K3">
        <f>(SUM(HS!K5:K12)+Rules!$B$5*HS!K13+HS!K37)/(9+Rules!$B$5)</f>
        <v>-0.26532921479747562</v>
      </c>
    </row>
    <row r="4" spans="1:11" x14ac:dyDescent="0.2">
      <c r="A4">
        <v>4</v>
      </c>
      <c r="B4">
        <f>(SUM(HS!B6:B13)+Rules!$B$5*HS!B14+HS!B38)/(9+Rules!$B$5)</f>
        <v>-0.25307699440390863</v>
      </c>
      <c r="C4">
        <f>(SUM(HS!C6:C13)+Rules!$B$5*HS!C14+HS!C38)/(9+Rules!$B$5)</f>
        <v>-0.11491332761892134</v>
      </c>
      <c r="D4">
        <f>(SUM(HS!D6:D13)+Rules!$B$5*HS!D14+HS!D38)/(9+Rules!$B$5)</f>
        <v>-8.2613314299744361E-2</v>
      </c>
      <c r="E4">
        <f>(SUM(HS!E6:E13)+Rules!$B$5*HS!E14+HS!E38)/(9+Rules!$B$5)</f>
        <v>-4.9367420106916922E-2</v>
      </c>
      <c r="F4">
        <f>(SUM(HS!F6:F13)+Rules!$B$5*HS!F14+HS!F38)/(9+Rules!$B$5)</f>
        <v>-1.2379926519926384E-2</v>
      </c>
      <c r="G4">
        <f>(SUM(HS!G6:G13)+Rules!$B$5*HS!G14+HS!G38)/(9+Rules!$B$5)</f>
        <v>1.1130417280979797E-2</v>
      </c>
      <c r="H4">
        <f>(SUM(HS!H6:H13)+Rules!$B$5*HS!H14+HS!H38)/(9+Rules!$B$5)</f>
        <v>-8.8279201058463722E-2</v>
      </c>
      <c r="I4">
        <f>(SUM(HS!I6:I13)+Rules!$B$5*HS!I14+HS!I38)/(9+Rules!$B$5)</f>
        <v>-0.15933415266020512</v>
      </c>
      <c r="J4">
        <f>(SUM(HS!J6:J13)+Rules!$B$5*HS!J14+HS!J38)/(9+Rules!$B$5)</f>
        <v>-0.24066617915336547</v>
      </c>
      <c r="K4">
        <f>(SUM(HS!K6:K13)+Rules!$B$5*HS!K14+HS!K38)/(9+Rules!$B$5)</f>
        <v>-0.28919791448567511</v>
      </c>
    </row>
    <row r="5" spans="1:11" x14ac:dyDescent="0.2">
      <c r="A5">
        <v>5</v>
      </c>
      <c r="B5">
        <f>(SUM(HS!B7:B14)+Rules!$B$5*HS!B15+HS!B39)/(9+Rules!$B$5)</f>
        <v>-0.27857459755181968</v>
      </c>
      <c r="C5">
        <f>(SUM(HS!C7:C14)+Rules!$B$5*HS!C15+HS!C39)/(9+Rules!$B$5)</f>
        <v>-0.12821556706374745</v>
      </c>
      <c r="D5">
        <f>(SUM(HS!D7:D14)+Rules!$B$5*HS!D15+HS!D39)/(9+Rules!$B$5)</f>
        <v>-9.5310227261489883E-2</v>
      </c>
      <c r="E5">
        <f>(SUM(HS!E7:E14)+Rules!$B$5*HS!E15+HS!E39)/(9+Rules!$B$5)</f>
        <v>-6.1479464199694238E-2</v>
      </c>
      <c r="F5">
        <f>(SUM(HS!F7:F14)+Rules!$B$5*HS!F15+HS!F39)/(9+Rules!$B$5)</f>
        <v>-2.397897039185962E-2</v>
      </c>
      <c r="G5">
        <f>(SUM(HS!G7:G14)+Rules!$B$5*HS!G15+HS!G39)/(9+Rules!$B$5)</f>
        <v>-1.1863378384401623E-3</v>
      </c>
      <c r="H5">
        <f>(SUM(HS!H7:H14)+Rules!$B$5*HS!H15+HS!H39)/(9+Rules!$B$5)</f>
        <v>-0.11944744188414852</v>
      </c>
      <c r="I5">
        <f>(SUM(HS!I7:I14)+Rules!$B$5*HS!I15+HS!I39)/(9+Rules!$B$5)</f>
        <v>-0.18809330390318524</v>
      </c>
      <c r="J5">
        <f>(SUM(HS!J7:J14)+Rules!$B$5*HS!J15+HS!J39)/(9+Rules!$B$5)</f>
        <v>-0.26661505335795899</v>
      </c>
      <c r="K5">
        <f>(SUM(HS!K7:K14)+Rules!$B$5*HS!K15+HS!K39)/(9+Rules!$B$5)</f>
        <v>-0.31341164336497107</v>
      </c>
    </row>
    <row r="6" spans="1:11" x14ac:dyDescent="0.2">
      <c r="A6">
        <v>6</v>
      </c>
      <c r="B6">
        <f>(SUM(HS!B8:B15)+Rules!$B$5*HS!B16+HS!B40)/(9+Rules!$B$5)</f>
        <v>-0.30414663097569933</v>
      </c>
      <c r="C6">
        <f>(SUM(HS!C8:C15)+Rules!$B$5*HS!C16+HS!C40)/(9+Rules!$B$5)</f>
        <v>-0.14075911746001987</v>
      </c>
      <c r="D6">
        <f>(SUM(HS!D8:D15)+Rules!$B$5*HS!D16+HS!D40)/(9+Rules!$B$5)</f>
        <v>-0.10729107800860836</v>
      </c>
      <c r="E6">
        <f>(SUM(HS!E8:E15)+Rules!$B$5*HS!E16+HS!E40)/(9+Rules!$B$5)</f>
        <v>-7.2917141926387305E-2</v>
      </c>
      <c r="F6">
        <f>(SUM(HS!F8:F15)+Rules!$B$5*HS!F16+HS!F40)/(9+Rules!$B$5)</f>
        <v>-3.4915973330102178E-2</v>
      </c>
      <c r="G6">
        <f>(SUM(HS!G8:G15)+Rules!$B$5*HS!G16+HS!G40)/(9+Rules!$B$5)</f>
        <v>-1.3005835529874294E-2</v>
      </c>
      <c r="H6">
        <f>(SUM(HS!H8:H15)+Rules!$B$5*HS!H16+HS!H40)/(9+Rules!$B$5)</f>
        <v>-0.15193270723669944</v>
      </c>
      <c r="I6">
        <f>(SUM(HS!I8:I15)+Rules!$B$5*HS!I16+HS!I40)/(9+Rules!$B$5)</f>
        <v>-0.21724188132078476</v>
      </c>
      <c r="J6">
        <f>(SUM(HS!J8:J15)+Rules!$B$5*HS!J16+HS!J40)/(9+Rules!$B$5)</f>
        <v>-0.29264070019772598</v>
      </c>
      <c r="K6">
        <f>(SUM(HS!K8:K15)+Rules!$B$5*HS!K16+HS!K40)/(9+Rules!$B$5)</f>
        <v>-0.33774944037840804</v>
      </c>
    </row>
    <row r="7" spans="1:11" x14ac:dyDescent="0.2">
      <c r="A7">
        <v>7</v>
      </c>
      <c r="B7">
        <f>(SUM(HS!B9:B16)+Rules!$B$5*HS!B17+HS!B41)/(9+Rules!$B$5)</f>
        <v>-0.31007165033163697</v>
      </c>
      <c r="C7">
        <f>(SUM(HS!C9:C16)+Rules!$B$5*HS!C17+HS!C41)/(9+Rules!$B$5)</f>
        <v>-0.10918342786661633</v>
      </c>
      <c r="D7">
        <f>(SUM(HS!D9:D16)+Rules!$B$5*HS!D17+HS!D41)/(9+Rules!$B$5)</f>
        <v>-7.658298190446361E-2</v>
      </c>
      <c r="E7">
        <f>(SUM(HS!E9:E16)+Rules!$B$5*HS!E17+HS!E41)/(9+Rules!$B$5)</f>
        <v>-4.3021794004341876E-2</v>
      </c>
      <c r="F7">
        <f>(SUM(HS!F9:F16)+Rules!$B$5*HS!F17+HS!F41)/(9+Rules!$B$5)</f>
        <v>-7.2713609029408845E-3</v>
      </c>
      <c r="G7">
        <f>(SUM(HS!G9:G16)+Rules!$B$5*HS!G17+HS!G41)/(9+Rules!$B$5)</f>
        <v>2.9185342353860864E-2</v>
      </c>
      <c r="H7">
        <f>(SUM(HS!H9:H16)+Rules!$B$5*HS!H17+HS!H41)/(9+Rules!$B$5)</f>
        <v>-6.8807799580427764E-2</v>
      </c>
      <c r="I7">
        <f>(SUM(HS!I9:I16)+Rules!$B$5*HS!I17+HS!I41)/(9+Rules!$B$5)</f>
        <v>-0.21060476872434969</v>
      </c>
      <c r="J7">
        <f>(SUM(HS!J9:J16)+Rules!$B$5*HS!J17+HS!J41)/(9+Rules!$B$5)</f>
        <v>-0.28536544048687656</v>
      </c>
      <c r="K7">
        <f>(SUM(HS!K9:K16)+Rules!$B$5*HS!K17+HS!K41)/(9+Rules!$B$5)</f>
        <v>-0.31905479139833842</v>
      </c>
    </row>
    <row r="8" spans="1:11" x14ac:dyDescent="0.2">
      <c r="A8">
        <v>8</v>
      </c>
      <c r="B8">
        <f>(SUM(HS!B10:B17)+Rules!$B$5*HS!B18+HS!B42)/(9+Rules!$B$5)</f>
        <v>-0.1970288105741636</v>
      </c>
      <c r="C8">
        <f>(SUM(HS!C10:C17)+Rules!$B$5*HS!C18+HS!C42)/(9+Rules!$B$5)</f>
        <v>-2.1798188008805668E-2</v>
      </c>
      <c r="D8">
        <f>(SUM(HS!D10:D17)+Rules!$B$5*HS!D18+HS!D42)/(9+Rules!$B$5)</f>
        <v>8.0052625306546825E-3</v>
      </c>
      <c r="E8">
        <f>(SUM(HS!E10:E17)+Rules!$B$5*HS!E18+HS!E42)/(9+Rules!$B$5)</f>
        <v>3.8784473277208811E-2</v>
      </c>
      <c r="F8">
        <f>(SUM(HS!F10:F17)+Rules!$B$5*HS!F18+HS!F42)/(9+Rules!$B$5)</f>
        <v>7.0804635983033826E-2</v>
      </c>
      <c r="G8">
        <f>(SUM(HS!G10:G17)+Rules!$B$5*HS!G18+HS!G42)/(9+Rules!$B$5)</f>
        <v>0.11496015009622321</v>
      </c>
      <c r="H8">
        <f>(SUM(HS!H10:H17)+Rules!$B$5*HS!H18+HS!H42)/(9+Rules!$B$5)</f>
        <v>8.2207439363742862E-2</v>
      </c>
      <c r="I8">
        <f>(SUM(HS!I10:I17)+Rules!$B$5*HS!I18+HS!I42)/(9+Rules!$B$5)</f>
        <v>-5.9898275658656304E-2</v>
      </c>
      <c r="J8">
        <f>(SUM(HS!J10:J17)+Rules!$B$5*HS!J18+HS!J42)/(9+Rules!$B$5)</f>
        <v>-0.21018633199821757</v>
      </c>
      <c r="K8">
        <f>(SUM(HS!K10:K17)+Rules!$B$5*HS!K18+HS!K42)/(9+Rules!$B$5)</f>
        <v>-0.24937508055334259</v>
      </c>
    </row>
    <row r="9" spans="1:11" x14ac:dyDescent="0.2">
      <c r="A9">
        <v>9</v>
      </c>
      <c r="B9">
        <f>(SUM(HS!B11:B18)+Rules!$B$5*HS!B19+HS!B43)/(9+Rules!$B$5)</f>
        <v>-6.5680778778066204E-2</v>
      </c>
      <c r="C9">
        <f>(SUM(HS!C11:C18)+Rules!$B$5*HS!C19+HS!C43)/(9+Rules!$B$5)</f>
        <v>7.4446037576340524E-2</v>
      </c>
      <c r="D9">
        <f>(SUM(HS!D11:D18)+Rules!$B$5*HS!D19+HS!D43)/(9+Rules!$B$5)</f>
        <v>0.10126470173887674</v>
      </c>
      <c r="E9">
        <f>(SUM(HS!E11:E18)+Rules!$B$5*HS!E19+HS!E43)/(9+Rules!$B$5)</f>
        <v>0.12898088119574178</v>
      </c>
      <c r="F9">
        <f>(SUM(HS!F11:F18)+Rules!$B$5*HS!F19+HS!F43)/(9+Rules!$B$5)</f>
        <v>0.15803185626651736</v>
      </c>
      <c r="G9">
        <f>(SUM(HS!G11:G18)+Rules!$B$5*HS!G19+HS!G43)/(9+Rules!$B$5)</f>
        <v>0.19601883925727878</v>
      </c>
      <c r="H9">
        <f>(SUM(HS!H11:H18)+Rules!$B$5*HS!H19+HS!H43)/(9+Rules!$B$5)</f>
        <v>0.17186785993695267</v>
      </c>
      <c r="I9">
        <f>(SUM(HS!I11:I18)+Rules!$B$5*HS!I19+HS!I43)/(9+Rules!$B$5)</f>
        <v>9.8376217435392516E-2</v>
      </c>
      <c r="J9">
        <f>(SUM(HS!J11:J18)+Rules!$B$5*HS!J19+HS!J43)/(9+Rules!$B$5)</f>
        <v>-5.2178053462651669E-2</v>
      </c>
      <c r="K9">
        <f>(SUM(HS!K11:K18)+Rules!$B$5*HS!K19+HS!K43)/(9+Rules!$B$5)</f>
        <v>-0.15295298487455075</v>
      </c>
    </row>
    <row r="10" spans="1:11" x14ac:dyDescent="0.2">
      <c r="A10">
        <v>10</v>
      </c>
      <c r="B10">
        <f>(SUM(HS!B12:B19)+Rules!$B$5*HS!B20+HS!B44)/(9+Rules!$B$5)</f>
        <v>8.1449707945275923E-2</v>
      </c>
      <c r="C10">
        <f>(SUM(HS!C12:C19)+Rules!$B$5*HS!C20+HS!C44)/(9+Rules!$B$5)</f>
        <v>0.18249999400904487</v>
      </c>
      <c r="D10">
        <f>(SUM(HS!D12:D19)+Rules!$B$5*HS!D20+HS!D44)/(9+Rules!$B$5)</f>
        <v>0.20608797581394089</v>
      </c>
      <c r="E10">
        <f>(SUM(HS!E12:E19)+Rules!$B$5*HS!E20+HS!E44)/(9+Rules!$B$5)</f>
        <v>0.230470121897177</v>
      </c>
      <c r="F10">
        <f>(SUM(HS!F12:F19)+Rules!$B$5*HS!F20+HS!F44)/(9+Rules!$B$5)</f>
        <v>0.25625855450163387</v>
      </c>
      <c r="G10">
        <f>(SUM(HS!G12:G19)+Rules!$B$5*HS!G20+HS!G44)/(9+Rules!$B$5)</f>
        <v>0.28779508429888429</v>
      </c>
      <c r="H10">
        <f>(SUM(HS!H12:H19)+Rules!$B$5*HS!H20+HS!H44)/(9+Rules!$B$5)</f>
        <v>0.25690874433608657</v>
      </c>
      <c r="I10">
        <f>(SUM(HS!I12:I19)+Rules!$B$5*HS!I20+HS!I44)/(9+Rules!$B$5)</f>
        <v>0.19795370833197609</v>
      </c>
      <c r="J10">
        <f>(SUM(HS!J12:J19)+Rules!$B$5*HS!J20+HS!J44)/(9+Rules!$B$5)</f>
        <v>0.1165295910692839</v>
      </c>
      <c r="K10">
        <f>(SUM(HS!K12:K19)+Rules!$B$5*HS!K20+HS!K44)/(9+Rules!$B$5)</f>
        <v>2.5308523040868145E-2</v>
      </c>
    </row>
    <row r="11" spans="1:11" x14ac:dyDescent="0.2">
      <c r="A11">
        <v>11</v>
      </c>
      <c r="B11">
        <f>(SUM(HS!B12:B20)+Rules!$B$5*HS!B21)/(9+Rules!$B$5)</f>
        <v>0.14300128216153027</v>
      </c>
      <c r="C11">
        <f>(SUM(HS!C12:C20)+Rules!$B$5*HS!C21)/(9+Rules!$B$5)</f>
        <v>0.2383507494576298</v>
      </c>
      <c r="D11">
        <f>(SUM(HS!D12:D20)+Rules!$B$5*HS!D21)/(9+Rules!$B$5)</f>
        <v>0.26032526728707961</v>
      </c>
      <c r="E11">
        <f>(SUM(HS!E12:E20)+Rules!$B$5*HS!E21)/(9+Rules!$B$5)</f>
        <v>0.28302027520898798</v>
      </c>
      <c r="F11">
        <f>(SUM(HS!F12:F20)+Rules!$B$5*HS!F21)/(9+Rules!$B$5)</f>
        <v>0.30734950895451402</v>
      </c>
      <c r="G11">
        <f>(SUM(HS!G12:G20)+Rules!$B$5*HS!G21)/(9+Rules!$B$5)</f>
        <v>0.33369004745378472</v>
      </c>
      <c r="H11">
        <f>(SUM(HS!H12:H20)+Rules!$B$5*HS!H21)/(9+Rules!$B$5)</f>
        <v>0.29214699112701309</v>
      </c>
      <c r="I11">
        <f>(SUM(HS!I12:I20)+Rules!$B$5*HS!I21)/(9+Rules!$B$5)</f>
        <v>0.22998214532399169</v>
      </c>
      <c r="J11">
        <f>(SUM(HS!J12:J20)+Rules!$B$5*HS!J21)/(9+Rules!$B$5)</f>
        <v>0.15825711845512572</v>
      </c>
      <c r="K11">
        <f>(SUM(HS!K12:K20)+Rules!$B$5*HS!K21)/(9+Rules!$B$5)</f>
        <v>0.11948223076371363</v>
      </c>
    </row>
    <row r="12" spans="1:11" x14ac:dyDescent="0.2">
      <c r="A12">
        <v>12</v>
      </c>
      <c r="B12">
        <f>(SUM(HS!B13:B21)+Rules!$B$5*HS!B22)/(9+Rules!$B$5)</f>
        <v>-0.35054034044008009</v>
      </c>
      <c r="C12">
        <f>(SUM(HS!C13:C21)+Rules!$B$5*HS!C22)/(9+Rules!$B$5)</f>
        <v>-0.25338998596663809</v>
      </c>
      <c r="D12">
        <f>(SUM(HS!D13:D21)+Rules!$B$5*HS!D22)/(9+Rules!$B$5)</f>
        <v>-0.2336908997980866</v>
      </c>
      <c r="E12">
        <f>(SUM(HS!E13:E21)+Rules!$B$5*HS!E22)/(9+Rules!$B$5)</f>
        <v>-0.21353655324507695</v>
      </c>
      <c r="F12">
        <f>(SUM(HS!F13:F21)+Rules!$B$5*HS!F22)/(9+Rules!$B$5)</f>
        <v>-0.19327116942628339</v>
      </c>
      <c r="G12">
        <f>(SUM(HS!G13:G21)+Rules!$B$5*HS!G22)/(9+Rules!$B$5)</f>
        <v>-0.17052619990757953</v>
      </c>
      <c r="H12">
        <f>(SUM(HS!H13:H21)+Rules!$B$5*HS!H22)/(9+Rules!$B$5)</f>
        <v>-0.21284771451731424</v>
      </c>
      <c r="I12">
        <f>(SUM(HS!I13:I21)+Rules!$B$5*HS!I22)/(9+Rules!$B$5)</f>
        <v>-0.27157480502428616</v>
      </c>
      <c r="J12">
        <f>(SUM(HS!J13:J21)+Rules!$B$5*HS!J22)/(9+Rules!$B$5)</f>
        <v>-0.3400132806089356</v>
      </c>
      <c r="K12">
        <f>(SUM(HS!K13:K21)+Rules!$B$5*HS!K22)/(9+Rules!$B$5)</f>
        <v>-0.38104299284808768</v>
      </c>
    </row>
    <row r="13" spans="1:11" x14ac:dyDescent="0.2">
      <c r="A13">
        <v>13</v>
      </c>
      <c r="B13">
        <f>(SUM(HS!B14:B22)+Rules!$B$5*HS!B23)/(9+Rules!$B$5)</f>
        <v>-0.3969303161229315</v>
      </c>
      <c r="C13">
        <f>(SUM(HS!C14:C22)+Rules!$B$5*HS!C23)/(9+Rules!$B$5)</f>
        <v>-0.30779123771977057</v>
      </c>
      <c r="D13">
        <f>(SUM(HS!D14:D22)+Rules!$B$5*HS!D23)/(9+Rules!$B$5)</f>
        <v>-0.29121011293380095</v>
      </c>
      <c r="E13">
        <f>(SUM(HS!E14:E22)+Rules!$B$5*HS!E23)/(9+Rules!$B$5)</f>
        <v>-0.27422400639931432</v>
      </c>
      <c r="F13">
        <f>(SUM(HS!F14:F22)+Rules!$B$5*HS!F23)/(9+Rules!$B$5)</f>
        <v>-0.25733327243893911</v>
      </c>
      <c r="G13">
        <f>(SUM(HS!G14:G22)+Rules!$B$5*HS!G23)/(9+Rules!$B$5)</f>
        <v>-0.23562627561296379</v>
      </c>
      <c r="H13">
        <f>(SUM(HS!H14:H22)+Rules!$B$5*HS!H23)/(9+Rules!$B$5)</f>
        <v>-0.26907287776607752</v>
      </c>
      <c r="I13">
        <f>(SUM(HS!I14:I22)+Rules!$B$5*HS!I23)/(9+Rules!$B$5)</f>
        <v>-0.32360517609397998</v>
      </c>
      <c r="J13">
        <f>(SUM(HS!J14:J22)+Rules!$B$5*HS!J23)/(9+Rules!$B$5)</f>
        <v>-0.38715518913686875</v>
      </c>
      <c r="K13">
        <f>(SUM(HS!K14:K22)+Rules!$B$5*HS!K23)/(9+Rules!$B$5)</f>
        <v>-0.42525420764465277</v>
      </c>
    </row>
    <row r="14" spans="1:11" x14ac:dyDescent="0.2">
      <c r="A14">
        <v>14</v>
      </c>
      <c r="B14">
        <f>(SUM(HS!B15:B23)+Rules!$B$5*HS!B24)/(9+Rules!$B$5)</f>
        <v>-0.44000672211415065</v>
      </c>
      <c r="C14">
        <f>(SUM(HS!C15:C23)+Rules!$B$5*HS!C24)/(9+Rules!$B$5)</f>
        <v>-0.36219248947290311</v>
      </c>
      <c r="D14">
        <f>(SUM(HS!D15:D23)+Rules!$B$5*HS!D24)/(9+Rules!$B$5)</f>
        <v>-0.34872932606951529</v>
      </c>
      <c r="E14">
        <f>(SUM(HS!E15:E23)+Rules!$B$5*HS!E24)/(9+Rules!$B$5)</f>
        <v>-0.33491145955355167</v>
      </c>
      <c r="F14">
        <f>(SUM(HS!F15:F23)+Rules!$B$5*HS!F24)/(9+Rules!$B$5)</f>
        <v>-0.32139537545159491</v>
      </c>
      <c r="G14">
        <f>(SUM(HS!G15:G23)+Rules!$B$5*HS!G24)/(9+Rules!$B$5)</f>
        <v>-0.30072635131834807</v>
      </c>
      <c r="H14">
        <f>(SUM(HS!H15:H23)+Rules!$B$5*HS!H24)/(9+Rules!$B$5)</f>
        <v>-0.3212819579256434</v>
      </c>
      <c r="I14">
        <f>(SUM(HS!I15:I23)+Rules!$B$5*HS!I24)/(9+Rules!$B$5)</f>
        <v>-0.37191909208726714</v>
      </c>
      <c r="J14">
        <f>(SUM(HS!J15:J23)+Rules!$B$5*HS!J24)/(9+Rules!$B$5)</f>
        <v>-0.43092981848423528</v>
      </c>
      <c r="K14">
        <f>(SUM(HS!K15:K23)+Rules!$B$5*HS!K24)/(9+Rules!$B$5)</f>
        <v>-0.46630747852717758</v>
      </c>
    </row>
    <row r="15" spans="1:11" x14ac:dyDescent="0.2">
      <c r="A15">
        <v>15</v>
      </c>
      <c r="B15">
        <f>(SUM(HS!B16:B24)+Rules!$B$5*HS!B25)/(9+Rules!$B$5)</f>
        <v>-0.4800062419631399</v>
      </c>
      <c r="C15">
        <f>(SUM(HS!C16:C24)+Rules!$B$5*HS!C25)/(9+Rules!$B$5)</f>
        <v>-0.4165937412260356</v>
      </c>
      <c r="D15">
        <f>(SUM(HS!D16:D24)+Rules!$B$5*HS!D25)/(9+Rules!$B$5)</f>
        <v>-0.40624853920522963</v>
      </c>
      <c r="E15">
        <f>(SUM(HS!E16:E24)+Rules!$B$5*HS!E25)/(9+Rules!$B$5)</f>
        <v>-0.39559891270778902</v>
      </c>
      <c r="F15">
        <f>(SUM(HS!F16:F24)+Rules!$B$5*HS!F25)/(9+Rules!$B$5)</f>
        <v>-0.38545747846425066</v>
      </c>
      <c r="G15">
        <f>(SUM(HS!G16:G24)+Rules!$B$5*HS!G25)/(9+Rules!$B$5)</f>
        <v>-0.36582642702373236</v>
      </c>
      <c r="H15">
        <f>(SUM(HS!H16:H24)+Rules!$B$5*HS!H25)/(9+Rules!$B$5)</f>
        <v>-0.36976181807381175</v>
      </c>
      <c r="I15">
        <f>(SUM(HS!I16:I24)+Rules!$B$5*HS!I25)/(9+Rules!$B$5)</f>
        <v>-0.41678201408103371</v>
      </c>
      <c r="J15">
        <f>(SUM(HS!J16:J24)+Rules!$B$5*HS!J25)/(9+Rules!$B$5)</f>
        <v>-0.47157768859250415</v>
      </c>
      <c r="K15">
        <f>(SUM(HS!K16:K24)+Rules!$B$5*HS!K25)/(9+Rules!$B$5)</f>
        <v>-0.5044283729180935</v>
      </c>
    </row>
    <row r="16" spans="1:11" x14ac:dyDescent="0.2">
      <c r="A16">
        <v>16</v>
      </c>
      <c r="B16">
        <f>(SUM(HS!B17:B25)+Rules!$B$5*HS!B26)/(9+Rules!$B$5)</f>
        <v>-0.51714865325148707</v>
      </c>
      <c r="C16">
        <f>(SUM(HS!C17:C25)+Rules!$B$5*HS!C26)/(9+Rules!$B$5)</f>
        <v>-0.47099499297916808</v>
      </c>
      <c r="D16">
        <f>(SUM(HS!D17:D25)+Rules!$B$5*HS!D26)/(9+Rules!$B$5)</f>
        <v>-0.46376775234094403</v>
      </c>
      <c r="E16">
        <f>(SUM(HS!E17:E25)+Rules!$B$5*HS!E26)/(9+Rules!$B$5)</f>
        <v>-0.45628636586202637</v>
      </c>
      <c r="F16">
        <f>(SUM(HS!F17:F25)+Rules!$B$5*HS!F26)/(9+Rules!$B$5)</f>
        <v>-0.4495195814769064</v>
      </c>
      <c r="G16">
        <f>(SUM(HS!G17:G25)+Rules!$B$5*HS!G26)/(9+Rules!$B$5)</f>
        <v>-0.43092650272911659</v>
      </c>
      <c r="H16">
        <f>(SUM(HS!H17:H25)+Rules!$B$5*HS!H26)/(9+Rules!$B$5)</f>
        <v>-0.41477883106853947</v>
      </c>
      <c r="I16">
        <f>(SUM(HS!I17:I25)+Rules!$B$5*HS!I26)/(9+Rules!$B$5)</f>
        <v>-0.45844044164667419</v>
      </c>
      <c r="J16">
        <f>(SUM(HS!J17:J25)+Rules!$B$5*HS!J26)/(9+Rules!$B$5)</f>
        <v>-0.50932213940732529</v>
      </c>
      <c r="K16">
        <f>(SUM(HS!K17:K25)+Rules!$B$5*HS!K26)/(9+Rules!$B$5)</f>
        <v>-0.53982634628108683</v>
      </c>
    </row>
    <row r="17" spans="1:11" x14ac:dyDescent="0.2">
      <c r="A17">
        <v>17</v>
      </c>
      <c r="B17">
        <f>(SUM(HS!B18:B26)+Rules!$B$5*HS!B27)/(9+Rules!$B$5)</f>
        <v>-0.55729992440573806</v>
      </c>
      <c r="C17">
        <f>(SUM(HS!C18:C26)+Rules!$B$5*HS!C27)/(9+Rules!$B$5)</f>
        <v>-0.53615079392674181</v>
      </c>
      <c r="D17">
        <f>(SUM(HS!D18:D26)+Rules!$B$5*HS!D27)/(9+Rules!$B$5)</f>
        <v>-0.53167419530828453</v>
      </c>
      <c r="E17">
        <f>(SUM(HS!E18:E26)+Rules!$B$5*HS!E27)/(9+Rules!$B$5)</f>
        <v>-0.52701149100469435</v>
      </c>
      <c r="F17">
        <f>(SUM(HS!F18:F26)+Rules!$B$5*HS!F27)/(9+Rules!$B$5)</f>
        <v>-0.52298562951037375</v>
      </c>
      <c r="G17">
        <f>(SUM(HS!G18:G26)+Rules!$B$5*HS!G27)/(9+Rules!$B$5)</f>
        <v>-0.50875259201168133</v>
      </c>
      <c r="H17">
        <f>(SUM(HS!H18:H26)+Rules!$B$5*HS!H27)/(9+Rules!$B$5)</f>
        <v>-0.48348583187756294</v>
      </c>
      <c r="I17">
        <f>(SUM(HS!I18:I26)+Rules!$B$5*HS!I27)/(9+Rules!$B$5)</f>
        <v>-0.50598267464294744</v>
      </c>
      <c r="J17">
        <f>(SUM(HS!J18:J26)+Rules!$B$5*HS!J27)/(9+Rules!$B$5)</f>
        <v>-0.55369489020384699</v>
      </c>
      <c r="K17">
        <f>(SUM(HS!K18:K26)+Rules!$B$5*HS!K27)/(9+Rules!$B$5)</f>
        <v>-0.5844632205942546</v>
      </c>
    </row>
    <row r="18" spans="1:11" x14ac:dyDescent="0.2">
      <c r="A18">
        <v>18</v>
      </c>
      <c r="B18">
        <f>(SUM(HS!B19:B27)+Rules!$B$5*HS!B28)/(9+Rules!$B$5)</f>
        <v>-0.62651539551241564</v>
      </c>
      <c r="C18">
        <f>(SUM(HS!C19:C27)+Rules!$B$5*HS!C28)/(9+Rules!$B$5)</f>
        <v>-0.62243863255911769</v>
      </c>
      <c r="D18">
        <f>(SUM(HS!D19:D27)+Rules!$B$5*HS!D28)/(9+Rules!$B$5)</f>
        <v>-0.62000497014223144</v>
      </c>
      <c r="E18">
        <f>(SUM(HS!E19:E27)+Rules!$B$5*HS!E28)/(9+Rules!$B$5)</f>
        <v>-0.6174618323275779</v>
      </c>
      <c r="F18">
        <f>(SUM(HS!F19:F27)+Rules!$B$5*HS!F28)/(9+Rules!$B$5)</f>
        <v>-0.6152595675854643</v>
      </c>
      <c r="G18">
        <f>(SUM(HS!G19:G27)+Rules!$B$5*HS!G28)/(9+Rules!$B$5)</f>
        <v>-0.60747904709221201</v>
      </c>
      <c r="H18">
        <f>(SUM(HS!H19:H27)+Rules!$B$5*HS!H28)/(9+Rules!$B$5)</f>
        <v>-0.59114384474960535</v>
      </c>
      <c r="I18">
        <f>(SUM(HS!I19:I27)+Rules!$B$5*HS!I28)/(9+Rules!$B$5)</f>
        <v>-0.59105585530595706</v>
      </c>
      <c r="J18">
        <f>(SUM(HS!J19:J27)+Rules!$B$5*HS!J28)/(9+Rules!$B$5)</f>
        <v>-0.61652847815204459</v>
      </c>
      <c r="K18">
        <f>(SUM(HS!K19:K27)+Rules!$B$5*HS!K28)/(9+Rules!$B$5)</f>
        <v>-0.64767081799452453</v>
      </c>
    </row>
    <row r="19" spans="1:11" x14ac:dyDescent="0.2">
      <c r="A19">
        <v>19</v>
      </c>
      <c r="B19">
        <f>(SUM(HS!B20:B28)+Rules!$B$5*HS!B29)/(9+Rules!$B$5)</f>
        <v>-0.72479506657152004</v>
      </c>
      <c r="C19">
        <f>(SUM(HS!C20:C28)+Rules!$B$5*HS!C29)/(9+Rules!$B$5)</f>
        <v>-0.72907745456070161</v>
      </c>
      <c r="D19">
        <f>(SUM(HS!D20:D28)+Rules!$B$5*HS!D29)/(9+Rules!$B$5)</f>
        <v>-0.72803288834205915</v>
      </c>
      <c r="E19">
        <f>(SUM(HS!E20:E28)+Rules!$B$5*HS!E29)/(9+Rules!$B$5)</f>
        <v>-0.72693713423738526</v>
      </c>
      <c r="F19">
        <f>(SUM(HS!F20:F28)+Rules!$B$5*HS!F29)/(9+Rules!$B$5)</f>
        <v>-0.72599126790553226</v>
      </c>
      <c r="G19">
        <f>(SUM(HS!G20:G28)+Rules!$B$5*HS!G29)/(9+Rules!$B$5)</f>
        <v>-0.72255420661431358</v>
      </c>
      <c r="H19">
        <f>(SUM(HS!H20:H28)+Rules!$B$5*HS!H29)/(9+Rules!$B$5)</f>
        <v>-0.71544972903833093</v>
      </c>
      <c r="I19">
        <f>(SUM(HS!I20:I28)+Rules!$B$5*HS!I29)/(9+Rules!$B$5)</f>
        <v>-0.71365998363570271</v>
      </c>
      <c r="J19">
        <f>(SUM(HS!J20:J28)+Rules!$B$5*HS!J29)/(9+Rules!$B$5)</f>
        <v>-0.71557438254185846</v>
      </c>
      <c r="K19">
        <f>(SUM(HS!K20:K28)+Rules!$B$5*HS!K29)/(9+Rules!$B$5)</f>
        <v>-0.72944913848189696</v>
      </c>
    </row>
    <row r="20" spans="1:11" x14ac:dyDescent="0.2">
      <c r="A20">
        <v>20</v>
      </c>
      <c r="B20">
        <f>(SUM(HS!B21:B29)+Rules!$B$5*HS!B30)/(9+Rules!$B$5)</f>
        <v>-0.85213893758305082</v>
      </c>
      <c r="C20">
        <f>(SUM(HS!C21:C29)+Rules!$B$5*HS!C30)/(9+Rules!$B$5)</f>
        <v>-0.85523026803891988</v>
      </c>
      <c r="D20">
        <f>(SUM(HS!D21:D29)+Rules!$B$5*HS!D30)/(9+Rules!$B$5)</f>
        <v>-0.85497689559217327</v>
      </c>
      <c r="E20">
        <f>(SUM(HS!E21:E29)+Rules!$B$5*HS!E30)/(9+Rules!$B$5)</f>
        <v>-0.85471020823339083</v>
      </c>
      <c r="F20">
        <f>(SUM(HS!F21:F29)+Rules!$B$5*HS!F30)/(9+Rules!$B$5)</f>
        <v>-0.85448047487728607</v>
      </c>
      <c r="G20">
        <f>(SUM(HS!G21:G29)+Rules!$B$5*HS!G30)/(9+Rules!$B$5)</f>
        <v>-0.85362794278133991</v>
      </c>
      <c r="H20">
        <f>(SUM(HS!H21:H29)+Rules!$B$5*HS!H30)/(9+Rules!$B$5)</f>
        <v>-0.85185182338734444</v>
      </c>
      <c r="I20">
        <f>(SUM(HS!I21:I29)+Rules!$B$5*HS!I30)/(9+Rules!$B$5)</f>
        <v>-0.85149191898584875</v>
      </c>
      <c r="J20">
        <f>(SUM(HS!J21:J29)+Rules!$B$5*HS!J30)/(9+Rules!$B$5)</f>
        <v>-0.85083260337328892</v>
      </c>
      <c r="K20">
        <f>(SUM(HS!K21:K29)+Rules!$B$5*HS!K30)/(9+Rules!$B$5)</f>
        <v>-0.84902895128714095</v>
      </c>
    </row>
    <row r="21" spans="1:11" x14ac:dyDescent="0.2">
      <c r="A21">
        <v>21</v>
      </c>
      <c r="B21">
        <f>(SUM(HS!B22:B30)+Rules!$B$5*HS!B31)/(9+Rules!$B$5)</f>
        <v>-1</v>
      </c>
      <c r="C21">
        <f>(SUM(HS!C22:C30)+Rules!$B$5*HS!C31)/(9+Rules!$B$5)</f>
        <v>-1</v>
      </c>
      <c r="D21">
        <f>(SUM(HS!D22:D30)+Rules!$B$5*HS!D31)/(9+Rules!$B$5)</f>
        <v>-1</v>
      </c>
      <c r="E21">
        <f>(SUM(HS!E22:E30)+Rules!$B$5*HS!E31)/(9+Rules!$B$5)</f>
        <v>-1</v>
      </c>
      <c r="F21">
        <f>(SUM(HS!F22:F30)+Rules!$B$5*HS!F31)/(9+Rules!$B$5)</f>
        <v>-1</v>
      </c>
      <c r="G21">
        <f>(SUM(HS!G22:G30)+Rules!$B$5*HS!G31)/(9+Rules!$B$5)</f>
        <v>-1</v>
      </c>
      <c r="H21">
        <f>(SUM(HS!H22:H30)+Rules!$B$5*HS!H31)/(9+Rules!$B$5)</f>
        <v>-1</v>
      </c>
      <c r="I21">
        <f>(SUM(HS!I22:I30)+Rules!$B$5*HS!I31)/(9+Rules!$B$5)</f>
        <v>-1</v>
      </c>
      <c r="J21">
        <f>(SUM(HS!J22:J30)+Rules!$B$5*HS!J31)/(9+Rules!$B$5)</f>
        <v>-1</v>
      </c>
      <c r="K21">
        <f>(SUM(HS!K22:K30)+Rules!$B$5*HS!K31)/(9+Rules!$B$5)</f>
        <v>-1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(SUM(HS!B35:B43)+Rules!$B$5*HS!B44)/(9+Rules!$B$5)</f>
        <v>0.29861942370404337</v>
      </c>
      <c r="C34">
        <f>(SUM(HS!C35:C43)+Rules!$B$5*HS!C44)/(9+Rules!$B$5)</f>
        <v>0.3696374242362967</v>
      </c>
      <c r="D34">
        <f>(SUM(HS!D35:D43)+Rules!$B$5*HS!D44)/(9+Rules!$B$5)</f>
        <v>0.38767410174512951</v>
      </c>
      <c r="E34">
        <f>(SUM(HS!E35:E43)+Rules!$B$5*HS!E44)/(9+Rules!$B$5)</f>
        <v>0.40637639293641487</v>
      </c>
      <c r="F34">
        <f>(SUM(HS!F35:F43)+Rules!$B$5*HS!F44)/(9+Rules!$B$5)</f>
        <v>0.42575273133176267</v>
      </c>
      <c r="G34">
        <f>(SUM(HS!G35:G43)+Rules!$B$5*HS!G44)/(9+Rules!$B$5)</f>
        <v>0.45589668319225651</v>
      </c>
      <c r="H34">
        <f>(SUM(HS!H35:H43)+Rules!$B$5*HS!H44)/(9+Rules!$B$5)</f>
        <v>0.45736852128859351</v>
      </c>
      <c r="I34">
        <f>(SUM(HS!I35:I43)+Rules!$B$5*HS!I44)/(9+Rules!$B$5)</f>
        <v>0.40074805174057648</v>
      </c>
      <c r="J34">
        <f>(SUM(HS!J35:J43)+Rules!$B$5*HS!J44)/(9+Rules!$B$5)</f>
        <v>0.32142328174266549</v>
      </c>
      <c r="K34">
        <f>(SUM(HS!K35:K43)+Rules!$B$5*HS!K44)/(9+Rules!$B$5)</f>
        <v>0.26400071601402691</v>
      </c>
    </row>
    <row r="35" spans="1:11" x14ac:dyDescent="0.2">
      <c r="A35">
        <v>12</v>
      </c>
      <c r="B35">
        <f>(SUM(HS!B36:B44)+Rules!$B$5*HS!B45)/(9+Rules!$B$5)</f>
        <v>-2.0477877704912145E-2</v>
      </c>
      <c r="C35">
        <f>(SUM(HS!C36:C44)+Rules!$B$5*HS!C45)/(9+Rules!$B$5)</f>
        <v>8.1836216051656044E-2</v>
      </c>
      <c r="D35">
        <f>(SUM(HS!D36:D44)+Rules!$B$5*HS!D45)/(9+Rules!$B$5)</f>
        <v>0.10350704654207775</v>
      </c>
      <c r="E35">
        <f>(SUM(HS!E36:E44)+Rules!$B$5*HS!E45)/(9+Rules!$B$5)</f>
        <v>0.12659562809256977</v>
      </c>
      <c r="F35">
        <f>(SUM(HS!F36:F44)+Rules!$B$5*HS!F45)/(9+Rules!$B$5)</f>
        <v>0.15648238458465519</v>
      </c>
      <c r="G35">
        <f>(SUM(HS!G36:G44)+Rules!$B$5*HS!G45)/(9+Rules!$B$5)</f>
        <v>0.18595361333225549</v>
      </c>
      <c r="H35">
        <f>(SUM(HS!H36:H44)+Rules!$B$5*HS!H45)/(9+Rules!$B$5)</f>
        <v>0.16547293077063496</v>
      </c>
      <c r="I35">
        <f>(SUM(HS!I36:I44)+Rules!$B$5*HS!I45)/(9+Rules!$B$5)</f>
        <v>9.5115020927032265E-2</v>
      </c>
      <c r="J35">
        <f>(SUM(HS!J36:J44)+Rules!$B$5*HS!J45)/(9+Rules!$B$5)</f>
        <v>6.5790841226914386E-5</v>
      </c>
      <c r="K35">
        <f>(SUM(HS!K36:K44)+Rules!$B$5*HS!K45)/(9+Rules!$B$5)</f>
        <v>-7.0002397357964694E-2</v>
      </c>
    </row>
    <row r="36" spans="1:11" x14ac:dyDescent="0.2">
      <c r="A36">
        <v>13</v>
      </c>
      <c r="B36">
        <f>(SUM(HS!B37:B45)+Rules!$B$5*HS!B46)/(9+Rules!$B$5)</f>
        <v>-5.7308046666810254E-2</v>
      </c>
      <c r="C36">
        <f>(SUM(HS!C37:C45)+Rules!$B$5*HS!C46)/(9+Rules!$B$5)</f>
        <v>4.6636132695309578E-2</v>
      </c>
      <c r="D36">
        <f>(SUM(HS!D37:D45)+Rules!$B$5*HS!D46)/(9+Rules!$B$5)</f>
        <v>7.4118813392744051E-2</v>
      </c>
      <c r="E36">
        <f>(SUM(HS!E37:E45)+Rules!$B$5*HS!E46)/(9+Rules!$B$5)</f>
        <v>0.10247714687203523</v>
      </c>
      <c r="F36">
        <f>(SUM(HS!F37:F45)+Rules!$B$5*HS!F46)/(9+Rules!$B$5)</f>
        <v>0.13336273848321728</v>
      </c>
      <c r="G36">
        <f>(SUM(HS!G37:G45)+Rules!$B$5*HS!G46)/(9+Rules!$B$5)</f>
        <v>0.16169271124923693</v>
      </c>
      <c r="H36">
        <f>(SUM(HS!H37:H45)+Rules!$B$5*HS!H46)/(9+Rules!$B$5)</f>
        <v>0.12238569517899196</v>
      </c>
      <c r="I36">
        <f>(SUM(HS!I37:I45)+Rules!$B$5*HS!I46)/(9+Rules!$B$5)</f>
        <v>5.4057070196311299E-2</v>
      </c>
      <c r="J36">
        <f>(SUM(HS!J37:J45)+Rules!$B$5*HS!J46)/(9+Rules!$B$5)</f>
        <v>-3.7694688127479885E-2</v>
      </c>
      <c r="K36">
        <f>(SUM(HS!K37:K45)+Rules!$B$5*HS!K46)/(9+Rules!$B$5)</f>
        <v>-0.10485135840627779</v>
      </c>
    </row>
    <row r="37" spans="1:11" x14ac:dyDescent="0.2">
      <c r="A37">
        <v>14</v>
      </c>
      <c r="B37">
        <f>(SUM(HS!B38:B46)+Rules!$B$5*HS!B47)/(9+Rules!$B$5)</f>
        <v>-9.3874324768310105E-2</v>
      </c>
      <c r="C37">
        <f>(SUM(HS!C38:C46)+Rules!$B$5*HS!C47)/(9+Rules!$B$5)</f>
        <v>2.2391856987839083E-2</v>
      </c>
      <c r="D37">
        <f>(SUM(HS!D38:D46)+Rules!$B$5*HS!D47)/(9+Rules!$B$5)</f>
        <v>5.0806738919282814E-2</v>
      </c>
      <c r="E37">
        <f>(SUM(HS!E38:E46)+Rules!$B$5*HS!E47)/(9+Rules!$B$5)</f>
        <v>8.0081414310110233E-2</v>
      </c>
      <c r="F37">
        <f>(SUM(HS!F38:F46)+Rules!$B$5*HS!F47)/(9+Rules!$B$5)</f>
        <v>0.11189449567473925</v>
      </c>
      <c r="G37">
        <f>(SUM(HS!G38:G46)+Rules!$B$5*HS!G47)/(9+Rules!$B$5)</f>
        <v>0.1391647307435768</v>
      </c>
      <c r="H37">
        <f>(SUM(HS!H38:H46)+Rules!$B$5*HS!H47)/(9+Rules!$B$5)</f>
        <v>7.9507488494468148E-2</v>
      </c>
      <c r="I37">
        <f>(SUM(HS!I38:I46)+Rules!$B$5*HS!I47)/(9+Rules!$B$5)</f>
        <v>1.3277219463208444E-2</v>
      </c>
      <c r="J37">
        <f>(SUM(HS!J38:J46)+Rules!$B$5*HS!J47)/(9+Rules!$B$5)</f>
        <v>-7.516318944168382E-2</v>
      </c>
      <c r="K37">
        <f>(SUM(HS!K38:K46)+Rules!$B$5*HS!K47)/(9+Rules!$B$5)</f>
        <v>-0.13946678217545452</v>
      </c>
    </row>
    <row r="38" spans="1:11" x14ac:dyDescent="0.2">
      <c r="A38">
        <v>15</v>
      </c>
      <c r="B38">
        <f>(SUM(HS!B39:B47)+Rules!$B$5*HS!B48)/(9+Rules!$B$5)</f>
        <v>-0.13002650167843849</v>
      </c>
      <c r="C38">
        <f>(SUM(HS!C39:C47)+Rules!$B$5*HS!C48)/(9+Rules!$B$5)</f>
        <v>-1.2068474052636583E-4</v>
      </c>
      <c r="D38">
        <f>(SUM(HS!D39:D47)+Rules!$B$5*HS!D48)/(9+Rules!$B$5)</f>
        <v>2.9159812622497363E-2</v>
      </c>
      <c r="E38">
        <f>(SUM(HS!E39:E47)+Rules!$B$5*HS!E48)/(9+Rules!$B$5)</f>
        <v>5.9285376931179926E-2</v>
      </c>
      <c r="F38">
        <f>(SUM(HS!F39:F47)+Rules!$B$5*HS!F48)/(9+Rules!$B$5)</f>
        <v>9.1959698781152482E-2</v>
      </c>
      <c r="G38">
        <f>(SUM(HS!G39:G47)+Rules!$B$5*HS!G48)/(9+Rules!$B$5)</f>
        <v>0.11824589170260671</v>
      </c>
      <c r="H38">
        <f>(SUM(HS!H39:H47)+Rules!$B$5*HS!H48)/(9+Rules!$B$5)</f>
        <v>3.7028282279269235E-2</v>
      </c>
      <c r="I38">
        <f>(SUM(HS!I39:I47)+Rules!$B$5*HS!I48)/(9+Rules!$B$5)</f>
        <v>-2.7054780502901672E-2</v>
      </c>
      <c r="J38">
        <f>(SUM(HS!J39:J47)+Rules!$B$5*HS!J48)/(9+Rules!$B$5)</f>
        <v>-0.11218876868994289</v>
      </c>
      <c r="K38">
        <f>(SUM(HS!K39:K47)+Rules!$B$5*HS!K48)/(9+Rules!$B$5)</f>
        <v>-0.17370423031226784</v>
      </c>
    </row>
    <row r="39" spans="1:11" x14ac:dyDescent="0.2">
      <c r="A39">
        <v>16</v>
      </c>
      <c r="B39">
        <f>(SUM(HS!B40:B48)+Rules!$B$5*HS!B49)/(9+Rules!$B$5)</f>
        <v>-0.16563717206687348</v>
      </c>
      <c r="C39">
        <f>(SUM(HS!C40:C48)+Rules!$B$5*HS!C49)/(9+Rules!$B$5)</f>
        <v>-2.1025187774008566E-2</v>
      </c>
      <c r="D39">
        <f>(SUM(HS!D40:D48)+Rules!$B$5*HS!D49)/(9+Rules!$B$5)</f>
        <v>9.0590953469108244E-3</v>
      </c>
      <c r="E39">
        <f>(SUM(HS!E40:E48)+Rules!$B$5*HS!E49)/(9+Rules!$B$5)</f>
        <v>3.9974770793601705E-2</v>
      </c>
      <c r="F39">
        <f>(SUM(HS!F40:F48)+Rules!$B$5*HS!F49)/(9+Rules!$B$5)</f>
        <v>7.3448815951393354E-2</v>
      </c>
      <c r="G39">
        <f>(SUM(HS!G40:G48)+Rules!$B$5*HS!G49)/(9+Rules!$B$5)</f>
        <v>9.8821255450277368E-2</v>
      </c>
      <c r="H39">
        <f>(SUM(HS!H40:H48)+Rules!$B$5*HS!H49)/(9+Rules!$B$5)</f>
        <v>-4.8901571730158942E-3</v>
      </c>
      <c r="I39">
        <f>(SUM(HS!I40:I48)+Rules!$B$5*HS!I49)/(9+Rules!$B$5)</f>
        <v>-6.6794847920094103E-2</v>
      </c>
      <c r="J39">
        <f>(SUM(HS!J40:J48)+Rules!$B$5*HS!J49)/(9+Rules!$B$5)</f>
        <v>-0.14864353463007471</v>
      </c>
      <c r="K39">
        <f>(SUM(HS!K40:K48)+Rules!$B$5*HS!K49)/(9+Rules!$B$5)</f>
        <v>-0.20744109003068206</v>
      </c>
    </row>
    <row r="40" spans="1:11" x14ac:dyDescent="0.2">
      <c r="A40">
        <v>17</v>
      </c>
      <c r="B40">
        <f>(SUM(HS!B41:B49)+Rules!$B$5*HS!B50)/(9+Rules!$B$5)</f>
        <v>-0.17956936979241733</v>
      </c>
      <c r="C40">
        <f>(SUM(HS!C41:C49)+Rules!$B$5*HS!C50)/(9+Rules!$B$5)</f>
        <v>-4.9104358288912882E-4</v>
      </c>
      <c r="D40">
        <f>(SUM(HS!D41:D49)+Rules!$B$5*HS!D50)/(9+Rules!$B$5)</f>
        <v>2.8975282965620488E-2</v>
      </c>
      <c r="E40">
        <f>(SUM(HS!E41:E49)+Rules!$B$5*HS!E50)/(9+Rules!$B$5)</f>
        <v>5.9326275337164343E-2</v>
      </c>
      <c r="F40">
        <f>(SUM(HS!F41:F49)+Rules!$B$5*HS!F50)/(9+Rules!$B$5)</f>
        <v>9.1189077686774395E-2</v>
      </c>
      <c r="G40">
        <f>(SUM(HS!G41:G49)+Rules!$B$5*HS!G50)/(9+Rules!$B$5)</f>
        <v>0.12805214364549905</v>
      </c>
      <c r="H40">
        <f>(SUM(HS!H41:H49)+Rules!$B$5*HS!H50)/(9+Rules!$B$5)</f>
        <v>5.3823463716116654E-2</v>
      </c>
      <c r="I40">
        <f>(SUM(HS!I41:I49)+Rules!$B$5*HS!I50)/(9+Rules!$B$5)</f>
        <v>-7.2915398729642075E-2</v>
      </c>
      <c r="J40">
        <f>(SUM(HS!J41:J49)+Rules!$B$5*HS!J50)/(9+Rules!$B$5)</f>
        <v>-0.1497868921821332</v>
      </c>
      <c r="K40">
        <f>(SUM(HS!K41:K49)+Rules!$B$5*HS!K50)/(9+Rules!$B$5)</f>
        <v>-0.19686697623363469</v>
      </c>
    </row>
    <row r="41" spans="1:11" x14ac:dyDescent="0.2">
      <c r="A41">
        <v>18</v>
      </c>
      <c r="B41">
        <f>(SUM(HS!B42:B50)+Rules!$B$5*HS!B51)/(9+Rules!$B$5)</f>
        <v>-9.2935491769284034E-2</v>
      </c>
      <c r="C41">
        <f>(SUM(HS!C42:C50)+Rules!$B$5*HS!C51)/(9+Rules!$B$5)</f>
        <v>6.2905069471517722E-2</v>
      </c>
      <c r="D41">
        <f>(SUM(HS!D42:D50)+Rules!$B$5*HS!D51)/(9+Rules!$B$5)</f>
        <v>9.0248278565440057E-2</v>
      </c>
      <c r="E41">
        <f>(SUM(HS!E42:E50)+Rules!$B$5*HS!E51)/(9+Rules!$B$5)</f>
        <v>0.11850192387781083</v>
      </c>
      <c r="F41">
        <f>(SUM(HS!F42:F50)+Rules!$B$5*HS!F51)/(9+Rules!$B$5)</f>
        <v>0.14761274781164402</v>
      </c>
      <c r="G41">
        <f>(SUM(HS!G42:G50)+Rules!$B$5*HS!G51)/(9+Rules!$B$5)</f>
        <v>0.19075324103939673</v>
      </c>
      <c r="H41">
        <f>(SUM(HS!H42:H50)+Rules!$B$5*HS!H51)/(9+Rules!$B$5)</f>
        <v>0.17067649990517353</v>
      </c>
      <c r="I41">
        <f>(SUM(HS!I42:I50)+Rules!$B$5*HS!I51)/(9+Rules!$B$5)</f>
        <v>3.967744427056652E-2</v>
      </c>
      <c r="J41">
        <f>(SUM(HS!J42:J50)+Rules!$B$5*HS!J51)/(9+Rules!$B$5)</f>
        <v>-0.10074430758041522</v>
      </c>
      <c r="K41">
        <f>(SUM(HS!K42:K50)+Rules!$B$5*HS!K51)/(9+Rules!$B$5)</f>
        <v>-0.14380812317405353</v>
      </c>
    </row>
    <row r="42" spans="1:11" x14ac:dyDescent="0.2">
      <c r="A42">
        <v>19</v>
      </c>
      <c r="B42">
        <f>(SUM(HS!B43:B51)+Rules!$B$5*HS!B52)/(9+Rules!$B$5)</f>
        <v>-5.7428919120040816E-3</v>
      </c>
      <c r="C42">
        <f>(SUM(HS!C43:C51)+Rules!$B$5*HS!C52)/(9+Rules!$B$5)</f>
        <v>0.12395801957914129</v>
      </c>
      <c r="D42">
        <f>(SUM(HS!D43:D51)+Rules!$B$5*HS!D52)/(9+Rules!$B$5)</f>
        <v>0.14933970866308208</v>
      </c>
      <c r="E42">
        <f>(SUM(HS!E43:E51)+Rules!$B$5*HS!E52)/(9+Rules!$B$5)</f>
        <v>0.17557680563858266</v>
      </c>
      <c r="F42">
        <f>(SUM(HS!F43:F51)+Rules!$B$5*HS!F52)/(9+Rules!$B$5)</f>
        <v>0.20298603454657632</v>
      </c>
      <c r="G42">
        <f>(SUM(HS!G43:G51)+Rules!$B$5*HS!G52)/(9+Rules!$B$5)</f>
        <v>0.23979935436410921</v>
      </c>
      <c r="H42">
        <f>(SUM(HS!H43:H51)+Rules!$B$5*HS!H52)/(9+Rules!$B$5)</f>
        <v>0.2206201141552227</v>
      </c>
      <c r="I42">
        <f>(SUM(HS!I43:I51)+Rules!$B$5*HS!I52)/(9+Rules!$B$5)</f>
        <v>0.15227028727077518</v>
      </c>
      <c r="J42">
        <f>(SUM(HS!J43:J51)+Rules!$B$5*HS!J52)/(9+Rules!$B$5)</f>
        <v>7.892641744434355E-3</v>
      </c>
      <c r="K42">
        <f>(SUM(HS!K43:K51)+Rules!$B$5*HS!K52)/(9+Rules!$B$5)</f>
        <v>-8.8095953912746522E-2</v>
      </c>
    </row>
    <row r="43" spans="1:11" x14ac:dyDescent="0.2">
      <c r="A43">
        <v>20</v>
      </c>
      <c r="B43">
        <f>(SUM(HS!B44:B52)+Rules!$B$5*HS!B53)/(9+Rules!$B$5)</f>
        <v>8.1449707945275895E-2</v>
      </c>
      <c r="C43">
        <f>(SUM(HS!C44:C52)+Rules!$B$5*HS!C53)/(9+Rules!$B$5)</f>
        <v>0.18249999400904487</v>
      </c>
      <c r="D43">
        <f>(SUM(HS!D44:D52)+Rules!$B$5*HS!D53)/(9+Rules!$B$5)</f>
        <v>0.20608797581394089</v>
      </c>
      <c r="E43">
        <f>(SUM(HS!E44:E52)+Rules!$B$5*HS!E53)/(9+Rules!$B$5)</f>
        <v>0.230470121897177</v>
      </c>
      <c r="F43">
        <f>(SUM(HS!F44:F52)+Rules!$B$5*HS!F53)/(9+Rules!$B$5)</f>
        <v>0.25625855450163387</v>
      </c>
      <c r="G43">
        <f>(SUM(HS!G44:G52)+Rules!$B$5*HS!G53)/(9+Rules!$B$5)</f>
        <v>0.28779508429888429</v>
      </c>
      <c r="H43">
        <f>(SUM(HS!H44:H52)+Rules!$B$5*HS!H53)/(9+Rules!$B$5)</f>
        <v>0.25690874433608657</v>
      </c>
      <c r="I43">
        <f>(SUM(HS!I44:I52)+Rules!$B$5*HS!I53)/(9+Rules!$B$5)</f>
        <v>0.19795370833197609</v>
      </c>
      <c r="J43">
        <f>(SUM(HS!J44:J52)+Rules!$B$5*HS!J53)/(9+Rules!$B$5)</f>
        <v>0.11652959106928391</v>
      </c>
      <c r="K43">
        <f>(SUM(HS!K44:K52)+Rules!$B$5*HS!K53)/(9+Rules!$B$5)</f>
        <v>2.5308523040868176E-2</v>
      </c>
    </row>
    <row r="44" spans="1:11" x14ac:dyDescent="0.2">
      <c r="A44">
        <v>21</v>
      </c>
      <c r="B44">
        <f>(SUM(HS!B45:B53)+Rules!$B$5*HS!B54)/(9+Rules!$B$5)</f>
        <v>0.14300128216153027</v>
      </c>
      <c r="C44">
        <f>(SUM(HS!C45:C53)+Rules!$B$5*HS!C54)/(9+Rules!$B$5)</f>
        <v>0.2383507494576298</v>
      </c>
      <c r="D44">
        <f>(SUM(HS!D45:D53)+Rules!$B$5*HS!D54)/(9+Rules!$B$5)</f>
        <v>0.26032526728707961</v>
      </c>
      <c r="E44">
        <f>(SUM(HS!E45:E53)+Rules!$B$5*HS!E54)/(9+Rules!$B$5)</f>
        <v>0.28302027520898798</v>
      </c>
      <c r="F44">
        <f>(SUM(HS!F45:F53)+Rules!$B$5*HS!F54)/(9+Rules!$B$5)</f>
        <v>0.30734950895451402</v>
      </c>
      <c r="G44">
        <f>(SUM(HS!G45:G53)+Rules!$B$5*HS!G54)/(9+Rules!$B$5)</f>
        <v>0.33369004745378472</v>
      </c>
      <c r="H44">
        <f>(SUM(HS!H45:H53)+Rules!$B$5*HS!H54)/(9+Rules!$B$5)</f>
        <v>0.29214699112701309</v>
      </c>
      <c r="I44">
        <f>(SUM(HS!I45:I53)+Rules!$B$5*HS!I54)/(9+Rules!$B$5)</f>
        <v>0.22998214532399169</v>
      </c>
      <c r="J44">
        <f>(SUM(HS!J45:J53)+Rules!$B$5*HS!J54)/(9+Rules!$B$5)</f>
        <v>0.15825711845512572</v>
      </c>
      <c r="K44">
        <f>(SUM(HS!K45:K53)+Rules!$B$5*HS!K54)/(9+Rules!$B$5)</f>
        <v>0.11948223076371363</v>
      </c>
    </row>
    <row r="45" spans="1:11" x14ac:dyDescent="0.2">
      <c r="A45">
        <v>22</v>
      </c>
      <c r="B45">
        <f>B12</f>
        <v>-0.35054034044008009</v>
      </c>
      <c r="C45">
        <f t="shared" ref="C45:K45" si="0">C12</f>
        <v>-0.25338998596663809</v>
      </c>
      <c r="D45">
        <f t="shared" si="0"/>
        <v>-0.2336908997980866</v>
      </c>
      <c r="E45">
        <f t="shared" si="0"/>
        <v>-0.21353655324507695</v>
      </c>
      <c r="F45">
        <f t="shared" si="0"/>
        <v>-0.19327116942628339</v>
      </c>
      <c r="G45">
        <f t="shared" si="0"/>
        <v>-0.17052619990757953</v>
      </c>
      <c r="H45">
        <f t="shared" si="0"/>
        <v>-0.21284771451731424</v>
      </c>
      <c r="I45">
        <f t="shared" si="0"/>
        <v>-0.27157480502428616</v>
      </c>
      <c r="J45">
        <f t="shared" si="0"/>
        <v>-0.3400132806089356</v>
      </c>
      <c r="K45">
        <f t="shared" si="0"/>
        <v>-0.38104299284808768</v>
      </c>
    </row>
    <row r="46" spans="1:11" x14ac:dyDescent="0.2">
      <c r="A46">
        <v>23</v>
      </c>
      <c r="B46">
        <f t="shared" ref="B46:K46" si="1">B13</f>
        <v>-0.3969303161229315</v>
      </c>
      <c r="C46">
        <f t="shared" si="1"/>
        <v>-0.30779123771977057</v>
      </c>
      <c r="D46">
        <f t="shared" si="1"/>
        <v>-0.29121011293380095</v>
      </c>
      <c r="E46">
        <f t="shared" si="1"/>
        <v>-0.27422400639931432</v>
      </c>
      <c r="F46">
        <f t="shared" si="1"/>
        <v>-0.25733327243893911</v>
      </c>
      <c r="G46">
        <f t="shared" si="1"/>
        <v>-0.23562627561296379</v>
      </c>
      <c r="H46">
        <f t="shared" si="1"/>
        <v>-0.26907287776607752</v>
      </c>
      <c r="I46">
        <f t="shared" si="1"/>
        <v>-0.32360517609397998</v>
      </c>
      <c r="J46">
        <f t="shared" si="1"/>
        <v>-0.38715518913686875</v>
      </c>
      <c r="K46">
        <f t="shared" si="1"/>
        <v>-0.42525420764465277</v>
      </c>
    </row>
    <row r="47" spans="1:11" x14ac:dyDescent="0.2">
      <c r="A47">
        <v>24</v>
      </c>
      <c r="B47">
        <f t="shared" ref="B47:K47" si="2">B14</f>
        <v>-0.44000672211415065</v>
      </c>
      <c r="C47">
        <f t="shared" si="2"/>
        <v>-0.36219248947290311</v>
      </c>
      <c r="D47">
        <f t="shared" si="2"/>
        <v>-0.34872932606951529</v>
      </c>
      <c r="E47">
        <f t="shared" si="2"/>
        <v>-0.33491145955355167</v>
      </c>
      <c r="F47">
        <f t="shared" si="2"/>
        <v>-0.32139537545159491</v>
      </c>
      <c r="G47">
        <f t="shared" si="2"/>
        <v>-0.30072635131834807</v>
      </c>
      <c r="H47">
        <f t="shared" si="2"/>
        <v>-0.3212819579256434</v>
      </c>
      <c r="I47">
        <f t="shared" si="2"/>
        <v>-0.37191909208726714</v>
      </c>
      <c r="J47">
        <f t="shared" si="2"/>
        <v>-0.43092981848423528</v>
      </c>
      <c r="K47">
        <f t="shared" si="2"/>
        <v>-0.46630747852717758</v>
      </c>
    </row>
    <row r="48" spans="1:11" x14ac:dyDescent="0.2">
      <c r="A48">
        <v>25</v>
      </c>
      <c r="B48">
        <f t="shared" ref="B48:K48" si="3">B15</f>
        <v>-0.4800062419631399</v>
      </c>
      <c r="C48">
        <f t="shared" si="3"/>
        <v>-0.4165937412260356</v>
      </c>
      <c r="D48">
        <f t="shared" si="3"/>
        <v>-0.40624853920522963</v>
      </c>
      <c r="E48">
        <f t="shared" si="3"/>
        <v>-0.39559891270778902</v>
      </c>
      <c r="F48">
        <f t="shared" si="3"/>
        <v>-0.38545747846425066</v>
      </c>
      <c r="G48">
        <f t="shared" si="3"/>
        <v>-0.36582642702373236</v>
      </c>
      <c r="H48">
        <f t="shared" si="3"/>
        <v>-0.36976181807381175</v>
      </c>
      <c r="I48">
        <f t="shared" si="3"/>
        <v>-0.41678201408103371</v>
      </c>
      <c r="J48">
        <f t="shared" si="3"/>
        <v>-0.47157768859250415</v>
      </c>
      <c r="K48">
        <f t="shared" si="3"/>
        <v>-0.5044283729180935</v>
      </c>
    </row>
    <row r="49" spans="1:11" x14ac:dyDescent="0.2">
      <c r="A49">
        <v>26</v>
      </c>
      <c r="B49">
        <f t="shared" ref="B49:K49" si="4">B16</f>
        <v>-0.51714865325148707</v>
      </c>
      <c r="C49">
        <f t="shared" si="4"/>
        <v>-0.47099499297916808</v>
      </c>
      <c r="D49">
        <f t="shared" si="4"/>
        <v>-0.46376775234094403</v>
      </c>
      <c r="E49">
        <f t="shared" si="4"/>
        <v>-0.45628636586202637</v>
      </c>
      <c r="F49">
        <f t="shared" si="4"/>
        <v>-0.4495195814769064</v>
      </c>
      <c r="G49">
        <f t="shared" si="4"/>
        <v>-0.43092650272911659</v>
      </c>
      <c r="H49">
        <f t="shared" si="4"/>
        <v>-0.41477883106853947</v>
      </c>
      <c r="I49">
        <f t="shared" si="4"/>
        <v>-0.45844044164667419</v>
      </c>
      <c r="J49">
        <f t="shared" si="4"/>
        <v>-0.50932213940732529</v>
      </c>
      <c r="K49">
        <f t="shared" si="4"/>
        <v>-0.53982634628108683</v>
      </c>
    </row>
    <row r="50" spans="1:11" x14ac:dyDescent="0.2">
      <c r="A50">
        <v>27</v>
      </c>
      <c r="B50">
        <f t="shared" ref="B50:K50" si="5">B17</f>
        <v>-0.55729992440573806</v>
      </c>
      <c r="C50">
        <f t="shared" si="5"/>
        <v>-0.53615079392674181</v>
      </c>
      <c r="D50">
        <f t="shared" si="5"/>
        <v>-0.53167419530828453</v>
      </c>
      <c r="E50">
        <f t="shared" si="5"/>
        <v>-0.52701149100469435</v>
      </c>
      <c r="F50">
        <f t="shared" si="5"/>
        <v>-0.52298562951037375</v>
      </c>
      <c r="G50">
        <f t="shared" si="5"/>
        <v>-0.50875259201168133</v>
      </c>
      <c r="H50">
        <f t="shared" si="5"/>
        <v>-0.48348583187756294</v>
      </c>
      <c r="I50">
        <f t="shared" si="5"/>
        <v>-0.50598267464294744</v>
      </c>
      <c r="J50">
        <f t="shared" si="5"/>
        <v>-0.55369489020384699</v>
      </c>
      <c r="K50">
        <f t="shared" si="5"/>
        <v>-0.5844632205942546</v>
      </c>
    </row>
    <row r="51" spans="1:11" x14ac:dyDescent="0.2">
      <c r="A51">
        <v>28</v>
      </c>
      <c r="B51">
        <f t="shared" ref="B51:K51" si="6">B18</f>
        <v>-0.62651539551241564</v>
      </c>
      <c r="C51">
        <f t="shared" si="6"/>
        <v>-0.62243863255911769</v>
      </c>
      <c r="D51">
        <f t="shared" si="6"/>
        <v>-0.62000497014223144</v>
      </c>
      <c r="E51">
        <f t="shared" si="6"/>
        <v>-0.6174618323275779</v>
      </c>
      <c r="F51">
        <f t="shared" si="6"/>
        <v>-0.6152595675854643</v>
      </c>
      <c r="G51">
        <f t="shared" si="6"/>
        <v>-0.60747904709221201</v>
      </c>
      <c r="H51">
        <f t="shared" si="6"/>
        <v>-0.59114384474960535</v>
      </c>
      <c r="I51">
        <f t="shared" si="6"/>
        <v>-0.59105585530595706</v>
      </c>
      <c r="J51">
        <f t="shared" si="6"/>
        <v>-0.61652847815204459</v>
      </c>
      <c r="K51">
        <f t="shared" si="6"/>
        <v>-0.64767081799452453</v>
      </c>
    </row>
    <row r="52" spans="1:11" x14ac:dyDescent="0.2">
      <c r="A52">
        <v>29</v>
      </c>
      <c r="B52">
        <f t="shared" ref="B52:K52" si="7">B19</f>
        <v>-0.72479506657152004</v>
      </c>
      <c r="C52">
        <f t="shared" si="7"/>
        <v>-0.72907745456070161</v>
      </c>
      <c r="D52">
        <f t="shared" si="7"/>
        <v>-0.72803288834205915</v>
      </c>
      <c r="E52">
        <f t="shared" si="7"/>
        <v>-0.72693713423738526</v>
      </c>
      <c r="F52">
        <f t="shared" si="7"/>
        <v>-0.72599126790553226</v>
      </c>
      <c r="G52">
        <f t="shared" si="7"/>
        <v>-0.72255420661431358</v>
      </c>
      <c r="H52">
        <f t="shared" si="7"/>
        <v>-0.71544972903833093</v>
      </c>
      <c r="I52">
        <f t="shared" si="7"/>
        <v>-0.71365998363570271</v>
      </c>
      <c r="J52">
        <f t="shared" si="7"/>
        <v>-0.71557438254185846</v>
      </c>
      <c r="K52">
        <f t="shared" si="7"/>
        <v>-0.72944913848189696</v>
      </c>
    </row>
    <row r="53" spans="1:11" x14ac:dyDescent="0.2">
      <c r="A53">
        <v>30</v>
      </c>
      <c r="B53">
        <f t="shared" ref="B53:K53" si="8">B20</f>
        <v>-0.85213893758305082</v>
      </c>
      <c r="C53">
        <f t="shared" si="8"/>
        <v>-0.85523026803891988</v>
      </c>
      <c r="D53">
        <f t="shared" si="8"/>
        <v>-0.85497689559217327</v>
      </c>
      <c r="E53">
        <f t="shared" si="8"/>
        <v>-0.85471020823339083</v>
      </c>
      <c r="F53">
        <f t="shared" si="8"/>
        <v>-0.85448047487728607</v>
      </c>
      <c r="G53">
        <f t="shared" si="8"/>
        <v>-0.85362794278133991</v>
      </c>
      <c r="H53">
        <f t="shared" si="8"/>
        <v>-0.85185182338734444</v>
      </c>
      <c r="I53">
        <f t="shared" si="8"/>
        <v>-0.85149191898584875</v>
      </c>
      <c r="J53">
        <f t="shared" si="8"/>
        <v>-0.85083260337328892</v>
      </c>
      <c r="K53">
        <f t="shared" si="8"/>
        <v>-0.84902895128714095</v>
      </c>
    </row>
    <row r="54" spans="1:11" x14ac:dyDescent="0.2">
      <c r="A54">
        <v>31</v>
      </c>
      <c r="B54">
        <f t="shared" ref="B54:K54" si="9">B21</f>
        <v>-1</v>
      </c>
      <c r="C54">
        <f t="shared" si="9"/>
        <v>-1</v>
      </c>
      <c r="D54">
        <f t="shared" si="9"/>
        <v>-1</v>
      </c>
      <c r="E54">
        <f t="shared" si="9"/>
        <v>-1</v>
      </c>
      <c r="F54">
        <f t="shared" si="9"/>
        <v>-1</v>
      </c>
      <c r="G54">
        <f t="shared" si="9"/>
        <v>-1</v>
      </c>
      <c r="H54">
        <f t="shared" si="9"/>
        <v>-1</v>
      </c>
      <c r="I54">
        <f t="shared" si="9"/>
        <v>-1</v>
      </c>
      <c r="J54">
        <f t="shared" si="9"/>
        <v>-1</v>
      </c>
      <c r="K54">
        <f t="shared" si="9"/>
        <v>-1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>
    <pageSetUpPr fitToPage="1"/>
  </sheetPr>
  <dimension ref="A1:W54"/>
  <sheetViews>
    <sheetView topLeftCell="A17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1.0000000000000009</v>
      </c>
    </row>
    <row r="2" spans="1:23" x14ac:dyDescent="0.2">
      <c r="A2" t="s">
        <v>40</v>
      </c>
      <c r="B2" s="149" t="s">
        <v>125</v>
      </c>
      <c r="C2" s="155">
        <f>Analysis!B45</f>
        <v>0.20971046333566554</v>
      </c>
      <c r="D2" s="149" t="s">
        <v>126</v>
      </c>
      <c r="E2" s="155">
        <f>Analysis!L45</f>
        <v>0.79028953666433532</v>
      </c>
      <c r="F2" s="149" t="s">
        <v>47</v>
      </c>
      <c r="G2" s="155">
        <f>Analysis!S45</f>
        <v>-7.3081493615205249</v>
      </c>
      <c r="H2" t="s">
        <v>155</v>
      </c>
      <c r="I2" s="169">
        <f>Analysis!T45</f>
        <v>-12.211044728163873</v>
      </c>
      <c r="J2" t="s">
        <v>48</v>
      </c>
      <c r="K2" s="169">
        <f>C2*G2+E2*I2</f>
        <v>-11.182856269138819</v>
      </c>
      <c r="L2" t="s">
        <v>47</v>
      </c>
      <c r="M2" s="176">
        <v>3</v>
      </c>
      <c r="N2" t="s">
        <v>155</v>
      </c>
      <c r="O2" s="176">
        <v>7</v>
      </c>
    </row>
    <row r="4" spans="1:23" x14ac:dyDescent="0.2">
      <c r="A4" t="s">
        <v>123</v>
      </c>
      <c r="B4">
        <f>$C$2</f>
        <v>0.20971046333566554</v>
      </c>
      <c r="C4" t="s">
        <v>124</v>
      </c>
      <c r="D4">
        <f>$E$2</f>
        <v>0.79028953666433532</v>
      </c>
      <c r="E4" t="s">
        <v>47</v>
      </c>
      <c r="F4">
        <f>G2</f>
        <v>-7.3081493615205249</v>
      </c>
      <c r="G4" t="s">
        <v>155</v>
      </c>
      <c r="H4">
        <f>I2</f>
        <v>-12.211044728163873</v>
      </c>
      <c r="I4" t="s">
        <v>48</v>
      </c>
      <c r="J4">
        <f>K2</f>
        <v>-11.182856269138819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0.20971046333566554</v>
      </c>
      <c r="C7" s="95">
        <v>1</v>
      </c>
      <c r="D7" s="22">
        <f>C7*D4</f>
        <v>0.79028953666433532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1.0000000000000009</v>
      </c>
      <c r="R7" s="187">
        <f>B7-D7</f>
        <v>-0.58057907332866976</v>
      </c>
      <c r="S7" s="109">
        <f>SUM(C7)*$B$4*$F$4</f>
        <v>-1.5325953887307175</v>
      </c>
      <c r="T7" s="261">
        <f>SUM(C7)*$D$4*$H$4</f>
        <v>-9.6502608804081014</v>
      </c>
      <c r="U7" s="263">
        <f>S7+T7</f>
        <v>-11.182856269138819</v>
      </c>
      <c r="V7" s="109">
        <f>(U7+W7*D7)/B7</f>
        <v>-49.55673916870802</v>
      </c>
      <c r="W7" s="57">
        <f>COUNT(D7:M7)</f>
        <v>1</v>
      </c>
    </row>
    <row r="8" spans="1:23" x14ac:dyDescent="0.2">
      <c r="A8" s="99">
        <v>2</v>
      </c>
      <c r="B8" s="97">
        <f>C8*B4</f>
        <v>0.25137061416807932</v>
      </c>
      <c r="C8" s="97">
        <f>1/(1-B4*D4)</f>
        <v>1.1986555662019207</v>
      </c>
      <c r="D8" s="144">
        <f>C8*D4</f>
        <v>0.94728495203384244</v>
      </c>
      <c r="E8" s="1">
        <f>D8*D4</f>
        <v>0.7486293858319224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1.0000000000000018</v>
      </c>
      <c r="R8" s="188">
        <f>B8-E8</f>
        <v>-0.49725877166384308</v>
      </c>
      <c r="S8" s="93">
        <f>SUM(C8:D8)*$B$4*$F$4</f>
        <v>-3.2888585427385366</v>
      </c>
      <c r="T8" s="260">
        <f>SUM(C8:D8)*$D$4*$H$4</f>
        <v>-20.708885834813273</v>
      </c>
      <c r="U8" s="264">
        <f>S8+T8</f>
        <v>-23.997744377551811</v>
      </c>
      <c r="V8" s="93">
        <f>(U8+W8*E8)/B8</f>
        <v>-89.511201141605937</v>
      </c>
      <c r="W8" s="9">
        <f>COUNT(D8:M8)</f>
        <v>2</v>
      </c>
    </row>
    <row r="9" spans="1:23" x14ac:dyDescent="0.2">
      <c r="A9" s="99">
        <v>3</v>
      </c>
      <c r="B9" s="97">
        <f>C9*B4</f>
        <v>0.26169828414694885</v>
      </c>
      <c r="C9" s="97">
        <f>1/(1-D4*B4/(1-D4*B4))</f>
        <v>1.2479028465454813</v>
      </c>
      <c r="D9" s="144">
        <f>C9*D4*C8</f>
        <v>1.1821195881327318</v>
      </c>
      <c r="E9" s="1">
        <f>D9*(D4)</f>
        <v>0.93421674158725154</v>
      </c>
      <c r="F9" s="1">
        <f>E9*D4</f>
        <v>0.73830171585305415</v>
      </c>
      <c r="G9" s="1"/>
      <c r="H9" s="1"/>
      <c r="I9" s="1"/>
      <c r="J9" s="1"/>
      <c r="K9" s="1"/>
      <c r="L9" s="1"/>
      <c r="M9" s="260"/>
      <c r="N9" s="97">
        <f>B9+F9</f>
        <v>1.0000000000000031</v>
      </c>
      <c r="R9" s="188">
        <f>B9-F9</f>
        <v>-0.47660343170610531</v>
      </c>
      <c r="S9" s="93">
        <f>SUM(C9:E9)*$B$4*$F$4</f>
        <v>-5.1560174481316787</v>
      </c>
      <c r="T9" s="260">
        <f>SUM(C9:E9)*$D$4*$H$4</f>
        <v>-32.465785715050991</v>
      </c>
      <c r="U9" s="264">
        <f t="shared" ref="U9:U16" si="0">S9+T9</f>
        <v>-37.621803163182669</v>
      </c>
      <c r="V9" s="93">
        <f>(U9+W9*F9)/B9</f>
        <v>-135.29663800065964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0.26439115973174776</v>
      </c>
      <c r="C10" s="97">
        <f>1/(1-D4*B4/(1-D4*B4/(1-D4*B4)))</f>
        <v>1.2607437679852891</v>
      </c>
      <c r="D10" s="144">
        <f>C10*D4*C9</f>
        <v>1.2433512560026105</v>
      </c>
      <c r="E10" s="1">
        <f>D10*D4*C8</f>
        <v>1.1778079349036508</v>
      </c>
      <c r="F10" s="1">
        <f>E10*D4</f>
        <v>0.93080928715458378</v>
      </c>
      <c r="G10" s="1">
        <f>F10*D4</f>
        <v>0.73560884026825624</v>
      </c>
      <c r="H10" s="1"/>
      <c r="I10" s="1"/>
      <c r="J10" s="1"/>
      <c r="K10" s="1"/>
      <c r="L10" s="1"/>
      <c r="M10" s="260"/>
      <c r="N10" s="97">
        <f>B10+G10</f>
        <v>1.000000000000004</v>
      </c>
      <c r="R10" s="188">
        <f>B10-G10</f>
        <v>-0.47121768053650848</v>
      </c>
      <c r="S10" s="93">
        <f>SUM(C10:F10)*$B$4*$F$4</f>
        <v>-7.0694215178320157</v>
      </c>
      <c r="T10" s="260">
        <f>SUM(C10:F10)*$D$4*$H$4</f>
        <v>-44.513876540598396</v>
      </c>
      <c r="U10" s="264">
        <f t="shared" si="0"/>
        <v>-51.583298058430415</v>
      </c>
      <c r="V10" s="93">
        <f>(U10+W10*G10)/B10</f>
        <v>-183.97310540453995</v>
      </c>
      <c r="W10" s="9">
        <f t="shared" si="1"/>
        <v>4</v>
      </c>
    </row>
    <row r="11" spans="1:23" x14ac:dyDescent="0.2">
      <c r="A11" s="99">
        <v>5</v>
      </c>
      <c r="B11" s="97">
        <f>C11*B4</f>
        <v>0.26510244380130243</v>
      </c>
      <c r="C11" s="97">
        <f>1/(1-D4*B4/(1-D4*B4/(1-D4*B4/(1-D4*B4))))</f>
        <v>1.2641355113358159</v>
      </c>
      <c r="D11" s="144">
        <f>C11*D4*C10</f>
        <v>1.2595247139053658</v>
      </c>
      <c r="E11" s="1">
        <f>D11*D4*C9</f>
        <v>1.2421490193071794</v>
      </c>
      <c r="F11" s="1">
        <f>E11*D4*C8</f>
        <v>1.1766690741732857</v>
      </c>
      <c r="G11" s="1">
        <f>F11*D4</f>
        <v>0.92990925743565833</v>
      </c>
      <c r="H11" s="1">
        <f>G11*D4</f>
        <v>0.73489755619870256</v>
      </c>
      <c r="I11" s="1"/>
      <c r="J11" s="1"/>
      <c r="K11" s="1"/>
      <c r="L11" s="1"/>
      <c r="M11" s="260"/>
      <c r="N11" s="97">
        <f>B11+H11</f>
        <v>1.0000000000000049</v>
      </c>
      <c r="R11" s="188">
        <f>B11-H11</f>
        <v>-0.46979511239740013</v>
      </c>
      <c r="S11" s="93">
        <f>SUM(C11:G11)*$B$4*$F$4</f>
        <v>-8.9999941200582398</v>
      </c>
      <c r="T11" s="260">
        <f>SUM(C11:G11)*$D$4*$H$4</f>
        <v>-56.670072100785397</v>
      </c>
      <c r="U11" s="264">
        <f t="shared" si="0"/>
        <v>-65.670066220843637</v>
      </c>
      <c r="V11" s="93">
        <f>(U11+W11*H11)/B11</f>
        <v>-233.85517519527875</v>
      </c>
      <c r="W11" s="9">
        <f t="shared" si="1"/>
        <v>5</v>
      </c>
    </row>
    <row r="12" spans="1:23" x14ac:dyDescent="0.2">
      <c r="A12" s="99">
        <v>6</v>
      </c>
      <c r="B12" s="97">
        <f>C12*B4</f>
        <v>0.26529095857645435</v>
      </c>
      <c r="C12" s="97">
        <f>1/(1-D4*B4/(1-D4*B4/(1-D4*B4/(1-D4*B4/(1-D4*B4)))))</f>
        <v>1.2650344401358071</v>
      </c>
      <c r="D12" s="144">
        <f>C12*D4*C11</f>
        <v>1.2638112372656827</v>
      </c>
      <c r="E12" s="1">
        <f>D12*D4*C10</f>
        <v>1.2592016225897995</v>
      </c>
      <c r="F12" s="1">
        <f>E12*D4*C9</f>
        <v>1.2418303851776968</v>
      </c>
      <c r="G12" s="1">
        <f>F12*D4*C8</f>
        <v>1.1763672368572227</v>
      </c>
      <c r="H12" s="1">
        <f>G12*D4</f>
        <v>0.92967071856299888</v>
      </c>
      <c r="I12" s="1">
        <f>H12*D4</f>
        <v>0.73470904142355209</v>
      </c>
      <c r="J12" s="1"/>
      <c r="K12" s="1"/>
      <c r="L12" s="1"/>
      <c r="M12" s="260"/>
      <c r="N12" s="97">
        <f>B12+I12</f>
        <v>1.0000000000000064</v>
      </c>
      <c r="R12" s="188">
        <f>B12-I12</f>
        <v>-0.46941808284709774</v>
      </c>
      <c r="S12" s="93">
        <f>SUM(C12:H12)*$B$4*$F$4</f>
        <v>-10.936471405138425</v>
      </c>
      <c r="T12" s="260">
        <f>SUM(C12:H12)*$D$4*$H$4</f>
        <v>-68.863447552270358</v>
      </c>
      <c r="U12" s="264">
        <f t="shared" si="0"/>
        <v>-79.799918957408778</v>
      </c>
      <c r="V12" s="93">
        <f>(U12+W12*I12)/B12</f>
        <v>-284.18482527040328</v>
      </c>
      <c r="W12" s="9">
        <f t="shared" si="1"/>
        <v>6</v>
      </c>
    </row>
    <row r="13" spans="1:23" x14ac:dyDescent="0.2">
      <c r="A13" s="99">
        <v>7</v>
      </c>
      <c r="B13" s="97">
        <f>C13*B4</f>
        <v>0.26534096643785093</v>
      </c>
      <c r="C13" s="97">
        <f>1/(1-D4*B4/(1-D4*B4/(1-D4*B4/(1-D4*B4/(1-D4*B4/(1-D4*B4))))))</f>
        <v>1.2652729015869009</v>
      </c>
      <c r="D13" s="144">
        <f>C13*D4*C12</f>
        <v>1.2649483357551938</v>
      </c>
      <c r="E13" s="1">
        <f>D13*D4*C11</f>
        <v>1.2637252161421904</v>
      </c>
      <c r="F13" s="1">
        <f>E13*D4*C10</f>
        <v>1.259115915219043</v>
      </c>
      <c r="G13" s="1">
        <f>F13*D4*C9</f>
        <v>1.2417458601776254</v>
      </c>
      <c r="H13" s="1">
        <f>G13*D4*C8</f>
        <v>1.1762871675965842</v>
      </c>
      <c r="I13" s="1">
        <f>H13*D4</f>
        <v>0.92960744066410794</v>
      </c>
      <c r="J13" s="1">
        <f>I13*D4</f>
        <v>0.73465903356215645</v>
      </c>
      <c r="K13" s="1"/>
      <c r="L13" s="1"/>
      <c r="M13" s="260"/>
      <c r="N13" s="97">
        <f>B13+J13</f>
        <v>1.0000000000000073</v>
      </c>
      <c r="R13" s="188">
        <f>B13-J13</f>
        <v>-0.46931806712430552</v>
      </c>
      <c r="S13" s="93">
        <f>SUM(C13:I13)*$B$4*$F$4</f>
        <v>-12.874878430300342</v>
      </c>
      <c r="T13" s="260">
        <f>SUM(C13:I13)*$D$4*$H$4</f>
        <v>-81.068973957201379</v>
      </c>
      <c r="U13" s="264">
        <f t="shared" si="0"/>
        <v>-93.943852387501721</v>
      </c>
      <c r="V13" s="93">
        <f>(U13+W13*J13)/B13</f>
        <v>-334.66840927243686</v>
      </c>
      <c r="W13" s="9">
        <f t="shared" si="1"/>
        <v>7</v>
      </c>
    </row>
    <row r="14" spans="1:23" x14ac:dyDescent="0.2">
      <c r="A14" s="99">
        <v>8</v>
      </c>
      <c r="B14" s="97">
        <f>C14*B4</f>
        <v>0.26535423533246555</v>
      </c>
      <c r="C14" s="97">
        <f>1/(1-D4*B4/(1-D4*B4/(1-D4*B4/(1-D4*B4/(1-D4*B4/(1-D4*B4/(1-D4*B4)))))))</f>
        <v>1.265336174035989</v>
      </c>
      <c r="D14" s="144">
        <f>C14*D4*C13</f>
        <v>1.2652500491179028</v>
      </c>
      <c r="E14" s="1">
        <f>D14*D4*C12</f>
        <v>1.2649254891482757</v>
      </c>
      <c r="F14" s="1">
        <f>E14*D4*C11</f>
        <v>1.2637023916263983</v>
      </c>
      <c r="G14" s="1">
        <f>F14*D4*C10</f>
        <v>1.2590931739532014</v>
      </c>
      <c r="H14" s="1">
        <f>G14*D4*C9</f>
        <v>1.2417234326374977</v>
      </c>
      <c r="I14" s="1">
        <f>H14*D4*C8</f>
        <v>1.1762659223253102</v>
      </c>
      <c r="J14" s="1">
        <f>I14*D4</f>
        <v>0.92959065074851643</v>
      </c>
      <c r="K14" s="1">
        <f>J14*D4</f>
        <v>0.73464576466754306</v>
      </c>
      <c r="L14" s="1"/>
      <c r="M14" s="260"/>
      <c r="N14" s="97">
        <f>B14+K14</f>
        <v>1.0000000000000087</v>
      </c>
      <c r="R14" s="188">
        <f>B14-K14</f>
        <v>-0.46929152933507751</v>
      </c>
      <c r="S14" s="93">
        <f>SUM(C14:J14)*$B$4*$F$4</f>
        <v>-14.81389427882565</v>
      </c>
      <c r="T14" s="260">
        <f>SUM(C14:J14)*$D$4*$H$4</f>
        <v>-93.278333927292536</v>
      </c>
      <c r="U14" s="264">
        <f t="shared" si="0"/>
        <v>-108.09222820611819</v>
      </c>
      <c r="V14" s="93">
        <f>(U14+W14*K14)/B14</f>
        <v>-385.20230122089947</v>
      </c>
      <c r="W14" s="9">
        <f t="shared" si="1"/>
        <v>8</v>
      </c>
    </row>
    <row r="15" spans="1:23" x14ac:dyDescent="0.2">
      <c r="A15" s="99">
        <v>9</v>
      </c>
      <c r="B15" s="97">
        <f>C15*B4</f>
        <v>0.26535775627297481</v>
      </c>
      <c r="C15" s="97">
        <f>1/(1-D4*B4/(1-D4*B4/(1-D4*B4/(1-D4*B4/(1-D4*B4/(1-D4*B4/(1-D4*B4/(1-D4*B4))))))))</f>
        <v>1.2653529635678666</v>
      </c>
      <c r="D15" s="144">
        <f>C15*D4*C14</f>
        <v>1.2653301096528455</v>
      </c>
      <c r="E15" s="1">
        <f>D15*D4*C13</f>
        <v>1.2652439851475308</v>
      </c>
      <c r="F15" s="1">
        <f>E15*D4*C12</f>
        <v>1.2649194267334238</v>
      </c>
      <c r="G15" s="1">
        <f>F15*D4*C11</f>
        <v>1.263696335073492</v>
      </c>
      <c r="H15" s="1">
        <f>G15*D4*C10</f>
        <v>1.2590871394909162</v>
      </c>
      <c r="I15" s="1">
        <f>H15*D4*C9</f>
        <v>1.2417174814232603</v>
      </c>
      <c r="J15" s="1">
        <f>I15*D4*C8</f>
        <v>1.1762602848296169</v>
      </c>
      <c r="K15" s="1">
        <f>J15*D4</f>
        <v>0.92958619549465704</v>
      </c>
      <c r="L15" s="1">
        <f>K15*D4</f>
        <v>0.73464224372703479</v>
      </c>
      <c r="M15" s="260"/>
      <c r="N15" s="97">
        <f>B15+L15</f>
        <v>1.0000000000000095</v>
      </c>
      <c r="R15" s="188">
        <f>B15-L15</f>
        <v>-0.46928448745405998</v>
      </c>
      <c r="S15" s="93">
        <f>SUM(C15:K15)*$B$4*$F$4</f>
        <v>-16.753097397279745</v>
      </c>
      <c r="T15" s="260">
        <f>SUM(C15:K15)*$D$4*$H$4</f>
        <v>-105.48887307597258</v>
      </c>
      <c r="U15" s="264">
        <f t="shared" si="0"/>
        <v>-122.24197047325232</v>
      </c>
      <c r="V15" s="93">
        <f>(U15+W15*L15)/B15</f>
        <v>-435.75206507534557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0.26535869058066008</v>
      </c>
      <c r="C16" s="145">
        <f>1/(1-D4*B4/(1-D4*B4/(1-D4*B4/(1-D4*B4/(1-D4*B4/(1-D4*B4/(1-D4*B4/(1-D4*B4/(1-D4*B4)))))))))</f>
        <v>1.2653574187947085</v>
      </c>
      <c r="D16" s="153">
        <f>C16*D4*C15</f>
        <v>1.2653513543097452</v>
      </c>
      <c r="E16" s="111">
        <f>D16*D4*C14</f>
        <v>1.2653285004237893</v>
      </c>
      <c r="F16" s="111">
        <f>E16*D4*C13</f>
        <v>1.2652423760280065</v>
      </c>
      <c r="G16" s="111">
        <f>F16*D4*C12</f>
        <v>1.2649178180266683</v>
      </c>
      <c r="H16" s="111">
        <f>G16*D4*C11</f>
        <v>1.2636947279222472</v>
      </c>
      <c r="I16" s="111">
        <f>H16*D4*C10</f>
        <v>1.2590855382015818</v>
      </c>
      <c r="J16" s="111">
        <f>I16*D4*C9</f>
        <v>1.2417159022244131</v>
      </c>
      <c r="K16" s="111">
        <f>J16*D4*C8</f>
        <v>1.1762587888783125</v>
      </c>
      <c r="L16" s="111">
        <f>K16*D4</f>
        <v>0.92958501325999376</v>
      </c>
      <c r="M16" s="262">
        <f>L16*D4</f>
        <v>0.73464130941935046</v>
      </c>
      <c r="N16" s="145">
        <f>B16+M16</f>
        <v>1.0000000000000107</v>
      </c>
      <c r="R16" s="189">
        <f>B16-M16</f>
        <v>-0.46928261883869038</v>
      </c>
      <c r="S16" s="94">
        <f>SUM(C16:L16)*$B$4*$F$4</f>
        <v>-18.692357036066824</v>
      </c>
      <c r="T16" s="262">
        <f>SUM(C16:L16)*$D$4*$H$4</f>
        <v>-117.69976811503463</v>
      </c>
      <c r="U16" s="265">
        <f t="shared" si="0"/>
        <v>-136.39212515110145</v>
      </c>
      <c r="V16" s="94">
        <f>(U16+W16*M16)/B16</f>
        <v>-486.30671102020079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7</v>
      </c>
      <c r="D21" s="57">
        <f>SUM($C$21:C21)</f>
        <v>7</v>
      </c>
      <c r="E21" s="57">
        <f t="shared" ref="E21:E30" si="3">D21/R7</f>
        <v>-12.056927852852962</v>
      </c>
      <c r="F21" s="8">
        <f t="shared" ref="F21:F30" si="4">U7/E21</f>
        <v>0.92750461855776001</v>
      </c>
      <c r="G21" s="284">
        <f>E21*U7</f>
        <v>134.83089122583118</v>
      </c>
      <c r="O21" s="101">
        <v>1</v>
      </c>
      <c r="P21" s="109">
        <v>1</v>
      </c>
      <c r="Q21" s="110">
        <f>P21*7+21</f>
        <v>28</v>
      </c>
      <c r="R21" s="57">
        <f>SUM($Q$21)</f>
        <v>28</v>
      </c>
      <c r="S21" s="279">
        <f>R21/R7</f>
        <v>-48.227711411411846</v>
      </c>
      <c r="T21" s="8">
        <f>U7/S21</f>
        <v>0.23187615463944</v>
      </c>
      <c r="U21" s="284">
        <f>S21*U7</f>
        <v>539.32356490332472</v>
      </c>
    </row>
    <row r="22" spans="1:21" x14ac:dyDescent="0.2">
      <c r="A22" s="97">
        <v>2</v>
      </c>
      <c r="B22" s="93">
        <f>C21</f>
        <v>7</v>
      </c>
      <c r="C22" s="1">
        <f t="shared" si="2"/>
        <v>49</v>
      </c>
      <c r="D22" s="9">
        <f>SUM($C$21:C22)</f>
        <v>56</v>
      </c>
      <c r="E22" s="9">
        <f t="shared" si="3"/>
        <v>-112.6174201263907</v>
      </c>
      <c r="F22" s="9">
        <f t="shared" si="4"/>
        <v>0.2130908730693627</v>
      </c>
      <c r="G22" s="285">
        <f t="shared" ref="G22:G30" si="5">E22*U8</f>
        <v>2702.5640606524826</v>
      </c>
      <c r="O22" s="99">
        <v>2</v>
      </c>
      <c r="P22" s="93">
        <f>Q21</f>
        <v>28</v>
      </c>
      <c r="Q22" s="1">
        <f t="shared" ref="Q22:Q30" si="6">P22*7+21</f>
        <v>217</v>
      </c>
      <c r="R22" s="9">
        <f>SUM($Q$21:Q22)</f>
        <v>245</v>
      </c>
      <c r="S22" s="280">
        <f t="shared" ref="S22:S30" si="7">R22/R8</f>
        <v>-492.7012130529593</v>
      </c>
      <c r="T22" s="9">
        <f>U8/S22</f>
        <v>4.8706485272997188E-2</v>
      </c>
      <c r="U22" s="285">
        <f t="shared" ref="U22:U30" si="8">S22*U8</f>
        <v>11823.717765354611</v>
      </c>
    </row>
    <row r="23" spans="1:21" x14ac:dyDescent="0.2">
      <c r="A23" s="97">
        <v>3</v>
      </c>
      <c r="B23" s="93">
        <f t="shared" ref="B23:B30" si="9">C22</f>
        <v>49</v>
      </c>
      <c r="C23" s="1">
        <f t="shared" si="2"/>
        <v>343</v>
      </c>
      <c r="D23" s="9">
        <f>SUM($C$21:C23)</f>
        <v>399</v>
      </c>
      <c r="E23" s="9">
        <f t="shared" si="3"/>
        <v>-837.17399719866262</v>
      </c>
      <c r="F23" s="9">
        <f t="shared" si="4"/>
        <v>4.4939048858507441E-2</v>
      </c>
      <c r="G23" s="285">
        <f t="shared" si="5"/>
        <v>31495.995335942924</v>
      </c>
      <c r="O23" s="99">
        <v>3</v>
      </c>
      <c r="P23" s="93">
        <f t="shared" ref="P23:P30" si="10">Q22</f>
        <v>217</v>
      </c>
      <c r="Q23" s="1">
        <f t="shared" si="6"/>
        <v>1540</v>
      </c>
      <c r="R23" s="9">
        <f>SUM($Q$21:Q23)</f>
        <v>1785</v>
      </c>
      <c r="S23" s="280">
        <f t="shared" si="7"/>
        <v>-3745.2520927308592</v>
      </c>
      <c r="T23" s="9">
        <f t="shared" ref="T23:T30" si="11">U9/S23</f>
        <v>1.0045199156607544E-2</v>
      </c>
      <c r="U23" s="285">
        <f t="shared" si="8"/>
        <v>140903.13702921834</v>
      </c>
    </row>
    <row r="24" spans="1:21" x14ac:dyDescent="0.2">
      <c r="A24" s="97">
        <v>4</v>
      </c>
      <c r="B24" s="93">
        <f t="shared" si="9"/>
        <v>343</v>
      </c>
      <c r="C24" s="1">
        <f t="shared" si="2"/>
        <v>2401</v>
      </c>
      <c r="D24" s="9">
        <f>SUM($C$21:C24)</f>
        <v>2800</v>
      </c>
      <c r="E24" s="9">
        <f t="shared" si="3"/>
        <v>-5942.0520826214306</v>
      </c>
      <c r="F24" s="9">
        <f t="shared" si="4"/>
        <v>8.6810578805417721E-3</v>
      </c>
      <c r="G24" s="285">
        <f t="shared" si="5"/>
        <v>306510.64365657844</v>
      </c>
      <c r="O24" s="99">
        <v>4</v>
      </c>
      <c r="P24" s="93">
        <f t="shared" si="10"/>
        <v>1540</v>
      </c>
      <c r="Q24" s="1">
        <f t="shared" si="6"/>
        <v>10801</v>
      </c>
      <c r="R24" s="9">
        <f>SUM($Q$21:Q24)</f>
        <v>12586</v>
      </c>
      <c r="S24" s="280">
        <f t="shared" si="7"/>
        <v>-26709.524111383329</v>
      </c>
      <c r="T24" s="9">
        <f t="shared" si="11"/>
        <v>1.9312698288190817E-3</v>
      </c>
      <c r="U24" s="285">
        <f t="shared" si="8"/>
        <v>1377765.34323632</v>
      </c>
    </row>
    <row r="25" spans="1:21" x14ac:dyDescent="0.2">
      <c r="A25" s="97">
        <v>5</v>
      </c>
      <c r="B25" s="93">
        <f t="shared" si="9"/>
        <v>2401</v>
      </c>
      <c r="C25" s="1">
        <f t="shared" si="2"/>
        <v>16807</v>
      </c>
      <c r="D25" s="9">
        <f>SUM($C$21:C25)</f>
        <v>19607</v>
      </c>
      <c r="E25" s="9">
        <f t="shared" si="3"/>
        <v>-41735.214953480441</v>
      </c>
      <c r="F25" s="9">
        <f t="shared" si="4"/>
        <v>1.5734929434062298E-3</v>
      </c>
      <c r="G25" s="285">
        <f t="shared" si="5"/>
        <v>2740754.3297362044</v>
      </c>
      <c r="O25" s="99">
        <v>5</v>
      </c>
      <c r="P25" s="93">
        <f t="shared" si="10"/>
        <v>10801</v>
      </c>
      <c r="Q25" s="1">
        <f t="shared" si="6"/>
        <v>75628</v>
      </c>
      <c r="R25" s="9">
        <f>SUM($Q$21:Q25)</f>
        <v>88214</v>
      </c>
      <c r="S25" s="280">
        <f t="shared" si="7"/>
        <v>-187771.21700955392</v>
      </c>
      <c r="T25" s="9">
        <f t="shared" si="11"/>
        <v>3.4973446551982617E-4</v>
      </c>
      <c r="U25" s="285">
        <f t="shared" si="8"/>
        <v>12330948.255385807</v>
      </c>
    </row>
    <row r="26" spans="1:21" x14ac:dyDescent="0.2">
      <c r="A26" s="97">
        <v>6</v>
      </c>
      <c r="B26" s="93">
        <f t="shared" si="9"/>
        <v>16807</v>
      </c>
      <c r="C26" s="1">
        <f t="shared" si="2"/>
        <v>117649</v>
      </c>
      <c r="D26" s="9">
        <f>SUM($C$21:C26)</f>
        <v>137256</v>
      </c>
      <c r="E26" s="9">
        <f t="shared" si="3"/>
        <v>-292396.0644368871</v>
      </c>
      <c r="F26" s="9">
        <f t="shared" si="4"/>
        <v>2.7291721286020718E-4</v>
      </c>
      <c r="G26" s="285">
        <f t="shared" si="5"/>
        <v>23333182.245528866</v>
      </c>
      <c r="O26" s="99">
        <v>6</v>
      </c>
      <c r="P26" s="93">
        <f t="shared" si="10"/>
        <v>75628</v>
      </c>
      <c r="Q26" s="1">
        <f t="shared" si="6"/>
        <v>529417</v>
      </c>
      <c r="R26" s="9">
        <f>SUM($Q$21:Q26)</f>
        <v>617631</v>
      </c>
      <c r="S26" s="280">
        <f t="shared" si="7"/>
        <v>-1315737.5537260231</v>
      </c>
      <c r="T26" s="9">
        <f t="shared" si="11"/>
        <v>6.0650331619268785E-5</v>
      </c>
      <c r="U26" s="285">
        <f t="shared" si="8"/>
        <v>104995750.15655592</v>
      </c>
    </row>
    <row r="27" spans="1:21" x14ac:dyDescent="0.2">
      <c r="A27" s="97">
        <v>7</v>
      </c>
      <c r="B27" s="93">
        <f t="shared" si="9"/>
        <v>117649</v>
      </c>
      <c r="C27" s="1">
        <f t="shared" si="2"/>
        <v>823543</v>
      </c>
      <c r="D27" s="9">
        <f>SUM($C$21:C27)</f>
        <v>960799</v>
      </c>
      <c r="E27" s="9">
        <f t="shared" si="3"/>
        <v>-2047223.5511562328</v>
      </c>
      <c r="F27" s="9">
        <f t="shared" si="4"/>
        <v>4.5888419139396881E-5</v>
      </c>
      <c r="G27" s="285">
        <f t="shared" si="5"/>
        <v>192324067.09403822</v>
      </c>
      <c r="O27" s="99">
        <v>7</v>
      </c>
      <c r="P27" s="93">
        <f t="shared" si="10"/>
        <v>529417</v>
      </c>
      <c r="Q27" s="1">
        <f t="shared" si="6"/>
        <v>3705940</v>
      </c>
      <c r="R27" s="9">
        <f>SUM($Q$21:Q27)</f>
        <v>4323571</v>
      </c>
      <c r="S27" s="280">
        <f t="shared" si="7"/>
        <v>-9212453.7768004593</v>
      </c>
      <c r="T27" s="9">
        <f t="shared" si="11"/>
        <v>1.0197484260282388E-5</v>
      </c>
      <c r="U27" s="285">
        <f t="shared" si="8"/>
        <v>865453397.73442507</v>
      </c>
    </row>
    <row r="28" spans="1:21" x14ac:dyDescent="0.2">
      <c r="A28" s="97">
        <v>8</v>
      </c>
      <c r="B28" s="93">
        <f t="shared" si="9"/>
        <v>823543</v>
      </c>
      <c r="C28" s="1">
        <f t="shared" si="2"/>
        <v>5764801</v>
      </c>
      <c r="D28" s="9">
        <f>SUM($C$21:C28)</f>
        <v>6725600</v>
      </c>
      <c r="E28" s="9">
        <f t="shared" si="3"/>
        <v>-14331390.147887953</v>
      </c>
      <c r="F28" s="9">
        <f t="shared" si="4"/>
        <v>7.5423407702042062E-6</v>
      </c>
      <c r="G28" s="285">
        <f t="shared" si="5"/>
        <v>1549111894.3764186</v>
      </c>
      <c r="O28" s="99">
        <v>8</v>
      </c>
      <c r="P28" s="93">
        <f t="shared" si="10"/>
        <v>3705940</v>
      </c>
      <c r="Q28" s="1">
        <f t="shared" si="6"/>
        <v>25941601</v>
      </c>
      <c r="R28" s="9">
        <f>SUM($Q$21:Q28)</f>
        <v>30265172</v>
      </c>
      <c r="S28" s="280">
        <f t="shared" si="7"/>
        <v>-64491196.001090512</v>
      </c>
      <c r="T28" s="9">
        <f t="shared" si="11"/>
        <v>1.676077277343258E-6</v>
      </c>
      <c r="U28" s="285">
        <f t="shared" si="8"/>
        <v>6970997075.4353724</v>
      </c>
    </row>
    <row r="29" spans="1:21" x14ac:dyDescent="0.2">
      <c r="A29" s="97">
        <v>9</v>
      </c>
      <c r="B29" s="93">
        <f t="shared" si="9"/>
        <v>5764801</v>
      </c>
      <c r="C29" s="1">
        <f t="shared" si="2"/>
        <v>40353607</v>
      </c>
      <c r="D29" s="9">
        <f>SUM($C$21:C29)</f>
        <v>47079207</v>
      </c>
      <c r="E29" s="9">
        <f t="shared" si="3"/>
        <v>-100321251.30624259</v>
      </c>
      <c r="F29" s="9">
        <f t="shared" si="4"/>
        <v>1.2185052407300435E-6</v>
      </c>
      <c r="G29" s="285">
        <f t="shared" si="5"/>
        <v>12263467440.017431</v>
      </c>
      <c r="O29" s="99">
        <v>9</v>
      </c>
      <c r="P29" s="93">
        <f t="shared" si="10"/>
        <v>25941601</v>
      </c>
      <c r="Q29" s="1">
        <f t="shared" si="6"/>
        <v>181591228</v>
      </c>
      <c r="R29" s="9">
        <f>SUM($Q$21:Q29)</f>
        <v>211856400</v>
      </c>
      <c r="S29" s="280">
        <f t="shared" si="7"/>
        <v>-451445563.75462854</v>
      </c>
      <c r="T29" s="9">
        <f t="shared" si="11"/>
        <v>2.7077898264538882E-7</v>
      </c>
      <c r="U29" s="285">
        <f t="shared" si="8"/>
        <v>55185595274.774048</v>
      </c>
    </row>
    <row r="30" spans="1:21" ht="17" thickBot="1" x14ac:dyDescent="0.25">
      <c r="A30" s="145">
        <v>10</v>
      </c>
      <c r="B30" s="94">
        <f t="shared" si="9"/>
        <v>40353607</v>
      </c>
      <c r="C30" s="111">
        <f t="shared" si="2"/>
        <v>282475249</v>
      </c>
      <c r="D30" s="10">
        <f>SUM($C$21:C30)</f>
        <v>329554456</v>
      </c>
      <c r="E30" s="10">
        <f t="shared" si="3"/>
        <v>-702251570.31285644</v>
      </c>
      <c r="F30" s="10">
        <f t="shared" si="4"/>
        <v>1.9422117502754477E-7</v>
      </c>
      <c r="G30" s="286">
        <f t="shared" si="5"/>
        <v>95781584065.66864</v>
      </c>
      <c r="O30" s="100">
        <v>10</v>
      </c>
      <c r="P30" s="94">
        <f t="shared" si="10"/>
        <v>181591228</v>
      </c>
      <c r="Q30" s="111">
        <f t="shared" si="6"/>
        <v>1271138617</v>
      </c>
      <c r="R30" s="10">
        <f>SUM($Q$21:Q30)</f>
        <v>1482995017</v>
      </c>
      <c r="S30" s="281">
        <f t="shared" si="7"/>
        <v>-3160131991.8259315</v>
      </c>
      <c r="T30" s="10">
        <f t="shared" si="11"/>
        <v>4.3160262135852678E-8</v>
      </c>
      <c r="U30" s="286">
        <f t="shared" si="8"/>
        <v>431017118123.12195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7</v>
      </c>
      <c r="D33" s="57">
        <f>SUM($C$33:C33)</f>
        <v>7</v>
      </c>
      <c r="E33" s="9">
        <f t="shared" ref="E33:E42" si="13">D33/R7</f>
        <v>-12.056927852852962</v>
      </c>
      <c r="F33" s="8">
        <f t="shared" ref="F33:F42" si="14">U7/E33</f>
        <v>0.92750461855776001</v>
      </c>
      <c r="G33" s="287">
        <f>E33*U7</f>
        <v>134.83089122583118</v>
      </c>
      <c r="O33" s="101">
        <v>1</v>
      </c>
      <c r="P33" s="109">
        <v>1</v>
      </c>
      <c r="Q33" s="110">
        <f>P33*7+21</f>
        <v>28</v>
      </c>
      <c r="R33" s="57">
        <f>SUM($Q$21)</f>
        <v>28</v>
      </c>
      <c r="S33" s="279">
        <f>R33/R7</f>
        <v>-48.227711411411846</v>
      </c>
      <c r="T33" s="8">
        <f>U7/S33</f>
        <v>0.23187615463944</v>
      </c>
      <c r="U33" s="287">
        <f>S33*U7</f>
        <v>539.32356490332472</v>
      </c>
    </row>
    <row r="34" spans="1:21" x14ac:dyDescent="0.2">
      <c r="A34" s="97">
        <v>2</v>
      </c>
      <c r="B34" s="93">
        <f t="shared" ref="B34:B42" si="15">B33*($O$2+1)</f>
        <v>8</v>
      </c>
      <c r="C34" s="1">
        <f t="shared" si="12"/>
        <v>56</v>
      </c>
      <c r="D34" s="9">
        <f>SUM($C$33:C34)</f>
        <v>63</v>
      </c>
      <c r="E34" s="9">
        <f t="shared" si="13"/>
        <v>-126.69459764218954</v>
      </c>
      <c r="F34" s="9">
        <f t="shared" si="14"/>
        <v>0.18941410939498907</v>
      </c>
      <c r="G34" s="285">
        <f t="shared" ref="G34:G42" si="16">E34*U8</f>
        <v>3040.3845682340429</v>
      </c>
      <c r="O34" s="99">
        <v>2</v>
      </c>
      <c r="P34" s="93">
        <f>Q33+1</f>
        <v>29</v>
      </c>
      <c r="Q34" s="1">
        <f t="shared" ref="Q34:Q42" si="17">P34*7+21</f>
        <v>224</v>
      </c>
      <c r="R34" s="9">
        <f>SUM($Q$33:Q34)</f>
        <v>252</v>
      </c>
      <c r="S34" s="280">
        <f>R34/R8</f>
        <v>-506.77839056875814</v>
      </c>
      <c r="T34" s="9">
        <f t="shared" ref="T34:T42" si="18">U8/S34</f>
        <v>4.7353527348747267E-2</v>
      </c>
      <c r="U34" s="285">
        <f t="shared" ref="U34:U42" si="19">S34*U8</f>
        <v>12161.538272936172</v>
      </c>
    </row>
    <row r="35" spans="1:21" x14ac:dyDescent="0.2">
      <c r="A35" s="97">
        <v>3</v>
      </c>
      <c r="B35" s="93">
        <f t="shared" si="15"/>
        <v>64</v>
      </c>
      <c r="C35" s="1">
        <f t="shared" si="12"/>
        <v>448</v>
      </c>
      <c r="D35" s="9">
        <f>SUM($C$33:C35)</f>
        <v>511</v>
      </c>
      <c r="E35" s="9">
        <f t="shared" si="13"/>
        <v>-1072.1702069386381</v>
      </c>
      <c r="F35" s="9">
        <f t="shared" si="14"/>
        <v>3.5089394314177041E-2</v>
      </c>
      <c r="G35" s="285">
        <f t="shared" si="16"/>
        <v>40336.97648287427</v>
      </c>
      <c r="O35" s="99">
        <v>3</v>
      </c>
      <c r="P35" s="93">
        <f t="shared" ref="P35:P42" si="20">Q34+1</f>
        <v>225</v>
      </c>
      <c r="Q35" s="1">
        <f t="shared" si="17"/>
        <v>1596</v>
      </c>
      <c r="R35" s="9">
        <f>SUM($Q$33:Q35)</f>
        <v>1848</v>
      </c>
      <c r="S35" s="280">
        <f t="shared" ref="S35:S42" si="21">R35/R9</f>
        <v>-3877.4374607095951</v>
      </c>
      <c r="T35" s="9">
        <f t="shared" si="18"/>
        <v>9.7027491853595611E-3</v>
      </c>
      <c r="U35" s="285">
        <f t="shared" si="19"/>
        <v>145876.18892436722</v>
      </c>
    </row>
    <row r="36" spans="1:21" x14ac:dyDescent="0.2">
      <c r="A36" s="97">
        <v>4</v>
      </c>
      <c r="B36" s="93">
        <f t="shared" si="15"/>
        <v>512</v>
      </c>
      <c r="C36" s="1">
        <f t="shared" si="12"/>
        <v>3584</v>
      </c>
      <c r="D36" s="9">
        <f>SUM($C$33:C36)</f>
        <v>4095</v>
      </c>
      <c r="E36" s="9">
        <f t="shared" si="13"/>
        <v>-8690.2511708338425</v>
      </c>
      <c r="F36" s="9">
        <f t="shared" si="14"/>
        <v>5.935766072165314E-3</v>
      </c>
      <c r="G36" s="285">
        <f t="shared" si="16"/>
        <v>448271.816347746</v>
      </c>
      <c r="O36" s="99">
        <v>4</v>
      </c>
      <c r="P36" s="93">
        <f t="shared" si="20"/>
        <v>1597</v>
      </c>
      <c r="Q36" s="1">
        <f t="shared" si="17"/>
        <v>11200</v>
      </c>
      <c r="R36" s="9">
        <f>SUM($Q$33:Q36)</f>
        <v>13048</v>
      </c>
      <c r="S36" s="280">
        <f t="shared" si="21"/>
        <v>-27689.962705015863</v>
      </c>
      <c r="T36" s="9">
        <f t="shared" si="18"/>
        <v>1.8628879571978053E-3</v>
      </c>
      <c r="U36" s="285">
        <f t="shared" si="19"/>
        <v>1428339.5994396554</v>
      </c>
    </row>
    <row r="37" spans="1:21" x14ac:dyDescent="0.2">
      <c r="A37" s="97">
        <v>5</v>
      </c>
      <c r="B37" s="93">
        <f t="shared" si="15"/>
        <v>4096</v>
      </c>
      <c r="C37" s="1">
        <f t="shared" si="12"/>
        <v>28672</v>
      </c>
      <c r="D37" s="9">
        <f>SUM($C$33:C37)</f>
        <v>32767</v>
      </c>
      <c r="E37" s="9">
        <f t="shared" si="13"/>
        <v>-69747.426346748296</v>
      </c>
      <c r="F37" s="9">
        <f t="shared" si="14"/>
        <v>9.415410669687778E-4</v>
      </c>
      <c r="G37" s="285">
        <f t="shared" si="16"/>
        <v>4580318.1069243746</v>
      </c>
      <c r="O37" s="99">
        <v>5</v>
      </c>
      <c r="P37" s="93">
        <f t="shared" si="20"/>
        <v>11201</v>
      </c>
      <c r="Q37" s="1">
        <f t="shared" si="17"/>
        <v>78428</v>
      </c>
      <c r="R37" s="9">
        <f>SUM($Q$33:Q37)</f>
        <v>91476</v>
      </c>
      <c r="S37" s="280">
        <f t="shared" si="21"/>
        <v>-194714.66940809798</v>
      </c>
      <c r="T37" s="9">
        <f t="shared" si="18"/>
        <v>3.3726306508117919E-4</v>
      </c>
      <c r="U37" s="285">
        <f t="shared" si="19"/>
        <v>12786925.234199472</v>
      </c>
    </row>
    <row r="38" spans="1:21" x14ac:dyDescent="0.2">
      <c r="A38" s="97">
        <v>6</v>
      </c>
      <c r="B38" s="93">
        <f t="shared" si="15"/>
        <v>32768</v>
      </c>
      <c r="C38" s="1">
        <f t="shared" si="12"/>
        <v>229376</v>
      </c>
      <c r="D38" s="9">
        <f>SUM($C$33:C38)</f>
        <v>262143</v>
      </c>
      <c r="E38" s="9">
        <f t="shared" si="13"/>
        <v>-558442.48353207798</v>
      </c>
      <c r="F38" s="9">
        <f t="shared" si="14"/>
        <v>1.4289729257825157E-4</v>
      </c>
      <c r="G38" s="285">
        <f t="shared" si="16"/>
        <v>44563664.928233907</v>
      </c>
      <c r="O38" s="99">
        <v>6</v>
      </c>
      <c r="P38" s="93">
        <f t="shared" si="20"/>
        <v>78429</v>
      </c>
      <c r="Q38" s="1">
        <f t="shared" si="17"/>
        <v>549024</v>
      </c>
      <c r="R38" s="9">
        <f>SUM($Q$33:Q38)</f>
        <v>640500</v>
      </c>
      <c r="S38" s="280">
        <f t="shared" si="21"/>
        <v>-1364455.3190521812</v>
      </c>
      <c r="T38" s="9">
        <f t="shared" si="18"/>
        <v>5.8484816500141456E-5</v>
      </c>
      <c r="U38" s="285">
        <f t="shared" si="19"/>
        <v>108883423.8813694</v>
      </c>
    </row>
    <row r="39" spans="1:21" x14ac:dyDescent="0.2">
      <c r="A39" s="97">
        <v>7</v>
      </c>
      <c r="B39" s="93">
        <f t="shared" si="15"/>
        <v>262144</v>
      </c>
      <c r="C39" s="1">
        <f t="shared" si="12"/>
        <v>1835008</v>
      </c>
      <c r="D39" s="9">
        <f>SUM($C$33:C39)</f>
        <v>2097151</v>
      </c>
      <c r="E39" s="9">
        <f t="shared" si="13"/>
        <v>-4468506.8547436511</v>
      </c>
      <c r="F39" s="9">
        <f t="shared" si="14"/>
        <v>2.1023544427994635E-5</v>
      </c>
      <c r="G39" s="285">
        <f t="shared" si="16"/>
        <v>419788748.35457718</v>
      </c>
      <c r="O39" s="99">
        <v>7</v>
      </c>
      <c r="P39" s="93">
        <f t="shared" si="20"/>
        <v>549025</v>
      </c>
      <c r="Q39" s="1">
        <f t="shared" si="17"/>
        <v>3843196</v>
      </c>
      <c r="R39" s="9">
        <f>SUM($Q$33:Q39)</f>
        <v>4483696</v>
      </c>
      <c r="S39" s="280">
        <f t="shared" si="21"/>
        <v>-9553640.3008589689</v>
      </c>
      <c r="T39" s="9">
        <f t="shared" si="18"/>
        <v>9.8333043142785296E-6</v>
      </c>
      <c r="U39" s="285">
        <f t="shared" si="19"/>
        <v>897505774.18718255</v>
      </c>
    </row>
    <row r="40" spans="1:21" x14ac:dyDescent="0.2">
      <c r="A40" s="97">
        <v>8</v>
      </c>
      <c r="B40" s="93">
        <f t="shared" si="15"/>
        <v>2097152</v>
      </c>
      <c r="C40" s="1">
        <f t="shared" si="12"/>
        <v>14680064</v>
      </c>
      <c r="D40" s="9">
        <f>SUM($C$33:C40)</f>
        <v>16777215</v>
      </c>
      <c r="E40" s="9">
        <f t="shared" si="13"/>
        <v>-35750091.257285297</v>
      </c>
      <c r="F40" s="9">
        <f t="shared" si="14"/>
        <v>3.0235511128685783E-6</v>
      </c>
      <c r="G40" s="285">
        <f t="shared" si="16"/>
        <v>3864307022.5720334</v>
      </c>
      <c r="O40" s="99">
        <v>8</v>
      </c>
      <c r="P40" s="93">
        <f t="shared" si="20"/>
        <v>3843197</v>
      </c>
      <c r="Q40" s="1">
        <f t="shared" si="17"/>
        <v>26902400</v>
      </c>
      <c r="R40" s="9">
        <f>SUM($Q$33:Q40)</f>
        <v>31386096</v>
      </c>
      <c r="S40" s="280">
        <f t="shared" si="21"/>
        <v>-66879741.13760341</v>
      </c>
      <c r="T40" s="9">
        <f t="shared" si="18"/>
        <v>1.6162178017962287E-6</v>
      </c>
      <c r="U40" s="285">
        <f t="shared" si="19"/>
        <v>7229180241.4119387</v>
      </c>
    </row>
    <row r="41" spans="1:21" x14ac:dyDescent="0.2">
      <c r="A41" s="97">
        <v>9</v>
      </c>
      <c r="B41" s="93">
        <f t="shared" si="15"/>
        <v>16777216</v>
      </c>
      <c r="C41" s="1">
        <f t="shared" si="12"/>
        <v>117440512</v>
      </c>
      <c r="D41" s="9">
        <f>SUM($C$33:C41)</f>
        <v>134217727</v>
      </c>
      <c r="E41" s="9">
        <f t="shared" si="13"/>
        <v>-286005036.57845515</v>
      </c>
      <c r="F41" s="9">
        <f t="shared" si="14"/>
        <v>4.2741195027773455E-7</v>
      </c>
      <c r="G41" s="285">
        <f t="shared" si="16"/>
        <v>34961819236.624962</v>
      </c>
      <c r="O41" s="99">
        <v>9</v>
      </c>
      <c r="P41" s="93">
        <f t="shared" si="20"/>
        <v>26902401</v>
      </c>
      <c r="Q41" s="1">
        <f t="shared" si="17"/>
        <v>188316828</v>
      </c>
      <c r="R41" s="9">
        <f>SUM($Q$33:Q41)</f>
        <v>219702924</v>
      </c>
      <c r="S41" s="280">
        <f t="shared" si="21"/>
        <v>-468165749.93118125</v>
      </c>
      <c r="T41" s="9">
        <f t="shared" si="18"/>
        <v>2.6110831578606824E-7</v>
      </c>
      <c r="U41" s="285">
        <f t="shared" si="19"/>
        <v>57229503779.675491</v>
      </c>
    </row>
    <row r="42" spans="1:21" ht="17" thickBot="1" x14ac:dyDescent="0.25">
      <c r="A42" s="145">
        <v>10</v>
      </c>
      <c r="B42" s="94">
        <f t="shared" si="15"/>
        <v>134217728</v>
      </c>
      <c r="C42" s="111">
        <f t="shared" si="12"/>
        <v>939524096</v>
      </c>
      <c r="D42" s="10">
        <f>SUM($C$33:C42)</f>
        <v>1073741823</v>
      </c>
      <c r="E42" s="9">
        <f t="shared" si="13"/>
        <v>-2288049418.1888385</v>
      </c>
      <c r="F42" s="10">
        <f t="shared" si="14"/>
        <v>5.9610655288672027E-8</v>
      </c>
      <c r="G42" s="286">
        <f t="shared" si="16"/>
        <v>312071922597.51691</v>
      </c>
      <c r="O42" s="100">
        <v>10</v>
      </c>
      <c r="P42" s="94">
        <f t="shared" si="20"/>
        <v>188316829</v>
      </c>
      <c r="Q42" s="111">
        <f t="shared" si="17"/>
        <v>1318217824</v>
      </c>
      <c r="R42" s="10">
        <f>SUM($Q$33:Q42)</f>
        <v>1537920748</v>
      </c>
      <c r="S42" s="281">
        <f t="shared" si="21"/>
        <v>-3277173895.3507667</v>
      </c>
      <c r="T42" s="10">
        <f t="shared" si="18"/>
        <v>4.1618824483069719E-8</v>
      </c>
      <c r="U42" s="286">
        <f t="shared" si="19"/>
        <v>446980712076.60443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7</v>
      </c>
      <c r="D45" s="57">
        <f>SUM(C45:C45)</f>
        <v>7</v>
      </c>
      <c r="E45" s="57">
        <f t="shared" ref="E45:E54" si="23">D45/R7</f>
        <v>-12.056927852852962</v>
      </c>
      <c r="F45" s="8">
        <f t="shared" ref="F45:F54" si="24">U7/E45</f>
        <v>0.92750461855776001</v>
      </c>
      <c r="G45" s="284">
        <f>E45*U7</f>
        <v>134.83089122583118</v>
      </c>
      <c r="O45" s="101">
        <v>1</v>
      </c>
      <c r="P45" s="109">
        <v>1</v>
      </c>
      <c r="Q45" s="110">
        <f>P45*7+21</f>
        <v>28</v>
      </c>
      <c r="R45" s="57">
        <f>SUM($Q$21)</f>
        <v>28</v>
      </c>
      <c r="S45" s="279">
        <f>R45/R7</f>
        <v>-48.227711411411846</v>
      </c>
      <c r="T45" s="8">
        <f>U7/S45</f>
        <v>0.23187615463944</v>
      </c>
      <c r="U45" s="287">
        <f>S45*U7</f>
        <v>539.32356490332472</v>
      </c>
    </row>
    <row r="46" spans="1:21" x14ac:dyDescent="0.2">
      <c r="A46" s="97">
        <v>2</v>
      </c>
      <c r="B46" s="93">
        <f t="shared" ref="B46:B54" si="25">B45*$O$2*2</f>
        <v>14</v>
      </c>
      <c r="C46" s="1">
        <f t="shared" si="22"/>
        <v>98</v>
      </c>
      <c r="D46" s="9">
        <f>SUM($C$45:C46)</f>
        <v>105</v>
      </c>
      <c r="E46" s="9">
        <f t="shared" si="23"/>
        <v>-211.15766273698256</v>
      </c>
      <c r="F46" s="9">
        <f t="shared" si="24"/>
        <v>0.11364846563699343</v>
      </c>
      <c r="G46" s="285">
        <f t="shared" ref="G46:G54" si="26">E46*U8</f>
        <v>5067.3076137234048</v>
      </c>
      <c r="O46" s="99">
        <v>2</v>
      </c>
      <c r="P46" s="93">
        <f>Q45*2</f>
        <v>56</v>
      </c>
      <c r="Q46" s="1">
        <f t="shared" ref="Q46:Q54" si="27">P46*7+21</f>
        <v>413</v>
      </c>
      <c r="R46" s="9">
        <f>SUM($Q$45:Q46)</f>
        <v>441</v>
      </c>
      <c r="S46" s="280">
        <f t="shared" ref="S46:S54" si="28">R46/R8</f>
        <v>-886.8621834953268</v>
      </c>
      <c r="T46" s="9">
        <f t="shared" ref="T46:T54" si="29">U8/S46</f>
        <v>2.7059158484998434E-2</v>
      </c>
      <c r="U46" s="285">
        <f t="shared" ref="U46:U54" si="30">S46*U8</f>
        <v>21282.6919776383</v>
      </c>
    </row>
    <row r="47" spans="1:21" x14ac:dyDescent="0.2">
      <c r="A47" s="97">
        <v>3</v>
      </c>
      <c r="B47" s="93">
        <f t="shared" si="25"/>
        <v>196</v>
      </c>
      <c r="C47" s="1">
        <f t="shared" si="22"/>
        <v>1372</v>
      </c>
      <c r="D47" s="9">
        <f>SUM($C$45:C47)</f>
        <v>1477</v>
      </c>
      <c r="E47" s="9">
        <f t="shared" si="23"/>
        <v>-3099.0125159459267</v>
      </c>
      <c r="F47" s="9">
        <f t="shared" si="24"/>
        <v>1.2139932630023336E-2</v>
      </c>
      <c r="G47" s="285">
        <f t="shared" si="26"/>
        <v>116590.43887515714</v>
      </c>
      <c r="O47" s="99">
        <v>3</v>
      </c>
      <c r="P47" s="93">
        <f t="shared" ref="P47:P54" si="31">Q46*2</f>
        <v>826</v>
      </c>
      <c r="Q47" s="1">
        <f t="shared" si="27"/>
        <v>5803</v>
      </c>
      <c r="R47" s="9">
        <f>SUM($Q$45:Q47)</f>
        <v>6244</v>
      </c>
      <c r="S47" s="280">
        <f t="shared" si="28"/>
        <v>-13101.038693003633</v>
      </c>
      <c r="T47" s="9">
        <f t="shared" si="29"/>
        <v>2.8716656781781658E-3</v>
      </c>
      <c r="U47" s="285">
        <f t="shared" si="30"/>
        <v>492884.69894142263</v>
      </c>
    </row>
    <row r="48" spans="1:21" x14ac:dyDescent="0.2">
      <c r="A48" s="97">
        <v>4</v>
      </c>
      <c r="B48" s="93">
        <f t="shared" si="25"/>
        <v>2744</v>
      </c>
      <c r="C48" s="1">
        <f t="shared" si="22"/>
        <v>19208</v>
      </c>
      <c r="D48" s="9">
        <f>SUM($C$45:C48)</f>
        <v>20685</v>
      </c>
      <c r="E48" s="9">
        <f t="shared" si="23"/>
        <v>-43896.909760365816</v>
      </c>
      <c r="F48" s="9">
        <f t="shared" si="24"/>
        <v>1.1751008975352652E-3</v>
      </c>
      <c r="G48" s="285">
        <f t="shared" si="26"/>
        <v>2264347.3800129732</v>
      </c>
      <c r="O48" s="99">
        <v>4</v>
      </c>
      <c r="P48" s="93">
        <f t="shared" si="31"/>
        <v>11606</v>
      </c>
      <c r="Q48" s="1">
        <f t="shared" si="27"/>
        <v>81263</v>
      </c>
      <c r="R48" s="9">
        <f>SUM($Q$45:Q48)</f>
        <v>87507</v>
      </c>
      <c r="S48" s="280">
        <f t="shared" si="28"/>
        <v>-185703.98271212625</v>
      </c>
      <c r="T48" s="9">
        <f t="shared" si="29"/>
        <v>2.7777163044690096E-4</v>
      </c>
      <c r="U48" s="285">
        <f t="shared" si="30"/>
        <v>9579223.8908772171</v>
      </c>
    </row>
    <row r="49" spans="1:21" x14ac:dyDescent="0.2">
      <c r="A49" s="97">
        <v>5</v>
      </c>
      <c r="B49" s="93">
        <f t="shared" si="25"/>
        <v>38416</v>
      </c>
      <c r="C49" s="1">
        <f t="shared" si="22"/>
        <v>268912</v>
      </c>
      <c r="D49" s="9">
        <f>SUM($C$45:C49)</f>
        <v>289597</v>
      </c>
      <c r="E49" s="9">
        <f t="shared" si="23"/>
        <v>-616432.5518887681</v>
      </c>
      <c r="F49" s="9">
        <f t="shared" si="24"/>
        <v>1.0653244384909356E-4</v>
      </c>
      <c r="G49" s="285">
        <f t="shared" si="26"/>
        <v>40481166.503219031</v>
      </c>
      <c r="O49" s="99">
        <v>5</v>
      </c>
      <c r="P49" s="93">
        <f t="shared" si="31"/>
        <v>162526</v>
      </c>
      <c r="Q49" s="1">
        <f t="shared" si="27"/>
        <v>1137703</v>
      </c>
      <c r="R49" s="9">
        <f>SUM($Q$45:Q49)</f>
        <v>1225210</v>
      </c>
      <c r="S49" s="280">
        <f t="shared" si="28"/>
        <v>-2607966.6809381228</v>
      </c>
      <c r="T49" s="9">
        <f t="shared" si="29"/>
        <v>2.5180561815007998E-5</v>
      </c>
      <c r="U49" s="285">
        <f t="shared" si="30"/>
        <v>171265344.6389603</v>
      </c>
    </row>
    <row r="50" spans="1:21" x14ac:dyDescent="0.2">
      <c r="A50" s="97">
        <v>6</v>
      </c>
      <c r="B50" s="93">
        <f t="shared" si="25"/>
        <v>537824</v>
      </c>
      <c r="C50" s="1">
        <f t="shared" si="22"/>
        <v>3764768</v>
      </c>
      <c r="D50" s="9">
        <f>SUM($C$45:C50)</f>
        <v>4054365</v>
      </c>
      <c r="E50" s="9">
        <f t="shared" si="23"/>
        <v>-8637002.1696003079</v>
      </c>
      <c r="F50" s="9">
        <f t="shared" si="24"/>
        <v>9.239307503971792E-6</v>
      </c>
      <c r="G50" s="285">
        <f t="shared" si="26"/>
        <v>689232073.16906834</v>
      </c>
      <c r="O50" s="99">
        <v>6</v>
      </c>
      <c r="P50" s="93">
        <f t="shared" si="31"/>
        <v>2275406</v>
      </c>
      <c r="Q50" s="1">
        <f t="shared" si="27"/>
        <v>15927863</v>
      </c>
      <c r="R50" s="9">
        <f>SUM($Q$45:Q50)</f>
        <v>17153073</v>
      </c>
      <c r="S50" s="280">
        <f t="shared" si="28"/>
        <v>-36541142.377736703</v>
      </c>
      <c r="T50" s="9">
        <f t="shared" si="29"/>
        <v>2.1838375530927081E-6</v>
      </c>
      <c r="U50" s="285">
        <f t="shared" si="30"/>
        <v>2915980200.3545241</v>
      </c>
    </row>
    <row r="51" spans="1:21" x14ac:dyDescent="0.2">
      <c r="A51" s="97">
        <v>7</v>
      </c>
      <c r="B51" s="93">
        <f t="shared" si="25"/>
        <v>7529536</v>
      </c>
      <c r="C51" s="1">
        <f t="shared" si="22"/>
        <v>52706752</v>
      </c>
      <c r="D51" s="9">
        <f>SUM($C$45:C51)</f>
        <v>56761117</v>
      </c>
      <c r="E51" s="9">
        <f t="shared" si="23"/>
        <v>-120943813.96351831</v>
      </c>
      <c r="F51" s="9">
        <f t="shared" si="24"/>
        <v>7.7675615898667704E-7</v>
      </c>
      <c r="G51" s="285">
        <f t="shared" si="26"/>
        <v>11361927806.170233</v>
      </c>
      <c r="O51" s="99">
        <v>7</v>
      </c>
      <c r="P51" s="93">
        <f t="shared" si="31"/>
        <v>31855726</v>
      </c>
      <c r="Q51" s="1">
        <f t="shared" si="27"/>
        <v>222990103</v>
      </c>
      <c r="R51" s="9">
        <f>SUM($Q$45:Q51)</f>
        <v>240143176</v>
      </c>
      <c r="S51" s="280">
        <f t="shared" si="28"/>
        <v>-511685342.67485315</v>
      </c>
      <c r="T51" s="9">
        <f t="shared" si="29"/>
        <v>1.8359691895102355E-7</v>
      </c>
      <c r="U51" s="285">
        <f t="shared" si="30"/>
        <v>48069692301.094643</v>
      </c>
    </row>
    <row r="52" spans="1:21" x14ac:dyDescent="0.2">
      <c r="A52" s="97">
        <v>8</v>
      </c>
      <c r="B52" s="93">
        <f t="shared" si="25"/>
        <v>105413504</v>
      </c>
      <c r="C52" s="1">
        <f t="shared" si="22"/>
        <v>737894528</v>
      </c>
      <c r="D52" s="9">
        <f>SUM($C$45:C52)</f>
        <v>794655645</v>
      </c>
      <c r="E52" s="9">
        <f t="shared" si="23"/>
        <v>-1693309159.2893641</v>
      </c>
      <c r="F52" s="9">
        <f t="shared" si="24"/>
        <v>6.383490434285584E-8</v>
      </c>
      <c r="G52" s="285">
        <f t="shared" si="26"/>
        <v>183033560069.41608</v>
      </c>
      <c r="O52" s="99">
        <v>8</v>
      </c>
      <c r="P52" s="93">
        <f t="shared" si="31"/>
        <v>445980206</v>
      </c>
      <c r="Q52" s="1">
        <f t="shared" si="27"/>
        <v>3121861463</v>
      </c>
      <c r="R52" s="9">
        <f>SUM($Q$45:Q52)</f>
        <v>3362004639</v>
      </c>
      <c r="S52" s="280">
        <f t="shared" si="28"/>
        <v>-7164000261.7637377</v>
      </c>
      <c r="T52" s="9">
        <f t="shared" si="29"/>
        <v>1.508825017539942E-8</v>
      </c>
      <c r="U52" s="285">
        <f t="shared" si="30"/>
        <v>774372751163.25635</v>
      </c>
    </row>
    <row r="53" spans="1:21" x14ac:dyDescent="0.2">
      <c r="A53" s="97">
        <v>9</v>
      </c>
      <c r="B53" s="93">
        <f t="shared" si="25"/>
        <v>1475789056</v>
      </c>
      <c r="C53" s="1">
        <f t="shared" si="22"/>
        <v>10330523392</v>
      </c>
      <c r="D53" s="9">
        <f>SUM($C$45:C53)</f>
        <v>11125179037</v>
      </c>
      <c r="E53" s="9">
        <f t="shared" si="23"/>
        <v>-23706683971.924568</v>
      </c>
      <c r="F53" s="9">
        <f t="shared" si="24"/>
        <v>5.1564348104535186E-9</v>
      </c>
      <c r="G53" s="285">
        <f t="shared" si="26"/>
        <v>2897951762114.7271</v>
      </c>
      <c r="O53" s="99">
        <v>9</v>
      </c>
      <c r="P53" s="93">
        <f t="shared" si="31"/>
        <v>6243722926</v>
      </c>
      <c r="Q53" s="1">
        <f t="shared" si="27"/>
        <v>43706060503</v>
      </c>
      <c r="R53" s="9">
        <f>SUM($Q$45:Q53)</f>
        <v>47068065142</v>
      </c>
      <c r="S53" s="280">
        <f t="shared" si="28"/>
        <v>-100297509081.0085</v>
      </c>
      <c r="T53" s="9">
        <f t="shared" si="29"/>
        <v>1.2187936828472946E-9</v>
      </c>
      <c r="U53" s="285">
        <f t="shared" si="30"/>
        <v>12260565143621.398</v>
      </c>
    </row>
    <row r="54" spans="1:21" ht="17" thickBot="1" x14ac:dyDescent="0.25">
      <c r="A54" s="145">
        <v>10</v>
      </c>
      <c r="B54" s="94">
        <f t="shared" si="25"/>
        <v>20661046784</v>
      </c>
      <c r="C54" s="111">
        <f t="shared" si="22"/>
        <v>144627327488</v>
      </c>
      <c r="D54" s="10">
        <f>SUM($C$45:C54)</f>
        <v>155752506525</v>
      </c>
      <c r="E54" s="10">
        <f t="shared" si="23"/>
        <v>-331894897173.97321</v>
      </c>
      <c r="F54" s="10">
        <f t="shared" si="24"/>
        <v>4.1094975039524999E-10</v>
      </c>
      <c r="G54" s="286">
        <f t="shared" si="26"/>
        <v>45267850352364.5</v>
      </c>
      <c r="O54" s="100">
        <v>10</v>
      </c>
      <c r="P54" s="94">
        <f t="shared" si="31"/>
        <v>87412121006</v>
      </c>
      <c r="Q54" s="111">
        <f t="shared" si="27"/>
        <v>611884847063</v>
      </c>
      <c r="R54" s="10">
        <f>SUM($Q$45:Q54)</f>
        <v>658952912205</v>
      </c>
      <c r="S54" s="281">
        <f t="shared" si="28"/>
        <v>-1404170718778.541</v>
      </c>
      <c r="T54" s="10">
        <f t="shared" si="29"/>
        <v>9.7133577368531176E-11</v>
      </c>
      <c r="U54" s="286">
        <f t="shared" si="30"/>
        <v>191517828409154.84</v>
      </c>
    </row>
  </sheetData>
  <mergeCells count="2">
    <mergeCell ref="A18:F18"/>
    <mergeCell ref="O18:T18"/>
  </mergeCells>
  <conditionalFormatting sqref="F45:F54">
    <cfRule type="cellIs" dxfId="260" priority="53" operator="equal">
      <formula>MAX($F$45:$F$54)</formula>
    </cfRule>
  </conditionalFormatting>
  <conditionalFormatting sqref="F21:F30">
    <cfRule type="cellIs" dxfId="259" priority="51" operator="equal">
      <formula>MAX($F$21:$F$30)</formula>
    </cfRule>
  </conditionalFormatting>
  <conditionalFormatting sqref="E33:E42">
    <cfRule type="cellIs" dxfId="258" priority="49" stopIfTrue="1" operator="lessThan">
      <formula>0</formula>
    </cfRule>
    <cfRule type="cellIs" dxfId="257" priority="50" operator="equal">
      <formula>MIN($E$33:$E$42)</formula>
    </cfRule>
  </conditionalFormatting>
  <conditionalFormatting sqref="E21:E30">
    <cfRule type="cellIs" dxfId="256" priority="45" stopIfTrue="1" operator="lessThan">
      <formula>0</formula>
    </cfRule>
    <cfRule type="cellIs" dxfId="255" priority="46" operator="equal">
      <formula>MIN($E$21:$E$30)</formula>
    </cfRule>
  </conditionalFormatting>
  <conditionalFormatting sqref="E45:E54">
    <cfRule type="cellIs" dxfId="254" priority="41" stopIfTrue="1" operator="lessThan">
      <formula>0</formula>
    </cfRule>
    <cfRule type="cellIs" dxfId="253" priority="42" operator="equal">
      <formula>MIN($E$45:$E$54)</formula>
    </cfRule>
  </conditionalFormatting>
  <conditionalFormatting sqref="F33:F42">
    <cfRule type="cellIs" dxfId="252" priority="31" operator="lessThanOrEqual">
      <formula>0</formula>
    </cfRule>
    <cfRule type="cellIs" dxfId="251" priority="32" operator="equal">
      <formula>MAX($F$33:$F$42)</formula>
    </cfRule>
  </conditionalFormatting>
  <conditionalFormatting sqref="S7:T16">
    <cfRule type="cellIs" dxfId="250" priority="13" operator="lessThanOrEqual">
      <formula>0</formula>
    </cfRule>
    <cfRule type="cellIs" dxfId="249" priority="14" operator="greaterThan">
      <formula>0</formula>
    </cfRule>
  </conditionalFormatting>
  <conditionalFormatting sqref="U7:U16">
    <cfRule type="cellIs" dxfId="248" priority="15" operator="lessThanOrEqual">
      <formula>0</formula>
    </cfRule>
    <cfRule type="cellIs" dxfId="247" priority="16" operator="greaterThan">
      <formula>0</formula>
    </cfRule>
  </conditionalFormatting>
  <conditionalFormatting sqref="R7:R16">
    <cfRule type="cellIs" dxfId="246" priority="17" operator="lessThanOrEqual">
      <formula>0</formula>
    </cfRule>
    <cfRule type="cellIs" dxfId="245" priority="18" operator="greaterThan">
      <formula>0</formula>
    </cfRule>
  </conditionalFormatting>
  <conditionalFormatting sqref="T21:T30">
    <cfRule type="cellIs" dxfId="244" priority="9" operator="equal">
      <formula>MAX($T$21:$T$30)</formula>
    </cfRule>
  </conditionalFormatting>
  <conditionalFormatting sqref="S33:S42">
    <cfRule type="cellIs" dxfId="243" priority="7" stopIfTrue="1" operator="lessThan">
      <formula>0</formula>
    </cfRule>
    <cfRule type="cellIs" dxfId="242" priority="8" operator="equal">
      <formula>MIN($E$21:$E$30)</formula>
    </cfRule>
  </conditionalFormatting>
  <conditionalFormatting sqref="T33:T42">
    <cfRule type="cellIs" dxfId="241" priority="6" operator="equal">
      <formula>MAX($T$21:$T$30)</formula>
    </cfRule>
  </conditionalFormatting>
  <conditionalFormatting sqref="S45:S54">
    <cfRule type="cellIs" dxfId="240" priority="4" stopIfTrue="1" operator="lessThan">
      <formula>0</formula>
    </cfRule>
    <cfRule type="cellIs" dxfId="239" priority="5" operator="equal">
      <formula>MIN($E$21:$E$30)</formula>
    </cfRule>
  </conditionalFormatting>
  <conditionalFormatting sqref="T45:T54">
    <cfRule type="cellIs" dxfId="238" priority="3" operator="equal">
      <formula>MAX($T$21:$T$30)</formula>
    </cfRule>
  </conditionalFormatting>
  <conditionalFormatting sqref="S21:S30">
    <cfRule type="cellIs" dxfId="237" priority="1" stopIfTrue="1" operator="lessThan">
      <formula>0</formula>
    </cfRule>
    <cfRule type="cellIs" dxfId="23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>
    <pageSetUpPr fitToPage="1"/>
  </sheetPr>
  <dimension ref="A1:W54"/>
  <sheetViews>
    <sheetView topLeftCell="A11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1.0000000000000009</v>
      </c>
    </row>
    <row r="2" spans="1:23" x14ac:dyDescent="0.2">
      <c r="A2" t="s">
        <v>40</v>
      </c>
      <c r="B2" s="149" t="s">
        <v>125</v>
      </c>
      <c r="C2" s="155">
        <f>Analysis!B46</f>
        <v>0.21158790787594098</v>
      </c>
      <c r="D2" s="149" t="s">
        <v>126</v>
      </c>
      <c r="E2" s="155">
        <f>Analysis!M46</f>
        <v>0.78841209212405994</v>
      </c>
      <c r="F2" s="149" t="s">
        <v>47</v>
      </c>
      <c r="G2" s="155">
        <f>Analysis!S46</f>
        <v>-8.4553545241587909</v>
      </c>
      <c r="H2" t="s">
        <v>155</v>
      </c>
      <c r="I2" s="169">
        <f>Analysis!T46</f>
        <v>-14.127887537523446</v>
      </c>
      <c r="J2" t="s">
        <v>48</v>
      </c>
      <c r="K2" s="169">
        <f>C2*G2+E2*I2</f>
        <v>-12.927648144868424</v>
      </c>
      <c r="L2" t="s">
        <v>47</v>
      </c>
      <c r="M2" s="176">
        <v>3</v>
      </c>
      <c r="N2" t="s">
        <v>155</v>
      </c>
      <c r="O2" s="176">
        <v>8</v>
      </c>
    </row>
    <row r="4" spans="1:23" x14ac:dyDescent="0.2">
      <c r="A4" t="s">
        <v>123</v>
      </c>
      <c r="B4">
        <f>$C$2</f>
        <v>0.21158790787594098</v>
      </c>
      <c r="C4" t="s">
        <v>124</v>
      </c>
      <c r="D4">
        <f>$E$2</f>
        <v>0.78841209212405994</v>
      </c>
      <c r="E4" t="s">
        <v>47</v>
      </c>
      <c r="F4">
        <f>G2</f>
        <v>-8.4553545241587909</v>
      </c>
      <c r="G4" t="s">
        <v>155</v>
      </c>
      <c r="H4">
        <f>I2</f>
        <v>-14.127887537523446</v>
      </c>
      <c r="I4" t="s">
        <v>48</v>
      </c>
      <c r="J4">
        <f>K2</f>
        <v>-12.927648144868424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0.21158790787594098</v>
      </c>
      <c r="C7" s="95">
        <v>1</v>
      </c>
      <c r="D7" s="22">
        <f>C7*D4</f>
        <v>0.78841209212405994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1.0000000000000009</v>
      </c>
      <c r="R7" s="187">
        <f>B7-D7</f>
        <v>-0.57682418424811899</v>
      </c>
      <c r="S7" s="109">
        <f>SUM(C7)*$B$4*$F$4</f>
        <v>-1.789050774116131</v>
      </c>
      <c r="T7" s="261">
        <f>SUM(C7)*$D$4*$H$4</f>
        <v>-11.138597370752294</v>
      </c>
      <c r="U7" s="263">
        <f>S7+T7</f>
        <v>-12.927648144868424</v>
      </c>
      <c r="V7" s="109">
        <f>(U7+W7*D7)/B7</f>
        <v>-57.372069011911051</v>
      </c>
      <c r="W7" s="57">
        <f>COUNT(D7:M7)</f>
        <v>1</v>
      </c>
    </row>
    <row r="8" spans="1:23" x14ac:dyDescent="0.2">
      <c r="A8" s="99">
        <v>2</v>
      </c>
      <c r="B8" s="97">
        <f>C8*B4</f>
        <v>0.25395174882933252</v>
      </c>
      <c r="C8" s="97">
        <f>1/(1-B4*D4)</f>
        <v>1.2002186295930979</v>
      </c>
      <c r="D8" s="144">
        <f>C8*D4</f>
        <v>0.94626688076376642</v>
      </c>
      <c r="E8" s="1">
        <f>D8*D4</f>
        <v>0.74604825117066942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1.000000000000002</v>
      </c>
      <c r="R8" s="188">
        <f>B8-E8</f>
        <v>-0.49209650234133689</v>
      </c>
      <c r="S8" s="93">
        <f>SUM(C8:D8)*$B$4*$F$4</f>
        <v>-3.8401715639330072</v>
      </c>
      <c r="T8" s="260">
        <f>SUM(C8:D8)*$D$4*$H$4</f>
        <v>-23.908837862018864</v>
      </c>
      <c r="U8" s="264">
        <f>S8+T8</f>
        <v>-27.749009425951872</v>
      </c>
      <c r="V8" s="93">
        <f>(U8+W8*E8)/B8</f>
        <v>-103.39331406320186</v>
      </c>
      <c r="W8" s="9">
        <f>COUNT(D8:M8)</f>
        <v>2</v>
      </c>
    </row>
    <row r="9" spans="1:23" x14ac:dyDescent="0.2">
      <c r="A9" s="99">
        <v>3</v>
      </c>
      <c r="B9" s="97">
        <f>C9*B4</f>
        <v>0.26455718488202856</v>
      </c>
      <c r="C9" s="97">
        <f>1/(1-D4*B4/(1-D4*B4))</f>
        <v>1.2503417021219603</v>
      </c>
      <c r="D9" s="144">
        <f>C9*D4*C8</f>
        <v>1.1831569423558057</v>
      </c>
      <c r="E9" s="1">
        <f>D9*(D4)</f>
        <v>0.93281524023384654</v>
      </c>
      <c r="F9" s="1">
        <f>E9*D4</f>
        <v>0.73544281511797449</v>
      </c>
      <c r="G9" s="1"/>
      <c r="H9" s="1"/>
      <c r="I9" s="1"/>
      <c r="J9" s="1"/>
      <c r="K9" s="1"/>
      <c r="L9" s="1"/>
      <c r="M9" s="260"/>
      <c r="N9" s="97">
        <f>B9+F9</f>
        <v>1.0000000000000031</v>
      </c>
      <c r="R9" s="188">
        <f>B9-F9</f>
        <v>-0.47088563023594593</v>
      </c>
      <c r="S9" s="93">
        <f>SUM(C9:E9)*$B$4*$F$4</f>
        <v>-6.0225064613611901</v>
      </c>
      <c r="T9" s="260">
        <f>SUM(C9:E9)*$D$4*$H$4</f>
        <v>-37.496014985375702</v>
      </c>
      <c r="U9" s="264">
        <f t="shared" ref="U9:U16" si="0">S9+T9</f>
        <v>-43.518521446736891</v>
      </c>
      <c r="V9" s="93">
        <f>(U9+W9*F9)/B9</f>
        <v>-156.15600468308926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0.26735226584082805</v>
      </c>
      <c r="C10" s="97">
        <f>1/(1-D4*B4/(1-D4*B4/(1-D4*B4)))</f>
        <v>1.263551724314903</v>
      </c>
      <c r="D10" s="144">
        <f>C10*D4*C9</f>
        <v>1.2455897265614513</v>
      </c>
      <c r="E10" s="1">
        <f>D10*D4*C8</f>
        <v>1.1786603052646973</v>
      </c>
      <c r="F10" s="1">
        <f>E10*D4</f>
        <v>0.92927003717732315</v>
      </c>
      <c r="G10" s="1">
        <f>F10*D4</f>
        <v>0.73264773415917628</v>
      </c>
      <c r="H10" s="1"/>
      <c r="I10" s="1"/>
      <c r="J10" s="1"/>
      <c r="K10" s="1"/>
      <c r="L10" s="1"/>
      <c r="M10" s="260"/>
      <c r="N10" s="97">
        <f>B10+G10</f>
        <v>1.0000000000000044</v>
      </c>
      <c r="R10" s="188">
        <f>B10-G10</f>
        <v>-0.46529546831834823</v>
      </c>
      <c r="S10" s="93">
        <f>SUM(C10:F10)*$B$4*$F$4</f>
        <v>-8.2601758659859925</v>
      </c>
      <c r="T10" s="260">
        <f>SUM(C10:F10)*$D$4*$H$4</f>
        <v>-51.427703737630623</v>
      </c>
      <c r="U10" s="264">
        <f t="shared" si="0"/>
        <v>-59.687879603616615</v>
      </c>
      <c r="V10" s="93">
        <f>(U10+W10*G10)/B10</f>
        <v>-212.29402521978685</v>
      </c>
      <c r="W10" s="9">
        <f t="shared" si="1"/>
        <v>4</v>
      </c>
    </row>
    <row r="11" spans="1:23" x14ac:dyDescent="0.2">
      <c r="A11" s="99">
        <v>5</v>
      </c>
      <c r="B11" s="97">
        <f>C11*B4</f>
        <v>0.26809877565837648</v>
      </c>
      <c r="C11" s="97">
        <f>1/(1-D4*B4/(1-D4*B4/(1-D4*B4/(1-D4*B4))))</f>
        <v>1.2670798551284375</v>
      </c>
      <c r="D11" s="144">
        <f>C11*D4*C10</f>
        <v>1.2622642655223604</v>
      </c>
      <c r="E11" s="1">
        <f>D11*D4*C9</f>
        <v>1.2443205696171784</v>
      </c>
      <c r="F11" s="1">
        <f>E11*D4*C8</f>
        <v>1.1774593440818404</v>
      </c>
      <c r="G11" s="1">
        <f>F11*D4</f>
        <v>0.92832318485858711</v>
      </c>
      <c r="H11" s="1">
        <f>G11*D4</f>
        <v>0.73190122434162908</v>
      </c>
      <c r="I11" s="1"/>
      <c r="J11" s="1"/>
      <c r="K11" s="1"/>
      <c r="L11" s="1"/>
      <c r="M11" s="260"/>
      <c r="N11" s="97">
        <f>B11+H11</f>
        <v>1.0000000000000056</v>
      </c>
      <c r="R11" s="188">
        <f>B11-H11</f>
        <v>-0.4638024486832526</v>
      </c>
      <c r="S11" s="93">
        <f>SUM(C11:G11)*$B$4*$F$4</f>
        <v>-10.518629598899727</v>
      </c>
      <c r="T11" s="260">
        <f>SUM(C11:G11)*$D$4*$H$4</f>
        <v>-65.488795337351604</v>
      </c>
      <c r="U11" s="264">
        <f t="shared" si="0"/>
        <v>-76.007424936251326</v>
      </c>
      <c r="V11" s="93">
        <f>(U11+W11*H11)/B11</f>
        <v>-269.85546143161861</v>
      </c>
      <c r="W11" s="9">
        <f t="shared" si="1"/>
        <v>5</v>
      </c>
    </row>
    <row r="12" spans="1:23" x14ac:dyDescent="0.2">
      <c r="A12" s="99">
        <v>6</v>
      </c>
      <c r="B12" s="97">
        <f>C12*B4</f>
        <v>0.26829885931360853</v>
      </c>
      <c r="C12" s="97">
        <f>1/(1-D4*B4/(1-D4*B4/(1-D4*B4/(1-D4*B4/(1-D4*B4)))))</f>
        <v>1.268025484097695</v>
      </c>
      <c r="D12" s="144">
        <f>C12*D4*C11</f>
        <v>1.2667334668994634</v>
      </c>
      <c r="E12" s="1">
        <f>D12*D4*C10</f>
        <v>1.2619191937562344</v>
      </c>
      <c r="F12" s="1">
        <f>E12*D4*C9</f>
        <v>1.2439804032127948</v>
      </c>
      <c r="G12" s="1">
        <f>F12*D4*C8</f>
        <v>1.1771374558794239</v>
      </c>
      <c r="H12" s="1">
        <f>G12*D4</f>
        <v>0.92806940430748985</v>
      </c>
      <c r="I12" s="1">
        <f>H12*D4</f>
        <v>0.73170114068639813</v>
      </c>
      <c r="J12" s="1"/>
      <c r="K12" s="1"/>
      <c r="L12" s="1"/>
      <c r="M12" s="260"/>
      <c r="N12" s="97">
        <f>B12+I12</f>
        <v>1.0000000000000067</v>
      </c>
      <c r="R12" s="188">
        <f>B12-I12</f>
        <v>-0.4634022813727896</v>
      </c>
      <c r="S12" s="93">
        <f>SUM(C12:H12)*$B$4*$F$4</f>
        <v>-12.784316040185988</v>
      </c>
      <c r="T12" s="260">
        <f>SUM(C12:H12)*$D$4*$H$4</f>
        <v>-79.594917647003896</v>
      </c>
      <c r="U12" s="264">
        <f t="shared" si="0"/>
        <v>-92.379233687189881</v>
      </c>
      <c r="V12" s="93">
        <f>(U12+W12*I12)/B12</f>
        <v>-327.95155025323118</v>
      </c>
      <c r="W12" s="9">
        <f t="shared" si="1"/>
        <v>6</v>
      </c>
    </row>
    <row r="13" spans="1:23" x14ac:dyDescent="0.2">
      <c r="A13" s="99">
        <v>7</v>
      </c>
      <c r="B13" s="97">
        <f>C13*B4</f>
        <v>0.26835253759189714</v>
      </c>
      <c r="C13" s="97">
        <f>1/(1-D4*B4/(1-D4*B4/(1-D4*B4/(1-D4*B4/(1-D4*B4/(1-D4*B4))))))</f>
        <v>1.2682791766589923</v>
      </c>
      <c r="D13" s="144">
        <f>C13*D4*C12</f>
        <v>1.267932460565236</v>
      </c>
      <c r="E13" s="1">
        <f>D13*D4*C11</f>
        <v>1.2666405381505914</v>
      </c>
      <c r="F13" s="1">
        <f>E13*D4*C10</f>
        <v>1.2618266181869315</v>
      </c>
      <c r="G13" s="1">
        <f>F13*D4*C9</f>
        <v>1.2438891436499013</v>
      </c>
      <c r="H13" s="1">
        <f>G13*D4*C8</f>
        <v>1.1770510999775048</v>
      </c>
      <c r="I13" s="1">
        <f>H13*D4</f>
        <v>0.92800132027019056</v>
      </c>
      <c r="J13" s="1">
        <f>I13*D4</f>
        <v>0.73164746240811074</v>
      </c>
      <c r="K13" s="1"/>
      <c r="L13" s="1"/>
      <c r="M13" s="260"/>
      <c r="N13" s="97">
        <f>B13+J13</f>
        <v>1.000000000000008</v>
      </c>
      <c r="R13" s="188">
        <f>B13-J13</f>
        <v>-0.46329492481621359</v>
      </c>
      <c r="S13" s="93">
        <f>SUM(C13:I13)*$B$4*$F$4</f>
        <v>-15.052394013631885</v>
      </c>
      <c r="T13" s="260">
        <f>SUM(C13:I13)*$D$4*$H$4</f>
        <v>-93.715929592104644</v>
      </c>
      <c r="U13" s="264">
        <f t="shared" si="0"/>
        <v>-108.76832360573653</v>
      </c>
      <c r="V13" s="93">
        <f>(U13+W13*J13)/B13</f>
        <v>-386.23369206406693</v>
      </c>
      <c r="W13" s="9">
        <f t="shared" si="1"/>
        <v>7</v>
      </c>
    </row>
    <row r="14" spans="1:23" x14ac:dyDescent="0.2">
      <c r="A14" s="99">
        <v>8</v>
      </c>
      <c r="B14" s="97">
        <f>C14*B4</f>
        <v>0.26836694201049471</v>
      </c>
      <c r="C14" s="97">
        <f>1/(1-D4*B4/(1-D4*B4/(1-D4*B4/(1-D4*B4/(1-D4*B4/(1-D4*B4/(1-D4*B4)))))))</f>
        <v>1.2683472543612684</v>
      </c>
      <c r="D14" s="144">
        <f>C14*D4*C13</f>
        <v>1.2682542072234426</v>
      </c>
      <c r="E14" s="1">
        <f>D14*D4*C12</f>
        <v>1.2679074979557112</v>
      </c>
      <c r="F14" s="1">
        <f>E14*D4*C11</f>
        <v>1.2666156009759819</v>
      </c>
      <c r="G14" s="1">
        <f>F14*D4*C10</f>
        <v>1.2618017757870896</v>
      </c>
      <c r="H14" s="1">
        <f>G14*D4*C9</f>
        <v>1.2438646543967662</v>
      </c>
      <c r="I14" s="1">
        <f>H14*D4*C8</f>
        <v>1.1770279266083283</v>
      </c>
      <c r="J14" s="1">
        <f>I14*D4</f>
        <v>0.92798305010571658</v>
      </c>
      <c r="K14" s="1">
        <f>J14*D4</f>
        <v>0.73163305798951439</v>
      </c>
      <c r="L14" s="1"/>
      <c r="M14" s="260"/>
      <c r="N14" s="97">
        <f>B14+K14</f>
        <v>1.0000000000000091</v>
      </c>
      <c r="R14" s="188">
        <f>B14-K14</f>
        <v>-0.46326611597901968</v>
      </c>
      <c r="S14" s="93">
        <f>SUM(C14:J14)*$B$4*$F$4</f>
        <v>-17.321235304641643</v>
      </c>
      <c r="T14" s="260">
        <f>SUM(C14:J14)*$D$4*$H$4</f>
        <v>-107.84169393838535</v>
      </c>
      <c r="U14" s="264">
        <f t="shared" si="0"/>
        <v>-125.16292924302699</v>
      </c>
      <c r="V14" s="93">
        <f>(U14+W14*K14)/B14</f>
        <v>-444.57735325107654</v>
      </c>
      <c r="W14" s="9">
        <f t="shared" si="1"/>
        <v>8</v>
      </c>
    </row>
    <row r="15" spans="1:23" x14ac:dyDescent="0.2">
      <c r="A15" s="99">
        <v>9</v>
      </c>
      <c r="B15" s="97">
        <f>C15*B4</f>
        <v>0.26837080765984056</v>
      </c>
      <c r="C15" s="97">
        <f>1/(1-D4*B4/(1-D4*B4/(1-D4*B4/(1-D4*B4/(1-D4*B4/(1-D4*B4/(1-D4*B4/(1-D4*B4))))))))</f>
        <v>1.2683655240695171</v>
      </c>
      <c r="D15" s="144">
        <f>C15*D4*C14</f>
        <v>1.2683405529339897</v>
      </c>
      <c r="E15" s="1">
        <f>D15*D4*C13</f>
        <v>1.2682475062877869</v>
      </c>
      <c r="F15" s="1">
        <f>E15*D4*C12</f>
        <v>1.2679007988519251</v>
      </c>
      <c r="G15" s="1">
        <f>F15*D4*C11</f>
        <v>1.2666089086980503</v>
      </c>
      <c r="H15" s="1">
        <f>G15*D4*C10</f>
        <v>1.2617951089434383</v>
      </c>
      <c r="I15" s="1">
        <f>H15*D4*C9</f>
        <v>1.2438580823255159</v>
      </c>
      <c r="J15" s="1">
        <f>I15*D4*C8</f>
        <v>1.1770217076749661</v>
      </c>
      <c r="K15" s="1">
        <f>J15*D4</f>
        <v>0.92797814702345371</v>
      </c>
      <c r="L15" s="1">
        <f>K15*D4</f>
        <v>0.73162919234016965</v>
      </c>
      <c r="M15" s="260"/>
      <c r="N15" s="97">
        <f>B15+L15</f>
        <v>1.0000000000000102</v>
      </c>
      <c r="R15" s="188">
        <f>B15-L15</f>
        <v>-0.46325838468032909</v>
      </c>
      <c r="S15" s="93">
        <f>SUM(C15:K15)*$B$4*$F$4</f>
        <v>-19.590314109029201</v>
      </c>
      <c r="T15" s="260">
        <f>SUM(C15:K15)*$D$4*$H$4</f>
        <v>-121.9689370386085</v>
      </c>
      <c r="U15" s="264">
        <f t="shared" si="0"/>
        <v>-141.5592511476377</v>
      </c>
      <c r="V15" s="93">
        <f>(U15+W15*L15)/B15</f>
        <v>-502.94064989235414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0.26837184508580664</v>
      </c>
      <c r="C16" s="145">
        <f>1/(1-D4*B4/(1-D4*B4/(1-D4*B4/(1-D4*B4/(1-D4*B4/(1-D4*B4/(1-D4*B4/(1-D4*B4/(1-D4*B4)))))))))</f>
        <v>1.2683704271189231</v>
      </c>
      <c r="D16" s="153">
        <f>C16*D4*C15</f>
        <v>1.2683637255692093</v>
      </c>
      <c r="E16" s="111">
        <f>D16*D4*C14</f>
        <v>1.2683387544690903</v>
      </c>
      <c r="F16" s="111">
        <f>E16*D4*C13</f>
        <v>1.2682457079548246</v>
      </c>
      <c r="G16" s="111">
        <f>F16*D4*C12</f>
        <v>1.2678990010105826</v>
      </c>
      <c r="H16" s="111">
        <f>G16*D4*C11</f>
        <v>1.2666071126885652</v>
      </c>
      <c r="I16" s="111">
        <f>H16*D4*C10</f>
        <v>1.2617933197597617</v>
      </c>
      <c r="J16" s="111">
        <f>I16*D4*C9</f>
        <v>1.2438563185759488</v>
      </c>
      <c r="K16" s="111">
        <f>J16*D4*C8</f>
        <v>1.177020038697165</v>
      </c>
      <c r="L16" s="111">
        <f>K16*D4</f>
        <v>0.9279768311811738</v>
      </c>
      <c r="M16" s="262">
        <f>L16*D4</f>
        <v>0.73162815491420485</v>
      </c>
      <c r="N16" s="145">
        <f>B16+M16</f>
        <v>1.0000000000000115</v>
      </c>
      <c r="R16" s="189">
        <f>B16-M16</f>
        <v>-0.46325630982839822</v>
      </c>
      <c r="S16" s="94">
        <f>SUM(C16:L16)*$B$4*$F$4</f>
        <v>-21.859465425115697</v>
      </c>
      <c r="T16" s="262">
        <f>SUM(C16:L16)*$D$4*$H$4</f>
        <v>-136.0966315953419</v>
      </c>
      <c r="U16" s="265">
        <f t="shared" si="0"/>
        <v>-157.95609702045761</v>
      </c>
      <c r="V16" s="94">
        <f>(U16+W16*M16)/B16</f>
        <v>-561.31005628832429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8</v>
      </c>
      <c r="D21" s="57">
        <f>SUM($C$21:C21)</f>
        <v>8</v>
      </c>
      <c r="E21" s="57">
        <f t="shared" ref="E21:E30" si="3">D21/R7</f>
        <v>-13.869044014560297</v>
      </c>
      <c r="F21" s="8">
        <f t="shared" ref="F21:F30" si="4">U7/E21</f>
        <v>0.93212251192630469</v>
      </c>
      <c r="G21" s="284">
        <f>E21*U7</f>
        <v>179.29412112592894</v>
      </c>
      <c r="O21" s="101">
        <v>1</v>
      </c>
      <c r="P21" s="109">
        <v>1</v>
      </c>
      <c r="Q21" s="110">
        <f>P21*8+28</f>
        <v>36</v>
      </c>
      <c r="R21" s="57">
        <f>SUM($Q$21)</f>
        <v>36</v>
      </c>
      <c r="S21" s="279">
        <f>R21/R7</f>
        <v>-62.410698065521331</v>
      </c>
      <c r="T21" s="8">
        <f>U7/S21</f>
        <v>0.20713833598362327</v>
      </c>
      <c r="U21" s="284">
        <f>S21*U7</f>
        <v>806.82354506668014</v>
      </c>
    </row>
    <row r="22" spans="1:21" x14ac:dyDescent="0.2">
      <c r="A22" s="97">
        <v>2</v>
      </c>
      <c r="B22" s="93">
        <f>C21</f>
        <v>8</v>
      </c>
      <c r="C22" s="1">
        <f t="shared" si="2"/>
        <v>64</v>
      </c>
      <c r="D22" s="9">
        <f>SUM($C$21:C22)</f>
        <v>72</v>
      </c>
      <c r="E22" s="9">
        <f t="shared" si="3"/>
        <v>-146.31276519429122</v>
      </c>
      <c r="F22" s="9">
        <f t="shared" si="4"/>
        <v>0.18965542336038479</v>
      </c>
      <c r="G22" s="285">
        <f t="shared" ref="G22:G30" si="5">E22*U8</f>
        <v>4060.03430051347</v>
      </c>
      <c r="O22" s="99">
        <v>2</v>
      </c>
      <c r="P22" s="93">
        <f>Q21</f>
        <v>36</v>
      </c>
      <c r="Q22" s="1">
        <f t="shared" ref="Q22:Q30" si="6">P22*8+28</f>
        <v>316</v>
      </c>
      <c r="R22" s="9">
        <f>SUM($Q$21:Q22)</f>
        <v>352</v>
      </c>
      <c r="S22" s="280">
        <f t="shared" ref="S22:S30" si="7">R22/R8</f>
        <v>-715.30685206097928</v>
      </c>
      <c r="T22" s="9">
        <f>U8/S22</f>
        <v>3.8793154778260522E-2</v>
      </c>
      <c r="U22" s="285">
        <f t="shared" ref="U22:U30" si="8">S22*U8</f>
        <v>19849.056580288074</v>
      </c>
    </row>
    <row r="23" spans="1:21" x14ac:dyDescent="0.2">
      <c r="A23" s="97">
        <v>3</v>
      </c>
      <c r="B23" s="93">
        <f t="shared" ref="B23:B30" si="9">C22</f>
        <v>64</v>
      </c>
      <c r="C23" s="1">
        <f t="shared" si="2"/>
        <v>512</v>
      </c>
      <c r="D23" s="9">
        <f>SUM($C$21:C23)</f>
        <v>584</v>
      </c>
      <c r="E23" s="9">
        <f t="shared" si="3"/>
        <v>-1240.2162276801184</v>
      </c>
      <c r="F23" s="9">
        <f t="shared" si="4"/>
        <v>3.5089463010930189E-2</v>
      </c>
      <c r="G23" s="285">
        <f t="shared" si="5"/>
        <v>53972.376502888357</v>
      </c>
      <c r="O23" s="99">
        <v>3</v>
      </c>
      <c r="P23" s="93">
        <f t="shared" ref="P23:P30" si="10">Q22</f>
        <v>316</v>
      </c>
      <c r="Q23" s="1">
        <f t="shared" si="6"/>
        <v>2556</v>
      </c>
      <c r="R23" s="9">
        <f>SUM($Q$21:Q23)</f>
        <v>2908</v>
      </c>
      <c r="S23" s="280">
        <f t="shared" si="7"/>
        <v>-6175.5972433112747</v>
      </c>
      <c r="T23" s="9">
        <f t="shared" ref="T23:T30" si="11">U9/S23</f>
        <v>7.0468522690451275E-3</v>
      </c>
      <c r="U23" s="285">
        <f t="shared" si="8"/>
        <v>268752.86107945093</v>
      </c>
    </row>
    <row r="24" spans="1:21" x14ac:dyDescent="0.2">
      <c r="A24" s="97">
        <v>4</v>
      </c>
      <c r="B24" s="93">
        <f t="shared" si="9"/>
        <v>512</v>
      </c>
      <c r="C24" s="1">
        <f t="shared" si="2"/>
        <v>4096</v>
      </c>
      <c r="D24" s="9">
        <f>SUM($C$21:C24)</f>
        <v>4680</v>
      </c>
      <c r="E24" s="9">
        <f t="shared" si="3"/>
        <v>-10058.125038084432</v>
      </c>
      <c r="F24" s="9">
        <f t="shared" si="4"/>
        <v>5.9342948489517046E-3</v>
      </c>
      <c r="G24" s="285">
        <f t="shared" si="5"/>
        <v>600348.15631130536</v>
      </c>
      <c r="O24" s="99">
        <v>4</v>
      </c>
      <c r="P24" s="93">
        <f t="shared" si="10"/>
        <v>2556</v>
      </c>
      <c r="Q24" s="1">
        <f t="shared" si="6"/>
        <v>20476</v>
      </c>
      <c r="R24" s="9">
        <f>SUM($Q$21:Q24)</f>
        <v>23384</v>
      </c>
      <c r="S24" s="280">
        <f t="shared" si="7"/>
        <v>-50256.238438155204</v>
      </c>
      <c r="T24" s="9">
        <f t="shared" si="11"/>
        <v>1.1876710525613231E-3</v>
      </c>
      <c r="U24" s="285">
        <f t="shared" si="8"/>
        <v>2999688.3092272575</v>
      </c>
    </row>
    <row r="25" spans="1:21" x14ac:dyDescent="0.2">
      <c r="A25" s="97">
        <v>5</v>
      </c>
      <c r="B25" s="93">
        <f t="shared" si="9"/>
        <v>4096</v>
      </c>
      <c r="C25" s="1">
        <f t="shared" si="2"/>
        <v>32768</v>
      </c>
      <c r="D25" s="9">
        <f>SUM($C$21:C25)</f>
        <v>37448</v>
      </c>
      <c r="E25" s="9">
        <f t="shared" si="3"/>
        <v>-80741.272725738861</v>
      </c>
      <c r="F25" s="9">
        <f t="shared" si="4"/>
        <v>9.4137016138490378E-4</v>
      </c>
      <c r="G25" s="285">
        <f t="shared" si="5"/>
        <v>6136936.2259589927</v>
      </c>
      <c r="O25" s="99">
        <v>5</v>
      </c>
      <c r="P25" s="93">
        <f t="shared" si="10"/>
        <v>20476</v>
      </c>
      <c r="Q25" s="1">
        <f t="shared" si="6"/>
        <v>163836</v>
      </c>
      <c r="R25" s="9">
        <f>SUM($Q$21:Q25)</f>
        <v>187220</v>
      </c>
      <c r="S25" s="280">
        <f t="shared" si="7"/>
        <v>-403663.24182100059</v>
      </c>
      <c r="T25" s="9">
        <f t="shared" si="11"/>
        <v>1.8829414487523703E-4</v>
      </c>
      <c r="U25" s="285">
        <f t="shared" si="8"/>
        <v>30681403.552233569</v>
      </c>
    </row>
    <row r="26" spans="1:21" x14ac:dyDescent="0.2">
      <c r="A26" s="97">
        <v>6</v>
      </c>
      <c r="B26" s="93">
        <f t="shared" si="9"/>
        <v>32768</v>
      </c>
      <c r="C26" s="1">
        <f t="shared" si="2"/>
        <v>262144</v>
      </c>
      <c r="D26" s="9">
        <f>SUM($C$21:C26)</f>
        <v>299592</v>
      </c>
      <c r="E26" s="9">
        <f t="shared" si="3"/>
        <v>-646505.23323382076</v>
      </c>
      <c r="F26" s="9">
        <f t="shared" si="4"/>
        <v>1.4289015608598979E-4</v>
      </c>
      <c r="G26" s="285">
        <f t="shared" si="5"/>
        <v>59723658.020898327</v>
      </c>
      <c r="O26" s="99">
        <v>6</v>
      </c>
      <c r="P26" s="93">
        <f t="shared" si="10"/>
        <v>163836</v>
      </c>
      <c r="Q26" s="1">
        <f t="shared" si="6"/>
        <v>1310716</v>
      </c>
      <c r="R26" s="9">
        <f>SUM($Q$21:Q26)</f>
        <v>1497936</v>
      </c>
      <c r="S26" s="280">
        <f t="shared" si="7"/>
        <v>-3232474.3753148834</v>
      </c>
      <c r="T26" s="9">
        <f t="shared" si="11"/>
        <v>2.8578489095738305E-5</v>
      </c>
      <c r="U26" s="285">
        <f t="shared" si="8"/>
        <v>298613505.70506674</v>
      </c>
    </row>
    <row r="27" spans="1:21" x14ac:dyDescent="0.2">
      <c r="A27" s="97">
        <v>7</v>
      </c>
      <c r="B27" s="93">
        <f t="shared" si="9"/>
        <v>262144</v>
      </c>
      <c r="C27" s="1">
        <f t="shared" si="2"/>
        <v>2097152</v>
      </c>
      <c r="D27" s="9">
        <f>SUM($C$21:C27)</f>
        <v>2396744</v>
      </c>
      <c r="E27" s="9">
        <f t="shared" si="3"/>
        <v>-5173257.6197565179</v>
      </c>
      <c r="F27" s="9">
        <f t="shared" si="4"/>
        <v>2.1025112530710535E-5</v>
      </c>
      <c r="G27" s="285">
        <f t="shared" si="5"/>
        <v>562686558.8815192</v>
      </c>
      <c r="O27" s="99">
        <v>7</v>
      </c>
      <c r="P27" s="93">
        <f t="shared" si="10"/>
        <v>1310716</v>
      </c>
      <c r="Q27" s="1">
        <f t="shared" si="6"/>
        <v>10485756</v>
      </c>
      <c r="R27" s="9">
        <f>SUM($Q$21:Q27)</f>
        <v>11983692</v>
      </c>
      <c r="S27" s="280">
        <f t="shared" si="7"/>
        <v>-25866227.662117951</v>
      </c>
      <c r="T27" s="9">
        <f t="shared" si="11"/>
        <v>4.2050323312135599E-6</v>
      </c>
      <c r="U27" s="285">
        <f t="shared" si="8"/>
        <v>2813426220.8128991</v>
      </c>
    </row>
    <row r="28" spans="1:21" x14ac:dyDescent="0.2">
      <c r="A28" s="97">
        <v>8</v>
      </c>
      <c r="B28" s="93">
        <f t="shared" si="9"/>
        <v>2097152</v>
      </c>
      <c r="C28" s="1">
        <f t="shared" si="2"/>
        <v>16777216</v>
      </c>
      <c r="D28" s="9">
        <f>SUM($C$21:C28)</f>
        <v>19173960</v>
      </c>
      <c r="E28" s="9">
        <f t="shared" si="3"/>
        <v>-41388651.875563346</v>
      </c>
      <c r="F28" s="9">
        <f t="shared" si="4"/>
        <v>3.0240880910867646E-6</v>
      </c>
      <c r="G28" s="285">
        <f t="shared" si="5"/>
        <v>5180324906.1654119</v>
      </c>
      <c r="O28" s="99">
        <v>8</v>
      </c>
      <c r="P28" s="93">
        <f t="shared" si="10"/>
        <v>10485756</v>
      </c>
      <c r="Q28" s="1">
        <f t="shared" si="6"/>
        <v>83886076</v>
      </c>
      <c r="R28" s="9">
        <f>SUM($Q$21:Q28)</f>
        <v>95869768</v>
      </c>
      <c r="S28" s="280">
        <f t="shared" si="7"/>
        <v>-206943190.30304763</v>
      </c>
      <c r="T28" s="9">
        <f t="shared" si="11"/>
        <v>6.0481782009709228E-7</v>
      </c>
      <c r="U28" s="285">
        <f t="shared" si="8"/>
        <v>25901615885.22662</v>
      </c>
    </row>
    <row r="29" spans="1:21" x14ac:dyDescent="0.2">
      <c r="A29" s="97">
        <v>9</v>
      </c>
      <c r="B29" s="93">
        <f t="shared" si="9"/>
        <v>16777216</v>
      </c>
      <c r="C29" s="1">
        <f t="shared" si="2"/>
        <v>134217728</v>
      </c>
      <c r="D29" s="9">
        <f>SUM($C$21:C29)</f>
        <v>153391688</v>
      </c>
      <c r="E29" s="9">
        <f t="shared" si="3"/>
        <v>-331114758.14053047</v>
      </c>
      <c r="F29" s="9">
        <f t="shared" si="4"/>
        <v>4.2752323074514745E-7</v>
      </c>
      <c r="G29" s="285">
        <f t="shared" si="5"/>
        <v>46872357206.304665</v>
      </c>
      <c r="O29" s="99">
        <v>9</v>
      </c>
      <c r="P29" s="93">
        <f t="shared" si="10"/>
        <v>83886076</v>
      </c>
      <c r="Q29" s="1">
        <f t="shared" si="6"/>
        <v>671088636</v>
      </c>
      <c r="R29" s="9">
        <f>SUM($Q$21:Q29)</f>
        <v>766958404</v>
      </c>
      <c r="S29" s="280">
        <f t="shared" si="7"/>
        <v>-1655573712.9922402</v>
      </c>
      <c r="T29" s="9">
        <f t="shared" si="11"/>
        <v>8.5504650162503031E-8</v>
      </c>
      <c r="U29" s="285">
        <f t="shared" si="8"/>
        <v>234361775030.89557</v>
      </c>
    </row>
    <row r="30" spans="1:21" ht="17" thickBot="1" x14ac:dyDescent="0.25">
      <c r="A30" s="145">
        <v>10</v>
      </c>
      <c r="B30" s="94">
        <f t="shared" si="9"/>
        <v>134217728</v>
      </c>
      <c r="C30" s="111">
        <f t="shared" si="2"/>
        <v>1073741824</v>
      </c>
      <c r="D30" s="10">
        <f>SUM($C$21:C30)</f>
        <v>1227133512</v>
      </c>
      <c r="E30" s="10">
        <f t="shared" si="3"/>
        <v>-2648929946.4794364</v>
      </c>
      <c r="F30" s="10">
        <f t="shared" si="4"/>
        <v>5.9630152632155995E-8</v>
      </c>
      <c r="G30" s="286">
        <f t="shared" si="5"/>
        <v>418414635626.5014</v>
      </c>
      <c r="O30" s="100">
        <v>10</v>
      </c>
      <c r="P30" s="94">
        <f t="shared" si="10"/>
        <v>671088636</v>
      </c>
      <c r="Q30" s="111">
        <f t="shared" si="6"/>
        <v>5368709116</v>
      </c>
      <c r="R30" s="10">
        <f>SUM($Q$21:Q30)</f>
        <v>6135667520</v>
      </c>
      <c r="S30" s="281">
        <f t="shared" si="7"/>
        <v>-13244649646.051891</v>
      </c>
      <c r="T30" s="10">
        <f t="shared" si="11"/>
        <v>1.1926030604180071E-8</v>
      </c>
      <c r="U30" s="286">
        <f t="shared" si="8"/>
        <v>2092073164493.7419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8</v>
      </c>
      <c r="D33" s="57">
        <f>SUM($C$33:C33)</f>
        <v>8</v>
      </c>
      <c r="E33" s="9">
        <f t="shared" ref="E33:E42" si="13">D33/R7</f>
        <v>-13.869044014560297</v>
      </c>
      <c r="F33" s="8">
        <f t="shared" ref="F33:F42" si="14">U7/E33</f>
        <v>0.93212251192630469</v>
      </c>
      <c r="G33" s="287">
        <f>E33*U7</f>
        <v>179.29412112592894</v>
      </c>
      <c r="O33" s="101">
        <v>1</v>
      </c>
      <c r="P33" s="109">
        <v>1</v>
      </c>
      <c r="Q33" s="110">
        <f>P33*8+28</f>
        <v>36</v>
      </c>
      <c r="R33" s="57">
        <f>SUM($Q$21)</f>
        <v>36</v>
      </c>
      <c r="S33" s="279">
        <f>R33/R7</f>
        <v>-62.410698065521331</v>
      </c>
      <c r="T33" s="8">
        <f>U7/S33</f>
        <v>0.20713833598362327</v>
      </c>
      <c r="U33" s="287">
        <f>S33*U7</f>
        <v>806.82354506668014</v>
      </c>
    </row>
    <row r="34" spans="1:21" x14ac:dyDescent="0.2">
      <c r="A34" s="97">
        <v>2</v>
      </c>
      <c r="B34" s="93">
        <f t="shared" ref="B34:B42" si="15">B33*($O$2+1)</f>
        <v>9</v>
      </c>
      <c r="C34" s="1">
        <f t="shared" si="12"/>
        <v>72</v>
      </c>
      <c r="D34" s="9">
        <f>SUM($C$33:C34)</f>
        <v>80</v>
      </c>
      <c r="E34" s="9">
        <f t="shared" si="13"/>
        <v>-162.56973910476802</v>
      </c>
      <c r="F34" s="9">
        <f t="shared" si="14"/>
        <v>0.17068988102434632</v>
      </c>
      <c r="G34" s="285">
        <f t="shared" ref="G34:G42" si="16">E34*U8</f>
        <v>4511.1492227927447</v>
      </c>
      <c r="O34" s="99">
        <v>2</v>
      </c>
      <c r="P34" s="93">
        <f>Q33+1</f>
        <v>37</v>
      </c>
      <c r="Q34" s="1">
        <f t="shared" ref="Q34:Q42" si="17">P34*8+28</f>
        <v>324</v>
      </c>
      <c r="R34" s="9">
        <f>SUM($Q$33:Q34)</f>
        <v>360</v>
      </c>
      <c r="S34" s="280">
        <f>R34/R8</f>
        <v>-731.56382597145603</v>
      </c>
      <c r="T34" s="9">
        <f t="shared" ref="T34:T42" si="18">U8/S34</f>
        <v>3.793108467207696E-2</v>
      </c>
      <c r="U34" s="285">
        <f t="shared" ref="U34:U42" si="19">S34*U8</f>
        <v>20300.171502567347</v>
      </c>
    </row>
    <row r="35" spans="1:21" x14ac:dyDescent="0.2">
      <c r="A35" s="97">
        <v>3</v>
      </c>
      <c r="B35" s="93">
        <f t="shared" si="15"/>
        <v>81</v>
      </c>
      <c r="C35" s="1">
        <f t="shared" si="12"/>
        <v>648</v>
      </c>
      <c r="D35" s="9">
        <f>SUM($C$33:C35)</f>
        <v>728</v>
      </c>
      <c r="E35" s="9">
        <f t="shared" si="13"/>
        <v>-1546.0229687519286</v>
      </c>
      <c r="F35" s="9">
        <f t="shared" si="14"/>
        <v>2.814869010766927E-2</v>
      </c>
      <c r="G35" s="285">
        <f t="shared" si="16"/>
        <v>67280.633722778643</v>
      </c>
      <c r="O35" s="99">
        <v>3</v>
      </c>
      <c r="P35" s="93">
        <f t="shared" ref="P35:P42" si="20">Q34+1</f>
        <v>325</v>
      </c>
      <c r="Q35" s="1">
        <f t="shared" si="17"/>
        <v>2628</v>
      </c>
      <c r="R35" s="9">
        <f>SUM($Q$33:Q35)</f>
        <v>2988</v>
      </c>
      <c r="S35" s="280">
        <f t="shared" ref="S35:S42" si="21">R35/R9</f>
        <v>-6345.4898772400584</v>
      </c>
      <c r="T35" s="9">
        <f t="shared" si="18"/>
        <v>6.8581815255633304E-3</v>
      </c>
      <c r="U35" s="285">
        <f t="shared" si="19"/>
        <v>276146.33731272334</v>
      </c>
    </row>
    <row r="36" spans="1:21" x14ac:dyDescent="0.2">
      <c r="A36" s="97">
        <v>4</v>
      </c>
      <c r="B36" s="93">
        <f t="shared" si="15"/>
        <v>729</v>
      </c>
      <c r="C36" s="1">
        <f t="shared" si="12"/>
        <v>5832</v>
      </c>
      <c r="D36" s="9">
        <f>SUM($C$33:C36)</f>
        <v>6560</v>
      </c>
      <c r="E36" s="9">
        <f t="shared" si="13"/>
        <v>-14098.568429451683</v>
      </c>
      <c r="F36" s="9">
        <f t="shared" si="14"/>
        <v>4.2336127885813993E-3</v>
      </c>
      <c r="G36" s="285">
        <f t="shared" si="16"/>
        <v>841513.6550004622</v>
      </c>
      <c r="O36" s="99">
        <v>4</v>
      </c>
      <c r="P36" s="93">
        <f t="shared" si="20"/>
        <v>2629</v>
      </c>
      <c r="Q36" s="1">
        <f t="shared" si="17"/>
        <v>21060</v>
      </c>
      <c r="R36" s="9">
        <f>SUM($Q$33:Q36)</f>
        <v>24048</v>
      </c>
      <c r="S36" s="280">
        <f t="shared" si="21"/>
        <v>-51683.288657233854</v>
      </c>
      <c r="T36" s="9">
        <f t="shared" si="18"/>
        <v>1.1548777400654515E-3</v>
      </c>
      <c r="U36" s="285">
        <f t="shared" si="19"/>
        <v>3084865.9108919385</v>
      </c>
    </row>
    <row r="37" spans="1:21" x14ac:dyDescent="0.2">
      <c r="A37" s="97">
        <v>5</v>
      </c>
      <c r="B37" s="93">
        <f t="shared" si="15"/>
        <v>6561</v>
      </c>
      <c r="C37" s="1">
        <f t="shared" si="12"/>
        <v>52488</v>
      </c>
      <c r="D37" s="9">
        <f>SUM($C$33:C37)</f>
        <v>59048</v>
      </c>
      <c r="E37" s="9">
        <f t="shared" si="13"/>
        <v>-127312.82503496658</v>
      </c>
      <c r="F37" s="9">
        <f t="shared" si="14"/>
        <v>5.9701310465285666E-4</v>
      </c>
      <c r="G37" s="285">
        <f t="shared" si="16"/>
        <v>9676719.9922673199</v>
      </c>
      <c r="O37" s="99">
        <v>5</v>
      </c>
      <c r="P37" s="93">
        <f t="shared" si="20"/>
        <v>21061</v>
      </c>
      <c r="Q37" s="1">
        <f t="shared" si="17"/>
        <v>168516</v>
      </c>
      <c r="R37" s="9">
        <f>SUM($Q$33:Q37)</f>
        <v>192564</v>
      </c>
      <c r="S37" s="280">
        <f t="shared" si="21"/>
        <v>-415185.38883676508</v>
      </c>
      <c r="T37" s="9">
        <f t="shared" si="18"/>
        <v>1.8306864109356825E-4</v>
      </c>
      <c r="U37" s="285">
        <f t="shared" si="19"/>
        <v>31557172.276638743</v>
      </c>
    </row>
    <row r="38" spans="1:21" x14ac:dyDescent="0.2">
      <c r="A38" s="97">
        <v>6</v>
      </c>
      <c r="B38" s="93">
        <f t="shared" si="15"/>
        <v>59049</v>
      </c>
      <c r="C38" s="1">
        <f t="shared" si="12"/>
        <v>472392</v>
      </c>
      <c r="D38" s="9">
        <f>SUM($C$33:C38)</f>
        <v>531440</v>
      </c>
      <c r="E38" s="9">
        <f t="shared" si="13"/>
        <v>-1146822.1486213976</v>
      </c>
      <c r="F38" s="9">
        <f t="shared" si="14"/>
        <v>8.0552362716607425E-5</v>
      </c>
      <c r="G38" s="285">
        <f t="shared" si="16"/>
        <v>105942551.26514129</v>
      </c>
      <c r="O38" s="99">
        <v>6</v>
      </c>
      <c r="P38" s="93">
        <f t="shared" si="20"/>
        <v>168517</v>
      </c>
      <c r="Q38" s="1">
        <f t="shared" si="17"/>
        <v>1348164</v>
      </c>
      <c r="R38" s="9">
        <f>SUM($Q$33:Q38)</f>
        <v>1540728</v>
      </c>
      <c r="S38" s="280">
        <f t="shared" si="21"/>
        <v>-3324817.4683899377</v>
      </c>
      <c r="T38" s="9">
        <f t="shared" si="18"/>
        <v>2.7784753468564115E-5</v>
      </c>
      <c r="U38" s="285">
        <f t="shared" si="19"/>
        <v>307144089.87964511</v>
      </c>
    </row>
    <row r="39" spans="1:21" x14ac:dyDescent="0.2">
      <c r="A39" s="97">
        <v>7</v>
      </c>
      <c r="B39" s="93">
        <f t="shared" si="15"/>
        <v>531441</v>
      </c>
      <c r="C39" s="1">
        <f t="shared" si="12"/>
        <v>4251528</v>
      </c>
      <c r="D39" s="9">
        <f>SUM($C$33:C39)</f>
        <v>4782968</v>
      </c>
      <c r="E39" s="9">
        <f t="shared" si="13"/>
        <v>-10323808.321227295</v>
      </c>
      <c r="F39" s="9">
        <f t="shared" si="14"/>
        <v>1.0535678329293714E-5</v>
      </c>
      <c r="G39" s="285">
        <f t="shared" si="16"/>
        <v>1122903324.3268461</v>
      </c>
      <c r="O39" s="99">
        <v>7</v>
      </c>
      <c r="P39" s="93">
        <f t="shared" si="20"/>
        <v>1348165</v>
      </c>
      <c r="Q39" s="1">
        <f t="shared" si="17"/>
        <v>10785348</v>
      </c>
      <c r="R39" s="9">
        <f>SUM($Q$33:Q39)</f>
        <v>12326076</v>
      </c>
      <c r="S39" s="280">
        <f t="shared" si="21"/>
        <v>-26605247.197321843</v>
      </c>
      <c r="T39" s="9">
        <f t="shared" si="18"/>
        <v>4.0882282656139138E-6</v>
      </c>
      <c r="U39" s="285">
        <f t="shared" si="19"/>
        <v>2893808136.7689171</v>
      </c>
    </row>
    <row r="40" spans="1:21" x14ac:dyDescent="0.2">
      <c r="A40" s="97">
        <v>8</v>
      </c>
      <c r="B40" s="93">
        <f t="shared" si="15"/>
        <v>4782969</v>
      </c>
      <c r="C40" s="1">
        <f t="shared" si="12"/>
        <v>38263752</v>
      </c>
      <c r="D40" s="9">
        <f>SUM($C$33:C40)</f>
        <v>43046720</v>
      </c>
      <c r="E40" s="9">
        <f t="shared" si="13"/>
        <v>-92920070.161033526</v>
      </c>
      <c r="F40" s="9">
        <f t="shared" si="14"/>
        <v>1.3469956385753427E-6</v>
      </c>
      <c r="G40" s="285">
        <f t="shared" si="16"/>
        <v>11630148166.822542</v>
      </c>
      <c r="O40" s="99">
        <v>8</v>
      </c>
      <c r="P40" s="93">
        <f t="shared" si="20"/>
        <v>10785349</v>
      </c>
      <c r="Q40" s="1">
        <f t="shared" si="17"/>
        <v>86282820</v>
      </c>
      <c r="R40" s="9">
        <f>SUM($Q$33:Q40)</f>
        <v>98608896</v>
      </c>
      <c r="S40" s="280">
        <f t="shared" si="21"/>
        <v>-212855835.12105122</v>
      </c>
      <c r="T40" s="9">
        <f t="shared" si="18"/>
        <v>5.8801737416240792E-7</v>
      </c>
      <c r="U40" s="285">
        <f t="shared" si="19"/>
        <v>26641659830.221554</v>
      </c>
    </row>
    <row r="41" spans="1:21" x14ac:dyDescent="0.2">
      <c r="A41" s="97">
        <v>9</v>
      </c>
      <c r="B41" s="93">
        <f t="shared" si="15"/>
        <v>43046721</v>
      </c>
      <c r="C41" s="1">
        <f t="shared" si="12"/>
        <v>344373768</v>
      </c>
      <c r="D41" s="9">
        <f>SUM($C$33:C41)</f>
        <v>387420488</v>
      </c>
      <c r="E41" s="9">
        <f t="shared" si="13"/>
        <v>-836294605.36874914</v>
      </c>
      <c r="F41" s="9">
        <f t="shared" si="14"/>
        <v>1.6926959738693958E-7</v>
      </c>
      <c r="G41" s="285">
        <f t="shared" si="16"/>
        <v>118385238074.80931</v>
      </c>
      <c r="O41" s="99">
        <v>9</v>
      </c>
      <c r="P41" s="93">
        <f t="shared" si="20"/>
        <v>86282821</v>
      </c>
      <c r="Q41" s="1">
        <f t="shared" si="17"/>
        <v>690262596</v>
      </c>
      <c r="R41" s="9">
        <f>SUM($Q$33:Q41)</f>
        <v>788871492</v>
      </c>
      <c r="S41" s="280">
        <f t="shared" si="21"/>
        <v>-1702875799.0950553</v>
      </c>
      <c r="T41" s="9">
        <f t="shared" si="18"/>
        <v>8.3129521966819486E-8</v>
      </c>
      <c r="U41" s="285">
        <f t="shared" si="19"/>
        <v>241057822917.33118</v>
      </c>
    </row>
    <row r="42" spans="1:21" ht="17" thickBot="1" x14ac:dyDescent="0.25">
      <c r="A42" s="145">
        <v>10</v>
      </c>
      <c r="B42" s="94">
        <f t="shared" si="15"/>
        <v>387420489</v>
      </c>
      <c r="C42" s="111">
        <f t="shared" si="12"/>
        <v>3099363912</v>
      </c>
      <c r="D42" s="10">
        <f>SUM($C$33:C42)</f>
        <v>3486784400</v>
      </c>
      <c r="E42" s="9">
        <f t="shared" si="13"/>
        <v>-7526685176.2722731</v>
      </c>
      <c r="F42" s="10">
        <f t="shared" si="14"/>
        <v>2.0986143743385346E-8</v>
      </c>
      <c r="G42" s="286">
        <f t="shared" si="16"/>
        <v>1188885813945.7031</v>
      </c>
      <c r="O42" s="100">
        <v>10</v>
      </c>
      <c r="P42" s="94">
        <f t="shared" si="20"/>
        <v>690262597</v>
      </c>
      <c r="Q42" s="111">
        <f t="shared" si="17"/>
        <v>5522100804</v>
      </c>
      <c r="R42" s="10">
        <f>SUM($Q$33:Q42)</f>
        <v>6310972296</v>
      </c>
      <c r="S42" s="281">
        <f t="shared" si="21"/>
        <v>-13623068185.164585</v>
      </c>
      <c r="T42" s="10">
        <f t="shared" si="18"/>
        <v>1.1594751995183475E-8</v>
      </c>
      <c r="U42" s="286">
        <f t="shared" si="19"/>
        <v>2151846679972.1665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8</v>
      </c>
      <c r="D45" s="57">
        <f>SUM(C45:C45)</f>
        <v>8</v>
      </c>
      <c r="E45" s="57">
        <f t="shared" ref="E45:E54" si="23">D45/R7</f>
        <v>-13.869044014560297</v>
      </c>
      <c r="F45" s="8">
        <f t="shared" ref="F45:F54" si="24">U7/E45</f>
        <v>0.93212251192630469</v>
      </c>
      <c r="G45" s="284">
        <f>E45*U7</f>
        <v>179.29412112592894</v>
      </c>
      <c r="O45" s="101">
        <v>1</v>
      </c>
      <c r="P45" s="109">
        <v>1</v>
      </c>
      <c r="Q45" s="110">
        <f>P45*8+28</f>
        <v>36</v>
      </c>
      <c r="R45" s="57">
        <f>SUM($Q$21)</f>
        <v>36</v>
      </c>
      <c r="S45" s="279">
        <f>R45/R7</f>
        <v>-62.410698065521331</v>
      </c>
      <c r="T45" s="8">
        <f>U7/S45</f>
        <v>0.20713833598362327</v>
      </c>
      <c r="U45" s="287">
        <f>S45*U7</f>
        <v>806.82354506668014</v>
      </c>
    </row>
    <row r="46" spans="1:21" x14ac:dyDescent="0.2">
      <c r="A46" s="97">
        <v>2</v>
      </c>
      <c r="B46" s="93">
        <f t="shared" ref="B46:B54" si="25">B45*$O$2*2</f>
        <v>16</v>
      </c>
      <c r="C46" s="1">
        <f t="shared" si="22"/>
        <v>128</v>
      </c>
      <c r="D46" s="9">
        <f>SUM($C$45:C46)</f>
        <v>136</v>
      </c>
      <c r="E46" s="9">
        <f t="shared" si="23"/>
        <v>-276.36855647810563</v>
      </c>
      <c r="F46" s="9">
        <f t="shared" si="24"/>
        <v>0.10040581236726254</v>
      </c>
      <c r="G46" s="285">
        <f t="shared" ref="G46:G54" si="26">E46*U8</f>
        <v>7668.9536787476654</v>
      </c>
      <c r="O46" s="99">
        <v>2</v>
      </c>
      <c r="P46" s="93">
        <f>Q45*2</f>
        <v>72</v>
      </c>
      <c r="Q46" s="1">
        <f t="shared" ref="Q46:Q54" si="27">P46*8+28</f>
        <v>604</v>
      </c>
      <c r="R46" s="9">
        <f>SUM($Q$45:Q46)</f>
        <v>640</v>
      </c>
      <c r="S46" s="280">
        <f t="shared" ref="S46:S54" si="28">R46/R8</f>
        <v>-1300.5579128381441</v>
      </c>
      <c r="T46" s="9">
        <f t="shared" ref="T46:T54" si="29">U8/S46</f>
        <v>2.133623512804329E-2</v>
      </c>
      <c r="U46" s="285">
        <f t="shared" ref="U46:U54" si="30">S46*U8</f>
        <v>36089.193782341958</v>
      </c>
    </row>
    <row r="47" spans="1:21" x14ac:dyDescent="0.2">
      <c r="A47" s="97">
        <v>3</v>
      </c>
      <c r="B47" s="93">
        <f t="shared" si="25"/>
        <v>256</v>
      </c>
      <c r="C47" s="1">
        <f t="shared" si="22"/>
        <v>2048</v>
      </c>
      <c r="D47" s="9">
        <f>SUM($C$45:C47)</f>
        <v>2184</v>
      </c>
      <c r="E47" s="9">
        <f t="shared" si="23"/>
        <v>-4638.0689062557858</v>
      </c>
      <c r="F47" s="9">
        <f t="shared" si="24"/>
        <v>9.3828967025564244E-3</v>
      </c>
      <c r="G47" s="285">
        <f t="shared" si="26"/>
        <v>201841.90116833593</v>
      </c>
      <c r="O47" s="99">
        <v>3</v>
      </c>
      <c r="P47" s="93">
        <f t="shared" ref="P47:P54" si="31">Q46*2</f>
        <v>1208</v>
      </c>
      <c r="Q47" s="1">
        <f t="shared" si="27"/>
        <v>9692</v>
      </c>
      <c r="R47" s="9">
        <f>SUM($Q$45:Q47)</f>
        <v>10332</v>
      </c>
      <c r="S47" s="280">
        <f t="shared" si="28"/>
        <v>-21941.633671902371</v>
      </c>
      <c r="T47" s="9">
        <f t="shared" si="29"/>
        <v>1.9833765387517644E-3</v>
      </c>
      <c r="U47" s="285">
        <f t="shared" si="30"/>
        <v>954867.4555271276</v>
      </c>
    </row>
    <row r="48" spans="1:21" x14ac:dyDescent="0.2">
      <c r="A48" s="97">
        <v>4</v>
      </c>
      <c r="B48" s="93">
        <f t="shared" si="25"/>
        <v>4096</v>
      </c>
      <c r="C48" s="1">
        <f t="shared" si="22"/>
        <v>32768</v>
      </c>
      <c r="D48" s="9">
        <f>SUM($C$45:C48)</f>
        <v>34952</v>
      </c>
      <c r="E48" s="9">
        <f t="shared" si="23"/>
        <v>-75117.8603271639</v>
      </c>
      <c r="F48" s="9">
        <f t="shared" si="24"/>
        <v>7.9458971999010015E-4</v>
      </c>
      <c r="G48" s="285">
        <f t="shared" si="26"/>
        <v>4483625.8032890474</v>
      </c>
      <c r="O48" s="99">
        <v>4</v>
      </c>
      <c r="P48" s="93">
        <f t="shared" si="31"/>
        <v>19384</v>
      </c>
      <c r="Q48" s="1">
        <f t="shared" si="27"/>
        <v>155100</v>
      </c>
      <c r="R48" s="9">
        <f>SUM($Q$45:Q48)</f>
        <v>165432</v>
      </c>
      <c r="S48" s="280">
        <f t="shared" si="28"/>
        <v>-355541.82506418455</v>
      </c>
      <c r="T48" s="9">
        <f t="shared" si="29"/>
        <v>1.6787864435595278E-4</v>
      </c>
      <c r="U48" s="285">
        <f t="shared" si="30"/>
        <v>21221537.648481168</v>
      </c>
    </row>
    <row r="49" spans="1:21" x14ac:dyDescent="0.2">
      <c r="A49" s="97">
        <v>5</v>
      </c>
      <c r="B49" s="93">
        <f t="shared" si="25"/>
        <v>65536</v>
      </c>
      <c r="C49" s="1">
        <f t="shared" si="22"/>
        <v>524288</v>
      </c>
      <c r="D49" s="9">
        <f>SUM($C$45:C49)</f>
        <v>559240</v>
      </c>
      <c r="E49" s="9">
        <f t="shared" si="23"/>
        <v>-1205771.9867320606</v>
      </c>
      <c r="F49" s="9">
        <f t="shared" si="24"/>
        <v>6.303631679340154E-5</v>
      </c>
      <c r="G49" s="285">
        <f t="shared" si="26"/>
        <v>91647623.771771729</v>
      </c>
      <c r="O49" s="99">
        <v>5</v>
      </c>
      <c r="P49" s="93">
        <f t="shared" si="31"/>
        <v>310200</v>
      </c>
      <c r="Q49" s="1">
        <f t="shared" si="27"/>
        <v>2481628</v>
      </c>
      <c r="R49" s="9">
        <f>SUM($Q$45:Q49)</f>
        <v>2647060</v>
      </c>
      <c r="S49" s="280">
        <f t="shared" si="28"/>
        <v>-5707300.6136881625</v>
      </c>
      <c r="T49" s="9">
        <f t="shared" si="29"/>
        <v>1.33175786735253E-5</v>
      </c>
      <c r="U49" s="285">
        <f t="shared" si="30"/>
        <v>433797222.98352414</v>
      </c>
    </row>
    <row r="50" spans="1:21" x14ac:dyDescent="0.2">
      <c r="A50" s="97">
        <v>6</v>
      </c>
      <c r="B50" s="93">
        <f t="shared" si="25"/>
        <v>1048576</v>
      </c>
      <c r="C50" s="1">
        <f t="shared" si="22"/>
        <v>8388608</v>
      </c>
      <c r="D50" s="9">
        <f>SUM($C$45:C50)</f>
        <v>8947848</v>
      </c>
      <c r="E50" s="9">
        <f t="shared" si="23"/>
        <v>-19309028.806446023</v>
      </c>
      <c r="F50" s="9">
        <f t="shared" si="24"/>
        <v>4.7842506535776923E-6</v>
      </c>
      <c r="G50" s="285">
        <f t="shared" si="26"/>
        <v>1783753284.3833582</v>
      </c>
      <c r="O50" s="99">
        <v>6</v>
      </c>
      <c r="P50" s="93">
        <f t="shared" si="31"/>
        <v>4963256</v>
      </c>
      <c r="Q50" s="1">
        <f t="shared" si="27"/>
        <v>39706076</v>
      </c>
      <c r="R50" s="9">
        <f>SUM($Q$45:Q50)</f>
        <v>42353136</v>
      </c>
      <c r="S50" s="280">
        <f t="shared" si="28"/>
        <v>-91396045.51477921</v>
      </c>
      <c r="T50" s="9">
        <f t="shared" si="29"/>
        <v>1.0107574476212068E-6</v>
      </c>
      <c r="U50" s="285">
        <f t="shared" si="30"/>
        <v>8443096646.6948309</v>
      </c>
    </row>
    <row r="51" spans="1:21" x14ac:dyDescent="0.2">
      <c r="A51" s="97">
        <v>7</v>
      </c>
      <c r="B51" s="93">
        <f t="shared" si="25"/>
        <v>16777216</v>
      </c>
      <c r="C51" s="1">
        <f t="shared" si="22"/>
        <v>134217728</v>
      </c>
      <c r="D51" s="9">
        <f>SUM($C$45:C51)</f>
        <v>143165576</v>
      </c>
      <c r="E51" s="9">
        <f t="shared" si="23"/>
        <v>-309016068.01929235</v>
      </c>
      <c r="F51" s="9">
        <f t="shared" si="24"/>
        <v>3.5198274414308436E-7</v>
      </c>
      <c r="G51" s="285">
        <f t="shared" si="26"/>
        <v>33611159685.694679</v>
      </c>
      <c r="O51" s="99">
        <v>7</v>
      </c>
      <c r="P51" s="93">
        <f t="shared" si="31"/>
        <v>79412152</v>
      </c>
      <c r="Q51" s="1">
        <f t="shared" si="27"/>
        <v>635297244</v>
      </c>
      <c r="R51" s="9">
        <f>SUM($Q$45:Q51)</f>
        <v>677650380</v>
      </c>
      <c r="S51" s="280">
        <f t="shared" si="28"/>
        <v>-1462676027.0875404</v>
      </c>
      <c r="T51" s="9">
        <f t="shared" si="29"/>
        <v>7.4362553013406846E-8</v>
      </c>
      <c r="U51" s="285">
        <f t="shared" si="30"/>
        <v>159092819444.61063</v>
      </c>
    </row>
    <row r="52" spans="1:21" x14ac:dyDescent="0.2">
      <c r="A52" s="97">
        <v>8</v>
      </c>
      <c r="B52" s="93">
        <f t="shared" si="25"/>
        <v>268435456</v>
      </c>
      <c r="C52" s="1">
        <f t="shared" si="22"/>
        <v>2147483648</v>
      </c>
      <c r="D52" s="9">
        <f>SUM($C$45:C52)</f>
        <v>2290649224</v>
      </c>
      <c r="E52" s="9">
        <f t="shared" si="23"/>
        <v>-4944564570.9684029</v>
      </c>
      <c r="F52" s="9">
        <f t="shared" si="24"/>
        <v>2.5313235866695049E-8</v>
      </c>
      <c r="G52" s="285">
        <f t="shared" si="26"/>
        <v>618876185533.69629</v>
      </c>
      <c r="O52" s="99">
        <v>8</v>
      </c>
      <c r="P52" s="93">
        <f t="shared" si="31"/>
        <v>1270594488</v>
      </c>
      <c r="Q52" s="1">
        <f t="shared" si="27"/>
        <v>10164755932</v>
      </c>
      <c r="R52" s="9">
        <f>SUM($Q$45:Q52)</f>
        <v>10842406312</v>
      </c>
      <c r="S52" s="280">
        <f t="shared" si="28"/>
        <v>-23404272270.348885</v>
      </c>
      <c r="T52" s="9">
        <f t="shared" si="29"/>
        <v>5.3478667397660212E-9</v>
      </c>
      <c r="U52" s="285">
        <f t="shared" si="30"/>
        <v>2929347274158.2163</v>
      </c>
    </row>
    <row r="53" spans="1:21" x14ac:dyDescent="0.2">
      <c r="A53" s="97">
        <v>9</v>
      </c>
      <c r="B53" s="93">
        <f t="shared" si="25"/>
        <v>4294967296</v>
      </c>
      <c r="C53" s="1">
        <f t="shared" si="22"/>
        <v>34359738368</v>
      </c>
      <c r="D53" s="9">
        <f>SUM($C$45:C53)</f>
        <v>36650387592</v>
      </c>
      <c r="E53" s="9">
        <f t="shared" si="23"/>
        <v>-79114353466.674011</v>
      </c>
      <c r="F53" s="9">
        <f t="shared" si="24"/>
        <v>1.7892992225142542E-9</v>
      </c>
      <c r="G53" s="285">
        <f t="shared" si="26"/>
        <v>11199368631771.887</v>
      </c>
      <c r="O53" s="99">
        <v>9</v>
      </c>
      <c r="P53" s="93">
        <f t="shared" si="31"/>
        <v>20329511864</v>
      </c>
      <c r="Q53" s="1">
        <f t="shared" si="27"/>
        <v>162636094940</v>
      </c>
      <c r="R53" s="9">
        <f>SUM($Q$45:Q53)</f>
        <v>173478501252</v>
      </c>
      <c r="S53" s="280">
        <f t="shared" si="28"/>
        <v>-374474606372.65881</v>
      </c>
      <c r="T53" s="9">
        <f t="shared" si="29"/>
        <v>3.7802096253961973E-10</v>
      </c>
      <c r="U53" s="285">
        <f t="shared" si="30"/>
        <v>53010344851919.977</v>
      </c>
    </row>
    <row r="54" spans="1:21" ht="17" thickBot="1" x14ac:dyDescent="0.25">
      <c r="A54" s="145">
        <v>10</v>
      </c>
      <c r="B54" s="94">
        <f t="shared" si="25"/>
        <v>68719476736</v>
      </c>
      <c r="C54" s="111">
        <f t="shared" si="22"/>
        <v>549755813888</v>
      </c>
      <c r="D54" s="10">
        <f>SUM($C$45:C54)</f>
        <v>586406201480</v>
      </c>
      <c r="E54" s="10">
        <f t="shared" si="23"/>
        <v>-1265835324935.3896</v>
      </c>
      <c r="F54" s="10">
        <f t="shared" si="24"/>
        <v>1.2478408044784177E-10</v>
      </c>
      <c r="G54" s="286">
        <f t="shared" si="26"/>
        <v>199946407397416.88</v>
      </c>
      <c r="O54" s="100">
        <v>10</v>
      </c>
      <c r="P54" s="94">
        <f t="shared" si="31"/>
        <v>325272189880</v>
      </c>
      <c r="Q54" s="111">
        <f t="shared" si="27"/>
        <v>2602177519068</v>
      </c>
      <c r="R54" s="10">
        <f>SUM($Q$45:Q54)</f>
        <v>2775656020320</v>
      </c>
      <c r="S54" s="281">
        <f t="shared" si="28"/>
        <v>-5991620537987.2168</v>
      </c>
      <c r="T54" s="10">
        <f t="shared" si="29"/>
        <v>2.6362833897608654E-11</v>
      </c>
      <c r="U54" s="286">
        <f t="shared" si="30"/>
        <v>946412995008075.25</v>
      </c>
    </row>
  </sheetData>
  <mergeCells count="2">
    <mergeCell ref="A18:F18"/>
    <mergeCell ref="O18:T18"/>
  </mergeCells>
  <conditionalFormatting sqref="F45:F54">
    <cfRule type="cellIs" dxfId="235" priority="53" operator="equal">
      <formula>MAX($F$45:$F$54)</formula>
    </cfRule>
  </conditionalFormatting>
  <conditionalFormatting sqref="F21:F30">
    <cfRule type="cellIs" dxfId="234" priority="51" operator="equal">
      <formula>MAX($F$21:$F$30)</formula>
    </cfRule>
  </conditionalFormatting>
  <conditionalFormatting sqref="E33:E42">
    <cfRule type="cellIs" dxfId="233" priority="49" stopIfTrue="1" operator="lessThan">
      <formula>0</formula>
    </cfRule>
    <cfRule type="cellIs" dxfId="232" priority="50" operator="equal">
      <formula>MIN($E$33:$E$42)</formula>
    </cfRule>
  </conditionalFormatting>
  <conditionalFormatting sqref="E21:E30">
    <cfRule type="cellIs" dxfId="231" priority="45" stopIfTrue="1" operator="lessThan">
      <formula>0</formula>
    </cfRule>
    <cfRule type="cellIs" dxfId="230" priority="46" operator="equal">
      <formula>MIN($E$21:$E$30)</formula>
    </cfRule>
  </conditionalFormatting>
  <conditionalFormatting sqref="E45:E54">
    <cfRule type="cellIs" dxfId="229" priority="41" stopIfTrue="1" operator="lessThan">
      <formula>0</formula>
    </cfRule>
    <cfRule type="cellIs" dxfId="228" priority="42" operator="equal">
      <formula>MIN($E$45:$E$54)</formula>
    </cfRule>
  </conditionalFormatting>
  <conditionalFormatting sqref="F33:F42">
    <cfRule type="cellIs" dxfId="227" priority="31" operator="lessThanOrEqual">
      <formula>0</formula>
    </cfRule>
    <cfRule type="cellIs" dxfId="226" priority="32" operator="equal">
      <formula>MAX($F$33:$F$42)</formula>
    </cfRule>
  </conditionalFormatting>
  <conditionalFormatting sqref="S7:T16">
    <cfRule type="cellIs" dxfId="225" priority="13" operator="lessThanOrEqual">
      <formula>0</formula>
    </cfRule>
    <cfRule type="cellIs" dxfId="224" priority="14" operator="greaterThan">
      <formula>0</formula>
    </cfRule>
  </conditionalFormatting>
  <conditionalFormatting sqref="U7:U16">
    <cfRule type="cellIs" dxfId="223" priority="15" operator="lessThanOrEqual">
      <formula>0</formula>
    </cfRule>
    <cfRule type="cellIs" dxfId="222" priority="16" operator="greaterThan">
      <formula>0</formula>
    </cfRule>
  </conditionalFormatting>
  <conditionalFormatting sqref="R7:R16">
    <cfRule type="cellIs" dxfId="221" priority="17" operator="lessThanOrEqual">
      <formula>0</formula>
    </cfRule>
    <cfRule type="cellIs" dxfId="220" priority="18" operator="greaterThan">
      <formula>0</formula>
    </cfRule>
  </conditionalFormatting>
  <conditionalFormatting sqref="T21:T30">
    <cfRule type="cellIs" dxfId="219" priority="9" operator="equal">
      <formula>MAX($T$21:$T$30)</formula>
    </cfRule>
  </conditionalFormatting>
  <conditionalFormatting sqref="S33:S42">
    <cfRule type="cellIs" dxfId="218" priority="7" stopIfTrue="1" operator="lessThan">
      <formula>0</formula>
    </cfRule>
    <cfRule type="cellIs" dxfId="217" priority="8" operator="equal">
      <formula>MIN($E$21:$E$30)</formula>
    </cfRule>
  </conditionalFormatting>
  <conditionalFormatting sqref="T33:T42">
    <cfRule type="cellIs" dxfId="216" priority="6" operator="equal">
      <formula>MAX($T$21:$T$30)</formula>
    </cfRule>
  </conditionalFormatting>
  <conditionalFormatting sqref="S45:S54">
    <cfRule type="cellIs" dxfId="215" priority="4" stopIfTrue="1" operator="lessThan">
      <formula>0</formula>
    </cfRule>
    <cfRule type="cellIs" dxfId="214" priority="5" operator="equal">
      <formula>MIN($E$21:$E$30)</formula>
    </cfRule>
  </conditionalFormatting>
  <conditionalFormatting sqref="T45:T54">
    <cfRule type="cellIs" dxfId="213" priority="3" operator="equal">
      <formula>MAX($T$21:$T$30)</formula>
    </cfRule>
  </conditionalFormatting>
  <conditionalFormatting sqref="S21:S30">
    <cfRule type="cellIs" dxfId="212" priority="1" stopIfTrue="1" operator="lessThan">
      <formula>0</formula>
    </cfRule>
    <cfRule type="cellIs" dxfId="21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>
    <pageSetUpPr fitToPage="1"/>
  </sheetPr>
  <dimension ref="A1:W54"/>
  <sheetViews>
    <sheetView topLeftCell="A11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1.0000000000000013</v>
      </c>
    </row>
    <row r="2" spans="1:23" x14ac:dyDescent="0.2">
      <c r="A2" t="s">
        <v>40</v>
      </c>
      <c r="B2" s="149" t="s">
        <v>125</v>
      </c>
      <c r="C2" s="155">
        <f>Analysis!B47</f>
        <v>0.21270727285966329</v>
      </c>
      <c r="D2" s="149" t="s">
        <v>126</v>
      </c>
      <c r="E2" s="155">
        <f>Analysis!N47</f>
        <v>0.78729272714033816</v>
      </c>
      <c r="F2" s="149" t="s">
        <v>47</v>
      </c>
      <c r="G2" s="155">
        <f>Analysis!S47</f>
        <v>-9.6105224537684801</v>
      </c>
      <c r="H2" t="s">
        <v>155</v>
      </c>
      <c r="I2" s="169">
        <f>Analysis!T47</f>
        <v>-16.058035179452531</v>
      </c>
      <c r="J2" t="s">
        <v>48</v>
      </c>
      <c r="K2" s="169">
        <f>C2*G2+E2*I2</f>
        <v>-14.686602330844327</v>
      </c>
      <c r="L2" t="s">
        <v>47</v>
      </c>
      <c r="M2" s="176">
        <v>3</v>
      </c>
      <c r="N2" t="s">
        <v>155</v>
      </c>
      <c r="O2" s="176">
        <v>9</v>
      </c>
    </row>
    <row r="4" spans="1:23" x14ac:dyDescent="0.2">
      <c r="A4" t="s">
        <v>123</v>
      </c>
      <c r="B4">
        <f>$C$2</f>
        <v>0.21270727285966329</v>
      </c>
      <c r="C4" t="s">
        <v>124</v>
      </c>
      <c r="D4">
        <f>$E$2</f>
        <v>0.78729272714033816</v>
      </c>
      <c r="E4" t="s">
        <v>47</v>
      </c>
      <c r="F4">
        <f>G2</f>
        <v>-9.6105224537684801</v>
      </c>
      <c r="G4" t="s">
        <v>155</v>
      </c>
      <c r="H4">
        <f>I2</f>
        <v>-16.058035179452531</v>
      </c>
      <c r="I4" t="s">
        <v>48</v>
      </c>
      <c r="J4">
        <f>K2</f>
        <v>-14.686602330844327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0.21270727285966329</v>
      </c>
      <c r="C7" s="95">
        <v>1</v>
      </c>
      <c r="D7" s="22">
        <f>C7*D4</f>
        <v>0.78729272714033816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1.0000000000000013</v>
      </c>
      <c r="R7" s="187">
        <f>B7-D7</f>
        <v>-0.57458545428067487</v>
      </c>
      <c r="S7" s="109">
        <f>SUM(C7)*$B$4*$F$4</f>
        <v>-2.044228021897653</v>
      </c>
      <c r="T7" s="261">
        <f>SUM(C7)*$D$4*$H$4</f>
        <v>-12.642374308946673</v>
      </c>
      <c r="U7" s="263">
        <f>S7+T7</f>
        <v>-14.686602330844327</v>
      </c>
      <c r="V7" s="109">
        <f>(U7+W7*D7)/B7</f>
        <v>-65.344778374711524</v>
      </c>
      <c r="W7" s="57">
        <f>COUNT(D7:M7)</f>
        <v>1</v>
      </c>
    </row>
    <row r="8" spans="1:23" x14ac:dyDescent="0.2">
      <c r="A8" s="99">
        <v>2</v>
      </c>
      <c r="B8" s="97">
        <f>C8*B4</f>
        <v>0.25549284233932285</v>
      </c>
      <c r="C8" s="97">
        <f>1/(1-B4*D4)</f>
        <v>1.201147656610162</v>
      </c>
      <c r="D8" s="144">
        <f>C8*D4</f>
        <v>0.94565481427084086</v>
      </c>
      <c r="E8" s="1">
        <f>D8*D4</f>
        <v>0.74450715766068032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1.0000000000000031</v>
      </c>
      <c r="R8" s="188">
        <f>B8-E8</f>
        <v>-0.48901431532135747</v>
      </c>
      <c r="S8" s="93">
        <f>SUM(C8:D8)*$B$4*$F$4</f>
        <v>-4.3885537684540656</v>
      </c>
      <c r="T8" s="260">
        <f>SUM(C8:D8)*$D$4*$H$4</f>
        <v>-27.140680404249228</v>
      </c>
      <c r="U8" s="264">
        <f>S8+T8</f>
        <v>-31.529234172703294</v>
      </c>
      <c r="V8" s="93">
        <f>(U8+W8*E8)/B8</f>
        <v>-117.57753987285949</v>
      </c>
      <c r="W8" s="9">
        <f>COUNT(D8:M8)</f>
        <v>2</v>
      </c>
    </row>
    <row r="9" spans="1:23" x14ac:dyDescent="0.2">
      <c r="A9" s="99">
        <v>3</v>
      </c>
      <c r="B9" s="97">
        <f>C9*B4</f>
        <v>0.26626606859168045</v>
      </c>
      <c r="C9" s="97">
        <f>1/(1-D4*B4/(1-D4*B4))</f>
        <v>1.2517957896406926</v>
      </c>
      <c r="D9" s="144">
        <f>C9*D4*C8</f>
        <v>1.1837667149576898</v>
      </c>
      <c r="E9" s="1">
        <f>D9*(D4)</f>
        <v>0.93197092531699899</v>
      </c>
      <c r="F9" s="1">
        <f>E9*D4</f>
        <v>0.73373393140832455</v>
      </c>
      <c r="G9" s="1"/>
      <c r="H9" s="1"/>
      <c r="I9" s="1"/>
      <c r="J9" s="1"/>
      <c r="K9" s="1"/>
      <c r="L9" s="1"/>
      <c r="M9" s="260"/>
      <c r="N9" s="97">
        <f>B9+F9</f>
        <v>1.0000000000000049</v>
      </c>
      <c r="R9" s="188">
        <f>B9-F9</f>
        <v>-0.4674678628166441</v>
      </c>
      <c r="S9" s="93">
        <f>SUM(C9:E9)*$B$4*$F$4</f>
        <v>-6.8840062021101387</v>
      </c>
      <c r="T9" s="260">
        <f>SUM(C9:E9)*$D$4*$H$4</f>
        <v>-42.573618118881285</v>
      </c>
      <c r="U9" s="264">
        <f t="shared" ref="U9:U16" si="0">S9+T9</f>
        <v>-49.457624320991421</v>
      </c>
      <c r="V9" s="93">
        <f>(U9+W9*F9)/B9</f>
        <v>-177.47819981987365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0.26912344224371693</v>
      </c>
      <c r="C10" s="97">
        <f>1/(1-D4*B4/(1-D4*B4/(1-D4*B4)))</f>
        <v>1.2652291509622007</v>
      </c>
      <c r="D10" s="144">
        <f>C10*D4*C9</f>
        <v>1.2469209322108583</v>
      </c>
      <c r="E10" s="1">
        <f>D10*D4*C8</f>
        <v>1.1791567825602831</v>
      </c>
      <c r="F10" s="1">
        <f>E10*D4</f>
        <v>0.92834155906791205</v>
      </c>
      <c r="G10" s="1">
        <f>F10*D4</f>
        <v>0.73087655775628979</v>
      </c>
      <c r="H10" s="1"/>
      <c r="I10" s="1"/>
      <c r="J10" s="1"/>
      <c r="K10" s="1"/>
      <c r="L10" s="1"/>
      <c r="M10" s="260"/>
      <c r="N10" s="97">
        <f>B10+G10</f>
        <v>1.0000000000000067</v>
      </c>
      <c r="R10" s="188">
        <f>B10-G10</f>
        <v>-0.46175311551257286</v>
      </c>
      <c r="S10" s="93">
        <f>SUM(C10:F10)*$B$4*$F$4</f>
        <v>-9.4436147612940751</v>
      </c>
      <c r="T10" s="260">
        <f>SUM(C10:F10)*$D$4*$H$4</f>
        <v>-58.403324562073337</v>
      </c>
      <c r="U10" s="264">
        <f t="shared" si="0"/>
        <v>-67.846939323367408</v>
      </c>
      <c r="V10" s="93">
        <f>(U10+W10*G10)/B10</f>
        <v>-241.24034885652173</v>
      </c>
      <c r="W10" s="9">
        <f t="shared" si="1"/>
        <v>4</v>
      </c>
    </row>
    <row r="11" spans="1:23" x14ac:dyDescent="0.2">
      <c r="A11" s="99">
        <v>5</v>
      </c>
      <c r="B11" s="97">
        <f>C11*B4</f>
        <v>0.26989162024406627</v>
      </c>
      <c r="C11" s="97">
        <f>1/(1-D4*B4/(1-D4*B4/(1-D4*B4/(1-D4*B4))))</f>
        <v>1.268840583660396</v>
      </c>
      <c r="D11" s="144">
        <f>C11*D4*C10</f>
        <v>1.2638993488378156</v>
      </c>
      <c r="E11" s="1">
        <f>D11*D4*C9</f>
        <v>1.2456103726941627</v>
      </c>
      <c r="F11" s="1">
        <f>E11*D4*C8</f>
        <v>1.1779174456439314</v>
      </c>
      <c r="G11" s="1">
        <f>F11*D4</f>
        <v>0.92736583812719176</v>
      </c>
      <c r="H11" s="1">
        <f>G11*D4</f>
        <v>0.73010837975594223</v>
      </c>
      <c r="I11" s="1"/>
      <c r="J11" s="1"/>
      <c r="K11" s="1"/>
      <c r="L11" s="1"/>
      <c r="M11" s="260"/>
      <c r="N11" s="97">
        <f>B11+H11</f>
        <v>1.0000000000000084</v>
      </c>
      <c r="R11" s="188">
        <f>B11-H11</f>
        <v>-0.46021675951187596</v>
      </c>
      <c r="S11" s="93">
        <f>SUM(C11:G11)*$B$4*$F$4</f>
        <v>-12.027488653137437</v>
      </c>
      <c r="T11" s="260">
        <f>SUM(C11:G11)*$D$4*$H$4</f>
        <v>-74.383098128367834</v>
      </c>
      <c r="U11" s="264">
        <f t="shared" si="0"/>
        <v>-86.410586781505273</v>
      </c>
      <c r="V11" s="93">
        <f>(U11+W11*H11)/B11</f>
        <v>-306.6417727526503</v>
      </c>
      <c r="W11" s="9">
        <f t="shared" si="1"/>
        <v>5</v>
      </c>
    </row>
    <row r="12" spans="1:23" x14ac:dyDescent="0.2">
      <c r="A12" s="99">
        <v>6</v>
      </c>
      <c r="B12" s="97">
        <f>C12*B4</f>
        <v>0.27009888619306072</v>
      </c>
      <c r="C12" s="97">
        <f>1/(1-D4*B4/(1-D4*B4/(1-D4*B4/(1-D4*B4/(1-D4*B4)))))</f>
        <v>1.2698150023824637</v>
      </c>
      <c r="D12" s="144">
        <f>C12*D4*C11</f>
        <v>1.2684803803604687</v>
      </c>
      <c r="E12" s="1">
        <f>D12*D4*C10</f>
        <v>1.2635405482744588</v>
      </c>
      <c r="F12" s="1">
        <f>E12*D4*C9</f>
        <v>1.2452567640750456</v>
      </c>
      <c r="G12" s="1">
        <f>F12*D4*C8</f>
        <v>1.1775830539508956</v>
      </c>
      <c r="H12" s="1">
        <f>G12*D4</f>
        <v>0.92710257397924856</v>
      </c>
      <c r="I12" s="1">
        <f>H12*D4</f>
        <v>0.72990111380694966</v>
      </c>
      <c r="J12" s="1"/>
      <c r="K12" s="1"/>
      <c r="L12" s="1"/>
      <c r="M12" s="260"/>
      <c r="N12" s="97">
        <f>B12+I12</f>
        <v>1.0000000000000104</v>
      </c>
      <c r="R12" s="188">
        <f>B12-I12</f>
        <v>-0.45980222761388895</v>
      </c>
      <c r="S12" s="93">
        <f>SUM(C12:H12)*$B$4*$F$4</f>
        <v>-14.619865654322963</v>
      </c>
      <c r="T12" s="260">
        <f>SUM(C12:H12)*$D$4*$H$4</f>
        <v>-90.415458534262385</v>
      </c>
      <c r="U12" s="264">
        <f t="shared" si="0"/>
        <v>-105.03532418858535</v>
      </c>
      <c r="V12" s="93">
        <f>(U12+W12*I12)/B12</f>
        <v>-372.66320836953406</v>
      </c>
      <c r="W12" s="9">
        <f t="shared" si="1"/>
        <v>6</v>
      </c>
    </row>
    <row r="13" spans="1:23" x14ac:dyDescent="0.2">
      <c r="A13" s="99">
        <v>7</v>
      </c>
      <c r="B13" s="97">
        <f>C13*B4</f>
        <v>0.27015486420160195</v>
      </c>
      <c r="C13" s="97">
        <f>1/(1-D4*B4/(1-D4*B4/(1-D4*B4/(1-D4*B4/(1-D4*B4/(1-D4*B4))))))</f>
        <v>1.2700781716093015</v>
      </c>
      <c r="D13" s="144">
        <f>C13*D4*C12</f>
        <v>1.2697176169781914</v>
      </c>
      <c r="E13" s="1">
        <f>D13*D4*C11</f>
        <v>1.2683830973118189</v>
      </c>
      <c r="F13" s="1">
        <f>E13*D4*C10</f>
        <v>1.2634436440743371</v>
      </c>
      <c r="G13" s="1">
        <f>F13*D4*C9</f>
        <v>1.2451612621057311</v>
      </c>
      <c r="H13" s="1">
        <f>G13*D4*C8</f>
        <v>1.177492742053841</v>
      </c>
      <c r="I13" s="1">
        <f>H13*D4</f>
        <v>0.92703147207952319</v>
      </c>
      <c r="J13" s="1">
        <f>I13*D4</f>
        <v>0.72984513579841004</v>
      </c>
      <c r="K13" s="1"/>
      <c r="L13" s="1"/>
      <c r="M13" s="260"/>
      <c r="N13" s="97">
        <f>B13+J13</f>
        <v>1.000000000000012</v>
      </c>
      <c r="R13" s="188">
        <f>B13-J13</f>
        <v>-0.45969027159680809</v>
      </c>
      <c r="S13" s="93">
        <f>SUM(C13:I13)*$B$4*$F$4</f>
        <v>-17.215073807331144</v>
      </c>
      <c r="T13" s="260">
        <f>SUM(C13:I13)*$D$4*$H$4</f>
        <v>-106.46532798547092</v>
      </c>
      <c r="U13" s="264">
        <f t="shared" si="0"/>
        <v>-123.68040179280206</v>
      </c>
      <c r="V13" s="93">
        <f>(U13+W13*J13)/B13</f>
        <v>-438.90190980877441</v>
      </c>
      <c r="W13" s="9">
        <f t="shared" si="1"/>
        <v>7</v>
      </c>
    </row>
    <row r="14" spans="1:23" x14ac:dyDescent="0.2">
      <c r="A14" s="99">
        <v>8</v>
      </c>
      <c r="B14" s="97">
        <f>C14*B4</f>
        <v>0.27016998661955416</v>
      </c>
      <c r="C14" s="97">
        <f>1/(1-D4*B4/(1-D4*B4/(1-D4*B4/(1-D4*B4/(1-D4*B4/(1-D4*B4/(1-D4*B4)))))))</f>
        <v>1.270149266582919</v>
      </c>
      <c r="D14" s="144">
        <f>C14*D4*C13</f>
        <v>1.2700518555430584</v>
      </c>
      <c r="E14" s="1">
        <f>D14*D4*C12</f>
        <v>1.2696913083826533</v>
      </c>
      <c r="F14" s="1">
        <f>E14*D4*C11</f>
        <v>1.2683568163675774</v>
      </c>
      <c r="G14" s="1">
        <f>F14*D4*C10</f>
        <v>1.2634174654757477</v>
      </c>
      <c r="H14" s="1">
        <f>G14*D4*C9</f>
        <v>1.2451354623187658</v>
      </c>
      <c r="I14" s="1">
        <f>H14*D4*C8</f>
        <v>1.17746834436109</v>
      </c>
      <c r="J14" s="1">
        <f>I14*D4</f>
        <v>0.92701226395346137</v>
      </c>
      <c r="K14" s="1">
        <f>J14*D4</f>
        <v>0.72983001338045961</v>
      </c>
      <c r="L14" s="1"/>
      <c r="M14" s="260"/>
      <c r="N14" s="97">
        <f>B14+K14</f>
        <v>1.0000000000000138</v>
      </c>
      <c r="R14" s="188">
        <f>B14-K14</f>
        <v>-0.45966002676090545</v>
      </c>
      <c r="S14" s="93">
        <f>SUM(C14:J14)*$B$4*$F$4</f>
        <v>-19.811191833112765</v>
      </c>
      <c r="T14" s="260">
        <f>SUM(C14:J14)*$D$4*$H$4</f>
        <v>-122.52082447635023</v>
      </c>
      <c r="U14" s="264">
        <f t="shared" si="0"/>
        <v>-142.332016309463</v>
      </c>
      <c r="V14" s="93">
        <f>(U14+W14*K14)/B14</f>
        <v>-505.21295096566547</v>
      </c>
      <c r="W14" s="9">
        <f t="shared" si="1"/>
        <v>8</v>
      </c>
    </row>
    <row r="15" spans="1:23" x14ac:dyDescent="0.2">
      <c r="A15" s="99">
        <v>9</v>
      </c>
      <c r="B15" s="97">
        <f>C15*B4</f>
        <v>0.27017407222013856</v>
      </c>
      <c r="C15" s="97">
        <f>1/(1-D4*B4/(1-D4*B4/(1-D4*B4/(1-D4*B4/(1-D4*B4/(1-D4*B4/(1-D4*B4/(1-D4*B4))))))))</f>
        <v>1.2701684742034647</v>
      </c>
      <c r="D15" s="144">
        <f>C15*D4*C14</f>
        <v>1.2701421562661488</v>
      </c>
      <c r="E15" s="1">
        <f>D15*D4*C13</f>
        <v>1.2700447457715969</v>
      </c>
      <c r="F15" s="1">
        <f>E15*D4*C12</f>
        <v>1.2696842006295408</v>
      </c>
      <c r="G15" s="1">
        <f>F15*D4*C11</f>
        <v>1.2683497160849733</v>
      </c>
      <c r="H15" s="1">
        <f>G15*D4*C10</f>
        <v>1.2634103928437121</v>
      </c>
      <c r="I15" s="1">
        <f>H15*D4*C9</f>
        <v>1.2451284920296888</v>
      </c>
      <c r="J15" s="1">
        <f>I15*D4*C8</f>
        <v>1.1774617528736675</v>
      </c>
      <c r="K15" s="1">
        <f>J15*D4</f>
        <v>0.92700707452335263</v>
      </c>
      <c r="L15" s="1">
        <f>K15*D4</f>
        <v>0.72982592777987698</v>
      </c>
      <c r="M15" s="260"/>
      <c r="N15" s="97">
        <f>B15+L15</f>
        <v>1.0000000000000155</v>
      </c>
      <c r="R15" s="188">
        <f>B15-L15</f>
        <v>-0.45965185555973842</v>
      </c>
      <c r="S15" s="93">
        <f>SUM(C15:K15)*$B$4*$F$4</f>
        <v>-22.407594917228298</v>
      </c>
      <c r="T15" s="260">
        <f>SUM(C15:K15)*$D$4*$H$4</f>
        <v>-138.57808388903604</v>
      </c>
      <c r="U15" s="264">
        <f t="shared" si="0"/>
        <v>-160.98567880626433</v>
      </c>
      <c r="V15" s="93">
        <f>(U15+W15*L15)/B15</f>
        <v>-571.54724058948875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0.27017517604181646</v>
      </c>
      <c r="C16" s="145">
        <f>1/(1-D4*B4/(1-D4*B4/(1-D4*B4/(1-D4*B4/(1-D4*B4/(1-D4*B4/(1-D4*B4/(1-D4*B4/(1-D4*B4)))))))))</f>
        <v>1.2701736635966765</v>
      </c>
      <c r="D16" s="153">
        <f>C16*D4*C15</f>
        <v>1.2701665531433313</v>
      </c>
      <c r="E16" s="111">
        <f>D16*D4*C14</f>
        <v>1.2701402352458198</v>
      </c>
      <c r="F16" s="111">
        <f>E16*D4*C13</f>
        <v>1.270042824898596</v>
      </c>
      <c r="G16" s="111">
        <f>F16*D4*C12</f>
        <v>1.2696822803018446</v>
      </c>
      <c r="H16" s="111">
        <f>G16*D4*C11</f>
        <v>1.2683477977756119</v>
      </c>
      <c r="I16" s="111">
        <f>H16*D4*C10</f>
        <v>1.2634084820048064</v>
      </c>
      <c r="J16" s="111">
        <f>I16*D4*C9</f>
        <v>1.245126608841155</v>
      </c>
      <c r="K16" s="111">
        <f>J16*D4*C8</f>
        <v>1.1774599720273644</v>
      </c>
      <c r="L16" s="111">
        <f>K16*D4</f>
        <v>0.92700567247600996</v>
      </c>
      <c r="M16" s="262">
        <f>L16*D4</f>
        <v>0.72982482395820103</v>
      </c>
      <c r="N16" s="145">
        <f>B16+M16</f>
        <v>1.0000000000000175</v>
      </c>
      <c r="R16" s="189">
        <f>B16-M16</f>
        <v>-0.45964964791638457</v>
      </c>
      <c r="S16" s="94">
        <f>SUM(C16:L16)*$B$4*$F$4</f>
        <v>-25.004085622771044</v>
      </c>
      <c r="T16" s="262">
        <f>SUM(C16:L16)*$D$4*$H$4</f>
        <v>-154.63588518984213</v>
      </c>
      <c r="U16" s="265">
        <f t="shared" si="0"/>
        <v>-179.63997081261317</v>
      </c>
      <c r="V16" s="94">
        <f>(U16+W16*M16)/B16</f>
        <v>-637.88881383520186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9</v>
      </c>
      <c r="D21" s="57">
        <f>SUM($C$21:C21)</f>
        <v>9</v>
      </c>
      <c r="E21" s="57">
        <f t="shared" ref="E21:E30" si="3">D21/R7</f>
        <v>-15.66346647474243</v>
      </c>
      <c r="F21" s="8">
        <f t="shared" ref="F21:F30" si="4">U7/E21</f>
        <v>0.93763423023420067</v>
      </c>
      <c r="G21" s="284">
        <f>E21*U7</f>
        <v>230.04310323705414</v>
      </c>
      <c r="O21" s="101">
        <v>1</v>
      </c>
      <c r="P21" s="109">
        <v>1</v>
      </c>
      <c r="Q21" s="110">
        <f>P21*9+36</f>
        <v>45</v>
      </c>
      <c r="R21" s="57">
        <f>SUM($Q$21)</f>
        <v>45</v>
      </c>
      <c r="S21" s="279">
        <f>R21/R7</f>
        <v>-78.317332373712148</v>
      </c>
      <c r="T21" s="8">
        <f>U7/S21</f>
        <v>0.18752684604684014</v>
      </c>
      <c r="U21" s="284">
        <f>S21*U7</f>
        <v>1150.2155161852706</v>
      </c>
    </row>
    <row r="22" spans="1:21" x14ac:dyDescent="0.2">
      <c r="A22" s="97">
        <v>2</v>
      </c>
      <c r="B22" s="93">
        <f>C21</f>
        <v>9</v>
      </c>
      <c r="C22" s="1">
        <f t="shared" si="2"/>
        <v>81</v>
      </c>
      <c r="D22" s="9">
        <f>SUM($C$21:C22)</f>
        <v>90</v>
      </c>
      <c r="E22" s="9">
        <f t="shared" si="3"/>
        <v>-184.04369193334594</v>
      </c>
      <c r="F22" s="9">
        <f t="shared" si="4"/>
        <v>0.1713138540174583</v>
      </c>
      <c r="G22" s="285">
        <f t="shared" ref="G22:G30" si="5">E22*U8</f>
        <v>5802.7566609753285</v>
      </c>
      <c r="O22" s="99">
        <v>2</v>
      </c>
      <c r="P22" s="93">
        <f>Q21</f>
        <v>45</v>
      </c>
      <c r="Q22" s="1">
        <f t="shared" ref="Q22:Q30" si="6">P22*9+36</f>
        <v>441</v>
      </c>
      <c r="R22" s="9">
        <f>SUM($Q$21:Q22)</f>
        <v>486</v>
      </c>
      <c r="S22" s="280">
        <f t="shared" ref="S22:S30" si="7">R22/R8</f>
        <v>-993.83593644006805</v>
      </c>
      <c r="T22" s="9">
        <f>U8/S22</f>
        <v>3.1724787781010795E-2</v>
      </c>
      <c r="U22" s="285">
        <f t="shared" ref="U22:U30" si="8">S22*U8</f>
        <v>31334.885969266772</v>
      </c>
    </row>
    <row r="23" spans="1:21" x14ac:dyDescent="0.2">
      <c r="A23" s="97">
        <v>3</v>
      </c>
      <c r="B23" s="93">
        <f t="shared" ref="B23:B30" si="9">C22</f>
        <v>81</v>
      </c>
      <c r="C23" s="1">
        <f t="shared" si="2"/>
        <v>729</v>
      </c>
      <c r="D23" s="9">
        <f>SUM($C$21:C23)</f>
        <v>819</v>
      </c>
      <c r="E23" s="9">
        <f t="shared" si="3"/>
        <v>-1751.9920943126695</v>
      </c>
      <c r="F23" s="9">
        <f t="shared" si="4"/>
        <v>2.8229365007719585E-2</v>
      </c>
      <c r="G23" s="285">
        <f t="shared" si="5"/>
        <v>86649.366813862973</v>
      </c>
      <c r="O23" s="99">
        <v>3</v>
      </c>
      <c r="P23" s="93">
        <f t="shared" ref="P23:P30" si="10">Q22</f>
        <v>441</v>
      </c>
      <c r="Q23" s="1">
        <f t="shared" si="6"/>
        <v>4005</v>
      </c>
      <c r="R23" s="9">
        <f>SUM($Q$21:Q23)</f>
        <v>4491</v>
      </c>
      <c r="S23" s="280">
        <f t="shared" si="7"/>
        <v>-9607.0775281540882</v>
      </c>
      <c r="T23" s="9">
        <f t="shared" ref="T23:T30" si="11">U9/S23</f>
        <v>5.1480405124298238E-3</v>
      </c>
      <c r="U23" s="285">
        <f t="shared" si="8"/>
        <v>475143.23121008376</v>
      </c>
    </row>
    <row r="24" spans="1:21" x14ac:dyDescent="0.2">
      <c r="A24" s="97">
        <v>4</v>
      </c>
      <c r="B24" s="93">
        <f t="shared" si="9"/>
        <v>729</v>
      </c>
      <c r="C24" s="1">
        <f t="shared" si="2"/>
        <v>6561</v>
      </c>
      <c r="D24" s="9">
        <f>SUM($C$21:C24)</f>
        <v>7380</v>
      </c>
      <c r="E24" s="9">
        <f t="shared" si="3"/>
        <v>-15982.566770140294</v>
      </c>
      <c r="F24" s="9">
        <f t="shared" si="4"/>
        <v>4.2450590258207846E-3</v>
      </c>
      <c r="G24" s="285">
        <f t="shared" si="5"/>
        <v>1084368.2378853767</v>
      </c>
      <c r="O24" s="99">
        <v>4</v>
      </c>
      <c r="P24" s="93">
        <f t="shared" si="10"/>
        <v>4005</v>
      </c>
      <c r="Q24" s="1">
        <f t="shared" si="6"/>
        <v>36081</v>
      </c>
      <c r="R24" s="9">
        <f>SUM($Q$21:Q24)</f>
        <v>40572</v>
      </c>
      <c r="S24" s="280">
        <f t="shared" si="7"/>
        <v>-87865.135365600552</v>
      </c>
      <c r="T24" s="9">
        <f t="shared" si="11"/>
        <v>7.7217134010049767E-4</v>
      </c>
      <c r="U24" s="285">
        <f t="shared" si="8"/>
        <v>5961380.5077893641</v>
      </c>
    </row>
    <row r="25" spans="1:21" x14ac:dyDescent="0.2">
      <c r="A25" s="97">
        <v>5</v>
      </c>
      <c r="B25" s="93">
        <f t="shared" si="9"/>
        <v>6561</v>
      </c>
      <c r="C25" s="1">
        <f t="shared" si="2"/>
        <v>59049</v>
      </c>
      <c r="D25" s="9">
        <f>SUM($C$21:C25)</f>
        <v>66429</v>
      </c>
      <c r="E25" s="9">
        <f t="shared" si="3"/>
        <v>-144342.85285580912</v>
      </c>
      <c r="F25" s="9">
        <f t="shared" si="4"/>
        <v>5.9864818431865747E-4</v>
      </c>
      <c r="G25" s="285">
        <f t="shared" si="5"/>
        <v>12472750.612986941</v>
      </c>
      <c r="O25" s="99">
        <v>5</v>
      </c>
      <c r="P25" s="93">
        <f t="shared" si="10"/>
        <v>36081</v>
      </c>
      <c r="Q25" s="1">
        <f t="shared" si="6"/>
        <v>324765</v>
      </c>
      <c r="R25" s="9">
        <f>SUM($Q$21:Q25)</f>
        <v>365337</v>
      </c>
      <c r="S25" s="280">
        <f t="shared" si="7"/>
        <v>-793836.80070124089</v>
      </c>
      <c r="T25" s="9">
        <f t="shared" si="11"/>
        <v>1.0885182786332647E-4</v>
      </c>
      <c r="U25" s="285">
        <f t="shared" si="8"/>
        <v>68595903.757347077</v>
      </c>
    </row>
    <row r="26" spans="1:21" x14ac:dyDescent="0.2">
      <c r="A26" s="97">
        <v>6</v>
      </c>
      <c r="B26" s="93">
        <f t="shared" si="9"/>
        <v>59049</v>
      </c>
      <c r="C26" s="1">
        <f t="shared" si="2"/>
        <v>531441</v>
      </c>
      <c r="D26" s="9">
        <f>SUM($C$21:C26)</f>
        <v>597870</v>
      </c>
      <c r="E26" s="9">
        <f t="shared" si="3"/>
        <v>-1300276.4321143113</v>
      </c>
      <c r="F26" s="9">
        <f t="shared" si="4"/>
        <v>8.077922632020095E-5</v>
      </c>
      <c r="G26" s="285">
        <f t="shared" si="5"/>
        <v>136574956.58190379</v>
      </c>
      <c r="O26" s="99">
        <v>6</v>
      </c>
      <c r="P26" s="93">
        <f t="shared" si="10"/>
        <v>324765</v>
      </c>
      <c r="Q26" s="1">
        <f t="shared" si="6"/>
        <v>2922921</v>
      </c>
      <c r="R26" s="9">
        <f>SUM($Q$21:Q26)</f>
        <v>3288258</v>
      </c>
      <c r="S26" s="280">
        <f t="shared" si="7"/>
        <v>-7151461.6557300771</v>
      </c>
      <c r="T26" s="9">
        <f t="shared" si="11"/>
        <v>1.4687252654766912E-5</v>
      </c>
      <c r="U26" s="285">
        <f t="shared" si="8"/>
        <v>751156093.43184602</v>
      </c>
    </row>
    <row r="27" spans="1:21" x14ac:dyDescent="0.2">
      <c r="A27" s="97">
        <v>7</v>
      </c>
      <c r="B27" s="93">
        <f t="shared" si="9"/>
        <v>531441</v>
      </c>
      <c r="C27" s="1">
        <f t="shared" si="2"/>
        <v>4782969</v>
      </c>
      <c r="D27" s="9">
        <f>SUM($C$21:C27)</f>
        <v>5380839</v>
      </c>
      <c r="E27" s="9">
        <f t="shared" si="3"/>
        <v>-11705357.568931773</v>
      </c>
      <c r="F27" s="9">
        <f t="shared" si="4"/>
        <v>1.0566136152993153E-5</v>
      </c>
      <c r="G27" s="285">
        <f t="shared" si="5"/>
        <v>1447723327.2538984</v>
      </c>
      <c r="O27" s="99">
        <v>7</v>
      </c>
      <c r="P27" s="93">
        <f t="shared" si="10"/>
        <v>2922921</v>
      </c>
      <c r="Q27" s="1">
        <f t="shared" si="6"/>
        <v>26306325</v>
      </c>
      <c r="R27" s="9">
        <f>SUM($Q$21:Q27)</f>
        <v>29594583</v>
      </c>
      <c r="S27" s="280">
        <f t="shared" si="7"/>
        <v>-64379398.104724854</v>
      </c>
      <c r="T27" s="9">
        <f t="shared" si="11"/>
        <v>1.9211177089853077E-6</v>
      </c>
      <c r="U27" s="285">
        <f t="shared" si="8"/>
        <v>7962469824.7711296</v>
      </c>
    </row>
    <row r="28" spans="1:21" x14ac:dyDescent="0.2">
      <c r="A28" s="97">
        <v>8</v>
      </c>
      <c r="B28" s="93">
        <f t="shared" si="9"/>
        <v>4782969</v>
      </c>
      <c r="C28" s="1">
        <f t="shared" si="2"/>
        <v>43046721</v>
      </c>
      <c r="D28" s="9">
        <f>SUM($C$21:C28)</f>
        <v>48427560</v>
      </c>
      <c r="E28" s="9">
        <f t="shared" si="3"/>
        <v>-105355169.43088429</v>
      </c>
      <c r="F28" s="9">
        <f t="shared" si="4"/>
        <v>1.3509732562561771E-6</v>
      </c>
      <c r="G28" s="285">
        <f t="shared" si="5"/>
        <v>14995413693.72286</v>
      </c>
      <c r="O28" s="99">
        <v>8</v>
      </c>
      <c r="P28" s="93">
        <f t="shared" si="10"/>
        <v>26306325</v>
      </c>
      <c r="Q28" s="1">
        <f t="shared" si="6"/>
        <v>236756961</v>
      </c>
      <c r="R28" s="9">
        <f>SUM($Q$21:Q28)</f>
        <v>266351544</v>
      </c>
      <c r="S28" s="280">
        <f t="shared" si="7"/>
        <v>-579453353.55111086</v>
      </c>
      <c r="T28" s="9">
        <f t="shared" si="11"/>
        <v>2.4563153433697153E-7</v>
      </c>
      <c r="U28" s="285">
        <f t="shared" si="8"/>
        <v>82474764168.209747</v>
      </c>
    </row>
    <row r="29" spans="1:21" x14ac:dyDescent="0.2">
      <c r="A29" s="97">
        <v>9</v>
      </c>
      <c r="B29" s="93">
        <f t="shared" si="9"/>
        <v>43046721</v>
      </c>
      <c r="C29" s="1">
        <f t="shared" si="2"/>
        <v>387420489</v>
      </c>
      <c r="D29" s="9">
        <f>SUM($C$21:C29)</f>
        <v>435848049</v>
      </c>
      <c r="E29" s="9">
        <f t="shared" si="3"/>
        <v>-948213400.48600161</v>
      </c>
      <c r="F29" s="9">
        <f t="shared" si="4"/>
        <v>1.6977789886090197E-7</v>
      </c>
      <c r="G29" s="285">
        <f t="shared" si="5"/>
        <v>152648777930.43515</v>
      </c>
      <c r="O29" s="99">
        <v>9</v>
      </c>
      <c r="P29" s="93">
        <f t="shared" si="10"/>
        <v>236756961</v>
      </c>
      <c r="Q29" s="1">
        <f t="shared" si="6"/>
        <v>2130812685</v>
      </c>
      <c r="R29" s="9">
        <f>SUM($Q$21:Q29)</f>
        <v>2397164229</v>
      </c>
      <c r="S29" s="280">
        <f t="shared" si="7"/>
        <v>-5215173614.5628452</v>
      </c>
      <c r="T29" s="9">
        <f t="shared" si="11"/>
        <v>3.0868709405326044E-8</v>
      </c>
      <c r="U29" s="285">
        <f t="shared" si="8"/>
        <v>839568264432.91882</v>
      </c>
    </row>
    <row r="30" spans="1:21" ht="17" thickBot="1" x14ac:dyDescent="0.25">
      <c r="A30" s="145">
        <v>10</v>
      </c>
      <c r="B30" s="94">
        <f t="shared" si="9"/>
        <v>387420489</v>
      </c>
      <c r="C30" s="111">
        <f t="shared" si="2"/>
        <v>3486784401</v>
      </c>
      <c r="D30" s="10">
        <f>SUM($C$21:C30)</f>
        <v>3922632450</v>
      </c>
      <c r="E30" s="10">
        <f t="shared" si="3"/>
        <v>-8533961611.3739977</v>
      </c>
      <c r="F30" s="10">
        <f t="shared" si="4"/>
        <v>2.1050009244615117E-8</v>
      </c>
      <c r="G30" s="286">
        <f t="shared" si="5"/>
        <v>1533040614783.1863</v>
      </c>
      <c r="O30" s="100">
        <v>10</v>
      </c>
      <c r="P30" s="94">
        <f t="shared" si="10"/>
        <v>2130812685</v>
      </c>
      <c r="Q30" s="111">
        <f t="shared" si="6"/>
        <v>19177314201</v>
      </c>
      <c r="R30" s="10">
        <f>SUM($Q$21:Q30)</f>
        <v>21574478430</v>
      </c>
      <c r="S30" s="281">
        <f t="shared" si="7"/>
        <v>-46936788764.656334</v>
      </c>
      <c r="T30" s="10">
        <f t="shared" si="11"/>
        <v>3.82727441609476E-9</v>
      </c>
      <c r="U30" s="286">
        <f t="shared" si="8"/>
        <v>8431723363720.6533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9</v>
      </c>
      <c r="D33" s="57">
        <f>SUM($C$33:C33)</f>
        <v>9</v>
      </c>
      <c r="E33" s="9">
        <f t="shared" ref="E33:E42" si="13">D33/R7</f>
        <v>-15.66346647474243</v>
      </c>
      <c r="F33" s="8">
        <f t="shared" ref="F33:F42" si="14">U7/E33</f>
        <v>0.93763423023420067</v>
      </c>
      <c r="G33" s="287">
        <f>E33*U7</f>
        <v>230.04310323705414</v>
      </c>
      <c r="O33" s="101">
        <v>1</v>
      </c>
      <c r="P33" s="109">
        <v>1</v>
      </c>
      <c r="Q33" s="110">
        <f>P33*9+36</f>
        <v>45</v>
      </c>
      <c r="R33" s="57">
        <f>SUM($Q$21)</f>
        <v>45</v>
      </c>
      <c r="S33" s="279">
        <f>R33/R7</f>
        <v>-78.317332373712148</v>
      </c>
      <c r="T33" s="8">
        <f>U7/S33</f>
        <v>0.18752684604684014</v>
      </c>
      <c r="U33" s="287">
        <f>S33*U7</f>
        <v>1150.2155161852706</v>
      </c>
    </row>
    <row r="34" spans="1:21" x14ac:dyDescent="0.2">
      <c r="A34" s="97">
        <v>2</v>
      </c>
      <c r="B34" s="93">
        <f t="shared" ref="B34:B42" si="15">B33*($O$2+1)</f>
        <v>10</v>
      </c>
      <c r="C34" s="1">
        <f t="shared" si="12"/>
        <v>90</v>
      </c>
      <c r="D34" s="9">
        <f>SUM($C$33:C34)</f>
        <v>99</v>
      </c>
      <c r="E34" s="9">
        <f t="shared" si="13"/>
        <v>-202.44806112668053</v>
      </c>
      <c r="F34" s="9">
        <f t="shared" si="14"/>
        <v>0.15573986728859845</v>
      </c>
      <c r="G34" s="285">
        <f t="shared" ref="G34:G42" si="16">E34*U8</f>
        <v>6383.0323270728613</v>
      </c>
      <c r="O34" s="99">
        <v>2</v>
      </c>
      <c r="P34" s="93">
        <f>Q33+1</f>
        <v>46</v>
      </c>
      <c r="Q34" s="1">
        <f t="shared" ref="Q34:Q42" si="17">P34*9+36</f>
        <v>450</v>
      </c>
      <c r="R34" s="9">
        <f>SUM($Q$33:Q34)</f>
        <v>495</v>
      </c>
      <c r="S34" s="280">
        <f>R34/R8</f>
        <v>-1012.2403056334026</v>
      </c>
      <c r="T34" s="9">
        <f t="shared" ref="T34:T42" si="18">U8/S34</f>
        <v>3.1147973457719691E-2</v>
      </c>
      <c r="U34" s="285">
        <f t="shared" ref="U34:U42" si="19">S34*U8</f>
        <v>31915.161635364304</v>
      </c>
    </row>
    <row r="35" spans="1:21" x14ac:dyDescent="0.2">
      <c r="A35" s="97">
        <v>3</v>
      </c>
      <c r="B35" s="93">
        <f t="shared" si="15"/>
        <v>100</v>
      </c>
      <c r="C35" s="1">
        <f t="shared" si="12"/>
        <v>900</v>
      </c>
      <c r="D35" s="9">
        <f>SUM($C$33:C35)</f>
        <v>999</v>
      </c>
      <c r="E35" s="9">
        <f t="shared" si="13"/>
        <v>-2137.0453018539156</v>
      </c>
      <c r="F35" s="9">
        <f t="shared" si="14"/>
        <v>2.3142992934256597E-2</v>
      </c>
      <c r="G35" s="285">
        <f t="shared" si="16"/>
        <v>105693.18369603067</v>
      </c>
      <c r="O35" s="99">
        <v>3</v>
      </c>
      <c r="P35" s="93">
        <f t="shared" ref="P35:P42" si="20">Q34+1</f>
        <v>451</v>
      </c>
      <c r="Q35" s="1">
        <f t="shared" si="17"/>
        <v>4095</v>
      </c>
      <c r="R35" s="9">
        <f>SUM($Q$33:Q35)</f>
        <v>4590</v>
      </c>
      <c r="S35" s="280">
        <f t="shared" ref="S35:S42" si="21">R35/R9</f>
        <v>-9818.8567923017745</v>
      </c>
      <c r="T35" s="9">
        <f t="shared" si="18"/>
        <v>5.0370043445146706E-3</v>
      </c>
      <c r="U35" s="285">
        <f t="shared" si="19"/>
        <v>485617.33049527602</v>
      </c>
    </row>
    <row r="36" spans="1:21" x14ac:dyDescent="0.2">
      <c r="A36" s="97">
        <v>4</v>
      </c>
      <c r="B36" s="93">
        <f t="shared" si="15"/>
        <v>1000</v>
      </c>
      <c r="C36" s="1">
        <f t="shared" si="12"/>
        <v>9000</v>
      </c>
      <c r="D36" s="9">
        <f>SUM($C$33:C36)</f>
        <v>9999</v>
      </c>
      <c r="E36" s="9">
        <f t="shared" si="13"/>
        <v>-21654.428880031544</v>
      </c>
      <c r="F36" s="9">
        <f t="shared" si="14"/>
        <v>3.1331668777435139E-3</v>
      </c>
      <c r="G36" s="285">
        <f t="shared" si="16"/>
        <v>1469186.722305675</v>
      </c>
      <c r="O36" s="99">
        <v>4</v>
      </c>
      <c r="P36" s="93">
        <f t="shared" si="20"/>
        <v>4096</v>
      </c>
      <c r="Q36" s="1">
        <f t="shared" si="17"/>
        <v>36900</v>
      </c>
      <c r="R36" s="9">
        <f>SUM($Q$33:Q36)</f>
        <v>41490</v>
      </c>
      <c r="S36" s="280">
        <f t="shared" si="21"/>
        <v>-89853.210744325319</v>
      </c>
      <c r="T36" s="9">
        <f t="shared" si="18"/>
        <v>7.5508642107875127E-4</v>
      </c>
      <c r="U36" s="285">
        <f t="shared" si="19"/>
        <v>6096265.3373799846</v>
      </c>
    </row>
    <row r="37" spans="1:21" x14ac:dyDescent="0.2">
      <c r="A37" s="97">
        <v>5</v>
      </c>
      <c r="B37" s="93">
        <f t="shared" si="15"/>
        <v>10000</v>
      </c>
      <c r="C37" s="1">
        <f t="shared" si="12"/>
        <v>90000</v>
      </c>
      <c r="D37" s="9">
        <f>SUM($C$33:C37)</f>
        <v>99999</v>
      </c>
      <c r="E37" s="9">
        <f t="shared" si="13"/>
        <v>-217286.74137391886</v>
      </c>
      <c r="F37" s="9">
        <f t="shared" si="14"/>
        <v>3.9767997916083256E-4</v>
      </c>
      <c r="G37" s="285">
        <f t="shared" si="16"/>
        <v>18775874.821961507</v>
      </c>
      <c r="O37" s="99">
        <v>5</v>
      </c>
      <c r="P37" s="93">
        <f t="shared" si="20"/>
        <v>36901</v>
      </c>
      <c r="Q37" s="1">
        <f t="shared" si="17"/>
        <v>332145</v>
      </c>
      <c r="R37" s="9">
        <f>SUM($Q$33:Q37)</f>
        <v>373635</v>
      </c>
      <c r="S37" s="280">
        <f t="shared" si="21"/>
        <v>-811867.43480678974</v>
      </c>
      <c r="T37" s="9">
        <f t="shared" si="18"/>
        <v>1.064343550151996E-4</v>
      </c>
      <c r="U37" s="285">
        <f t="shared" si="19"/>
        <v>70153941.430450186</v>
      </c>
    </row>
    <row r="38" spans="1:21" x14ac:dyDescent="0.2">
      <c r="A38" s="97">
        <v>6</v>
      </c>
      <c r="B38" s="93">
        <f t="shared" si="15"/>
        <v>100000</v>
      </c>
      <c r="C38" s="1">
        <f t="shared" si="12"/>
        <v>900000</v>
      </c>
      <c r="D38" s="9">
        <f>SUM($C$33:C38)</f>
        <v>999999</v>
      </c>
      <c r="E38" s="9">
        <f t="shared" si="13"/>
        <v>-2174845.9227555809</v>
      </c>
      <c r="F38" s="9">
        <f t="shared" si="14"/>
        <v>4.8295524335582877E-5</v>
      </c>
      <c r="G38" s="285">
        <f t="shared" si="16"/>
        <v>228435646.5568555</v>
      </c>
      <c r="O38" s="99">
        <v>6</v>
      </c>
      <c r="P38" s="93">
        <f t="shared" si="20"/>
        <v>332146</v>
      </c>
      <c r="Q38" s="1">
        <f t="shared" si="17"/>
        <v>2989350</v>
      </c>
      <c r="R38" s="9">
        <f>SUM($Q$33:Q38)</f>
        <v>3362985</v>
      </c>
      <c r="S38" s="280">
        <f t="shared" si="21"/>
        <v>-7313981.529519707</v>
      </c>
      <c r="T38" s="9">
        <f t="shared" si="18"/>
        <v>1.4360895466396234E-5</v>
      </c>
      <c r="U38" s="285">
        <f t="shared" si="19"/>
        <v>768226421.06242776</v>
      </c>
    </row>
    <row r="39" spans="1:21" x14ac:dyDescent="0.2">
      <c r="A39" s="97">
        <v>7</v>
      </c>
      <c r="B39" s="93">
        <f t="shared" si="15"/>
        <v>1000000</v>
      </c>
      <c r="C39" s="1">
        <f t="shared" si="12"/>
        <v>9000000</v>
      </c>
      <c r="D39" s="9">
        <f>SUM($C$33:C39)</f>
        <v>9999999</v>
      </c>
      <c r="E39" s="9">
        <f t="shared" si="13"/>
        <v>-21753775.569936242</v>
      </c>
      <c r="F39" s="9">
        <f t="shared" si="14"/>
        <v>5.6854683176803845E-6</v>
      </c>
      <c r="G39" s="285">
        <f t="shared" si="16"/>
        <v>2690515703.0001559</v>
      </c>
      <c r="O39" s="99">
        <v>7</v>
      </c>
      <c r="P39" s="93">
        <f t="shared" si="20"/>
        <v>2989351</v>
      </c>
      <c r="Q39" s="1">
        <f t="shared" si="17"/>
        <v>26904195</v>
      </c>
      <c r="R39" s="9">
        <f>SUM($Q$33:Q39)</f>
        <v>30267180</v>
      </c>
      <c r="S39" s="280">
        <f t="shared" si="21"/>
        <v>-65842550.669741355</v>
      </c>
      <c r="T39" s="9">
        <f t="shared" si="18"/>
        <v>1.8784266486450183E-6</v>
      </c>
      <c r="U39" s="285">
        <f t="shared" si="19"/>
        <v>8143433121.8965387</v>
      </c>
    </row>
    <row r="40" spans="1:21" x14ac:dyDescent="0.2">
      <c r="A40" s="97">
        <v>8</v>
      </c>
      <c r="B40" s="93">
        <f t="shared" si="15"/>
        <v>10000000</v>
      </c>
      <c r="C40" s="1">
        <f t="shared" si="12"/>
        <v>90000000</v>
      </c>
      <c r="D40" s="9">
        <f>SUM($C$33:C40)</f>
        <v>99999999</v>
      </c>
      <c r="E40" s="9">
        <f t="shared" si="13"/>
        <v>-217552088.88767594</v>
      </c>
      <c r="F40" s="9">
        <f t="shared" si="14"/>
        <v>6.5424339079984779E-7</v>
      </c>
      <c r="G40" s="285">
        <f t="shared" si="16"/>
        <v>30964627463.718437</v>
      </c>
      <c r="O40" s="99">
        <v>8</v>
      </c>
      <c r="P40" s="93">
        <f t="shared" si="20"/>
        <v>26904196</v>
      </c>
      <c r="Q40" s="1">
        <f t="shared" si="17"/>
        <v>242137800</v>
      </c>
      <c r="R40" s="9">
        <f>SUM($Q$33:Q40)</f>
        <v>272404980</v>
      </c>
      <c r="S40" s="280">
        <f t="shared" si="21"/>
        <v>-592622730.1502831</v>
      </c>
      <c r="T40" s="9">
        <f t="shared" si="18"/>
        <v>2.401730630098664E-7</v>
      </c>
      <c r="U40" s="285">
        <f t="shared" si="19"/>
        <v>84349188093.108582</v>
      </c>
    </row>
    <row r="41" spans="1:21" x14ac:dyDescent="0.2">
      <c r="A41" s="97">
        <v>9</v>
      </c>
      <c r="B41" s="93">
        <f t="shared" si="15"/>
        <v>100000000</v>
      </c>
      <c r="C41" s="1">
        <f t="shared" si="12"/>
        <v>900000000</v>
      </c>
      <c r="D41" s="9">
        <f>SUM($C$33:C41)</f>
        <v>999999999</v>
      </c>
      <c r="E41" s="9">
        <f t="shared" si="13"/>
        <v>-2175559582.5502667</v>
      </c>
      <c r="F41" s="9">
        <f t="shared" si="14"/>
        <v>7.3997366055840821E-8</v>
      </c>
      <c r="G41" s="285">
        <f t="shared" si="16"/>
        <v>350233936180.32776</v>
      </c>
      <c r="O41" s="99">
        <v>9</v>
      </c>
      <c r="P41" s="93">
        <f t="shared" si="20"/>
        <v>242137801</v>
      </c>
      <c r="Q41" s="1">
        <f t="shared" si="17"/>
        <v>2179240245</v>
      </c>
      <c r="R41" s="9">
        <f>SUM($Q$33:Q41)</f>
        <v>2451645225</v>
      </c>
      <c r="S41" s="280">
        <f t="shared" si="21"/>
        <v>-5333700267.596055</v>
      </c>
      <c r="T41" s="9">
        <f t="shared" si="18"/>
        <v>3.018273819852685E-8</v>
      </c>
      <c r="U41" s="285">
        <f t="shared" si="19"/>
        <v>858649358128.10461</v>
      </c>
    </row>
    <row r="42" spans="1:21" ht="17" thickBot="1" x14ac:dyDescent="0.25">
      <c r="A42" s="145">
        <v>10</v>
      </c>
      <c r="B42" s="94">
        <f t="shared" si="15"/>
        <v>1000000000</v>
      </c>
      <c r="C42" s="111">
        <f t="shared" si="12"/>
        <v>9000000000</v>
      </c>
      <c r="D42" s="10">
        <f>SUM($C$33:C42)</f>
        <v>9999999999</v>
      </c>
      <c r="E42" s="9">
        <f t="shared" si="13"/>
        <v>-21755700334.658176</v>
      </c>
      <c r="F42" s="10">
        <f t="shared" si="14"/>
        <v>8.2571449343984387E-9</v>
      </c>
      <c r="G42" s="286">
        <f t="shared" si="16"/>
        <v>3908193373125.9536</v>
      </c>
      <c r="O42" s="100">
        <v>10</v>
      </c>
      <c r="P42" s="94">
        <f t="shared" si="20"/>
        <v>2179240246</v>
      </c>
      <c r="Q42" s="111">
        <f t="shared" si="17"/>
        <v>19613162250</v>
      </c>
      <c r="R42" s="10">
        <f>SUM($Q$33:Q42)</f>
        <v>22064807475</v>
      </c>
      <c r="S42" s="281">
        <f t="shared" si="21"/>
        <v>-48003533941.602921</v>
      </c>
      <c r="T42" s="10">
        <f t="shared" si="18"/>
        <v>3.7422238752494375E-9</v>
      </c>
      <c r="U42" s="286">
        <f t="shared" si="19"/>
        <v>8623353436171.834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9</v>
      </c>
      <c r="D45" s="57">
        <f>SUM(C45:C45)</f>
        <v>9</v>
      </c>
      <c r="E45" s="57">
        <f t="shared" ref="E45:E54" si="23">D45/R7</f>
        <v>-15.66346647474243</v>
      </c>
      <c r="F45" s="8">
        <f t="shared" ref="F45:F54" si="24">U7/E45</f>
        <v>0.93763423023420067</v>
      </c>
      <c r="G45" s="284">
        <f>E45*U7</f>
        <v>230.04310323705414</v>
      </c>
      <c r="O45" s="101">
        <v>1</v>
      </c>
      <c r="P45" s="109">
        <v>1</v>
      </c>
      <c r="Q45" s="110">
        <f>P45*9+36</f>
        <v>45</v>
      </c>
      <c r="R45" s="57">
        <f>SUM($Q$21)</f>
        <v>45</v>
      </c>
      <c r="S45" s="279">
        <f>R45/R7</f>
        <v>-78.317332373712148</v>
      </c>
      <c r="T45" s="8">
        <f>U7/S45</f>
        <v>0.18752684604684014</v>
      </c>
      <c r="U45" s="287">
        <f>S45*U7</f>
        <v>1150.2155161852706</v>
      </c>
    </row>
    <row r="46" spans="1:21" x14ac:dyDescent="0.2">
      <c r="A46" s="97">
        <v>2</v>
      </c>
      <c r="B46" s="93">
        <f t="shared" ref="B46:B54" si="25">B45*$O$2*2</f>
        <v>18</v>
      </c>
      <c r="C46" s="1">
        <f t="shared" si="22"/>
        <v>162</v>
      </c>
      <c r="D46" s="9">
        <f>SUM($C$45:C46)</f>
        <v>171</v>
      </c>
      <c r="E46" s="9">
        <f t="shared" si="23"/>
        <v>-349.68301467335726</v>
      </c>
      <c r="F46" s="9">
        <f t="shared" si="24"/>
        <v>9.0165186324978053E-2</v>
      </c>
      <c r="G46" s="285">
        <f t="shared" ref="G46:G54" si="26">E46*U8</f>
        <v>11025.237655853123</v>
      </c>
      <c r="O46" s="99">
        <v>2</v>
      </c>
      <c r="P46" s="93">
        <f>Q45*2</f>
        <v>90</v>
      </c>
      <c r="Q46" s="1">
        <f t="shared" ref="Q46:Q54" si="27">P46*9+36</f>
        <v>846</v>
      </c>
      <c r="R46" s="9">
        <f>SUM($Q$45:Q46)</f>
        <v>891</v>
      </c>
      <c r="S46" s="280">
        <f t="shared" ref="S46:S54" si="28">R46/R8</f>
        <v>-1822.0325501401246</v>
      </c>
      <c r="T46" s="9">
        <f t="shared" ref="T46:T54" si="29">U8/S46</f>
        <v>1.7304429698733165E-2</v>
      </c>
      <c r="U46" s="285">
        <f t="shared" ref="U46:U54" si="30">S46*U8</f>
        <v>57447.290943655746</v>
      </c>
    </row>
    <row r="47" spans="1:21" x14ac:dyDescent="0.2">
      <c r="A47" s="97">
        <v>3</v>
      </c>
      <c r="B47" s="93">
        <f t="shared" si="25"/>
        <v>324</v>
      </c>
      <c r="C47" s="1">
        <f t="shared" si="22"/>
        <v>2916</v>
      </c>
      <c r="D47" s="9">
        <f>SUM($C$45:C47)</f>
        <v>3087</v>
      </c>
      <c r="E47" s="9">
        <f t="shared" si="23"/>
        <v>-6603.6625093323701</v>
      </c>
      <c r="F47" s="9">
        <f t="shared" si="24"/>
        <v>7.4894233693949914E-3</v>
      </c>
      <c r="G47" s="285">
        <f t="shared" si="26"/>
        <v>326601.45952917589</v>
      </c>
      <c r="O47" s="99">
        <v>3</v>
      </c>
      <c r="P47" s="93">
        <f t="shared" ref="P47:P54" si="31">Q46*2</f>
        <v>1692</v>
      </c>
      <c r="Q47" s="1">
        <f t="shared" si="27"/>
        <v>15264</v>
      </c>
      <c r="R47" s="9">
        <f>SUM($Q$45:Q47)</f>
        <v>16155</v>
      </c>
      <c r="S47" s="280">
        <f t="shared" si="28"/>
        <v>-34558.52537682683</v>
      </c>
      <c r="T47" s="9">
        <f t="shared" si="29"/>
        <v>1.4311265825640569E-3</v>
      </c>
      <c r="U47" s="285">
        <f t="shared" si="30"/>
        <v>1709182.5651745498</v>
      </c>
    </row>
    <row r="48" spans="1:21" x14ac:dyDescent="0.2">
      <c r="A48" s="97">
        <v>4</v>
      </c>
      <c r="B48" s="93">
        <f t="shared" si="25"/>
        <v>5832</v>
      </c>
      <c r="C48" s="1">
        <f t="shared" si="22"/>
        <v>52488</v>
      </c>
      <c r="D48" s="9">
        <f>SUM($C$45:C48)</f>
        <v>55575</v>
      </c>
      <c r="E48" s="9">
        <f t="shared" si="23"/>
        <v>-120356.52415319064</v>
      </c>
      <c r="F48" s="9">
        <f t="shared" si="24"/>
        <v>5.6371634027093818E-4</v>
      </c>
      <c r="G48" s="285">
        <f t="shared" si="26"/>
        <v>8165821.7913929289</v>
      </c>
      <c r="O48" s="99">
        <v>4</v>
      </c>
      <c r="P48" s="93">
        <f t="shared" si="31"/>
        <v>30528</v>
      </c>
      <c r="Q48" s="1">
        <f t="shared" si="27"/>
        <v>274788</v>
      </c>
      <c r="R48" s="9">
        <f>SUM($Q$45:Q48)</f>
        <v>290943</v>
      </c>
      <c r="S48" s="280">
        <f t="shared" si="28"/>
        <v>-630083.45851015276</v>
      </c>
      <c r="T48" s="9">
        <f t="shared" si="29"/>
        <v>1.0767928979407442E-4</v>
      </c>
      <c r="U48" s="285">
        <f t="shared" si="30"/>
        <v>42749234.178195819</v>
      </c>
    </row>
    <row r="49" spans="1:21" x14ac:dyDescent="0.2">
      <c r="A49" s="97">
        <v>5</v>
      </c>
      <c r="B49" s="93">
        <f t="shared" si="25"/>
        <v>104976</v>
      </c>
      <c r="C49" s="1">
        <f t="shared" si="22"/>
        <v>944784</v>
      </c>
      <c r="D49" s="9">
        <f>SUM($C$45:C49)</f>
        <v>1000359</v>
      </c>
      <c r="E49" s="9">
        <f t="shared" si="23"/>
        <v>-2173669.2098328192</v>
      </c>
      <c r="F49" s="9">
        <f t="shared" si="24"/>
        <v>3.9753328791068106E-5</v>
      </c>
      <c r="G49" s="285">
        <f t="shared" si="26"/>
        <v>187828031.89054483</v>
      </c>
      <c r="O49" s="99">
        <v>5</v>
      </c>
      <c r="P49" s="93">
        <f t="shared" si="31"/>
        <v>549576</v>
      </c>
      <c r="Q49" s="1">
        <f t="shared" si="27"/>
        <v>4946220</v>
      </c>
      <c r="R49" s="9">
        <f>SUM($Q$45:Q49)</f>
        <v>5237163</v>
      </c>
      <c r="S49" s="280">
        <f t="shared" si="28"/>
        <v>-11379774.620886778</v>
      </c>
      <c r="T49" s="9">
        <f t="shared" si="29"/>
        <v>7.5933478175309989E-6</v>
      </c>
      <c r="U49" s="285">
        <f t="shared" si="30"/>
        <v>983333002.43210828</v>
      </c>
    </row>
    <row r="50" spans="1:21" x14ac:dyDescent="0.2">
      <c r="A50" s="97">
        <v>6</v>
      </c>
      <c r="B50" s="93">
        <f t="shared" si="25"/>
        <v>1889568</v>
      </c>
      <c r="C50" s="1">
        <f t="shared" si="22"/>
        <v>17006112</v>
      </c>
      <c r="D50" s="9">
        <f>SUM($C$45:C50)</f>
        <v>18006471</v>
      </c>
      <c r="E50" s="9">
        <f t="shared" si="23"/>
        <v>-39161339.198905811</v>
      </c>
      <c r="F50" s="9">
        <f t="shared" si="24"/>
        <v>2.6821177808832464E-6</v>
      </c>
      <c r="G50" s="285">
        <f t="shared" si="26"/>
        <v>4113323958.4162273</v>
      </c>
      <c r="O50" s="99">
        <v>6</v>
      </c>
      <c r="P50" s="93">
        <f t="shared" si="31"/>
        <v>9892440</v>
      </c>
      <c r="Q50" s="1">
        <f t="shared" si="27"/>
        <v>89031996</v>
      </c>
      <c r="R50" s="9">
        <f>SUM($Q$45:Q50)</f>
        <v>94269159</v>
      </c>
      <c r="S50" s="280">
        <f t="shared" si="28"/>
        <v>-205021101.11384869</v>
      </c>
      <c r="T50" s="9">
        <f t="shared" si="29"/>
        <v>5.1231470135485706E-7</v>
      </c>
      <c r="U50" s="285">
        <f t="shared" si="30"/>
        <v>21534457820.993835</v>
      </c>
    </row>
    <row r="51" spans="1:21" x14ac:dyDescent="0.2">
      <c r="A51" s="97">
        <v>7</v>
      </c>
      <c r="B51" s="93">
        <f t="shared" si="25"/>
        <v>34012224</v>
      </c>
      <c r="C51" s="1">
        <f t="shared" si="22"/>
        <v>306110016</v>
      </c>
      <c r="D51" s="9">
        <f>SUM($C$45:C51)</f>
        <v>324116487</v>
      </c>
      <c r="E51" s="9">
        <f t="shared" si="23"/>
        <v>-705075802.17899597</v>
      </c>
      <c r="F51" s="9">
        <f t="shared" si="24"/>
        <v>1.7541433333916004E-7</v>
      </c>
      <c r="G51" s="285">
        <f t="shared" si="26"/>
        <v>87204058507.880447</v>
      </c>
      <c r="O51" s="99">
        <v>7</v>
      </c>
      <c r="P51" s="93">
        <f t="shared" si="31"/>
        <v>178063992</v>
      </c>
      <c r="Q51" s="1">
        <f t="shared" si="27"/>
        <v>1602575964</v>
      </c>
      <c r="R51" s="9">
        <f>SUM($Q$45:Q51)</f>
        <v>1696845123</v>
      </c>
      <c r="S51" s="280">
        <f t="shared" si="28"/>
        <v>-3691279167.3962026</v>
      </c>
      <c r="T51" s="9">
        <f t="shared" si="29"/>
        <v>3.3506108908052377E-8</v>
      </c>
      <c r="U51" s="285">
        <f t="shared" si="30"/>
        <v>456538890552.96216</v>
      </c>
    </row>
    <row r="52" spans="1:21" x14ac:dyDescent="0.2">
      <c r="A52" s="97">
        <v>8</v>
      </c>
      <c r="B52" s="93">
        <f t="shared" si="25"/>
        <v>612220032</v>
      </c>
      <c r="C52" s="1">
        <f t="shared" si="22"/>
        <v>5509980288</v>
      </c>
      <c r="D52" s="9">
        <f>SUM($C$45:C52)</f>
        <v>5834096775</v>
      </c>
      <c r="E52" s="9">
        <f t="shared" si="23"/>
        <v>-12692199528.663031</v>
      </c>
      <c r="F52" s="9">
        <f t="shared" si="24"/>
        <v>1.1214133215289593E-8</v>
      </c>
      <c r="G52" s="285">
        <f t="shared" si="26"/>
        <v>1806506350316.625</v>
      </c>
      <c r="O52" s="99">
        <v>8</v>
      </c>
      <c r="P52" s="93">
        <f t="shared" si="31"/>
        <v>3205151928</v>
      </c>
      <c r="Q52" s="1">
        <f t="shared" si="27"/>
        <v>28846367388</v>
      </c>
      <c r="R52" s="9">
        <f>SUM($Q$45:Q52)</f>
        <v>30543212511</v>
      </c>
      <c r="S52" s="280">
        <f t="shared" si="28"/>
        <v>-66447397495.55645</v>
      </c>
      <c r="T52" s="9">
        <f t="shared" si="29"/>
        <v>2.1420254468052147E-9</v>
      </c>
      <c r="U52" s="285">
        <f t="shared" si="30"/>
        <v>9457592064058.9121</v>
      </c>
    </row>
    <row r="53" spans="1:21" x14ac:dyDescent="0.2">
      <c r="A53" s="97">
        <v>9</v>
      </c>
      <c r="B53" s="93">
        <f t="shared" si="25"/>
        <v>11019960576</v>
      </c>
      <c r="C53" s="1">
        <f t="shared" si="22"/>
        <v>99179645184</v>
      </c>
      <c r="D53" s="9">
        <f>SUM($C$45:C53)</f>
        <v>105013741959</v>
      </c>
      <c r="E53" s="9">
        <f t="shared" si="23"/>
        <v>-228463652846.82712</v>
      </c>
      <c r="F53" s="9">
        <f t="shared" si="24"/>
        <v>7.0464459794922733E-10</v>
      </c>
      <c r="G53" s="285">
        <f t="shared" si="26"/>
        <v>36779376236105.188</v>
      </c>
      <c r="O53" s="99">
        <v>9</v>
      </c>
      <c r="P53" s="93">
        <f t="shared" si="31"/>
        <v>57692734776</v>
      </c>
      <c r="Q53" s="1">
        <f t="shared" si="27"/>
        <v>519234613020</v>
      </c>
      <c r="R53" s="9">
        <f>SUM($Q$45:Q53)</f>
        <v>549777825531</v>
      </c>
      <c r="S53" s="280">
        <f t="shared" si="28"/>
        <v>-1196074417803.6902</v>
      </c>
      <c r="T53" s="9">
        <f t="shared" si="29"/>
        <v>1.3459503556800147E-10</v>
      </c>
      <c r="U53" s="285">
        <f t="shared" si="30"/>
        <v>192550852052934.47</v>
      </c>
    </row>
    <row r="54" spans="1:21" ht="17" thickBot="1" x14ac:dyDescent="0.25">
      <c r="A54" s="145">
        <v>10</v>
      </c>
      <c r="B54" s="94">
        <f t="shared" si="25"/>
        <v>198359290368</v>
      </c>
      <c r="C54" s="111">
        <f t="shared" si="22"/>
        <v>1785233613312</v>
      </c>
      <c r="D54" s="10">
        <f>SUM($C$45:C54)</f>
        <v>1890247355271</v>
      </c>
      <c r="E54" s="10">
        <f t="shared" si="23"/>
        <v>-4112365502376.8389</v>
      </c>
      <c r="F54" s="10">
        <f t="shared" si="24"/>
        <v>4.3682880499991066E-11</v>
      </c>
      <c r="G54" s="286">
        <f t="shared" si="26"/>
        <v>738745218817772.62</v>
      </c>
      <c r="O54" s="100">
        <v>10</v>
      </c>
      <c r="P54" s="94">
        <f t="shared" si="31"/>
        <v>1038469226040</v>
      </c>
      <c r="Q54" s="111">
        <f t="shared" si="27"/>
        <v>9346223034396</v>
      </c>
      <c r="R54" s="10">
        <f>SUM($Q$45:Q54)</f>
        <v>9896000859927</v>
      </c>
      <c r="S54" s="281">
        <f t="shared" si="28"/>
        <v>-21529442924162.086</v>
      </c>
      <c r="T54" s="10">
        <f t="shared" si="29"/>
        <v>8.3439209943981701E-12</v>
      </c>
      <c r="U54" s="286">
        <f t="shared" si="30"/>
        <v>3867548498508298.5</v>
      </c>
    </row>
  </sheetData>
  <mergeCells count="2">
    <mergeCell ref="A18:F18"/>
    <mergeCell ref="O18:T18"/>
  </mergeCells>
  <conditionalFormatting sqref="F45:F54">
    <cfRule type="cellIs" dxfId="210" priority="53" operator="equal">
      <formula>MAX($F$45:$F$54)</formula>
    </cfRule>
  </conditionalFormatting>
  <conditionalFormatting sqref="F21:F30">
    <cfRule type="cellIs" dxfId="209" priority="51" operator="equal">
      <formula>MAX($F$21:$F$30)</formula>
    </cfRule>
  </conditionalFormatting>
  <conditionalFormatting sqref="E33:E42">
    <cfRule type="cellIs" dxfId="208" priority="49" stopIfTrue="1" operator="lessThan">
      <formula>0</formula>
    </cfRule>
    <cfRule type="cellIs" dxfId="207" priority="50" operator="equal">
      <formula>MIN($E$33:$E$42)</formula>
    </cfRule>
  </conditionalFormatting>
  <conditionalFormatting sqref="E21:E30">
    <cfRule type="cellIs" dxfId="206" priority="45" stopIfTrue="1" operator="lessThan">
      <formula>0</formula>
    </cfRule>
    <cfRule type="cellIs" dxfId="205" priority="46" operator="equal">
      <formula>MIN($E$21:$E$30)</formula>
    </cfRule>
  </conditionalFormatting>
  <conditionalFormatting sqref="E45:E54">
    <cfRule type="cellIs" dxfId="204" priority="41" stopIfTrue="1" operator="lessThan">
      <formula>0</formula>
    </cfRule>
    <cfRule type="cellIs" dxfId="203" priority="42" operator="equal">
      <formula>MIN($E$45:$E$54)</formula>
    </cfRule>
  </conditionalFormatting>
  <conditionalFormatting sqref="F33:F42">
    <cfRule type="cellIs" dxfId="202" priority="31" operator="lessThanOrEqual">
      <formula>0</formula>
    </cfRule>
    <cfRule type="cellIs" dxfId="201" priority="32" operator="equal">
      <formula>MAX($F$33:$F$42)</formula>
    </cfRule>
  </conditionalFormatting>
  <conditionalFormatting sqref="S7:T16">
    <cfRule type="cellIs" dxfId="200" priority="13" operator="lessThanOrEqual">
      <formula>0</formula>
    </cfRule>
    <cfRule type="cellIs" dxfId="199" priority="14" operator="greaterThan">
      <formula>0</formula>
    </cfRule>
  </conditionalFormatting>
  <conditionalFormatting sqref="U7:U16">
    <cfRule type="cellIs" dxfId="198" priority="15" operator="lessThanOrEqual">
      <formula>0</formula>
    </cfRule>
    <cfRule type="cellIs" dxfId="197" priority="16" operator="greaterThan">
      <formula>0</formula>
    </cfRule>
  </conditionalFormatting>
  <conditionalFormatting sqref="R7:R16">
    <cfRule type="cellIs" dxfId="196" priority="17" operator="lessThanOrEqual">
      <formula>0</formula>
    </cfRule>
    <cfRule type="cellIs" dxfId="195" priority="18" operator="greaterThan">
      <formula>0</formula>
    </cfRule>
  </conditionalFormatting>
  <conditionalFormatting sqref="T21:T30">
    <cfRule type="cellIs" dxfId="194" priority="9" operator="equal">
      <formula>MAX($T$21:$T$30)</formula>
    </cfRule>
  </conditionalFormatting>
  <conditionalFormatting sqref="S33:S42">
    <cfRule type="cellIs" dxfId="193" priority="7" stopIfTrue="1" operator="lessThan">
      <formula>0</formula>
    </cfRule>
    <cfRule type="cellIs" dxfId="192" priority="8" operator="equal">
      <formula>MIN($E$21:$E$30)</formula>
    </cfRule>
  </conditionalFormatting>
  <conditionalFormatting sqref="T33:T42">
    <cfRule type="cellIs" dxfId="191" priority="6" operator="equal">
      <formula>MAX($T$21:$T$30)</formula>
    </cfRule>
  </conditionalFormatting>
  <conditionalFormatting sqref="S45:S54">
    <cfRule type="cellIs" dxfId="190" priority="4" stopIfTrue="1" operator="lessThan">
      <formula>0</formula>
    </cfRule>
    <cfRule type="cellIs" dxfId="189" priority="5" operator="equal">
      <formula>MIN($E$21:$E$30)</formula>
    </cfRule>
  </conditionalFormatting>
  <conditionalFormatting sqref="T45:T54">
    <cfRule type="cellIs" dxfId="188" priority="3" operator="equal">
      <formula>MAX($T$21:$T$30)</formula>
    </cfRule>
  </conditionalFormatting>
  <conditionalFormatting sqref="S21:S30">
    <cfRule type="cellIs" dxfId="187" priority="1" stopIfTrue="1" operator="lessThan">
      <formula>0</formula>
    </cfRule>
    <cfRule type="cellIs" dxfId="186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>
    <pageSetUpPr fitToPage="1"/>
  </sheetPr>
  <dimension ref="A1:W54"/>
  <sheetViews>
    <sheetView topLeftCell="A12" workbookViewId="0">
      <selection activeCell="S21" sqref="S21:S30"/>
    </sheetView>
  </sheetViews>
  <sheetFormatPr baseColWidth="10" defaultColWidth="8.6640625" defaultRowHeight="16" x14ac:dyDescent="0.2"/>
  <cols>
    <col min="5" max="5" width="9.1640625" customWidth="1"/>
    <col min="14" max="14" width="5.6640625" bestFit="1" customWidth="1"/>
  </cols>
  <sheetData>
    <row r="1" spans="1:23" x14ac:dyDescent="0.2">
      <c r="C1" t="s">
        <v>95</v>
      </c>
      <c r="D1">
        <f>C2+E2</f>
        <v>1.0000000000000016</v>
      </c>
    </row>
    <row r="2" spans="1:23" x14ac:dyDescent="0.2">
      <c r="A2" t="s">
        <v>40</v>
      </c>
      <c r="B2" s="149" t="s">
        <v>125</v>
      </c>
      <c r="C2" s="155">
        <f>Analysis!B48</f>
        <v>0.21337567895721779</v>
      </c>
      <c r="D2" s="149" t="s">
        <v>126</v>
      </c>
      <c r="E2" s="155">
        <f>Analysis!O48</f>
        <v>0.78662432104278379</v>
      </c>
      <c r="F2" s="149" t="s">
        <v>47</v>
      </c>
      <c r="G2" s="155">
        <f>Analysis!S48</f>
        <v>-10.771091844899502</v>
      </c>
      <c r="H2" t="s">
        <v>155</v>
      </c>
      <c r="I2" s="169">
        <f>Analysis!T48</f>
        <v>-17.99720801845568</v>
      </c>
      <c r="J2" t="s">
        <v>48</v>
      </c>
      <c r="K2" s="169">
        <f>C2*G2+E2*I2</f>
        <v>-16.455330573699428</v>
      </c>
      <c r="L2" t="s">
        <v>47</v>
      </c>
      <c r="M2" s="176">
        <v>3</v>
      </c>
      <c r="N2" t="s">
        <v>155</v>
      </c>
      <c r="O2" s="176">
        <v>10</v>
      </c>
    </row>
    <row r="4" spans="1:23" x14ac:dyDescent="0.2">
      <c r="A4" t="s">
        <v>123</v>
      </c>
      <c r="B4">
        <f>$C$2</f>
        <v>0.21337567895721779</v>
      </c>
      <c r="C4" t="s">
        <v>124</v>
      </c>
      <c r="D4">
        <f>$E$2</f>
        <v>0.78662432104278379</v>
      </c>
      <c r="E4" t="s">
        <v>47</v>
      </c>
      <c r="F4">
        <f>G2</f>
        <v>-10.771091844899502</v>
      </c>
      <c r="G4" t="s">
        <v>155</v>
      </c>
      <c r="H4">
        <f>I2</f>
        <v>-17.99720801845568</v>
      </c>
      <c r="I4" t="s">
        <v>48</v>
      </c>
      <c r="J4">
        <f>K2</f>
        <v>-16.455330573699428</v>
      </c>
    </row>
    <row r="5" spans="1:23" ht="17" thickBot="1" x14ac:dyDescent="0.25"/>
    <row r="6" spans="1:23" ht="17" thickBot="1" x14ac:dyDescent="0.25">
      <c r="A6" s="103"/>
      <c r="B6" s="103">
        <v>1</v>
      </c>
      <c r="C6" s="154">
        <v>0</v>
      </c>
      <c r="D6" s="29">
        <v>-1</v>
      </c>
      <c r="E6" s="19">
        <v>-2</v>
      </c>
      <c r="F6" s="19">
        <v>-3</v>
      </c>
      <c r="G6" s="19">
        <v>-4</v>
      </c>
      <c r="H6" s="19">
        <v>-5</v>
      </c>
      <c r="I6" s="19">
        <v>-6</v>
      </c>
      <c r="J6" s="19">
        <v>-7</v>
      </c>
      <c r="K6" s="19">
        <v>-8</v>
      </c>
      <c r="L6" s="19">
        <v>-9</v>
      </c>
      <c r="M6" s="258">
        <v>-10</v>
      </c>
      <c r="N6" s="104" t="s">
        <v>135</v>
      </c>
      <c r="R6" s="186" t="s">
        <v>49</v>
      </c>
      <c r="S6" s="164" t="s">
        <v>130</v>
      </c>
      <c r="T6" s="165" t="s">
        <v>136</v>
      </c>
      <c r="U6" s="266" t="s">
        <v>48</v>
      </c>
      <c r="V6" s="175" t="s">
        <v>47</v>
      </c>
      <c r="W6" s="168" t="s">
        <v>155</v>
      </c>
    </row>
    <row r="7" spans="1:23" x14ac:dyDescent="0.2">
      <c r="A7" s="101">
        <v>1</v>
      </c>
      <c r="B7" s="95">
        <f>C7*B4</f>
        <v>0.21337567895721779</v>
      </c>
      <c r="C7" s="95">
        <v>1</v>
      </c>
      <c r="D7" s="22">
        <f>C7*D4</f>
        <v>0.78662432104278379</v>
      </c>
      <c r="E7" s="2"/>
      <c r="F7" s="2"/>
      <c r="G7" s="2"/>
      <c r="H7" s="2"/>
      <c r="I7" s="2"/>
      <c r="J7" s="2"/>
      <c r="K7" s="2"/>
      <c r="L7" s="2"/>
      <c r="M7" s="259"/>
      <c r="N7" s="96">
        <f>B7+D7</f>
        <v>1.0000000000000016</v>
      </c>
      <c r="R7" s="187">
        <f>B7-D7</f>
        <v>-0.57324864208556603</v>
      </c>
      <c r="S7" s="109">
        <f>SUM(C7)*$B$4*$F$4</f>
        <v>-2.2982890355159826</v>
      </c>
      <c r="T7" s="261">
        <f>SUM(C7)*$D$4*$H$4</f>
        <v>-14.157041538183444</v>
      </c>
      <c r="U7" s="263">
        <f>S7+T7</f>
        <v>-16.455330573699428</v>
      </c>
      <c r="V7" s="109">
        <f>(U7+W7*D7)/B7</f>
        <v>-73.432484570081897</v>
      </c>
      <c r="W7" s="57">
        <f>COUNT(D7:M7)</f>
        <v>1</v>
      </c>
    </row>
    <row r="8" spans="1:23" x14ac:dyDescent="0.2">
      <c r="A8" s="99">
        <v>2</v>
      </c>
      <c r="B8" s="97">
        <f>C8*B4</f>
        <v>0.25641384503561498</v>
      </c>
      <c r="C8" s="97">
        <f>1/(1-B4*D4)</f>
        <v>1.2017013667571101</v>
      </c>
      <c r="D8" s="144">
        <f>C8*D4</f>
        <v>0.9452875217214971</v>
      </c>
      <c r="E8" s="1">
        <f>D8*D4</f>
        <v>0.7435861549643884</v>
      </c>
      <c r="F8" s="1"/>
      <c r="G8" s="1"/>
      <c r="H8" s="1"/>
      <c r="I8" s="1"/>
      <c r="J8" s="1"/>
      <c r="K8" s="1"/>
      <c r="L8" s="1"/>
      <c r="M8" s="260"/>
      <c r="N8" s="97">
        <f>B8+E8</f>
        <v>1.0000000000000033</v>
      </c>
      <c r="R8" s="188">
        <f>B8-E8</f>
        <v>-0.48717230992877342</v>
      </c>
      <c r="S8" s="93">
        <f>SUM(C8:D8)*$B$4*$F$4</f>
        <v>-4.9344010217650309</v>
      </c>
      <c r="T8" s="260">
        <f>SUM(C8:D8)*$D$4*$H$4</f>
        <v>-30.395010876209948</v>
      </c>
      <c r="U8" s="264">
        <f>S8+T8</f>
        <v>-35.329411897974978</v>
      </c>
      <c r="V8" s="93">
        <f>(U8+W8*E8)/B8</f>
        <v>-131.98288720855007</v>
      </c>
      <c r="W8" s="9">
        <f>COUNT(D8:M8)</f>
        <v>2</v>
      </c>
    </row>
    <row r="9" spans="1:23" x14ac:dyDescent="0.2">
      <c r="A9" s="99">
        <v>3</v>
      </c>
      <c r="B9" s="97">
        <f>C9*B4</f>
        <v>0.26728804243398507</v>
      </c>
      <c r="C9" s="97">
        <f>1/(1-D4*B4/(1-D4*B4))</f>
        <v>1.2526640512182121</v>
      </c>
      <c r="D9" s="144">
        <f>C9*D4*C8</f>
        <v>1.1841276965256742</v>
      </c>
      <c r="E9" s="1">
        <f>D9*(D4)</f>
        <v>0.93146364530746395</v>
      </c>
      <c r="F9" s="1">
        <f>E9*D4</f>
        <v>0.73271195756602026</v>
      </c>
      <c r="G9" s="1"/>
      <c r="H9" s="1"/>
      <c r="I9" s="1"/>
      <c r="J9" s="1"/>
      <c r="K9" s="1"/>
      <c r="L9" s="1"/>
      <c r="M9" s="260"/>
      <c r="N9" s="97">
        <f>B9+F9</f>
        <v>1.0000000000000053</v>
      </c>
      <c r="R9" s="188">
        <f>B9-F9</f>
        <v>-0.46542391513203518</v>
      </c>
      <c r="S9" s="93">
        <f>SUM(C9:E9)*$B$4*$F$4</f>
        <v>-7.7412244386674951</v>
      </c>
      <c r="T9" s="260">
        <f>SUM(C9:E9)*$D$4*$H$4</f>
        <v>-47.684531510638365</v>
      </c>
      <c r="U9" s="264">
        <f t="shared" ref="U9:U16" si="0">S9+T9</f>
        <v>-55.425755949305859</v>
      </c>
      <c r="V9" s="93">
        <f>(U9+W9*F9)/B9</f>
        <v>-199.13954845082148</v>
      </c>
      <c r="W9" s="9">
        <f t="shared" ref="W9:W16" si="1">COUNT(D9:M9)</f>
        <v>3</v>
      </c>
    </row>
    <row r="10" spans="1:23" x14ac:dyDescent="0.2">
      <c r="A10" s="99">
        <v>4</v>
      </c>
      <c r="B10" s="97">
        <f>C10*B4</f>
        <v>0.27018310116711669</v>
      </c>
      <c r="C10" s="97">
        <f>1/(1-D4*B4/(1-D4*B4/(1-D4*B4)))</f>
        <v>1.266231945868999</v>
      </c>
      <c r="D10" s="144">
        <f>C10*D4*C9</f>
        <v>1.2477145810154822</v>
      </c>
      <c r="E10" s="1">
        <f>D10*D4*C8</f>
        <v>1.1794490241039013</v>
      </c>
      <c r="F10" s="1">
        <f>E10*D4</f>
        <v>0.92778328779030528</v>
      </c>
      <c r="G10" s="1">
        <f>F10*D4</f>
        <v>0.72981689883289058</v>
      </c>
      <c r="H10" s="1"/>
      <c r="I10" s="1"/>
      <c r="J10" s="1"/>
      <c r="K10" s="1"/>
      <c r="L10" s="1"/>
      <c r="M10" s="260"/>
      <c r="N10" s="97">
        <f>B10+G10</f>
        <v>1.0000000000000073</v>
      </c>
      <c r="R10" s="188">
        <f>B10-G10</f>
        <v>-0.45963379766577389</v>
      </c>
      <c r="S10" s="93">
        <f>SUM(C10:F10)*$B$4*$F$4</f>
        <v>-10.620804656323539</v>
      </c>
      <c r="T10" s="260">
        <f>SUM(C10:F10)*$D$4*$H$4</f>
        <v>-65.42222077596422</v>
      </c>
      <c r="U10" s="264">
        <f t="shared" si="0"/>
        <v>-76.043025432287763</v>
      </c>
      <c r="V10" s="93">
        <f>(U10+W10*G10)/B10</f>
        <v>-270.64519402243025</v>
      </c>
      <c r="W10" s="9">
        <f t="shared" si="1"/>
        <v>4</v>
      </c>
    </row>
    <row r="11" spans="1:23" x14ac:dyDescent="0.2">
      <c r="A11" s="99">
        <v>5</v>
      </c>
      <c r="B11" s="97">
        <f>C11*B4</f>
        <v>0.27096445967698984</v>
      </c>
      <c r="C11" s="97">
        <f>1/(1-D4*B4/(1-D4*B4/(1-D4*B4/(1-D4*B4))))</f>
        <v>1.269893837016536</v>
      </c>
      <c r="D11" s="144">
        <f>C11*D4*C10</f>
        <v>1.2648762892543637</v>
      </c>
      <c r="E11" s="1">
        <f>D11*D4*C9</f>
        <v>1.246378749511271</v>
      </c>
      <c r="F11" s="1">
        <f>E11*D4*C8</f>
        <v>1.178186279251848</v>
      </c>
      <c r="G11" s="1">
        <f>F11*D4</f>
        <v>0.92678998197840867</v>
      </c>
      <c r="H11" s="1">
        <f>G11*D4</f>
        <v>0.72903554032301954</v>
      </c>
      <c r="I11" s="1"/>
      <c r="J11" s="1"/>
      <c r="K11" s="1"/>
      <c r="L11" s="1"/>
      <c r="M11" s="260"/>
      <c r="N11" s="97">
        <f>B11+H11</f>
        <v>1.0000000000000093</v>
      </c>
      <c r="R11" s="188">
        <f>B11-H11</f>
        <v>-0.45807108064602969</v>
      </c>
      <c r="S11" s="93">
        <f>SUM(C11:G11)*$B$4*$F$4</f>
        <v>-13.528016864070674</v>
      </c>
      <c r="T11" s="260">
        <f>SUM(C11:G11)*$D$4*$H$4</f>
        <v>-83.33011806363065</v>
      </c>
      <c r="U11" s="264">
        <f t="shared" si="0"/>
        <v>-96.858134927701329</v>
      </c>
      <c r="V11" s="93">
        <f>(U11+W11*H11)/B11</f>
        <v>-344.00436624494273</v>
      </c>
      <c r="W11" s="9">
        <f t="shared" si="1"/>
        <v>5</v>
      </c>
    </row>
    <row r="12" spans="1:23" x14ac:dyDescent="0.2">
      <c r="A12" s="99">
        <v>6</v>
      </c>
      <c r="B12" s="97">
        <f>C12*B4</f>
        <v>0.271176118595224</v>
      </c>
      <c r="C12" s="97">
        <f>1/(1-D4*B4/(1-D4*B4/(1-D4*B4/(1-D4*B4/(1-D4*B4)))))</f>
        <v>1.2708857912976825</v>
      </c>
      <c r="D12" s="144">
        <f>C12*D4*C11</f>
        <v>1.269525152170673</v>
      </c>
      <c r="E12" s="1">
        <f>D12*D4*C10</f>
        <v>1.2645090611395826</v>
      </c>
      <c r="F12" s="1">
        <f>E12*D4*C9</f>
        <v>1.2460168917372145</v>
      </c>
      <c r="G12" s="1">
        <f>F12*D4*C8</f>
        <v>1.1778442196133945</v>
      </c>
      <c r="H12" s="1">
        <f>G12*D4</f>
        <v>0.92652090954755395</v>
      </c>
      <c r="I12" s="1">
        <f>H12*D4</f>
        <v>0.72882388140478715</v>
      </c>
      <c r="J12" s="1"/>
      <c r="K12" s="1"/>
      <c r="L12" s="1"/>
      <c r="M12" s="260"/>
      <c r="N12" s="97">
        <f>B12+I12</f>
        <v>1.0000000000000111</v>
      </c>
      <c r="R12" s="188">
        <f>B12-I12</f>
        <v>-0.45764776280956315</v>
      </c>
      <c r="S12" s="93">
        <f>SUM(C12:H12)*$B$4*$F$4</f>
        <v>-16.444952191025973</v>
      </c>
      <c r="T12" s="260">
        <f>SUM(C12:H12)*$D$4*$H$4</f>
        <v>-101.297907993338</v>
      </c>
      <c r="U12" s="264">
        <f t="shared" si="0"/>
        <v>-117.74286018436398</v>
      </c>
      <c r="V12" s="93">
        <f>(U12+W12*I12)/B12</f>
        <v>-418.0674813225678</v>
      </c>
      <c r="W12" s="9">
        <f t="shared" si="1"/>
        <v>6</v>
      </c>
    </row>
    <row r="13" spans="1:23" x14ac:dyDescent="0.2">
      <c r="A13" s="99">
        <v>7</v>
      </c>
      <c r="B13" s="97">
        <f>C13*B4</f>
        <v>0.27123351091933667</v>
      </c>
      <c r="C13" s="97">
        <f>1/(1-D4*B4/(1-D4*B4/(1-D4*B4/(1-D4*B4/(1-D4*B4/(1-D4*B4))))))</f>
        <v>1.2711547644271093</v>
      </c>
      <c r="D13" s="144">
        <f>C13*D4*C12</f>
        <v>1.2707857134995988</v>
      </c>
      <c r="E13" s="1">
        <f>D13*D4*C11</f>
        <v>1.2694251815181476</v>
      </c>
      <c r="F13" s="1">
        <f>E13*D4*C10</f>
        <v>1.2644094854866308</v>
      </c>
      <c r="G13" s="1">
        <f>F13*D4*C9</f>
        <v>1.2459187722777367</v>
      </c>
      <c r="H13" s="1">
        <f>G13*D4*C8</f>
        <v>1.177751468512712</v>
      </c>
      <c r="I13" s="1">
        <f>H13*D4</f>
        <v>0.92644794927595364</v>
      </c>
      <c r="J13" s="1">
        <f>I13*D4</f>
        <v>0.72876648908067643</v>
      </c>
      <c r="K13" s="1"/>
      <c r="L13" s="1"/>
      <c r="M13" s="260"/>
      <c r="N13" s="97">
        <f>B13+J13</f>
        <v>1.0000000000000131</v>
      </c>
      <c r="R13" s="188">
        <f>B13-J13</f>
        <v>-0.45753297816133975</v>
      </c>
      <c r="S13" s="93">
        <f>SUM(C13:I13)*$B$4*$F$4</f>
        <v>-19.365138266252846</v>
      </c>
      <c r="T13" s="260">
        <f>SUM(C13:I13)*$D$4*$H$4</f>
        <v>-119.28572193986814</v>
      </c>
      <c r="U13" s="264">
        <f t="shared" si="0"/>
        <v>-138.650860206121</v>
      </c>
      <c r="V13" s="93">
        <f>(U13+W13*J13)/B13</f>
        <v>-492.37829916331071</v>
      </c>
      <c r="W13" s="9">
        <f t="shared" si="1"/>
        <v>7</v>
      </c>
    </row>
    <row r="14" spans="1:23" x14ac:dyDescent="0.2">
      <c r="A14" s="99">
        <v>8</v>
      </c>
      <c r="B14" s="97">
        <f>C14*B4</f>
        <v>0.27124907730840175</v>
      </c>
      <c r="C14" s="97">
        <f>1/(1-D4*B4/(1-D4*B4/(1-D4*B4/(1-D4*B4/(1-D4*B4/(1-D4*B4/(1-D4*B4)))))))</f>
        <v>1.2712277173950444</v>
      </c>
      <c r="D14" s="144">
        <f>C14*D4*C13</f>
        <v>1.2711276126714799</v>
      </c>
      <c r="E14" s="1">
        <f>D14*D4*C12</f>
        <v>1.2707585696268653</v>
      </c>
      <c r="F14" s="1">
        <f>E14*D4*C11</f>
        <v>1.2693980667062594</v>
      </c>
      <c r="G14" s="1">
        <f>F14*D4*C10</f>
        <v>1.2643824778095751</v>
      </c>
      <c r="H14" s="1">
        <f>G14*D4*C9</f>
        <v>1.2458921595607133</v>
      </c>
      <c r="I14" s="1">
        <f>H14*D4*C8</f>
        <v>1.1777263118433907</v>
      </c>
      <c r="J14" s="1">
        <f>I14*D4</f>
        <v>0.92642816042802911</v>
      </c>
      <c r="K14" s="1">
        <f>J14*D4</f>
        <v>0.72875092269161357</v>
      </c>
      <c r="L14" s="1"/>
      <c r="M14" s="260"/>
      <c r="N14" s="97">
        <f>B14+K14</f>
        <v>1.0000000000000153</v>
      </c>
      <c r="R14" s="188">
        <f>B14-K14</f>
        <v>-0.45750184538321181</v>
      </c>
      <c r="S14" s="93">
        <f>SUM(C14:J14)*$B$4*$F$4</f>
        <v>-22.28637335311041</v>
      </c>
      <c r="T14" s="260">
        <f>SUM(C14:J14)*$D$4*$H$4</f>
        <v>-137.27999760683474</v>
      </c>
      <c r="U14" s="264">
        <f t="shared" si="0"/>
        <v>-159.56637095994515</v>
      </c>
      <c r="V14" s="93">
        <f>(U14+W14*K14)/B14</f>
        <v>-566.7719319229933</v>
      </c>
      <c r="W14" s="9">
        <f t="shared" si="1"/>
        <v>8</v>
      </c>
    </row>
    <row r="15" spans="1:23" x14ac:dyDescent="0.2">
      <c r="A15" s="99">
        <v>9</v>
      </c>
      <c r="B15" s="97">
        <f>C15*B4</f>
        <v>0.27125329965260853</v>
      </c>
      <c r="C15" s="97">
        <f>1/(1-D4*B4/(1-D4*B4/(1-D4*B4/(1-D4*B4/(1-D4*B4/(1-D4*B4/(1-D4*B4/(1-D4*B4))))))))</f>
        <v>1.2712475057056305</v>
      </c>
      <c r="D15" s="144">
        <f>C15*D4*C14</f>
        <v>1.2712203519690555</v>
      </c>
      <c r="E15" s="1">
        <f>D15*D4*C13</f>
        <v>1.2711202478254924</v>
      </c>
      <c r="F15" s="1">
        <f>E15*D4*C12</f>
        <v>1.2707512069190936</v>
      </c>
      <c r="G15" s="1">
        <f>F15*D4*C11</f>
        <v>1.2693907118811696</v>
      </c>
      <c r="H15" s="1">
        <f>G15*D4*C10</f>
        <v>1.2643751520445414</v>
      </c>
      <c r="I15" s="1">
        <f>H15*D4*C9</f>
        <v>1.2458849409276029</v>
      </c>
      <c r="J15" s="1">
        <f>I15*D4*C8</f>
        <v>1.1777194881595876</v>
      </c>
      <c r="K15" s="1">
        <f>J15*D4</f>
        <v>0.92642279275239048</v>
      </c>
      <c r="L15" s="1">
        <f>K15*D4</f>
        <v>0.72874670034740874</v>
      </c>
      <c r="M15" s="260"/>
      <c r="N15" s="97">
        <f>B15+L15</f>
        <v>1.0000000000000173</v>
      </c>
      <c r="R15" s="188">
        <f>B15-L15</f>
        <v>-0.45749340069480021</v>
      </c>
      <c r="S15" s="93">
        <f>SUM(C15:K15)*$B$4*$F$4</f>
        <v>-25.20793843083521</v>
      </c>
      <c r="T15" s="260">
        <f>SUM(C15:K15)*$D$4*$H$4</f>
        <v>-155.27630595739447</v>
      </c>
      <c r="U15" s="264">
        <f t="shared" si="0"/>
        <v>-180.48424438822968</v>
      </c>
      <c r="V15" s="93">
        <f>(U15+W15*L15)/B15</f>
        <v>-641.19228893380375</v>
      </c>
      <c r="W15" s="9">
        <f t="shared" si="1"/>
        <v>9</v>
      </c>
    </row>
    <row r="16" spans="1:23" ht="17" thickBot="1" x14ac:dyDescent="0.25">
      <c r="A16" s="100">
        <v>10</v>
      </c>
      <c r="B16" s="145">
        <f>C16*B4</f>
        <v>0.27125444497560686</v>
      </c>
      <c r="C16" s="145">
        <f>1/(1-D4*B4/(1-D4*B4/(1-D4*B4/(1-D4*B4/(1-D4*B4/(1-D4*B4/(1-D4*B4/(1-D4*B4/(1-D4*B4)))))))))</f>
        <v>1.2712528733417356</v>
      </c>
      <c r="D16" s="153">
        <f>C16*D4*C15</f>
        <v>1.2712455077699945</v>
      </c>
      <c r="E16" s="111">
        <f>D16*D4*C14</f>
        <v>1.2712183540760951</v>
      </c>
      <c r="F16" s="111">
        <f>E16*D4*C13</f>
        <v>1.271118250089859</v>
      </c>
      <c r="G16" s="111">
        <f>F16*D4*C12</f>
        <v>1.2707492097634572</v>
      </c>
      <c r="H16" s="111">
        <f>G16*D4*C11</f>
        <v>1.2693887168637332</v>
      </c>
      <c r="I16" s="111">
        <f>H16*D4*C10</f>
        <v>1.2643731649097287</v>
      </c>
      <c r="J16" s="111">
        <f>I16*D4*C9</f>
        <v>1.2458829828526323</v>
      </c>
      <c r="K16" s="111">
        <f>J16*D4*C8</f>
        <v>1.1777176372157512</v>
      </c>
      <c r="L16" s="111">
        <f>K16*D4</f>
        <v>0.92642133675495186</v>
      </c>
      <c r="M16" s="262">
        <f>L16*D4</f>
        <v>0.72874555502441218</v>
      </c>
      <c r="N16" s="145">
        <f>B16+M16</f>
        <v>1.0000000000000191</v>
      </c>
      <c r="R16" s="189">
        <f>B16-M16</f>
        <v>-0.45749111004880533</v>
      </c>
      <c r="S16" s="94">
        <f>SUM(C16:L16)*$B$4*$F$4</f>
        <v>-28.12960535335489</v>
      </c>
      <c r="T16" s="262">
        <f>SUM(C16:L16)*$D$4*$H$4</f>
        <v>-173.27324165332692</v>
      </c>
      <c r="U16" s="265">
        <f t="shared" si="0"/>
        <v>-201.40284700668181</v>
      </c>
      <c r="V16" s="94">
        <f>(U16+W16*M16)/B16</f>
        <v>-715.62105267581489</v>
      </c>
      <c r="W16" s="10">
        <f t="shared" si="1"/>
        <v>10</v>
      </c>
    </row>
    <row r="18" spans="1:21" x14ac:dyDescent="0.2">
      <c r="A18" s="354" t="s">
        <v>191</v>
      </c>
      <c r="B18" s="354"/>
      <c r="C18" s="354"/>
      <c r="D18" s="354"/>
      <c r="E18" s="354"/>
      <c r="F18" s="354"/>
      <c r="O18" s="354" t="s">
        <v>192</v>
      </c>
      <c r="P18" s="354"/>
      <c r="Q18" s="354"/>
      <c r="R18" s="354"/>
      <c r="S18" s="354"/>
      <c r="T18" s="354"/>
    </row>
    <row r="19" spans="1:21" ht="17" thickBot="1" x14ac:dyDescent="0.25"/>
    <row r="20" spans="1:21" ht="17" thickBot="1" x14ac:dyDescent="0.25">
      <c r="A20" s="29" t="s">
        <v>134</v>
      </c>
      <c r="B20" s="19" t="s">
        <v>139</v>
      </c>
      <c r="C20" s="19" t="s">
        <v>138</v>
      </c>
      <c r="D20" s="19" t="s">
        <v>137</v>
      </c>
      <c r="E20" s="167" t="s">
        <v>150</v>
      </c>
      <c r="F20" s="168" t="s">
        <v>151</v>
      </c>
      <c r="G20" s="166" t="s">
        <v>47</v>
      </c>
      <c r="O20" s="29" t="s">
        <v>134</v>
      </c>
      <c r="P20" s="118" t="s">
        <v>139</v>
      </c>
      <c r="Q20" s="118" t="s">
        <v>138</v>
      </c>
      <c r="R20" s="118" t="s">
        <v>137</v>
      </c>
      <c r="S20" s="166" t="s">
        <v>150</v>
      </c>
      <c r="T20" s="168" t="s">
        <v>151</v>
      </c>
      <c r="U20" s="291" t="s">
        <v>47</v>
      </c>
    </row>
    <row r="21" spans="1:21" x14ac:dyDescent="0.2">
      <c r="A21" s="95">
        <v>1</v>
      </c>
      <c r="B21" s="109">
        <v>1</v>
      </c>
      <c r="C21" s="110">
        <f t="shared" ref="C21:C30" si="2">B21*$O$2</f>
        <v>10</v>
      </c>
      <c r="D21" s="57">
        <f>SUM($C$21:C21)</f>
        <v>10</v>
      </c>
      <c r="E21" s="57">
        <f t="shared" ref="E21:E30" si="3">D21/R7</f>
        <v>-17.444437310166972</v>
      </c>
      <c r="F21" s="8">
        <f t="shared" ref="F21:F30" si="4">U7/E21</f>
        <v>0.94329959064422941</v>
      </c>
      <c r="G21" s="284">
        <f>E21*U7</f>
        <v>287.05398261097355</v>
      </c>
      <c r="O21" s="101">
        <v>1</v>
      </c>
      <c r="P21" s="109">
        <v>1</v>
      </c>
      <c r="Q21" s="110">
        <f>P21*10+45</f>
        <v>55</v>
      </c>
      <c r="R21" s="57">
        <f>SUM($Q$21)</f>
        <v>55</v>
      </c>
      <c r="S21" s="279">
        <f>R21/R7</f>
        <v>-95.944405205918343</v>
      </c>
      <c r="T21" s="8">
        <f>U7/S21</f>
        <v>0.17150901648076899</v>
      </c>
      <c r="U21" s="284">
        <f>S21*U7</f>
        <v>1578.7969043603546</v>
      </c>
    </row>
    <row r="22" spans="1:21" x14ac:dyDescent="0.2">
      <c r="A22" s="97">
        <v>2</v>
      </c>
      <c r="B22" s="93">
        <f>C21</f>
        <v>10</v>
      </c>
      <c r="C22" s="1">
        <f t="shared" si="2"/>
        <v>100</v>
      </c>
      <c r="D22" s="9">
        <f>SUM($C$21:C22)</f>
        <v>110</v>
      </c>
      <c r="E22" s="9">
        <f t="shared" si="3"/>
        <v>-225.79280012052092</v>
      </c>
      <c r="F22" s="9">
        <f t="shared" si="4"/>
        <v>0.15646828366146873</v>
      </c>
      <c r="G22" s="285">
        <f t="shared" ref="G22:G30" si="5">E22*U8</f>
        <v>7977.1268390550176</v>
      </c>
      <c r="O22" s="99">
        <v>2</v>
      </c>
      <c r="P22" s="93">
        <f>Q21</f>
        <v>55</v>
      </c>
      <c r="Q22" s="1">
        <f t="shared" ref="Q22:Q30" si="6">P22*10+45</f>
        <v>595</v>
      </c>
      <c r="R22" s="9">
        <f>SUM($Q$21:Q22)</f>
        <v>650</v>
      </c>
      <c r="S22" s="280">
        <f t="shared" ref="S22:S30" si="7">R22/R8</f>
        <v>-1334.2301825303509</v>
      </c>
      <c r="T22" s="9">
        <f>U8/S22</f>
        <v>2.6479248004248553E-2</v>
      </c>
      <c r="U22" s="285">
        <f t="shared" ref="U22:U30" si="8">S22*U8</f>
        <v>47137.567685325106</v>
      </c>
    </row>
    <row r="23" spans="1:21" x14ac:dyDescent="0.2">
      <c r="A23" s="97">
        <v>3</v>
      </c>
      <c r="B23" s="93">
        <f t="shared" ref="B23:B30" si="9">C22</f>
        <v>100</v>
      </c>
      <c r="C23" s="1">
        <f t="shared" si="2"/>
        <v>1000</v>
      </c>
      <c r="D23" s="9">
        <f>SUM($C$21:C23)</f>
        <v>1110</v>
      </c>
      <c r="E23" s="9">
        <f t="shared" si="3"/>
        <v>-2384.9225703950051</v>
      </c>
      <c r="F23" s="9">
        <f t="shared" si="4"/>
        <v>2.3240065164935698E-2</v>
      </c>
      <c r="G23" s="285">
        <f t="shared" si="5"/>
        <v>132186.13634470478</v>
      </c>
      <c r="O23" s="99">
        <v>3</v>
      </c>
      <c r="P23" s="93">
        <f t="shared" ref="P23:P30" si="10">Q22</f>
        <v>595</v>
      </c>
      <c r="Q23" s="1">
        <f t="shared" si="6"/>
        <v>5995</v>
      </c>
      <c r="R23" s="9">
        <f>SUM($Q$21:Q23)</f>
        <v>6645</v>
      </c>
      <c r="S23" s="280">
        <f t="shared" si="7"/>
        <v>-14277.306738986314</v>
      </c>
      <c r="T23" s="9">
        <f t="shared" ref="T23:T30" si="11">U9/S23</f>
        <v>3.8820876347748119E-3</v>
      </c>
      <c r="U23" s="285">
        <f t="shared" si="8"/>
        <v>791330.51892843528</v>
      </c>
    </row>
    <row r="24" spans="1:21" x14ac:dyDescent="0.2">
      <c r="A24" s="97">
        <v>4</v>
      </c>
      <c r="B24" s="93">
        <f t="shared" si="9"/>
        <v>1000</v>
      </c>
      <c r="C24" s="1">
        <f t="shared" si="2"/>
        <v>10000</v>
      </c>
      <c r="D24" s="9">
        <f>SUM($C$21:C24)</f>
        <v>11110</v>
      </c>
      <c r="E24" s="9">
        <f t="shared" si="3"/>
        <v>-24171.416585163126</v>
      </c>
      <c r="F24" s="9">
        <f t="shared" si="4"/>
        <v>3.1459896098503556E-3</v>
      </c>
      <c r="G24" s="285">
        <f t="shared" si="5"/>
        <v>1838067.6461199818</v>
      </c>
      <c r="O24" s="99">
        <v>4</v>
      </c>
      <c r="P24" s="93">
        <f t="shared" si="10"/>
        <v>5995</v>
      </c>
      <c r="Q24" s="1">
        <f t="shared" si="6"/>
        <v>59995</v>
      </c>
      <c r="R24" s="9">
        <f>SUM($Q$21:Q24)</f>
        <v>66640</v>
      </c>
      <c r="S24" s="280">
        <f t="shared" si="7"/>
        <v>-144984.98660983535</v>
      </c>
      <c r="T24" s="9">
        <f t="shared" si="11"/>
        <v>5.2448896406718864E-4</v>
      </c>
      <c r="U24" s="285">
        <f t="shared" si="8"/>
        <v>11025097.02407161</v>
      </c>
    </row>
    <row r="25" spans="1:21" x14ac:dyDescent="0.2">
      <c r="A25" s="97">
        <v>5</v>
      </c>
      <c r="B25" s="93">
        <f t="shared" si="9"/>
        <v>10000</v>
      </c>
      <c r="C25" s="1">
        <f t="shared" si="2"/>
        <v>100000</v>
      </c>
      <c r="D25" s="9">
        <f>SUM($C$21:C25)</f>
        <v>111110</v>
      </c>
      <c r="E25" s="9">
        <f t="shared" si="3"/>
        <v>-242560.60837392014</v>
      </c>
      <c r="F25" s="9">
        <f t="shared" si="4"/>
        <v>3.9931518797309962E-4</v>
      </c>
      <c r="G25" s="285">
        <f t="shared" si="5"/>
        <v>23493968.134026479</v>
      </c>
      <c r="O25" s="99">
        <v>5</v>
      </c>
      <c r="P25" s="93">
        <f t="shared" si="10"/>
        <v>59995</v>
      </c>
      <c r="Q25" s="1">
        <f t="shared" si="6"/>
        <v>599995</v>
      </c>
      <c r="R25" s="9">
        <f>SUM($Q$21:Q25)</f>
        <v>666635</v>
      </c>
      <c r="S25" s="280">
        <f t="shared" si="7"/>
        <v>-1455309.07356087</v>
      </c>
      <c r="T25" s="9">
        <f t="shared" si="11"/>
        <v>6.6555027167327093E-5</v>
      </c>
      <c r="U25" s="285">
        <f t="shared" si="8"/>
        <v>140958522.60846677</v>
      </c>
    </row>
    <row r="26" spans="1:21" x14ac:dyDescent="0.2">
      <c r="A26" s="97">
        <v>6</v>
      </c>
      <c r="B26" s="93">
        <f t="shared" si="9"/>
        <v>100000</v>
      </c>
      <c r="C26" s="1">
        <f t="shared" si="2"/>
        <v>1000000</v>
      </c>
      <c r="D26" s="9">
        <f>SUM($C$21:C26)</f>
        <v>1111110</v>
      </c>
      <c r="E26" s="9">
        <f t="shared" si="3"/>
        <v>-2427871.5866078781</v>
      </c>
      <c r="F26" s="9">
        <f t="shared" si="4"/>
        <v>4.8496329391485419E-5</v>
      </c>
      <c r="G26" s="285">
        <f t="shared" si="5"/>
        <v>285864544.76756132</v>
      </c>
      <c r="O26" s="99">
        <v>6</v>
      </c>
      <c r="P26" s="93">
        <f t="shared" si="10"/>
        <v>599995</v>
      </c>
      <c r="Q26" s="1">
        <f t="shared" si="6"/>
        <v>5999995</v>
      </c>
      <c r="R26" s="9">
        <f>SUM($Q$21:Q26)</f>
        <v>6666630</v>
      </c>
      <c r="S26" s="280">
        <f t="shared" si="7"/>
        <v>-14567163.967048878</v>
      </c>
      <c r="T26" s="9">
        <f t="shared" si="11"/>
        <v>8.082757937694662E-6</v>
      </c>
      <c r="U26" s="285">
        <f t="shared" si="8"/>
        <v>1715179550.254941</v>
      </c>
    </row>
    <row r="27" spans="1:21" x14ac:dyDescent="0.2">
      <c r="A27" s="97">
        <v>7</v>
      </c>
      <c r="B27" s="93">
        <f t="shared" si="9"/>
        <v>1000000</v>
      </c>
      <c r="C27" s="1">
        <f t="shared" si="2"/>
        <v>10000000</v>
      </c>
      <c r="D27" s="9">
        <f>SUM($C$21:C27)</f>
        <v>11111110</v>
      </c>
      <c r="E27" s="9">
        <f t="shared" si="3"/>
        <v>-24284828.701641463</v>
      </c>
      <c r="F27" s="9">
        <f t="shared" si="4"/>
        <v>5.7093612604625575E-6</v>
      </c>
      <c r="G27" s="285">
        <f t="shared" si="5"/>
        <v>3367112389.4408851</v>
      </c>
      <c r="O27" s="99">
        <v>7</v>
      </c>
      <c r="P27" s="93">
        <f t="shared" si="10"/>
        <v>5999995</v>
      </c>
      <c r="Q27" s="1">
        <f t="shared" si="6"/>
        <v>59999995</v>
      </c>
      <c r="R27" s="9">
        <f>SUM($Q$21:Q27)</f>
        <v>66666625</v>
      </c>
      <c r="S27" s="280">
        <f t="shared" si="7"/>
        <v>-145708895.71263072</v>
      </c>
      <c r="T27" s="9">
        <f t="shared" si="11"/>
        <v>9.5156070964651538E-7</v>
      </c>
      <c r="U27" s="285">
        <f t="shared" si="8"/>
        <v>20202663730.240223</v>
      </c>
    </row>
    <row r="28" spans="1:21" x14ac:dyDescent="0.2">
      <c r="A28" s="97">
        <v>8</v>
      </c>
      <c r="B28" s="93">
        <f t="shared" si="9"/>
        <v>10000000</v>
      </c>
      <c r="C28" s="1">
        <f t="shared" si="2"/>
        <v>100000000</v>
      </c>
      <c r="D28" s="9">
        <f>SUM($C$21:C28)</f>
        <v>111111110</v>
      </c>
      <c r="E28" s="9">
        <f t="shared" si="3"/>
        <v>-242864834.5821017</v>
      </c>
      <c r="F28" s="9">
        <f t="shared" si="4"/>
        <v>6.5701718914766528E-7</v>
      </c>
      <c r="G28" s="285">
        <f t="shared" si="5"/>
        <v>38753060288.053352</v>
      </c>
      <c r="O28" s="99">
        <v>8</v>
      </c>
      <c r="P28" s="93">
        <f t="shared" si="10"/>
        <v>59999995</v>
      </c>
      <c r="Q28" s="1">
        <f t="shared" si="6"/>
        <v>599999995</v>
      </c>
      <c r="R28" s="9">
        <f>SUM($Q$21:Q28)</f>
        <v>666666620</v>
      </c>
      <c r="S28" s="280">
        <f t="shared" si="7"/>
        <v>-1457188920.0612688</v>
      </c>
      <c r="T28" s="9">
        <f t="shared" si="11"/>
        <v>1.0950287142811657E-7</v>
      </c>
      <c r="U28" s="285">
        <f t="shared" si="8"/>
        <v>232518347777.21826</v>
      </c>
    </row>
    <row r="29" spans="1:21" x14ac:dyDescent="0.2">
      <c r="A29" s="97">
        <v>9</v>
      </c>
      <c r="B29" s="93">
        <f t="shared" si="9"/>
        <v>100000000</v>
      </c>
      <c r="C29" s="1">
        <f t="shared" si="2"/>
        <v>1000000000</v>
      </c>
      <c r="D29" s="9">
        <f>SUM($C$21:C29)</f>
        <v>1111111110</v>
      </c>
      <c r="E29" s="9">
        <f t="shared" si="3"/>
        <v>-2428693197.1314635</v>
      </c>
      <c r="F29" s="9">
        <f t="shared" si="4"/>
        <v>7.4313315737615656E-8</v>
      </c>
      <c r="G29" s="285">
        <f t="shared" si="5"/>
        <v>438340856535.10596</v>
      </c>
      <c r="O29" s="99">
        <v>9</v>
      </c>
      <c r="P29" s="93">
        <f t="shared" si="10"/>
        <v>599999995</v>
      </c>
      <c r="Q29" s="1">
        <f t="shared" si="6"/>
        <v>5999999995</v>
      </c>
      <c r="R29" s="9">
        <f>SUM($Q$21:Q29)</f>
        <v>6666666615</v>
      </c>
      <c r="S29" s="280">
        <f t="shared" si="7"/>
        <v>-14572159084.426706</v>
      </c>
      <c r="T29" s="9">
        <f t="shared" si="11"/>
        <v>1.2385552706538425E-8</v>
      </c>
      <c r="U29" s="285">
        <f t="shared" si="8"/>
        <v>2630045121457.8311</v>
      </c>
    </row>
    <row r="30" spans="1:21" ht="17" thickBot="1" x14ac:dyDescent="0.25">
      <c r="A30" s="145">
        <v>10</v>
      </c>
      <c r="B30" s="94">
        <f t="shared" si="9"/>
        <v>1000000000</v>
      </c>
      <c r="C30" s="111">
        <f t="shared" si="2"/>
        <v>10000000000</v>
      </c>
      <c r="D30" s="10">
        <f>SUM($C$21:C30)</f>
        <v>11111111110</v>
      </c>
      <c r="E30" s="10">
        <f t="shared" si="3"/>
        <v>-24287053597.204681</v>
      </c>
      <c r="F30" s="10">
        <f t="shared" si="4"/>
        <v>8.2926010847961511E-9</v>
      </c>
      <c r="G30" s="286">
        <f t="shared" si="5"/>
        <v>4891481739880.8955</v>
      </c>
      <c r="O30" s="100">
        <v>10</v>
      </c>
      <c r="P30" s="94">
        <f t="shared" si="10"/>
        <v>5999999995</v>
      </c>
      <c r="Q30" s="111">
        <f t="shared" si="6"/>
        <v>59999999995</v>
      </c>
      <c r="R30" s="10">
        <f>SUM($Q$21:Q30)</f>
        <v>66666666610</v>
      </c>
      <c r="S30" s="281">
        <f t="shared" si="7"/>
        <v>-145722321473.93634</v>
      </c>
      <c r="T30" s="10">
        <f t="shared" si="11"/>
        <v>1.3821001818359338E-9</v>
      </c>
      <c r="U30" s="286">
        <f t="shared" si="8"/>
        <v>29348890417273.703</v>
      </c>
    </row>
    <row r="31" spans="1:21" ht="17" thickBot="1" x14ac:dyDescent="0.25"/>
    <row r="32" spans="1:21" ht="17" thickBot="1" x14ac:dyDescent="0.25">
      <c r="A32" s="117" t="s">
        <v>134</v>
      </c>
      <c r="B32" s="118" t="s">
        <v>139</v>
      </c>
      <c r="C32" s="118" t="s">
        <v>138</v>
      </c>
      <c r="D32" s="170" t="s">
        <v>137</v>
      </c>
      <c r="E32" s="167" t="s">
        <v>150</v>
      </c>
      <c r="F32" s="168" t="s">
        <v>151</v>
      </c>
      <c r="G32" s="288" t="s">
        <v>47</v>
      </c>
      <c r="O32" s="29" t="s">
        <v>134</v>
      </c>
      <c r="P32" s="118" t="s">
        <v>139</v>
      </c>
      <c r="Q32" s="118" t="s">
        <v>138</v>
      </c>
      <c r="R32" s="118" t="s">
        <v>137</v>
      </c>
      <c r="S32" s="166" t="s">
        <v>150</v>
      </c>
      <c r="T32" s="168" t="s">
        <v>151</v>
      </c>
      <c r="U32" s="292" t="s">
        <v>47</v>
      </c>
    </row>
    <row r="33" spans="1:21" x14ac:dyDescent="0.2">
      <c r="A33" s="95">
        <v>1</v>
      </c>
      <c r="B33" s="109">
        <v>1</v>
      </c>
      <c r="C33" s="110">
        <f t="shared" ref="C33:C42" si="12">B33*$O$2</f>
        <v>10</v>
      </c>
      <c r="D33" s="57">
        <f>SUM($C$33:C33)</f>
        <v>10</v>
      </c>
      <c r="E33" s="9">
        <f t="shared" ref="E33:E42" si="13">D33/R7</f>
        <v>-17.444437310166972</v>
      </c>
      <c r="F33" s="8">
        <f t="shared" ref="F33:F42" si="14">U7/E33</f>
        <v>0.94329959064422941</v>
      </c>
      <c r="G33" s="287">
        <f>E33*U7</f>
        <v>287.05398261097355</v>
      </c>
      <c r="O33" s="101">
        <v>1</v>
      </c>
      <c r="P33" s="109">
        <v>1</v>
      </c>
      <c r="Q33" s="110">
        <f>P33*10+45</f>
        <v>55</v>
      </c>
      <c r="R33" s="57">
        <f>SUM($Q$21)</f>
        <v>55</v>
      </c>
      <c r="S33" s="279">
        <f>R33/R7</f>
        <v>-95.944405205918343</v>
      </c>
      <c r="T33" s="8">
        <f>U7/S33</f>
        <v>0.17150901648076899</v>
      </c>
      <c r="U33" s="287">
        <f>S33*U7</f>
        <v>1578.7969043603546</v>
      </c>
    </row>
    <row r="34" spans="1:21" x14ac:dyDescent="0.2">
      <c r="A34" s="97">
        <v>2</v>
      </c>
      <c r="B34" s="93">
        <f t="shared" ref="B34:B42" si="15">B33*($O$2+1)</f>
        <v>11</v>
      </c>
      <c r="C34" s="1">
        <f t="shared" si="12"/>
        <v>110</v>
      </c>
      <c r="D34" s="9">
        <f>SUM($C$33:C34)</f>
        <v>120</v>
      </c>
      <c r="E34" s="9">
        <f t="shared" si="13"/>
        <v>-246.31941831329553</v>
      </c>
      <c r="F34" s="9">
        <f t="shared" si="14"/>
        <v>0.14342926002301301</v>
      </c>
      <c r="G34" s="285">
        <f t="shared" ref="G34:G42" si="16">E34*U8</f>
        <v>8702.3201880600191</v>
      </c>
      <c r="O34" s="99">
        <v>2</v>
      </c>
      <c r="P34" s="93">
        <f>Q33+1</f>
        <v>56</v>
      </c>
      <c r="Q34" s="1">
        <f t="shared" ref="Q34:Q42" si="17">P34*10+45</f>
        <v>605</v>
      </c>
      <c r="R34" s="9">
        <f>SUM($Q$33:Q34)</f>
        <v>660</v>
      </c>
      <c r="S34" s="280">
        <f>R34/R8</f>
        <v>-1354.7568007231255</v>
      </c>
      <c r="T34" s="9">
        <f t="shared" ref="T34:T42" si="18">U8/S34</f>
        <v>2.6078047276911456E-2</v>
      </c>
      <c r="U34" s="285">
        <f t="shared" ref="U34:U42" si="19">S34*U8</f>
        <v>47862.761034330106</v>
      </c>
    </row>
    <row r="35" spans="1:21" x14ac:dyDescent="0.2">
      <c r="A35" s="97">
        <v>3</v>
      </c>
      <c r="B35" s="93">
        <f t="shared" si="15"/>
        <v>121</v>
      </c>
      <c r="C35" s="1">
        <f t="shared" si="12"/>
        <v>1210</v>
      </c>
      <c r="D35" s="9">
        <f>SUM($C$33:C35)</f>
        <v>1330</v>
      </c>
      <c r="E35" s="9">
        <f t="shared" si="13"/>
        <v>-2857.6099266895103</v>
      </c>
      <c r="F35" s="9">
        <f t="shared" si="14"/>
        <v>1.9395843859457612E-2</v>
      </c>
      <c r="G35" s="285">
        <f t="shared" si="16"/>
        <v>158385.19039500662</v>
      </c>
      <c r="O35" s="99">
        <v>3</v>
      </c>
      <c r="P35" s="93">
        <f t="shared" ref="P35:P42" si="20">Q34+1</f>
        <v>606</v>
      </c>
      <c r="Q35" s="1">
        <f t="shared" si="17"/>
        <v>6105</v>
      </c>
      <c r="R35" s="9">
        <f>SUM($Q$33:Q35)</f>
        <v>6765</v>
      </c>
      <c r="S35" s="280">
        <f t="shared" ref="S35:S42" si="21">R35/R9</f>
        <v>-14535.136206056044</v>
      </c>
      <c r="T35" s="9">
        <f t="shared" si="18"/>
        <v>3.8132257698564116E-3</v>
      </c>
      <c r="U35" s="285">
        <f t="shared" si="19"/>
        <v>805620.91204678174</v>
      </c>
    </row>
    <row r="36" spans="1:21" x14ac:dyDescent="0.2">
      <c r="A36" s="97">
        <v>4</v>
      </c>
      <c r="B36" s="93">
        <f t="shared" si="15"/>
        <v>1331</v>
      </c>
      <c r="C36" s="1">
        <f t="shared" si="12"/>
        <v>13310</v>
      </c>
      <c r="D36" s="9">
        <f>SUM($C$33:C36)</f>
        <v>14640</v>
      </c>
      <c r="E36" s="9">
        <f t="shared" si="13"/>
        <v>-31851.443636974633</v>
      </c>
      <c r="F36" s="9">
        <f t="shared" si="14"/>
        <v>2.3874279074752357E-3</v>
      </c>
      <c r="G36" s="285">
        <f t="shared" si="16"/>
        <v>2422080.1385415425</v>
      </c>
      <c r="O36" s="99">
        <v>4</v>
      </c>
      <c r="P36" s="93">
        <f t="shared" si="20"/>
        <v>6106</v>
      </c>
      <c r="Q36" s="1">
        <f t="shared" si="17"/>
        <v>61105</v>
      </c>
      <c r="R36" s="9">
        <f>SUM($Q$33:Q36)</f>
        <v>67870</v>
      </c>
      <c r="S36" s="280">
        <f t="shared" si="21"/>
        <v>-147661.03003015494</v>
      </c>
      <c r="T36" s="9">
        <f t="shared" si="18"/>
        <v>5.1498371247145206E-4</v>
      </c>
      <c r="U36" s="285">
        <f t="shared" si="19"/>
        <v>11228591.461940879</v>
      </c>
    </row>
    <row r="37" spans="1:21" x14ac:dyDescent="0.2">
      <c r="A37" s="97">
        <v>5</v>
      </c>
      <c r="B37" s="93">
        <f t="shared" si="15"/>
        <v>14641</v>
      </c>
      <c r="C37" s="1">
        <f t="shared" si="12"/>
        <v>146410</v>
      </c>
      <c r="D37" s="9">
        <f>SUM($C$33:C37)</f>
        <v>161050</v>
      </c>
      <c r="E37" s="9">
        <f t="shared" si="13"/>
        <v>-351582.98963747494</v>
      </c>
      <c r="F37" s="9">
        <f t="shared" si="14"/>
        <v>2.7549152769755416E-4</v>
      </c>
      <c r="G37" s="285">
        <f t="shared" si="16"/>
        <v>34053672.648591168</v>
      </c>
      <c r="O37" s="99">
        <v>5</v>
      </c>
      <c r="P37" s="93">
        <f t="shared" si="20"/>
        <v>61106</v>
      </c>
      <c r="Q37" s="1">
        <f t="shared" si="17"/>
        <v>611105</v>
      </c>
      <c r="R37" s="9">
        <f>SUM($Q$33:Q37)</f>
        <v>678975</v>
      </c>
      <c r="S37" s="280">
        <f t="shared" si="21"/>
        <v>-1482248.124117383</v>
      </c>
      <c r="T37" s="9">
        <f t="shared" si="18"/>
        <v>6.5345425878259286E-5</v>
      </c>
      <c r="U37" s="285">
        <f t="shared" si="19"/>
        <v>143567788.80209368</v>
      </c>
    </row>
    <row r="38" spans="1:21" x14ac:dyDescent="0.2">
      <c r="A38" s="97">
        <v>6</v>
      </c>
      <c r="B38" s="93">
        <f t="shared" si="15"/>
        <v>161051</v>
      </c>
      <c r="C38" s="1">
        <f t="shared" si="12"/>
        <v>1610510</v>
      </c>
      <c r="D38" s="9">
        <f>SUM($C$33:C38)</f>
        <v>1771560</v>
      </c>
      <c r="E38" s="9">
        <f t="shared" si="13"/>
        <v>-3871012.0401859875</v>
      </c>
      <c r="F38" s="9">
        <f t="shared" si="14"/>
        <v>3.041655746922112E-5</v>
      </c>
      <c r="G38" s="285">
        <f t="shared" si="16"/>
        <v>455784029.41960829</v>
      </c>
      <c r="O38" s="99">
        <v>6</v>
      </c>
      <c r="P38" s="93">
        <f t="shared" si="20"/>
        <v>611106</v>
      </c>
      <c r="Q38" s="1">
        <f t="shared" si="17"/>
        <v>6111105</v>
      </c>
      <c r="R38" s="9">
        <f>SUM($Q$33:Q38)</f>
        <v>6790080</v>
      </c>
      <c r="S38" s="280">
        <f t="shared" si="21"/>
        <v>-14836912.909427889</v>
      </c>
      <c r="T38" s="9">
        <f t="shared" si="18"/>
        <v>7.9358058447283924E-6</v>
      </c>
      <c r="U38" s="285">
        <f t="shared" si="19"/>
        <v>1746940562.2623529</v>
      </c>
    </row>
    <row r="39" spans="1:21" x14ac:dyDescent="0.2">
      <c r="A39" s="97">
        <v>7</v>
      </c>
      <c r="B39" s="93">
        <f t="shared" si="15"/>
        <v>1771561</v>
      </c>
      <c r="C39" s="1">
        <f t="shared" si="12"/>
        <v>17715610</v>
      </c>
      <c r="D39" s="9">
        <f>SUM($C$33:C39)</f>
        <v>19487170</v>
      </c>
      <c r="E39" s="9">
        <f t="shared" si="13"/>
        <v>-42591836.938862674</v>
      </c>
      <c r="F39" s="9">
        <f t="shared" si="14"/>
        <v>3.2553388200923035E-6</v>
      </c>
      <c r="G39" s="285">
        <f t="shared" si="16"/>
        <v>5905394829.3321486</v>
      </c>
      <c r="O39" s="99">
        <v>7</v>
      </c>
      <c r="P39" s="93">
        <f t="shared" si="20"/>
        <v>6111106</v>
      </c>
      <c r="Q39" s="1">
        <f t="shared" si="17"/>
        <v>61111105</v>
      </c>
      <c r="R39" s="9">
        <f>SUM($Q$33:Q39)</f>
        <v>67901185</v>
      </c>
      <c r="S39" s="280">
        <f t="shared" si="21"/>
        <v>-148407193.01343131</v>
      </c>
      <c r="T39" s="9">
        <f t="shared" si="18"/>
        <v>9.3425970393209087E-7</v>
      </c>
      <c r="U39" s="285">
        <f t="shared" si="19"/>
        <v>20576784972.088081</v>
      </c>
    </row>
    <row r="40" spans="1:21" x14ac:dyDescent="0.2">
      <c r="A40" s="97">
        <v>8</v>
      </c>
      <c r="B40" s="93">
        <f t="shared" si="15"/>
        <v>19487171</v>
      </c>
      <c r="C40" s="1">
        <f t="shared" si="12"/>
        <v>194871710</v>
      </c>
      <c r="D40" s="9">
        <f>SUM($C$33:C40)</f>
        <v>214358880</v>
      </c>
      <c r="E40" s="9">
        <f t="shared" si="13"/>
        <v>-468542110.07706237</v>
      </c>
      <c r="F40" s="9">
        <f t="shared" si="14"/>
        <v>3.405592955854082E-7</v>
      </c>
      <c r="G40" s="285">
        <f t="shared" si="16"/>
        <v>74763564146.911987</v>
      </c>
      <c r="O40" s="99">
        <v>8</v>
      </c>
      <c r="P40" s="93">
        <f t="shared" si="20"/>
        <v>61111106</v>
      </c>
      <c r="Q40" s="1">
        <f t="shared" si="17"/>
        <v>611111105</v>
      </c>
      <c r="R40" s="9">
        <f>SUM($Q$33:Q40)</f>
        <v>679012290</v>
      </c>
      <c r="S40" s="280">
        <f t="shared" si="21"/>
        <v>-1484173882.2523153</v>
      </c>
      <c r="T40" s="9">
        <f t="shared" si="18"/>
        <v>1.0751191141956657E-7</v>
      </c>
      <c r="U40" s="285">
        <f t="shared" si="19"/>
        <v>236824240264.53488</v>
      </c>
    </row>
    <row r="41" spans="1:21" x14ac:dyDescent="0.2">
      <c r="A41" s="97">
        <v>9</v>
      </c>
      <c r="B41" s="93">
        <f t="shared" si="15"/>
        <v>214358881</v>
      </c>
      <c r="C41" s="1">
        <f t="shared" si="12"/>
        <v>2143588810</v>
      </c>
      <c r="D41" s="9">
        <f>SUM($C$33:C41)</f>
        <v>2357947690</v>
      </c>
      <c r="E41" s="9">
        <f t="shared" si="13"/>
        <v>-5154058367.6594219</v>
      </c>
      <c r="F41" s="9">
        <f t="shared" si="14"/>
        <v>3.5017889110594568E-8</v>
      </c>
      <c r="G41" s="285">
        <f t="shared" si="16"/>
        <v>930226330019.84326</v>
      </c>
      <c r="O41" s="99">
        <v>9</v>
      </c>
      <c r="P41" s="93">
        <f t="shared" si="20"/>
        <v>611111106</v>
      </c>
      <c r="Q41" s="1">
        <f t="shared" si="17"/>
        <v>6111111105</v>
      </c>
      <c r="R41" s="9">
        <f>SUM($Q$33:Q41)</f>
        <v>6790123395</v>
      </c>
      <c r="S41" s="280">
        <f t="shared" si="21"/>
        <v>-14842013862.249741</v>
      </c>
      <c r="T41" s="9">
        <f t="shared" si="18"/>
        <v>1.2160360855563305E-8</v>
      </c>
      <c r="U41" s="285">
        <f t="shared" si="19"/>
        <v>2678749657127.7749</v>
      </c>
    </row>
    <row r="42" spans="1:21" ht="17" thickBot="1" x14ac:dyDescent="0.25">
      <c r="A42" s="145">
        <v>10</v>
      </c>
      <c r="B42" s="94">
        <f t="shared" si="15"/>
        <v>2357947691</v>
      </c>
      <c r="C42" s="111">
        <f t="shared" si="12"/>
        <v>23579476910</v>
      </c>
      <c r="D42" s="10">
        <f>SUM($C$33:C42)</f>
        <v>25937424600</v>
      </c>
      <c r="E42" s="9">
        <f t="shared" si="13"/>
        <v>-56694925934.698456</v>
      </c>
      <c r="F42" s="10">
        <f t="shared" si="14"/>
        <v>3.5523963332919558E-9</v>
      </c>
      <c r="G42" s="286">
        <f t="shared" si="16"/>
        <v>11418519494081.23</v>
      </c>
      <c r="O42" s="100">
        <v>10</v>
      </c>
      <c r="P42" s="94">
        <f t="shared" si="20"/>
        <v>6111111106</v>
      </c>
      <c r="Q42" s="111">
        <f t="shared" si="17"/>
        <v>61111111105</v>
      </c>
      <c r="R42" s="10">
        <f>SUM($Q$33:Q42)</f>
        <v>67901234500</v>
      </c>
      <c r="S42" s="281">
        <f t="shared" si="21"/>
        <v>-148420882960.4498</v>
      </c>
      <c r="T42" s="10">
        <f t="shared" si="18"/>
        <v>1.3569710878242807E-9</v>
      </c>
      <c r="U42" s="286">
        <f t="shared" si="19"/>
        <v>29892388383480.098</v>
      </c>
    </row>
    <row r="43" spans="1:21" ht="17" thickBot="1" x14ac:dyDescent="0.25">
      <c r="U43" s="283"/>
    </row>
    <row r="44" spans="1:21" ht="17" thickBot="1" x14ac:dyDescent="0.25">
      <c r="A44" s="117" t="s">
        <v>134</v>
      </c>
      <c r="B44" s="118" t="s">
        <v>139</v>
      </c>
      <c r="C44" s="118" t="s">
        <v>138</v>
      </c>
      <c r="D44" s="170" t="s">
        <v>137</v>
      </c>
      <c r="E44" s="167" t="s">
        <v>150</v>
      </c>
      <c r="F44" s="168" t="s">
        <v>151</v>
      </c>
      <c r="G44" s="288" t="s">
        <v>47</v>
      </c>
      <c r="O44" s="29" t="s">
        <v>134</v>
      </c>
      <c r="P44" s="118" t="s">
        <v>139</v>
      </c>
      <c r="Q44" s="118" t="s">
        <v>138</v>
      </c>
      <c r="R44" s="118" t="s">
        <v>137</v>
      </c>
      <c r="S44" s="166" t="s">
        <v>150</v>
      </c>
      <c r="T44" s="168" t="s">
        <v>151</v>
      </c>
      <c r="U44" s="292" t="s">
        <v>47</v>
      </c>
    </row>
    <row r="45" spans="1:21" x14ac:dyDescent="0.2">
      <c r="A45" s="95">
        <v>1</v>
      </c>
      <c r="B45" s="109">
        <v>1</v>
      </c>
      <c r="C45" s="110">
        <f t="shared" ref="C45:C54" si="22">B45*$O$2</f>
        <v>10</v>
      </c>
      <c r="D45" s="57">
        <f>SUM(C45:C45)</f>
        <v>10</v>
      </c>
      <c r="E45" s="57">
        <f t="shared" ref="E45:E54" si="23">D45/R7</f>
        <v>-17.444437310166972</v>
      </c>
      <c r="F45" s="8">
        <f t="shared" ref="F45:F54" si="24">U7/E45</f>
        <v>0.94329959064422941</v>
      </c>
      <c r="G45" s="284">
        <f>E45*U7</f>
        <v>287.05398261097355</v>
      </c>
      <c r="O45" s="101">
        <v>1</v>
      </c>
      <c r="P45" s="109">
        <v>1</v>
      </c>
      <c r="Q45" s="110">
        <f>P45*10+45</f>
        <v>55</v>
      </c>
      <c r="R45" s="57">
        <f>SUM($Q$21)</f>
        <v>55</v>
      </c>
      <c r="S45" s="279">
        <f>R45/R7</f>
        <v>-95.944405205918343</v>
      </c>
      <c r="T45" s="8">
        <f>U7/S45</f>
        <v>0.17150901648076899</v>
      </c>
      <c r="U45" s="287">
        <f>S45*U7</f>
        <v>1578.7969043603546</v>
      </c>
    </row>
    <row r="46" spans="1:21" x14ac:dyDescent="0.2">
      <c r="A46" s="97">
        <v>2</v>
      </c>
      <c r="B46" s="93">
        <f t="shared" ref="B46:B54" si="25">B45*$O$2*2</f>
        <v>20</v>
      </c>
      <c r="C46" s="1">
        <f t="shared" si="22"/>
        <v>200</v>
      </c>
      <c r="D46" s="9">
        <f>SUM($C$45:C46)</f>
        <v>210</v>
      </c>
      <c r="E46" s="9">
        <f t="shared" si="23"/>
        <v>-431.05898204826718</v>
      </c>
      <c r="F46" s="9">
        <f t="shared" si="24"/>
        <v>8.1959577156007435E-2</v>
      </c>
      <c r="G46" s="285">
        <f t="shared" ref="G46:G54" si="26">E46*U8</f>
        <v>15229.060329105034</v>
      </c>
      <c r="O46" s="99">
        <v>2</v>
      </c>
      <c r="P46" s="93">
        <f>Q45*2</f>
        <v>110</v>
      </c>
      <c r="Q46" s="1">
        <f t="shared" ref="Q46:Q54" si="27">P46*10+45</f>
        <v>1145</v>
      </c>
      <c r="R46" s="9">
        <f>SUM($Q$45:Q46)</f>
        <v>1200</v>
      </c>
      <c r="S46" s="280">
        <f t="shared" ref="S46:S54" si="28">R46/R8</f>
        <v>-2463.1941831329555</v>
      </c>
      <c r="T46" s="9">
        <f t="shared" ref="T46:T54" si="29">U8/S46</f>
        <v>1.43429260023013E-2</v>
      </c>
      <c r="U46" s="285">
        <f t="shared" ref="U46:U54" si="30">S46*U8</f>
        <v>87023.201880600187</v>
      </c>
    </row>
    <row r="47" spans="1:21" x14ac:dyDescent="0.2">
      <c r="A47" s="97">
        <v>3</v>
      </c>
      <c r="B47" s="93">
        <f t="shared" si="25"/>
        <v>400</v>
      </c>
      <c r="C47" s="1">
        <f t="shared" si="22"/>
        <v>4000</v>
      </c>
      <c r="D47" s="9">
        <f>SUM($C$45:C47)</f>
        <v>4210</v>
      </c>
      <c r="E47" s="9">
        <f t="shared" si="23"/>
        <v>-9045.5171363630361</v>
      </c>
      <c r="F47" s="9">
        <f t="shared" si="24"/>
        <v>6.1274281076196266E-3</v>
      </c>
      <c r="G47" s="285">
        <f t="shared" si="26"/>
        <v>501354.62523532164</v>
      </c>
      <c r="O47" s="99">
        <v>3</v>
      </c>
      <c r="P47" s="93">
        <f t="shared" ref="P47:P54" si="31">Q46*2</f>
        <v>2290</v>
      </c>
      <c r="Q47" s="1">
        <f t="shared" si="27"/>
        <v>22945</v>
      </c>
      <c r="R47" s="9">
        <f>SUM($Q$45:Q47)</f>
        <v>24145</v>
      </c>
      <c r="S47" s="280">
        <f t="shared" si="28"/>
        <v>-51877.437353321977</v>
      </c>
      <c r="T47" s="9">
        <f t="shared" si="29"/>
        <v>1.0683981086385846E-3</v>
      </c>
      <c r="U47" s="285">
        <f t="shared" si="30"/>
        <v>2875346.1820206274</v>
      </c>
    </row>
    <row r="48" spans="1:21" x14ac:dyDescent="0.2">
      <c r="A48" s="97">
        <v>4</v>
      </c>
      <c r="B48" s="93">
        <f t="shared" si="25"/>
        <v>8000</v>
      </c>
      <c r="C48" s="1">
        <f t="shared" si="22"/>
        <v>80000</v>
      </c>
      <c r="D48" s="9">
        <f>SUM($C$45:C48)</f>
        <v>84210</v>
      </c>
      <c r="E48" s="9">
        <f t="shared" si="23"/>
        <v>-183211.07026431925</v>
      </c>
      <c r="F48" s="9">
        <f t="shared" si="24"/>
        <v>4.1505693582041863E-4</v>
      </c>
      <c r="G48" s="285">
        <f t="shared" si="26"/>
        <v>13931924.075586289</v>
      </c>
      <c r="O48" s="99">
        <v>4</v>
      </c>
      <c r="P48" s="93">
        <f t="shared" si="31"/>
        <v>45890</v>
      </c>
      <c r="Q48" s="1">
        <f t="shared" si="27"/>
        <v>458945</v>
      </c>
      <c r="R48" s="9">
        <f>SUM($Q$45:Q48)</f>
        <v>483090</v>
      </c>
      <c r="S48" s="280">
        <f t="shared" si="28"/>
        <v>-1051032.3706684478</v>
      </c>
      <c r="T48" s="9">
        <f t="shared" si="29"/>
        <v>7.2350792948389428E-5</v>
      </c>
      <c r="U48" s="285">
        <f t="shared" si="30"/>
        <v>79923681.292898476</v>
      </c>
    </row>
    <row r="49" spans="1:21" x14ac:dyDescent="0.2">
      <c r="A49" s="97">
        <v>5</v>
      </c>
      <c r="B49" s="93">
        <f t="shared" si="25"/>
        <v>160000</v>
      </c>
      <c r="C49" s="1">
        <f t="shared" si="22"/>
        <v>1600000</v>
      </c>
      <c r="D49" s="9">
        <f>SUM($C$45:C49)</f>
        <v>1684210</v>
      </c>
      <c r="E49" s="9">
        <f t="shared" si="23"/>
        <v>-3676743.7875028355</v>
      </c>
      <c r="F49" s="9">
        <f t="shared" si="24"/>
        <v>2.6343455112896315E-5</v>
      </c>
      <c r="G49" s="285">
        <f t="shared" si="26"/>
        <v>356122545.86453724</v>
      </c>
      <c r="O49" s="99">
        <v>5</v>
      </c>
      <c r="P49" s="93">
        <f t="shared" si="31"/>
        <v>917890</v>
      </c>
      <c r="Q49" s="1">
        <f t="shared" si="27"/>
        <v>9178945</v>
      </c>
      <c r="R49" s="9">
        <f>SUM($Q$45:Q49)</f>
        <v>9662035</v>
      </c>
      <c r="S49" s="280">
        <f t="shared" si="28"/>
        <v>-21092872.718298167</v>
      </c>
      <c r="T49" s="9">
        <f t="shared" si="29"/>
        <v>4.5919840422531178E-6</v>
      </c>
      <c r="U49" s="285">
        <f t="shared" si="30"/>
        <v>2043016311.7617543</v>
      </c>
    </row>
    <row r="50" spans="1:21" x14ac:dyDescent="0.2">
      <c r="A50" s="97">
        <v>6</v>
      </c>
      <c r="B50" s="93">
        <f t="shared" si="25"/>
        <v>3200000</v>
      </c>
      <c r="C50" s="1">
        <f t="shared" si="22"/>
        <v>32000000</v>
      </c>
      <c r="D50" s="9">
        <f>SUM($C$45:C50)</f>
        <v>33684210</v>
      </c>
      <c r="E50" s="9">
        <f t="shared" si="23"/>
        <v>-73602916.341616005</v>
      </c>
      <c r="F50" s="9">
        <f t="shared" si="24"/>
        <v>1.5997037350786426E-6</v>
      </c>
      <c r="G50" s="285">
        <f t="shared" si="26"/>
        <v>8666217887.972332</v>
      </c>
      <c r="O50" s="99">
        <v>6</v>
      </c>
      <c r="P50" s="93">
        <f t="shared" si="31"/>
        <v>18357890</v>
      </c>
      <c r="Q50" s="1">
        <f t="shared" si="27"/>
        <v>183578945</v>
      </c>
      <c r="R50" s="9">
        <f>SUM($Q$45:Q50)</f>
        <v>193240980</v>
      </c>
      <c r="S50" s="280">
        <f t="shared" si="28"/>
        <v>-422248278.4875136</v>
      </c>
      <c r="T50" s="9">
        <f t="shared" si="29"/>
        <v>2.7884746056542132E-7</v>
      </c>
      <c r="U50" s="285">
        <f t="shared" si="30"/>
        <v>49716720017.043701</v>
      </c>
    </row>
    <row r="51" spans="1:21" x14ac:dyDescent="0.2">
      <c r="A51" s="97">
        <v>7</v>
      </c>
      <c r="B51" s="93">
        <f t="shared" si="25"/>
        <v>64000000</v>
      </c>
      <c r="C51" s="1">
        <f t="shared" si="22"/>
        <v>640000000</v>
      </c>
      <c r="D51" s="9">
        <f>SUM($C$45:C51)</f>
        <v>673684210</v>
      </c>
      <c r="E51" s="9">
        <f t="shared" si="23"/>
        <v>-1472427654.7393243</v>
      </c>
      <c r="F51" s="9">
        <f t="shared" si="24"/>
        <v>9.4164803112630669E-8</v>
      </c>
      <c r="G51" s="285">
        <f t="shared" si="26"/>
        <v>204153360920.88864</v>
      </c>
      <c r="O51" s="99">
        <v>7</v>
      </c>
      <c r="P51" s="93">
        <f t="shared" si="31"/>
        <v>367157890</v>
      </c>
      <c r="Q51" s="1">
        <f t="shared" si="27"/>
        <v>3671578945</v>
      </c>
      <c r="R51" s="9">
        <f>SUM($Q$45:Q51)</f>
        <v>3864819925</v>
      </c>
      <c r="S51" s="280">
        <f t="shared" si="28"/>
        <v>-8447084930.4269152</v>
      </c>
      <c r="T51" s="9">
        <f t="shared" si="29"/>
        <v>1.6414048319402134E-8</v>
      </c>
      <c r="U51" s="285">
        <f t="shared" si="30"/>
        <v>1171195591837.8535</v>
      </c>
    </row>
    <row r="52" spans="1:21" x14ac:dyDescent="0.2">
      <c r="A52" s="97">
        <v>8</v>
      </c>
      <c r="B52" s="93">
        <f t="shared" si="25"/>
        <v>1280000000</v>
      </c>
      <c r="C52" s="1">
        <f t="shared" si="22"/>
        <v>12800000000</v>
      </c>
      <c r="D52" s="9">
        <f>SUM($C$45:C52)</f>
        <v>13473684210</v>
      </c>
      <c r="E52" s="9">
        <f t="shared" si="23"/>
        <v>-29450557076.363701</v>
      </c>
      <c r="F52" s="9">
        <f t="shared" si="24"/>
        <v>5.4181104468142377E-9</v>
      </c>
      <c r="G52" s="285">
        <f t="shared" si="26"/>
        <v>4699318515424.0879</v>
      </c>
      <c r="O52" s="99">
        <v>8</v>
      </c>
      <c r="P52" s="93">
        <f t="shared" si="31"/>
        <v>7343157890</v>
      </c>
      <c r="Q52" s="1">
        <f t="shared" si="27"/>
        <v>73431578945</v>
      </c>
      <c r="R52" s="9">
        <f>SUM($Q$45:Q52)</f>
        <v>77296398870</v>
      </c>
      <c r="S52" s="280">
        <f t="shared" si="28"/>
        <v>-168953195817.72427</v>
      </c>
      <c r="T52" s="9">
        <f t="shared" si="29"/>
        <v>9.4444127077710844E-10</v>
      </c>
      <c r="U52" s="285">
        <f t="shared" si="30"/>
        <v>26959248318719.246</v>
      </c>
    </row>
    <row r="53" spans="1:21" x14ac:dyDescent="0.2">
      <c r="A53" s="97">
        <v>9</v>
      </c>
      <c r="B53" s="93">
        <f t="shared" si="25"/>
        <v>25600000000</v>
      </c>
      <c r="C53" s="1">
        <f t="shared" si="22"/>
        <v>256000000000</v>
      </c>
      <c r="D53" s="9">
        <f>SUM($C$45:C53)</f>
        <v>269473684210</v>
      </c>
      <c r="E53" s="9">
        <f t="shared" si="23"/>
        <v>-589022013871.12329</v>
      </c>
      <c r="F53" s="9">
        <f t="shared" si="24"/>
        <v>3.0641341093869409E-10</v>
      </c>
      <c r="G53" s="285">
        <f t="shared" si="26"/>
        <v>106309193101563.03</v>
      </c>
      <c r="O53" s="99">
        <v>9</v>
      </c>
      <c r="P53" s="93">
        <f t="shared" si="31"/>
        <v>146863157890</v>
      </c>
      <c r="Q53" s="1">
        <f t="shared" si="27"/>
        <v>1468631578945</v>
      </c>
      <c r="R53" s="9">
        <f>SUM($Q$45:Q53)</f>
        <v>1545927977815</v>
      </c>
      <c r="S53" s="280">
        <f t="shared" si="28"/>
        <v>-3379126290056.1675</v>
      </c>
      <c r="T53" s="9">
        <f t="shared" si="29"/>
        <v>5.3411511999224421E-11</v>
      </c>
      <c r="U53" s="285">
        <f t="shared" si="30"/>
        <v>609879055153189.25</v>
      </c>
    </row>
    <row r="54" spans="1:21" ht="17" thickBot="1" x14ac:dyDescent="0.25">
      <c r="A54" s="145">
        <v>10</v>
      </c>
      <c r="B54" s="94">
        <f t="shared" si="25"/>
        <v>512000000000</v>
      </c>
      <c r="C54" s="111">
        <f t="shared" si="22"/>
        <v>5120000000000</v>
      </c>
      <c r="D54" s="10">
        <f>SUM($C$45:C54)</f>
        <v>5389473684210</v>
      </c>
      <c r="E54" s="10">
        <f t="shared" si="23"/>
        <v>-11780499261799.971</v>
      </c>
      <c r="F54" s="10">
        <f t="shared" si="24"/>
        <v>1.7096291297242438E-11</v>
      </c>
      <c r="G54" s="286">
        <f t="shared" si="26"/>
        <v>2372626090486627.5</v>
      </c>
      <c r="O54" s="100">
        <v>10</v>
      </c>
      <c r="P54" s="94">
        <f t="shared" si="31"/>
        <v>2937263157890</v>
      </c>
      <c r="Q54" s="111">
        <f t="shared" si="27"/>
        <v>29372631578945</v>
      </c>
      <c r="R54" s="10">
        <f>SUM($Q$45:Q54)</f>
        <v>30918559556760</v>
      </c>
      <c r="S54" s="281">
        <f t="shared" si="28"/>
        <v>-67582864186063.844</v>
      </c>
      <c r="T54" s="10">
        <f t="shared" si="29"/>
        <v>2.9800874738335338E-12</v>
      </c>
      <c r="U54" s="286">
        <f t="shared" si="30"/>
        <v>1.3611381255939172E+16</v>
      </c>
    </row>
  </sheetData>
  <mergeCells count="2">
    <mergeCell ref="A18:F18"/>
    <mergeCell ref="O18:T18"/>
  </mergeCells>
  <conditionalFormatting sqref="F45:F54">
    <cfRule type="cellIs" dxfId="185" priority="53" operator="equal">
      <formula>MAX($F$45:$F$54)</formula>
    </cfRule>
  </conditionalFormatting>
  <conditionalFormatting sqref="F21:F30">
    <cfRule type="cellIs" dxfId="184" priority="51" operator="equal">
      <formula>MAX($F$21:$F$30)</formula>
    </cfRule>
  </conditionalFormatting>
  <conditionalFormatting sqref="E33:E42">
    <cfRule type="cellIs" dxfId="183" priority="49" stopIfTrue="1" operator="lessThan">
      <formula>0</formula>
    </cfRule>
    <cfRule type="cellIs" dxfId="182" priority="50" operator="equal">
      <formula>MIN($E$33:$E$42)</formula>
    </cfRule>
  </conditionalFormatting>
  <conditionalFormatting sqref="E21:E30">
    <cfRule type="cellIs" dxfId="181" priority="45" stopIfTrue="1" operator="lessThan">
      <formula>0</formula>
    </cfRule>
    <cfRule type="cellIs" dxfId="180" priority="46" operator="equal">
      <formula>MIN($E$21:$E$30)</formula>
    </cfRule>
  </conditionalFormatting>
  <conditionalFormatting sqref="E45:E54">
    <cfRule type="cellIs" dxfId="179" priority="41" stopIfTrue="1" operator="lessThan">
      <formula>0</formula>
    </cfRule>
    <cfRule type="cellIs" dxfId="178" priority="42" operator="equal">
      <formula>MIN($E$45:$E$54)</formula>
    </cfRule>
  </conditionalFormatting>
  <conditionalFormatting sqref="F33:F42">
    <cfRule type="cellIs" dxfId="177" priority="31" operator="lessThanOrEqual">
      <formula>0</formula>
    </cfRule>
    <cfRule type="cellIs" dxfId="176" priority="32" operator="equal">
      <formula>MAX($F$33:$F$42)</formula>
    </cfRule>
  </conditionalFormatting>
  <conditionalFormatting sqref="S7:T16">
    <cfRule type="cellIs" dxfId="175" priority="13" operator="lessThanOrEqual">
      <formula>0</formula>
    </cfRule>
    <cfRule type="cellIs" dxfId="174" priority="14" operator="greaterThan">
      <formula>0</formula>
    </cfRule>
  </conditionalFormatting>
  <conditionalFormatting sqref="U7:U16">
    <cfRule type="cellIs" dxfId="173" priority="15" operator="lessThanOrEqual">
      <formula>0</formula>
    </cfRule>
    <cfRule type="cellIs" dxfId="172" priority="16" operator="greaterThan">
      <formula>0</formula>
    </cfRule>
  </conditionalFormatting>
  <conditionalFormatting sqref="R7:R16">
    <cfRule type="cellIs" dxfId="171" priority="17" operator="lessThanOrEqual">
      <formula>0</formula>
    </cfRule>
    <cfRule type="cellIs" dxfId="170" priority="18" operator="greaterThan">
      <formula>0</formula>
    </cfRule>
  </conditionalFormatting>
  <conditionalFormatting sqref="T21:T30">
    <cfRule type="cellIs" dxfId="169" priority="9" operator="equal">
      <formula>MAX($T$21:$T$30)</formula>
    </cfRule>
  </conditionalFormatting>
  <conditionalFormatting sqref="S33:S42">
    <cfRule type="cellIs" dxfId="168" priority="7" stopIfTrue="1" operator="lessThan">
      <formula>0</formula>
    </cfRule>
    <cfRule type="cellIs" dxfId="167" priority="8" operator="equal">
      <formula>MIN($E$21:$E$30)</formula>
    </cfRule>
  </conditionalFormatting>
  <conditionalFormatting sqref="T33:T42">
    <cfRule type="cellIs" dxfId="166" priority="6" operator="equal">
      <formula>MAX($T$21:$T$30)</formula>
    </cfRule>
  </conditionalFormatting>
  <conditionalFormatting sqref="S45:S54">
    <cfRule type="cellIs" dxfId="165" priority="4" stopIfTrue="1" operator="lessThan">
      <formula>0</formula>
    </cfRule>
    <cfRule type="cellIs" dxfId="164" priority="5" operator="equal">
      <formula>MIN($E$21:$E$30)</formula>
    </cfRule>
  </conditionalFormatting>
  <conditionalFormatting sqref="T45:T54">
    <cfRule type="cellIs" dxfId="163" priority="3" operator="equal">
      <formula>MAX($T$21:$T$30)</formula>
    </cfRule>
  </conditionalFormatting>
  <conditionalFormatting sqref="S21:S30">
    <cfRule type="cellIs" dxfId="162" priority="1" stopIfTrue="1" operator="lessThan">
      <formula>0</formula>
    </cfRule>
    <cfRule type="cellIs" dxfId="161" priority="2" operator="equal">
      <formula>MIN($E$21:$E$30)</formula>
    </cfRule>
  </conditionalFormatting>
  <pageMargins left="0.25" right="0.25" top="0.75" bottom="0.75" header="0.3" footer="0.3"/>
  <pageSetup paperSize="9" scale="69" orientation="portrait" r:id="rId1"/>
  <drawing r:id="rId2"/>
  <legacyDrawing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AA71"/>
  <sheetViews>
    <sheetView topLeftCell="A46" workbookViewId="0">
      <selection activeCell="J68" sqref="J68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55" t="s">
        <v>48</v>
      </c>
      <c r="C1" s="355"/>
      <c r="D1" s="355"/>
      <c r="E1" s="355"/>
      <c r="F1" s="355"/>
      <c r="G1" s="355"/>
      <c r="H1" s="355"/>
      <c r="I1" s="355"/>
      <c r="J1" s="355"/>
      <c r="L1" s="355" t="s">
        <v>48</v>
      </c>
      <c r="M1" s="355"/>
      <c r="N1" s="355"/>
      <c r="O1" s="355"/>
      <c r="P1" s="355"/>
      <c r="Q1" s="355"/>
      <c r="R1" s="355"/>
      <c r="S1" s="355"/>
      <c r="U1" s="355" t="s">
        <v>48</v>
      </c>
      <c r="V1" s="355"/>
      <c r="W1" s="355"/>
      <c r="X1" s="355"/>
      <c r="Y1" s="355"/>
      <c r="Z1" s="355"/>
      <c r="AA1" s="355"/>
    </row>
    <row r="2" spans="1:27" x14ac:dyDescent="0.2">
      <c r="A2" s="31" t="s">
        <v>57</v>
      </c>
      <c r="B2" s="49" t="s">
        <v>141</v>
      </c>
      <c r="C2" s="49" t="s">
        <v>142</v>
      </c>
      <c r="D2" s="49" t="s">
        <v>143</v>
      </c>
      <c r="E2" s="49" t="s">
        <v>144</v>
      </c>
      <c r="F2" s="49" t="s">
        <v>145</v>
      </c>
      <c r="G2" s="49" t="s">
        <v>146</v>
      </c>
      <c r="H2" s="49" t="s">
        <v>147</v>
      </c>
      <c r="I2" s="49" t="s">
        <v>148</v>
      </c>
      <c r="J2" s="49" t="s">
        <v>149</v>
      </c>
      <c r="K2" s="31" t="s">
        <v>57</v>
      </c>
      <c r="L2" s="49" t="s">
        <v>158</v>
      </c>
      <c r="M2" s="49" t="s">
        <v>159</v>
      </c>
      <c r="N2" s="49" t="s">
        <v>160</v>
      </c>
      <c r="O2" s="49" t="s">
        <v>161</v>
      </c>
      <c r="P2" s="49" t="s">
        <v>162</v>
      </c>
      <c r="Q2" s="49" t="s">
        <v>163</v>
      </c>
      <c r="R2" s="49" t="s">
        <v>164</v>
      </c>
      <c r="S2" s="49" t="s">
        <v>165</v>
      </c>
      <c r="T2" s="31" t="s">
        <v>57</v>
      </c>
      <c r="U2" s="49" t="s">
        <v>169</v>
      </c>
      <c r="V2" s="49" t="s">
        <v>170</v>
      </c>
      <c r="W2" s="49" t="s">
        <v>171</v>
      </c>
      <c r="X2" s="49" t="s">
        <v>172</v>
      </c>
      <c r="Y2" s="49" t="s">
        <v>173</v>
      </c>
      <c r="Z2" s="49" t="s">
        <v>174</v>
      </c>
      <c r="AA2" s="49" t="s">
        <v>175</v>
      </c>
    </row>
    <row r="3" spans="1:27" x14ac:dyDescent="0.2">
      <c r="A3" s="277">
        <v>1</v>
      </c>
      <c r="B3" s="1">
        <f>'1x2'!U7</f>
        <v>-3.6570223864540674E-2</v>
      </c>
      <c r="C3" s="1">
        <f>'1x3'!U7</f>
        <v>0.15281319380232716</v>
      </c>
      <c r="D3" s="1">
        <f>'1x4'!U7</f>
        <v>0.36258956038755419</v>
      </c>
      <c r="E3" s="1">
        <f>'1x5'!U7</f>
        <v>0.5769949910823704</v>
      </c>
      <c r="F3" s="1">
        <f>'1x6'!U7</f>
        <v>0.7898304523694315</v>
      </c>
      <c r="G3" s="1">
        <f>'1x7'!U7</f>
        <v>0.99889500731052427</v>
      </c>
      <c r="H3" s="1">
        <f>'1x8'!U7</f>
        <v>1.2038154875585767</v>
      </c>
      <c r="I3" s="1">
        <f>'1x9'!U7</f>
        <v>1.4050136858132474</v>
      </c>
      <c r="J3" s="1">
        <f>'1x10'!U7</f>
        <v>1.6031828648635646</v>
      </c>
      <c r="K3" s="277">
        <v>1</v>
      </c>
      <c r="L3" s="1">
        <f>'2x3'!U7</f>
        <v>-1.4474305507005927</v>
      </c>
      <c r="M3" s="1">
        <f>'2x4'!U7</f>
        <v>-1.7703803444732258</v>
      </c>
      <c r="N3" s="1">
        <f>'2x5'!U7</f>
        <v>-2.1119205886918473</v>
      </c>
      <c r="O3" s="1">
        <f>'2x6'!U7</f>
        <v>-2.477955225292038</v>
      </c>
      <c r="P3" s="1">
        <f>'2x7'!U7</f>
        <v>-2.8671785612277465</v>
      </c>
      <c r="Q3" s="1">
        <f>'2x8'!U7</f>
        <v>-3.275726559586865</v>
      </c>
      <c r="R3" s="1">
        <f>'2x9'!U7</f>
        <v>-3.6992817778532388</v>
      </c>
      <c r="S3" s="1">
        <f>'2x10'!U7</f>
        <v>-4.1339667003148586</v>
      </c>
      <c r="T3" s="277">
        <v>1</v>
      </c>
      <c r="U3" s="1">
        <f>'3x4'!U7</f>
        <v>-6.1021836161551244</v>
      </c>
      <c r="V3" s="1">
        <f>'3x5'!U7</f>
        <v>-7.7614352204102213</v>
      </c>
      <c r="W3" s="1">
        <f>'3x6'!U7</f>
        <v>-9.4581902106823801</v>
      </c>
      <c r="X3" s="1">
        <f>'3x7'!U7</f>
        <v>-11.182856269138819</v>
      </c>
      <c r="Y3" s="1">
        <f>'3x8'!U7</f>
        <v>-12.927648144868424</v>
      </c>
      <c r="Z3" s="1">
        <f>'3x9'!U7</f>
        <v>-14.686602330844327</v>
      </c>
      <c r="AA3" s="1">
        <f>'3x10'!U7</f>
        <v>-16.455330573699428</v>
      </c>
    </row>
    <row r="4" spans="1:27" x14ac:dyDescent="0.2">
      <c r="A4">
        <v>2</v>
      </c>
      <c r="B4" s="1">
        <f>'1x2'!U8</f>
        <v>-7.3668258212151283E-2</v>
      </c>
      <c r="C4" s="1">
        <f>'1x3'!U8</f>
        <v>0.29698579077379517</v>
      </c>
      <c r="D4" s="1">
        <f>'1x4'!U8</f>
        <v>0.68981281978385534</v>
      </c>
      <c r="E4" s="1">
        <f>'1x5'!U8</f>
        <v>1.0840460310671967</v>
      </c>
      <c r="F4" s="1">
        <f>'1x6'!U8</f>
        <v>1.4729914772238679</v>
      </c>
      <c r="G4" s="1">
        <f>'1x7'!U8</f>
        <v>1.8547433437928653</v>
      </c>
      <c r="H4" s="1">
        <f>'1x8'!U8</f>
        <v>2.2294216986461999</v>
      </c>
      <c r="I4" s="1">
        <f>'1x9'!U8</f>
        <v>2.5979935696140526</v>
      </c>
      <c r="J4" s="1">
        <f>'1x10'!U8</f>
        <v>2.9616766750705796</v>
      </c>
      <c r="K4">
        <v>2</v>
      </c>
      <c r="L4" s="1">
        <f>'2x3'!U8</f>
        <v>-3.1134035093547561</v>
      </c>
      <c r="M4" s="1">
        <f>'2x4'!U8</f>
        <v>-3.7974252164182709</v>
      </c>
      <c r="N4" s="1">
        <f>'2x5'!U8</f>
        <v>-4.5200678495363604</v>
      </c>
      <c r="O4" s="1">
        <f>'2x6'!U8</f>
        <v>-5.295616074916639</v>
      </c>
      <c r="P4" s="1">
        <f>'2x7'!U8</f>
        <v>-6.1216422055492457</v>
      </c>
      <c r="Q4" s="1">
        <f>'2x8'!U8</f>
        <v>-6.9898403780172789</v>
      </c>
      <c r="R4" s="1">
        <f>'2x9'!U8</f>
        <v>-7.8908241196955728</v>
      </c>
      <c r="S4" s="1">
        <f>'2x10'!U8</f>
        <v>-8.8161371269386244</v>
      </c>
      <c r="T4">
        <v>2</v>
      </c>
      <c r="U4" s="1">
        <f>'3x4'!U8</f>
        <v>-13.058956183478275</v>
      </c>
      <c r="V4" s="1">
        <f>'3x5'!U8</f>
        <v>-16.63484558230294</v>
      </c>
      <c r="W4" s="1">
        <f>'3x6'!U8</f>
        <v>-20.28769035997891</v>
      </c>
      <c r="X4" s="1">
        <f>'3x7'!U8</f>
        <v>-23.997744377551811</v>
      </c>
      <c r="Y4" s="1">
        <f>'3x8'!U8</f>
        <v>-27.749009425951872</v>
      </c>
      <c r="Z4" s="1">
        <f>'3x9'!U8</f>
        <v>-31.529234172703294</v>
      </c>
      <c r="AA4" s="1">
        <f>'3x10'!U8</f>
        <v>-35.329411897974978</v>
      </c>
    </row>
    <row r="5" spans="1:27" x14ac:dyDescent="0.2">
      <c r="A5">
        <v>3</v>
      </c>
      <c r="B5" s="1">
        <f>'1x2'!U9</f>
        <v>-0.11129358571039338</v>
      </c>
      <c r="C5" s="1">
        <f>'1x3'!U9</f>
        <v>0.43262439186512847</v>
      </c>
      <c r="D5" s="1">
        <f>'1x4'!U9</f>
        <v>0.98284859348552533</v>
      </c>
      <c r="E5" s="1">
        <f>'1x5'!U9</f>
        <v>1.5245725860901702</v>
      </c>
      <c r="F5" s="1">
        <f>'1x6'!U9</f>
        <v>2.0557707424448184</v>
      </c>
      <c r="G5" s="1">
        <f>'1x7'!U9</f>
        <v>2.5768679856900238</v>
      </c>
      <c r="H5" s="1">
        <f>'1x8'!U9</f>
        <v>3.0891091654102203</v>
      </c>
      <c r="I5" s="1">
        <f>'1x9'!U9</f>
        <v>3.5940486622631429</v>
      </c>
      <c r="J5" s="1">
        <f>'1x10'!U9</f>
        <v>4.0932545632081538</v>
      </c>
      <c r="K5">
        <v>3</v>
      </c>
      <c r="L5" s="1">
        <f>'2x3'!U9</f>
        <v>-4.9401155866323627</v>
      </c>
      <c r="M5" s="1">
        <f>'2x4'!U9</f>
        <v>-6.0264051649858628</v>
      </c>
      <c r="N5" s="1">
        <f>'2x5'!U9</f>
        <v>-7.1694319094583596</v>
      </c>
      <c r="O5" s="1">
        <f>'2x6'!U9</f>
        <v>-8.3951213366081419</v>
      </c>
      <c r="P5" s="1">
        <f>'2x7'!U9</f>
        <v>-9.7008388053015988</v>
      </c>
      <c r="Q5" s="1">
        <f>'2x8'!U9</f>
        <v>-11.073787586258788</v>
      </c>
      <c r="R5" s="1">
        <f>'2x9'!U9</f>
        <v>-12.499137938419628</v>
      </c>
      <c r="S5" s="1">
        <f>'2x10'!U9</f>
        <v>-13.963426300313518</v>
      </c>
      <c r="T5">
        <v>3</v>
      </c>
      <c r="U5" s="1">
        <f>'3x4'!U9</f>
        <v>-20.400498291527544</v>
      </c>
      <c r="V5" s="1">
        <f>'3x5'!U9</f>
        <v>-26.035064544383069</v>
      </c>
      <c r="W5" s="1">
        <f>'3x6'!U9</f>
        <v>-31.785847172018542</v>
      </c>
      <c r="X5" s="1">
        <f>'3x7'!U9</f>
        <v>-37.621803163182669</v>
      </c>
      <c r="Y5" s="1">
        <f>'3x8'!U9</f>
        <v>-43.518521446736891</v>
      </c>
      <c r="Z5" s="1">
        <f>'3x9'!U9</f>
        <v>-49.457624320991421</v>
      </c>
      <c r="AA5" s="1">
        <f>'3x10'!U9</f>
        <v>-55.425755949305859</v>
      </c>
    </row>
    <row r="6" spans="1:27" x14ac:dyDescent="0.2">
      <c r="A6">
        <v>4</v>
      </c>
      <c r="B6" s="1">
        <f>'1x2'!U10</f>
        <v>-0.14944548310754024</v>
      </c>
      <c r="C6" s="1">
        <f>'1x3'!U10</f>
        <v>0.55987562228713816</v>
      </c>
      <c r="D6" s="1">
        <f>'1x4'!U10</f>
        <v>1.2432697746051113</v>
      </c>
      <c r="E6" s="1">
        <f>'1x5'!U10</f>
        <v>1.903034598162372</v>
      </c>
      <c r="F6" s="1">
        <f>'1x6'!U10</f>
        <v>2.5462484484956764</v>
      </c>
      <c r="G6" s="1">
        <f>'1x7'!U10</f>
        <v>3.1771397069953391</v>
      </c>
      <c r="H6" s="1">
        <f>'1x8'!U10</f>
        <v>3.798439233006258</v>
      </c>
      <c r="I6" s="1">
        <f>'1x9'!U10</f>
        <v>4.4122437081883472</v>
      </c>
      <c r="J6" s="1">
        <f>'1x10'!U10</f>
        <v>5.0202968684137961</v>
      </c>
      <c r="K6">
        <v>4</v>
      </c>
      <c r="L6" s="1">
        <f>'2x3'!U10</f>
        <v>-6.8740443762436767</v>
      </c>
      <c r="M6" s="1">
        <f>'2x4'!U10</f>
        <v>-8.4020435046438173</v>
      </c>
      <c r="N6" s="1">
        <f>'2x5'!U10</f>
        <v>-10.001890741850213</v>
      </c>
      <c r="O6" s="1">
        <f>'2x6'!U10</f>
        <v>-11.713805237271673</v>
      </c>
      <c r="P6" s="1">
        <f>'2x7'!U10</f>
        <v>-13.536063991719244</v>
      </c>
      <c r="Q6" s="1">
        <f>'2x8'!U10</f>
        <v>-15.451656207842596</v>
      </c>
      <c r="R6" s="1">
        <f>'2x9'!U10</f>
        <v>-17.440231097791287</v>
      </c>
      <c r="S6" s="1">
        <f>'2x10'!U10</f>
        <v>-19.483128766169759</v>
      </c>
      <c r="T6">
        <v>4</v>
      </c>
      <c r="U6" s="1">
        <f>'3x4'!U10</f>
        <v>-27.885877486246695</v>
      </c>
      <c r="V6" s="1">
        <f>'3x5'!U10</f>
        <v>-35.643881618707617</v>
      </c>
      <c r="W6" s="1">
        <f>'3x6'!U10</f>
        <v>-43.557584999750247</v>
      </c>
      <c r="X6" s="1">
        <f>'3x7'!U10</f>
        <v>-51.583298058430415</v>
      </c>
      <c r="Y6" s="1">
        <f>'3x8'!U10</f>
        <v>-59.687879603616615</v>
      </c>
      <c r="Z6" s="1">
        <f>'3x9'!U10</f>
        <v>-67.846939323367408</v>
      </c>
      <c r="AA6" s="1">
        <f>'3x10'!U10</f>
        <v>-76.043025432287763</v>
      </c>
    </row>
    <row r="7" spans="1:27" x14ac:dyDescent="0.2">
      <c r="A7">
        <v>5</v>
      </c>
      <c r="B7" s="1">
        <f>'1x2'!U11</f>
        <v>-0.18812302224292932</v>
      </c>
      <c r="C7" s="1">
        <f>'1x3'!U11</f>
        <v>0.67892362253028082</v>
      </c>
      <c r="D7" s="1">
        <f>'1x4'!U11</f>
        <v>1.4729742829870478</v>
      </c>
      <c r="E7" s="1">
        <f>'1x5'!U11</f>
        <v>2.2246564637990893</v>
      </c>
      <c r="F7" s="1">
        <f>'1x6'!U11</f>
        <v>2.953710024222147</v>
      </c>
      <c r="G7" s="1">
        <f>'1x7'!U11</f>
        <v>3.6690387518024714</v>
      </c>
      <c r="H7" s="1">
        <f>'1x8'!U11</f>
        <v>4.3749556363494335</v>
      </c>
      <c r="I7" s="1">
        <f>'1x9'!U11</f>
        <v>5.0739783447364299</v>
      </c>
      <c r="J7" s="1">
        <f>'1x10'!U11</f>
        <v>5.7678588658858647</v>
      </c>
      <c r="K7">
        <v>5</v>
      </c>
      <c r="L7" s="1">
        <f>'2x3'!U11</f>
        <v>-8.8740260796014141</v>
      </c>
      <c r="M7" s="1">
        <f>'2x4'!U11</f>
        <v>-10.87722213074912</v>
      </c>
      <c r="N7" s="1">
        <f>'2x5'!U11</f>
        <v>-12.965137450482544</v>
      </c>
      <c r="O7" s="1">
        <f>'2x6'!U11</f>
        <v>-15.193550110967742</v>
      </c>
      <c r="P7" s="1">
        <f>'2x7'!U11</f>
        <v>-17.562496362364559</v>
      </c>
      <c r="Q7" s="1">
        <f>'2x8'!U11</f>
        <v>-20.051105792002545</v>
      </c>
      <c r="R7" s="1">
        <f>'2x9'!U11</f>
        <v>-22.63359157685279</v>
      </c>
      <c r="S7" s="1">
        <f>'2x10'!U11</f>
        <v>-25.286070474483708</v>
      </c>
      <c r="T7">
        <v>5</v>
      </c>
      <c r="U7" s="1">
        <f>'3x4'!U11</f>
        <v>-35.418934360790089</v>
      </c>
      <c r="V7" s="1">
        <f>'3x5'!U11</f>
        <v>-45.326081370790092</v>
      </c>
      <c r="W7" s="1">
        <f>'3x6'!U11</f>
        <v>-55.428896084614117</v>
      </c>
      <c r="X7" s="1">
        <f>'3x7'!U11</f>
        <v>-65.670066220843637</v>
      </c>
      <c r="Y7" s="1">
        <f>'3x8'!U11</f>
        <v>-76.007424936251326</v>
      </c>
      <c r="Z7" s="1">
        <f>'3x9'!U11</f>
        <v>-86.410586781505273</v>
      </c>
      <c r="AA7" s="1">
        <f>'3x10'!U11</f>
        <v>-96.858134927701329</v>
      </c>
    </row>
    <row r="8" spans="1:27" x14ac:dyDescent="0.2">
      <c r="A8">
        <v>6</v>
      </c>
      <c r="B8" s="1">
        <f>'1x2'!U12</f>
        <v>-0.22732507134124136</v>
      </c>
      <c r="C8" s="1">
        <f>'1x3'!U12</f>
        <v>0.78998696897956489</v>
      </c>
      <c r="D8" s="1">
        <f>'1x4'!U12</f>
        <v>1.6741069273860809</v>
      </c>
      <c r="E8" s="1">
        <f>'1x5'!U12</f>
        <v>2.49513357746787</v>
      </c>
      <c r="F8" s="1">
        <f>'1x6'!U12</f>
        <v>3.2880471277410361</v>
      </c>
      <c r="G8" s="1">
        <f>'1x7'!U12</f>
        <v>4.066722638053573</v>
      </c>
      <c r="H8" s="1">
        <f>'1x8'!U12</f>
        <v>4.8369250899165408</v>
      </c>
      <c r="I8" s="1">
        <f>'1x9'!U12</f>
        <v>5.6014183418468502</v>
      </c>
      <c r="J8" s="1">
        <f>'1x10'!U12</f>
        <v>6.3618117303218273</v>
      </c>
      <c r="K8">
        <v>6</v>
      </c>
      <c r="L8" s="1">
        <f>'2x3'!U12</f>
        <v>-10.912236147314848</v>
      </c>
      <c r="M8" s="1">
        <f>'2x4'!U12</f>
        <v>-13.416310477330654</v>
      </c>
      <c r="N8" s="1">
        <f>'2x5'!U12</f>
        <v>-16.017161598372979</v>
      </c>
      <c r="O8" s="1">
        <f>'2x6'!U12</f>
        <v>-18.786077885288872</v>
      </c>
      <c r="P8" s="1">
        <f>'2x7'!U12</f>
        <v>-21.725236080426242</v>
      </c>
      <c r="Q8" s="1">
        <f>'2x8'!U12</f>
        <v>-24.810171800345511</v>
      </c>
      <c r="R8" s="1">
        <f>'2x9'!U12</f>
        <v>-28.009794231901346</v>
      </c>
      <c r="S8" s="1">
        <f>'2x10'!U12</f>
        <v>-31.295052567092426</v>
      </c>
      <c r="T8">
        <v>6</v>
      </c>
      <c r="U8" s="1">
        <f>'3x4'!U12</f>
        <v>-42.966627294804731</v>
      </c>
      <c r="V8" s="1">
        <f>'3x5'!U12</f>
        <v>-55.032191162003478</v>
      </c>
      <c r="W8" s="1">
        <f>'3x6'!U12</f>
        <v>-67.333777430247579</v>
      </c>
      <c r="X8" s="1">
        <f>'3x7'!U12</f>
        <v>-79.799918957408778</v>
      </c>
      <c r="Y8" s="1">
        <f>'3x8'!U12</f>
        <v>-92.379233687189881</v>
      </c>
      <c r="Z8" s="1">
        <f>'3x9'!U12</f>
        <v>-105.03532418858535</v>
      </c>
      <c r="AA8" s="1">
        <f>'3x10'!U12</f>
        <v>-117.74286018436398</v>
      </c>
    </row>
    <row r="9" spans="1:27" x14ac:dyDescent="0.2">
      <c r="A9">
        <v>7</v>
      </c>
      <c r="B9" s="1">
        <f>'1x2'!U13</f>
        <v>-0.26705029658716573</v>
      </c>
      <c r="C9" s="1">
        <f>'1x3'!U13</f>
        <v>0.89331512296602789</v>
      </c>
      <c r="D9" s="1">
        <f>'1x4'!U13</f>
        <v>1.8489780956807058</v>
      </c>
      <c r="E9" s="1">
        <f>'1x5'!U13</f>
        <v>2.7203505376894332</v>
      </c>
      <c r="F9" s="1">
        <f>'1x6'!U13</f>
        <v>3.5592130026922284</v>
      </c>
      <c r="G9" s="1">
        <f>'1x7'!U13</f>
        <v>4.3842077780122537</v>
      </c>
      <c r="H9" s="1">
        <f>'1x8'!U13</f>
        <v>5.2022556136754634</v>
      </c>
      <c r="I9" s="1">
        <f>'1x9'!U13</f>
        <v>6.0161662475993918</v>
      </c>
      <c r="J9" s="1">
        <f>'1x10'!U13</f>
        <v>6.8272800386943686</v>
      </c>
      <c r="K9">
        <v>7</v>
      </c>
      <c r="L9" s="1">
        <f>'2x3'!U13</f>
        <v>-12.971530626456257</v>
      </c>
      <c r="M9" s="1">
        <f>'2x4'!U13</f>
        <v>-15.994641400831252</v>
      </c>
      <c r="N9" s="1">
        <f>'2x5'!U13</f>
        <v>-19.126970553549878</v>
      </c>
      <c r="O9" s="1">
        <f>'2x6'!U13</f>
        <v>-22.454469499753376</v>
      </c>
      <c r="P9" s="1">
        <f>'2x7'!U13</f>
        <v>-25.981420033179297</v>
      </c>
      <c r="Q9" s="1">
        <f>'2x8'!U13</f>
        <v>-29.679883754875007</v>
      </c>
      <c r="R9" s="1">
        <f>'2x9'!U13</f>
        <v>-33.513577139626022</v>
      </c>
      <c r="S9" s="1">
        <f>'2x10'!U13</f>
        <v>-37.448362767508385</v>
      </c>
      <c r="T9">
        <v>7</v>
      </c>
      <c r="U9" s="1">
        <f>'3x4'!U13</f>
        <v>-50.518592806483888</v>
      </c>
      <c r="V9" s="1">
        <f>'3x5'!U13</f>
        <v>-64.745706360091191</v>
      </c>
      <c r="W9" s="1">
        <f>'3x6'!U13</f>
        <v>-79.249414909093986</v>
      </c>
      <c r="X9" s="1">
        <f>'3x7'!U13</f>
        <v>-93.943852387501721</v>
      </c>
      <c r="Y9" s="1">
        <f>'3x8'!U13</f>
        <v>-108.76832360573653</v>
      </c>
      <c r="Z9" s="1">
        <f>'3x9'!U13</f>
        <v>-123.68040179280206</v>
      </c>
      <c r="AA9" s="1">
        <f>'3x10'!U13</f>
        <v>-138.650860206121</v>
      </c>
    </row>
    <row r="10" spans="1:27" x14ac:dyDescent="0.2">
      <c r="A10">
        <v>8</v>
      </c>
      <c r="B10" s="1">
        <f>'1x2'!U14</f>
        <v>-0.30729716397618034</v>
      </c>
      <c r="C10" s="1">
        <f>'1x3'!U14</f>
        <v>0.98918451792533801</v>
      </c>
      <c r="D10" s="1">
        <f>'1x4'!U14</f>
        <v>1.9999847218273352</v>
      </c>
      <c r="E10" s="1">
        <f>'1x5'!U14</f>
        <v>2.9061336759016481</v>
      </c>
      <c r="F10" s="1">
        <f>'1x6'!U14</f>
        <v>3.7767772399859076</v>
      </c>
      <c r="G10" s="1">
        <f>'1x7'!U14</f>
        <v>4.6347315795894879</v>
      </c>
      <c r="H10" s="1">
        <f>'1x8'!U14</f>
        <v>5.4876787268284186</v>
      </c>
      <c r="I10" s="1">
        <f>'1x9'!U14</f>
        <v>6.3382752814923862</v>
      </c>
      <c r="J10" s="1">
        <f>'1x10'!U14</f>
        <v>7.1874962052942273</v>
      </c>
      <c r="K10">
        <v>8</v>
      </c>
      <c r="L10" s="1">
        <f>'2x3'!U14</f>
        <v>-15.042033247727803</v>
      </c>
      <c r="M10" s="1">
        <f>'2x4'!U14</f>
        <v>-18.596230206378387</v>
      </c>
      <c r="N10" s="1">
        <f>'2x5'!U14</f>
        <v>-22.273132257368772</v>
      </c>
      <c r="O10" s="1">
        <f>'2x6'!U14</f>
        <v>-26.172231794272889</v>
      </c>
      <c r="P10" s="1">
        <f>'2x7'!U14</f>
        <v>-30.299621250548874</v>
      </c>
      <c r="Q10" s="1">
        <f>'2x8'!U14</f>
        <v>-34.623880448957593</v>
      </c>
      <c r="R10" s="1">
        <f>'2x9'!U14</f>
        <v>-39.103599754348778</v>
      </c>
      <c r="S10" s="1">
        <f>'2x10'!U14</f>
        <v>-43.699629532045449</v>
      </c>
      <c r="T10">
        <v>8</v>
      </c>
      <c r="U10" s="1">
        <f>'3x4'!U14</f>
        <v>-58.071763338222105</v>
      </c>
      <c r="V10" s="1">
        <f>'3x5'!U14</f>
        <v>-74.461436565085847</v>
      </c>
      <c r="W10" s="1">
        <f>'3x6'!U14</f>
        <v>-91.168379823931701</v>
      </c>
      <c r="X10" s="1">
        <f>'3x7'!U14</f>
        <v>-108.09222820611819</v>
      </c>
      <c r="Y10" s="1">
        <f>'3x8'!U14</f>
        <v>-125.16292924302699</v>
      </c>
      <c r="Z10" s="1">
        <f>'3x9'!U14</f>
        <v>-142.332016309463</v>
      </c>
      <c r="AA10" s="1">
        <f>'3x10'!U14</f>
        <v>-159.56637095994515</v>
      </c>
    </row>
    <row r="11" spans="1:27" x14ac:dyDescent="0.2">
      <c r="A11">
        <v>9</v>
      </c>
      <c r="B11" s="1">
        <f>'1x2'!U15</f>
        <v>-0.34806394143641572</v>
      </c>
      <c r="C11" s="1">
        <f>'1x3'!U15</f>
        <v>1.0778943998581925</v>
      </c>
      <c r="D11" s="1">
        <f>'1x4'!U15</f>
        <v>2.129538003807661</v>
      </c>
      <c r="E11" s="1">
        <f>'1x5'!U15</f>
        <v>3.0580521207059892</v>
      </c>
      <c r="F11" s="1">
        <f>'1x6'!U15</f>
        <v>3.9496013003108086</v>
      </c>
      <c r="G11" s="1">
        <f>'1x7'!U15</f>
        <v>4.8303189263984745</v>
      </c>
      <c r="H11" s="1">
        <f>'1x8'!U15</f>
        <v>5.7082192867729287</v>
      </c>
      <c r="I11" s="1">
        <f>'1x9'!U15</f>
        <v>6.5856293515562889</v>
      </c>
      <c r="J11" s="1">
        <f>'1x10'!U15</f>
        <v>7.4630940150748799</v>
      </c>
      <c r="K11">
        <v>9</v>
      </c>
      <c r="L11" s="1">
        <f>'2x3'!U15</f>
        <v>-17.118327941492474</v>
      </c>
      <c r="M11" s="1">
        <f>'2x4'!U15</f>
        <v>-21.211222849111962</v>
      </c>
      <c r="N11" s="1">
        <f>'2x5'!U15</f>
        <v>-25.441544653997578</v>
      </c>
      <c r="O11" s="1">
        <f>'2x6'!U15</f>
        <v>-29.921268785011939</v>
      </c>
      <c r="P11" s="1">
        <f>'2x7'!U15</f>
        <v>-34.657900884312454</v>
      </c>
      <c r="Q11" s="1">
        <f>'2x8'!U15</f>
        <v>-39.616450597511097</v>
      </c>
      <c r="R11" s="1">
        <f>'2x9'!U15</f>
        <v>-44.750406611801658</v>
      </c>
      <c r="S11" s="1">
        <f>'2x10'!U15</f>
        <v>-50.015662857109497</v>
      </c>
      <c r="T11">
        <v>9</v>
      </c>
      <c r="U11" s="1">
        <f>'3x4'!U15</f>
        <v>-65.625265427397082</v>
      </c>
      <c r="V11" s="1">
        <f>'3x5'!U15</f>
        <v>-84.177812901789494</v>
      </c>
      <c r="W11" s="1">
        <f>'3x6'!U15</f>
        <v>-103.08834842585178</v>
      </c>
      <c r="X11" s="1">
        <f>'3x7'!U15</f>
        <v>-122.24197047325232</v>
      </c>
      <c r="Y11" s="1">
        <f>'3x8'!U15</f>
        <v>-141.5592511476377</v>
      </c>
      <c r="Z11" s="1">
        <f>'3x9'!U15</f>
        <v>-160.98567880626433</v>
      </c>
      <c r="AA11" s="1">
        <f>'3x10'!U15</f>
        <v>-180.48424438822968</v>
      </c>
    </row>
    <row r="12" spans="1:27" x14ac:dyDescent="0.2">
      <c r="A12">
        <v>10</v>
      </c>
      <c r="B12" s="1">
        <f>'1x2'!U16</f>
        <v>-0.3893487012158845</v>
      </c>
      <c r="C12" s="1">
        <f>'1x3'!U16</f>
        <v>1.159762536590649</v>
      </c>
      <c r="D12" s="1">
        <f>'1x4'!U16</f>
        <v>2.2400010776053403</v>
      </c>
      <c r="E12" s="1">
        <f>'1x5'!U16</f>
        <v>3.1812731226947868</v>
      </c>
      <c r="F12" s="1">
        <f>'1x6'!U16</f>
        <v>4.0856353475480294</v>
      </c>
      <c r="G12" s="1">
        <f>'1x7'!U16</f>
        <v>4.9815423717150118</v>
      </c>
      <c r="H12" s="1">
        <f>'1x8'!U16</f>
        <v>5.8769288992286786</v>
      </c>
      <c r="I12" s="1">
        <f>'1x9'!U16</f>
        <v>6.7736518959387322</v>
      </c>
      <c r="J12" s="1">
        <f>'1x10'!U16</f>
        <v>7.6717918351165579</v>
      </c>
      <c r="K12">
        <v>10</v>
      </c>
      <c r="L12" s="1">
        <f>'2x3'!U16</f>
        <v>-19.197551072449556</v>
      </c>
      <c r="M12" s="1">
        <f>'2x4'!U16</f>
        <v>-23.833770952365317</v>
      </c>
      <c r="N12" s="1">
        <f>'2x5'!U16</f>
        <v>-28.623278645483005</v>
      </c>
      <c r="O12" s="1">
        <f>'2x6'!U16</f>
        <v>-33.689687497594214</v>
      </c>
      <c r="P12" s="1">
        <f>'2x7'!U16</f>
        <v>-39.041522709403196</v>
      </c>
      <c r="Q12" s="1">
        <f>'2x8'!U16</f>
        <v>-44.640100486439891</v>
      </c>
      <c r="R12" s="1">
        <f>'2x9'!U16</f>
        <v>-50.43380292790323</v>
      </c>
      <c r="S12" s="1">
        <f>'2x10'!U16</f>
        <v>-56.373603875917738</v>
      </c>
      <c r="T12">
        <v>10</v>
      </c>
      <c r="U12" s="1">
        <f>'3x4'!U16</f>
        <v>-73.178857070394187</v>
      </c>
      <c r="V12" s="1">
        <f>'3x5'!U16</f>
        <v>-93.894374219340364</v>
      </c>
      <c r="W12" s="1">
        <f>'3x6'!U16</f>
        <v>-115.00861411541864</v>
      </c>
      <c r="X12" s="1">
        <f>'3x7'!U16</f>
        <v>-136.39212515110145</v>
      </c>
      <c r="Y12" s="1">
        <f>'3x8'!U16</f>
        <v>-157.95609702045761</v>
      </c>
      <c r="Z12" s="1">
        <f>'3x9'!U16</f>
        <v>-179.63997081261317</v>
      </c>
      <c r="AA12" s="1">
        <f>'3x10'!U16</f>
        <v>-201.40284700668181</v>
      </c>
    </row>
    <row r="13" spans="1:27" x14ac:dyDescent="0.2">
      <c r="B13" s="355" t="s">
        <v>49</v>
      </c>
      <c r="C13" s="355"/>
      <c r="D13" s="355"/>
      <c r="E13" s="355"/>
      <c r="F13" s="355"/>
      <c r="G13" s="355"/>
      <c r="H13" s="355"/>
      <c r="I13" s="355"/>
      <c r="J13" s="355"/>
      <c r="L13" s="355" t="s">
        <v>49</v>
      </c>
      <c r="M13" s="355"/>
      <c r="N13" s="355"/>
      <c r="O13" s="355"/>
      <c r="P13" s="355"/>
      <c r="Q13" s="355"/>
      <c r="R13" s="355"/>
      <c r="S13" s="355"/>
      <c r="U13" s="355" t="s">
        <v>49</v>
      </c>
      <c r="V13" s="355"/>
      <c r="W13" s="355"/>
      <c r="X13" s="355"/>
      <c r="Y13" s="355"/>
      <c r="Z13" s="355"/>
      <c r="AA13" s="355"/>
    </row>
    <row r="14" spans="1:27" x14ac:dyDescent="0.2">
      <c r="A14" s="31" t="s">
        <v>57</v>
      </c>
      <c r="B14" s="49" t="s">
        <v>141</v>
      </c>
      <c r="C14" s="49" t="s">
        <v>142</v>
      </c>
      <c r="D14" s="49" t="s">
        <v>143</v>
      </c>
      <c r="E14" s="49" t="s">
        <v>144</v>
      </c>
      <c r="F14" s="49" t="s">
        <v>145</v>
      </c>
      <c r="G14" s="49" t="s">
        <v>146</v>
      </c>
      <c r="H14" s="49" t="s">
        <v>147</v>
      </c>
      <c r="I14" s="49" t="s">
        <v>148</v>
      </c>
      <c r="J14" s="49" t="s">
        <v>149</v>
      </c>
      <c r="K14" s="31" t="s">
        <v>57</v>
      </c>
      <c r="L14" s="49" t="s">
        <v>158</v>
      </c>
      <c r="M14" s="49" t="s">
        <v>159</v>
      </c>
      <c r="N14" s="49" t="s">
        <v>160</v>
      </c>
      <c r="O14" s="49" t="s">
        <v>161</v>
      </c>
      <c r="P14" s="49" t="s">
        <v>162</v>
      </c>
      <c r="Q14" s="49" t="s">
        <v>163</v>
      </c>
      <c r="R14" s="49" t="s">
        <v>164</v>
      </c>
      <c r="S14" s="49" t="s">
        <v>165</v>
      </c>
      <c r="T14" s="31" t="s">
        <v>57</v>
      </c>
      <c r="U14" s="49" t="s">
        <v>169</v>
      </c>
      <c r="V14" s="49" t="s">
        <v>170</v>
      </c>
      <c r="W14" s="49" t="s">
        <v>171</v>
      </c>
      <c r="X14" s="49" t="s">
        <v>172</v>
      </c>
      <c r="Y14" s="49" t="s">
        <v>173</v>
      </c>
      <c r="Z14" s="49" t="s">
        <v>174</v>
      </c>
      <c r="AA14" s="49" t="s">
        <v>175</v>
      </c>
    </row>
    <row r="15" spans="1:27" x14ac:dyDescent="0.2">
      <c r="A15" s="277">
        <v>1</v>
      </c>
      <c r="B15" s="1">
        <f>'1x2'!R7</f>
        <v>-2.2143042634933663E-2</v>
      </c>
      <c r="C15" s="1">
        <f>'1x3'!R7</f>
        <v>7.878387096772288E-2</v>
      </c>
      <c r="D15" s="1">
        <f>'1x4'!R7</f>
        <v>0.13018546295569094</v>
      </c>
      <c r="E15" s="1">
        <f>'1x5'!R7</f>
        <v>0.15829348705297913</v>
      </c>
      <c r="F15" s="1">
        <f>'1x6'!R7</f>
        <v>0.17426330022435627</v>
      </c>
      <c r="G15" s="1">
        <f>'1x7'!R7</f>
        <v>0.18353440795504922</v>
      </c>
      <c r="H15" s="1">
        <f>'1x8'!R7</f>
        <v>0.18898412543089271</v>
      </c>
      <c r="I15" s="1">
        <f>'1x9'!R7</f>
        <v>0.19221104843136466</v>
      </c>
      <c r="J15" s="1">
        <f>'1x10'!R7</f>
        <v>0.19413006530614013</v>
      </c>
      <c r="K15" s="277">
        <v>1</v>
      </c>
      <c r="L15" s="1">
        <f>'2x3'!R7</f>
        <v>-0.39038707568060604</v>
      </c>
      <c r="M15" s="1">
        <f>'2x4'!R7</f>
        <v>-0.34545676954823368</v>
      </c>
      <c r="N15" s="1">
        <f>'2x5'!R7</f>
        <v>-0.3199292336323955</v>
      </c>
      <c r="O15" s="1">
        <f>'2x6'!R7</f>
        <v>-0.30510949009281235</v>
      </c>
      <c r="P15" s="1">
        <f>'2x7'!R7</f>
        <v>-0.29639818852009853</v>
      </c>
      <c r="Q15" s="1">
        <f>'2x8'!R7</f>
        <v>-0.29123999462589323</v>
      </c>
      <c r="R15" s="1">
        <f>'2x9'!R7</f>
        <v>-0.28817247143897662</v>
      </c>
      <c r="S15" s="1">
        <f>'2x10'!R7</f>
        <v>-0.2863435609340157</v>
      </c>
      <c r="T15" s="277">
        <v>1</v>
      </c>
      <c r="U15" s="1">
        <f>'3x4'!R7</f>
        <v>-0.61569695303509886</v>
      </c>
      <c r="V15" s="1">
        <f>'3x5'!R7</f>
        <v>-0.59755642407979026</v>
      </c>
      <c r="W15" s="1">
        <f>'3x6'!R7</f>
        <v>-0.58689310740388778</v>
      </c>
      <c r="X15" s="1">
        <f>'3x7'!R7</f>
        <v>-0.58057907332866976</v>
      </c>
      <c r="Y15" s="1">
        <f>'3x8'!R7</f>
        <v>-0.57682418424811899</v>
      </c>
      <c r="Z15" s="1">
        <f>'3x9'!R7</f>
        <v>-0.57458545428067487</v>
      </c>
      <c r="AA15" s="1">
        <f>'3x10'!R7</f>
        <v>-0.57324864208556603</v>
      </c>
    </row>
    <row r="16" spans="1:27" x14ac:dyDescent="0.2">
      <c r="A16">
        <v>2</v>
      </c>
      <c r="B16" s="1">
        <f>'1x2'!R8</f>
        <v>0.30359621918138968</v>
      </c>
      <c r="C16" s="1">
        <f>'1x3'!R8</f>
        <v>0.43540868270766425</v>
      </c>
      <c r="D16" s="1">
        <f>'1x4'!R8</f>
        <v>0.49844858780148954</v>
      </c>
      <c r="E16" s="1">
        <f>'1x5'!R8</f>
        <v>0.53159897865742123</v>
      </c>
      <c r="F16" s="1">
        <f>'1x6'!R8</f>
        <v>0.54999447898666975</v>
      </c>
      <c r="G16" s="1">
        <f>'1x7'!R8</f>
        <v>0.56052385821016837</v>
      </c>
      <c r="H16" s="1">
        <f>'1x8'!R8</f>
        <v>0.56666106740869682</v>
      </c>
      <c r="I16" s="1">
        <f>'1x9'!R8</f>
        <v>0.5702767277290115</v>
      </c>
      <c r="J16" s="1">
        <f>'1x10'!R8</f>
        <v>0.57242042229372814</v>
      </c>
      <c r="K16">
        <v>2</v>
      </c>
      <c r="L16" s="1">
        <f>'2x3'!R8</f>
        <v>-0.22647820804134128</v>
      </c>
      <c r="M16" s="1">
        <f>'2x4'!R8</f>
        <v>-0.16066456264051965</v>
      </c>
      <c r="N16" s="1">
        <f>'2x5'!R8</f>
        <v>-0.12315537203802807</v>
      </c>
      <c r="O16" s="1">
        <f>'2x6'!R8</f>
        <v>-0.10136451857658652</v>
      </c>
      <c r="P16" s="1">
        <f>'2x7'!R8</f>
        <v>-8.8554972945486421E-2</v>
      </c>
      <c r="Q16" s="1">
        <f>'2x8'!R8</f>
        <v>-8.0970900572024163E-2</v>
      </c>
      <c r="R16" s="1">
        <f>'2x9'!R8</f>
        <v>-7.6461220459314028E-2</v>
      </c>
      <c r="S16" s="1">
        <f>'2x10'!R8</f>
        <v>-7.3772687205876819E-2</v>
      </c>
      <c r="T16">
        <v>2</v>
      </c>
      <c r="U16" s="1">
        <f>'3x4'!R8</f>
        <v>-0.54508003885692347</v>
      </c>
      <c r="V16" s="1">
        <f>'3x5'!R8</f>
        <v>-0.52048287969047913</v>
      </c>
      <c r="W16" s="1">
        <f>'3x6'!R8</f>
        <v>-0.50591853002125131</v>
      </c>
      <c r="X16" s="1">
        <f>'3x7'!R8</f>
        <v>-0.49725877166384308</v>
      </c>
      <c r="Y16" s="1">
        <f>'3x8'!R8</f>
        <v>-0.49209650234133689</v>
      </c>
      <c r="Z16" s="1">
        <f>'3x9'!R8</f>
        <v>-0.48901431532135747</v>
      </c>
      <c r="AA16" s="1">
        <f>'3x10'!R8</f>
        <v>-0.48717230992877342</v>
      </c>
    </row>
    <row r="17" spans="1:27" x14ac:dyDescent="0.2">
      <c r="A17">
        <v>3</v>
      </c>
      <c r="B17" s="1">
        <f>'1x2'!R9</f>
        <v>0.46630621373131109</v>
      </c>
      <c r="C17" s="1">
        <f>'1x3'!R9</f>
        <v>0.61152120905960938</v>
      </c>
      <c r="D17" s="1">
        <f>'1x4'!R9</f>
        <v>0.67644275116677477</v>
      </c>
      <c r="E17" s="1">
        <f>'1x5'!R9</f>
        <v>0.7091265215880701</v>
      </c>
      <c r="F17" s="1">
        <f>'1x6'!R9</f>
        <v>0.72678626343691899</v>
      </c>
      <c r="G17" s="1">
        <f>'1x7'!R9</f>
        <v>0.73673355891792758</v>
      </c>
      <c r="H17" s="1">
        <f>'1x8'!R9</f>
        <v>0.74247594420369967</v>
      </c>
      <c r="I17" s="1">
        <f>'1x9'!R9</f>
        <v>0.7458395489176628</v>
      </c>
      <c r="J17" s="1">
        <f>'1x10'!R9</f>
        <v>0.74782693012935897</v>
      </c>
      <c r="K17">
        <v>3</v>
      </c>
      <c r="L17" s="1">
        <f>'2x3'!R9</f>
        <v>-0.16620028037135159</v>
      </c>
      <c r="M17" s="1">
        <f>'2x4'!R9</f>
        <v>-8.7970394831812682E-2</v>
      </c>
      <c r="N17" s="1">
        <f>'2x5'!R9</f>
        <v>-4.3039086946306759E-2</v>
      </c>
      <c r="O17" s="1">
        <f>'2x6'!R9</f>
        <v>-1.6843719397294843E-2</v>
      </c>
      <c r="P17" s="1">
        <f>'2x7'!R9</f>
        <v>-1.4182039268666458E-3</v>
      </c>
      <c r="Q17" s="1">
        <f>'2x8'!R9</f>
        <v>7.722977109993534E-3</v>
      </c>
      <c r="R17" s="1">
        <f>'2x9'!R9</f>
        <v>1.3161244956404805E-2</v>
      </c>
      <c r="S17" s="1">
        <f>'2x10'!R9</f>
        <v>1.6404279530489563E-2</v>
      </c>
      <c r="T17">
        <v>3</v>
      </c>
      <c r="U17" s="1">
        <f>'3x4'!R9</f>
        <v>-0.52918278345788372</v>
      </c>
      <c r="V17" s="1">
        <f>'3x5'!R9</f>
        <v>-0.50222572423955691</v>
      </c>
      <c r="W17" s="1">
        <f>'3x6'!R9</f>
        <v>-0.48617675277779926</v>
      </c>
      <c r="X17" s="1">
        <f>'3x7'!R9</f>
        <v>-0.47660343170610531</v>
      </c>
      <c r="Y17" s="1">
        <f>'3x8'!R9</f>
        <v>-0.47088563023594593</v>
      </c>
      <c r="Z17" s="1">
        <f>'3x9'!R9</f>
        <v>-0.4674678628166441</v>
      </c>
      <c r="AA17" s="1">
        <f>'3x10'!R9</f>
        <v>-0.46542391513203518</v>
      </c>
    </row>
    <row r="18" spans="1:27" x14ac:dyDescent="0.2">
      <c r="A18">
        <v>4</v>
      </c>
      <c r="B18" s="1">
        <f>'1x2'!R10</f>
        <v>0.56380467654443689</v>
      </c>
      <c r="C18" s="1">
        <f>'1x3'!R10</f>
        <v>0.71545905870222526</v>
      </c>
      <c r="D18" s="1">
        <f>'1x4'!R10</f>
        <v>0.77855522482532002</v>
      </c>
      <c r="E18" s="1">
        <f>'1x5'!R10</f>
        <v>0.80883230335189038</v>
      </c>
      <c r="F18" s="1">
        <f>'1x6'!R10</f>
        <v>0.82471539632075952</v>
      </c>
      <c r="G18" s="1">
        <f>'1x7'!R10</f>
        <v>0.83350380203976626</v>
      </c>
      <c r="H18" s="1">
        <f>'1x8'!R10</f>
        <v>0.83852317032668189</v>
      </c>
      <c r="I18" s="1">
        <f>'1x9'!R10</f>
        <v>0.84144447777238285</v>
      </c>
      <c r="J18" s="1">
        <f>'1x10'!R10</f>
        <v>0.84316391605253926</v>
      </c>
      <c r="K18">
        <v>4</v>
      </c>
      <c r="L18" s="1">
        <f>'2x3'!R10</f>
        <v>-0.14160050880274255</v>
      </c>
      <c r="M18" s="1">
        <f>'2x4'!R10</f>
        <v>-5.5800956168346738E-2</v>
      </c>
      <c r="N18" s="1">
        <f>'2x5'!R10</f>
        <v>-6.0639319581897722E-3</v>
      </c>
      <c r="O18" s="1">
        <f>'2x6'!R10</f>
        <v>2.3073814004163806E-2</v>
      </c>
      <c r="P18" s="1">
        <f>'2x7'!R10</f>
        <v>4.0276946669171698E-2</v>
      </c>
      <c r="Q18" s="1">
        <f>'2x8'!R10</f>
        <v>5.0486456781571931E-2</v>
      </c>
      <c r="R18" s="1">
        <f>'2x9'!R10</f>
        <v>5.6565376770626397E-2</v>
      </c>
      <c r="S18" s="1">
        <f>'2x10'!R10</f>
        <v>6.0192219872879704E-2</v>
      </c>
      <c r="T18">
        <v>4</v>
      </c>
      <c r="U18" s="1">
        <f>'3x4'!R10</f>
        <v>-0.52544956894038419</v>
      </c>
      <c r="V18" s="1">
        <f>'3x5'!R10</f>
        <v>-0.49769545634486612</v>
      </c>
      <c r="W18" s="1">
        <f>'3x6'!R10</f>
        <v>-0.481122110766603</v>
      </c>
      <c r="X18" s="1">
        <f>'3x7'!R10</f>
        <v>-0.47121768053650848</v>
      </c>
      <c r="Y18" s="1">
        <f>'3x8'!R10</f>
        <v>-0.46529546831834823</v>
      </c>
      <c r="Z18" s="1">
        <f>'3x9'!R10</f>
        <v>-0.46175311551257286</v>
      </c>
      <c r="AA18" s="1">
        <f>'3x10'!R10</f>
        <v>-0.45963379766577389</v>
      </c>
    </row>
    <row r="19" spans="1:27" x14ac:dyDescent="0.2">
      <c r="A19">
        <v>5</v>
      </c>
      <c r="B19" s="1">
        <f>'1x2'!R11</f>
        <v>0.62869756082099693</v>
      </c>
      <c r="C19" s="1">
        <f>'1x3'!R11</f>
        <v>0.78334121494673847</v>
      </c>
      <c r="D19" s="1">
        <f>'1x4'!R11</f>
        <v>0.84295399895824674</v>
      </c>
      <c r="E19" s="1">
        <f>'1x5'!R11</f>
        <v>0.87010496023493566</v>
      </c>
      <c r="F19" s="1">
        <f>'1x6'!R11</f>
        <v>0.88389609659583068</v>
      </c>
      <c r="G19" s="1">
        <f>'1x7'!R11</f>
        <v>0.89137992486627249</v>
      </c>
      <c r="H19" s="1">
        <f>'1x8'!R11</f>
        <v>0.89560462082974124</v>
      </c>
      <c r="I19" s="1">
        <f>'1x9'!R11</f>
        <v>0.89804631020262393</v>
      </c>
      <c r="J19" s="1">
        <f>'1x10'!R11</f>
        <v>0.89947745884171026</v>
      </c>
      <c r="K19">
        <v>5</v>
      </c>
      <c r="L19" s="1">
        <f>'2x3'!R11</f>
        <v>-0.13113904706336732</v>
      </c>
      <c r="M19" s="1">
        <f>'2x4'!R11</f>
        <v>-4.0829141729846086E-2</v>
      </c>
      <c r="N19" s="1">
        <f>'2x5'!R11</f>
        <v>1.1981935513836028E-2</v>
      </c>
      <c r="O19" s="1">
        <f>'2x6'!R11</f>
        <v>4.3075048364978996E-2</v>
      </c>
      <c r="P19" s="1">
        <f>'2x7'!R11</f>
        <v>6.1484952711765239E-2</v>
      </c>
      <c r="Q19" s="1">
        <f>'2x8'!R11</f>
        <v>7.2428631543802968E-2</v>
      </c>
      <c r="R19" s="1">
        <f>'2x9'!R11</f>
        <v>7.8950959139324206E-2</v>
      </c>
      <c r="S19" s="1">
        <f>'2x10'!R11</f>
        <v>8.2844558541423141E-2</v>
      </c>
      <c r="T19">
        <v>5</v>
      </c>
      <c r="U19" s="1">
        <f>'3x4'!R11</f>
        <v>-0.52456428372925257</v>
      </c>
      <c r="V19" s="1">
        <f>'3x5'!R11</f>
        <v>-0.49655853298257158</v>
      </c>
      <c r="W19" s="1">
        <f>'3x6'!R11</f>
        <v>-0.47981189982571903</v>
      </c>
      <c r="X19" s="1">
        <f>'3x7'!R11</f>
        <v>-0.46979511239740013</v>
      </c>
      <c r="Y19" s="1">
        <f>'3x8'!R11</f>
        <v>-0.4638024486832526</v>
      </c>
      <c r="Z19" s="1">
        <f>'3x9'!R11</f>
        <v>-0.46021675951187596</v>
      </c>
      <c r="AA19" s="1">
        <f>'3x10'!R11</f>
        <v>-0.45807108064602969</v>
      </c>
    </row>
    <row r="20" spans="1:27" x14ac:dyDescent="0.2">
      <c r="A20">
        <v>6</v>
      </c>
      <c r="B20" s="1">
        <f>'1x2'!R12</f>
        <v>0.67495888172892038</v>
      </c>
      <c r="C20" s="1">
        <f>'1x3'!R12</f>
        <v>0.83065231454290256</v>
      </c>
      <c r="D20" s="1">
        <f>'1x4'!R12</f>
        <v>0.88602211046730206</v>
      </c>
      <c r="E20" s="1">
        <f>'1x5'!R12</f>
        <v>0.90986225468388171</v>
      </c>
      <c r="F20" s="1">
        <f>'1x6'!R12</f>
        <v>0.92155838800754386</v>
      </c>
      <c r="G20" s="1">
        <f>'1x7'!R12</f>
        <v>0.92777405496790211</v>
      </c>
      <c r="H20" s="1">
        <f>'1x8'!R12</f>
        <v>0.93123924183205353</v>
      </c>
      <c r="I20" s="1">
        <f>'1x9'!R12</f>
        <v>0.93322704724420569</v>
      </c>
      <c r="J20" s="1">
        <f>'1x10'!R12</f>
        <v>0.93438696300256496</v>
      </c>
      <c r="K20">
        <v>6</v>
      </c>
      <c r="L20" s="1">
        <f>'2x3'!R12</f>
        <v>-0.12661245654031533</v>
      </c>
      <c r="M20" s="1">
        <f>'2x4'!R12</f>
        <v>-3.3698072075472041E-2</v>
      </c>
      <c r="N20" s="1">
        <f>'2x5'!R12</f>
        <v>2.1029367084597239E-2</v>
      </c>
      <c r="O20" s="1">
        <f>'2x6'!R12</f>
        <v>5.3393956676076881E-2</v>
      </c>
      <c r="P20" s="1">
        <f>'2x7'!R12</f>
        <v>7.2607544624690712E-2</v>
      </c>
      <c r="Q20" s="1">
        <f>'2x8'!R12</f>
        <v>8.4046967870113121E-2</v>
      </c>
      <c r="R20" s="1">
        <f>'2x9'!R12</f>
        <v>9.0871138699151255E-2</v>
      </c>
      <c r="S20" s="1">
        <f>'2x10'!R12</f>
        <v>9.4947199191384335E-2</v>
      </c>
      <c r="T20">
        <v>6</v>
      </c>
      <c r="U20" s="1">
        <f>'3x4'!R12</f>
        <v>-0.52435386467089129</v>
      </c>
      <c r="V20" s="1">
        <f>'3x5'!R12</f>
        <v>-0.49627240051703952</v>
      </c>
      <c r="W20" s="1">
        <f>'3x6'!R12</f>
        <v>-0.47947120021355133</v>
      </c>
      <c r="X20" s="1">
        <f>'3x7'!R12</f>
        <v>-0.46941808284709774</v>
      </c>
      <c r="Y20" s="1">
        <f>'3x8'!R12</f>
        <v>-0.4634022813727896</v>
      </c>
      <c r="Z20" s="1">
        <f>'3x9'!R12</f>
        <v>-0.45980222761388895</v>
      </c>
      <c r="AA20" s="1">
        <f>'3x10'!R12</f>
        <v>-0.45764776280956315</v>
      </c>
    </row>
    <row r="21" spans="1:27" x14ac:dyDescent="0.2">
      <c r="A21">
        <v>7</v>
      </c>
      <c r="B21" s="1">
        <f>'1x2'!R13</f>
        <v>0.7095756774356603</v>
      </c>
      <c r="C21" s="1">
        <f>'1x3'!R13</f>
        <v>0.86513865660106304</v>
      </c>
      <c r="D21" s="1">
        <f>'1x4'!R13</f>
        <v>0.91596594033474232</v>
      </c>
      <c r="E21" s="1">
        <f>'1x5'!R13</f>
        <v>0.93657604453789578</v>
      </c>
      <c r="F21" s="1">
        <f>'1x6'!R13</f>
        <v>0.9463206793907214</v>
      </c>
      <c r="G21" s="1">
        <f>'1x7'!R13</f>
        <v>0.95138577453097206</v>
      </c>
      <c r="H21" s="1">
        <f>'1x8'!R13</f>
        <v>0.95417242874410502</v>
      </c>
      <c r="I21" s="1">
        <f>'1x9'!R13</f>
        <v>0.95575842670869493</v>
      </c>
      <c r="J21" s="1">
        <f>'1x10'!R13</f>
        <v>0.95667952933239553</v>
      </c>
      <c r="K21">
        <v>7</v>
      </c>
      <c r="L21" s="1">
        <f>'2x3'!R13</f>
        <v>-0.12463918491851156</v>
      </c>
      <c r="M21" s="1">
        <f>'2x4'!R13</f>
        <v>-3.0264134436276735E-2</v>
      </c>
      <c r="N21" s="1">
        <f>'2x5'!R13</f>
        <v>2.5626524066303669E-2</v>
      </c>
      <c r="O21" s="1">
        <f>'2x6'!R13</f>
        <v>5.8797867951092209E-2</v>
      </c>
      <c r="P21" s="1">
        <f>'2x7'!R13</f>
        <v>7.8534509748446113E-2</v>
      </c>
      <c r="Q21" s="1">
        <f>'2x8'!R13</f>
        <v>9.0301378333216109E-2</v>
      </c>
      <c r="R21" s="1">
        <f>'2x9'!R13</f>
        <v>9.7326661562711358E-2</v>
      </c>
      <c r="S21" s="1">
        <f>'2x10'!R13</f>
        <v>0.10152492004952329</v>
      </c>
      <c r="T21">
        <v>7</v>
      </c>
      <c r="U21" s="1">
        <f>'3x4'!R13</f>
        <v>-0.52430382380771257</v>
      </c>
      <c r="V21" s="1">
        <f>'3x5'!R13</f>
        <v>-0.4962003375778784</v>
      </c>
      <c r="W21" s="1">
        <f>'3x6'!R13</f>
        <v>-0.47938253354767657</v>
      </c>
      <c r="X21" s="1">
        <f>'3x7'!R13</f>
        <v>-0.46931806712430552</v>
      </c>
      <c r="Y21" s="1">
        <f>'3x8'!R13</f>
        <v>-0.46329492481621359</v>
      </c>
      <c r="Z21" s="1">
        <f>'3x9'!R13</f>
        <v>-0.45969027159680809</v>
      </c>
      <c r="AA21" s="1">
        <f>'3x10'!R13</f>
        <v>-0.45753297816133975</v>
      </c>
    </row>
    <row r="22" spans="1:27" x14ac:dyDescent="0.2">
      <c r="A22">
        <v>8</v>
      </c>
      <c r="B22" s="1">
        <f>'1x2'!R14</f>
        <v>0.73642966274831723</v>
      </c>
      <c r="C22" s="1">
        <f>'1x3'!R14</f>
        <v>0.89110683077144459</v>
      </c>
      <c r="D22" s="1">
        <f>'1x4'!R14</f>
        <v>0.93735149439867149</v>
      </c>
      <c r="E22" s="1">
        <f>'1x5'!R14</f>
        <v>0.95494936524978313</v>
      </c>
      <c r="F22" s="1">
        <f>'1x6'!R14</f>
        <v>0.96295216526190197</v>
      </c>
      <c r="G22" s="1">
        <f>'1x7'!R14</f>
        <v>0.96701637760059989</v>
      </c>
      <c r="H22" s="1">
        <f>'1x8'!R14</f>
        <v>0.96922169100454092</v>
      </c>
      <c r="I22" s="1">
        <f>'1x9'!R14</f>
        <v>0.97046653541189065</v>
      </c>
      <c r="J22" s="1">
        <f>'1x10'!R14</f>
        <v>0.97118596432993776</v>
      </c>
      <c r="K22">
        <v>8</v>
      </c>
      <c r="L22" s="1">
        <f>'2x3'!R14</f>
        <v>-0.12377618532810175</v>
      </c>
      <c r="M22" s="1">
        <f>'2x4'!R14</f>
        <v>-2.8601814661001645E-2</v>
      </c>
      <c r="N22" s="1">
        <f>'2x5'!R14</f>
        <v>2.7978317003880482E-2</v>
      </c>
      <c r="O22" s="1">
        <f>'2x6'!R14</f>
        <v>6.1650023568178058E-2</v>
      </c>
      <c r="P22" s="1">
        <f>'2x7'!R14</f>
        <v>8.1719679800081435E-2</v>
      </c>
      <c r="Q22" s="1">
        <f>'2x8'!R14</f>
        <v>9.369824288835743E-2</v>
      </c>
      <c r="R22" s="1">
        <f>'2x9'!R14</f>
        <v>0.10085472682029684</v>
      </c>
      <c r="S22" s="1">
        <f>'2x10'!R14</f>
        <v>0.10513313301348598</v>
      </c>
      <c r="T22">
        <v>8</v>
      </c>
      <c r="U22" s="1">
        <f>'3x4'!R14</f>
        <v>-0.52429192177701278</v>
      </c>
      <c r="V22" s="1">
        <f>'3x5'!R14</f>
        <v>-0.49618218515590179</v>
      </c>
      <c r="W22" s="1">
        <f>'3x6'!R14</f>
        <v>-0.47935945320029338</v>
      </c>
      <c r="X22" s="1">
        <f>'3x7'!R14</f>
        <v>-0.46929152933507751</v>
      </c>
      <c r="Y22" s="1">
        <f>'3x8'!R14</f>
        <v>-0.46326611597901968</v>
      </c>
      <c r="Z22" s="1">
        <f>'3x9'!R14</f>
        <v>-0.45966002676090545</v>
      </c>
      <c r="AA22" s="1">
        <f>'3x10'!R14</f>
        <v>-0.45750184538321181</v>
      </c>
    </row>
    <row r="23" spans="1:27" x14ac:dyDescent="0.2">
      <c r="A23">
        <v>9</v>
      </c>
      <c r="B23" s="1">
        <f>'1x2'!R15</f>
        <v>0.75784989053686047</v>
      </c>
      <c r="C23" s="1">
        <f>'1x3'!R15</f>
        <v>0.9111431430784821</v>
      </c>
      <c r="D23" s="1">
        <f>'1x4'!R15</f>
        <v>0.95291940044336432</v>
      </c>
      <c r="E23" s="1">
        <f>'1x5'!R15</f>
        <v>0.96778992582526835</v>
      </c>
      <c r="F23" s="1">
        <f>'1x6'!R15</f>
        <v>0.97428311483757379</v>
      </c>
      <c r="G23" s="1">
        <f>'1x7'!R15</f>
        <v>0.97750208338262801</v>
      </c>
      <c r="H23" s="1">
        <f>'1x8'!R15</f>
        <v>0.97922394932239187</v>
      </c>
      <c r="I23" s="1">
        <f>'1x9'!R15</f>
        <v>0.98018767148311803</v>
      </c>
      <c r="J23" s="1">
        <f>'1x10'!R15</f>
        <v>0.9807418180777101</v>
      </c>
      <c r="K23">
        <v>9</v>
      </c>
      <c r="L23" s="1">
        <f>'2x3'!R15</f>
        <v>-0.12339822209586798</v>
      </c>
      <c r="M23" s="1">
        <f>'2x4'!R15</f>
        <v>-2.7795060705127717E-2</v>
      </c>
      <c r="N23" s="1">
        <f>'2x5'!R15</f>
        <v>2.9185611697689406E-2</v>
      </c>
      <c r="O23" s="1">
        <f>'2x6'!R15</f>
        <v>6.3161580262287298E-2</v>
      </c>
      <c r="P23" s="1">
        <f>'2x7'!R15</f>
        <v>8.3439184504745911E-2</v>
      </c>
      <c r="Q23" s="1">
        <f>'2x8'!R15</f>
        <v>9.555201575974992E-2</v>
      </c>
      <c r="R23" s="1">
        <f>'2x9'!R15</f>
        <v>0.10279248537235425</v>
      </c>
      <c r="S23" s="1">
        <f>'2x10'!R15</f>
        <v>0.10712247856814583</v>
      </c>
      <c r="T23">
        <v>9</v>
      </c>
      <c r="U23" s="1">
        <f>'3x4'!R15</f>
        <v>-0.52428909083619568</v>
      </c>
      <c r="V23" s="1">
        <f>'3x5'!R15</f>
        <v>-0.49617761241309061</v>
      </c>
      <c r="W23" s="1">
        <f>'3x6'!R15</f>
        <v>-0.47935344494235527</v>
      </c>
      <c r="X23" s="1">
        <f>'3x7'!R15</f>
        <v>-0.46928448745405998</v>
      </c>
      <c r="Y23" s="1">
        <f>'3x8'!R15</f>
        <v>-0.46325838468032909</v>
      </c>
      <c r="Z23" s="1">
        <f>'3x9'!R15</f>
        <v>-0.45965185555973842</v>
      </c>
      <c r="AA23" s="1">
        <f>'3x10'!R15</f>
        <v>-0.45749340069480021</v>
      </c>
    </row>
    <row r="24" spans="1:27" x14ac:dyDescent="0.2">
      <c r="A24">
        <v>10</v>
      </c>
      <c r="B24" s="1">
        <f>'1x2'!R16</f>
        <v>0.77531850689728754</v>
      </c>
      <c r="C24" s="1">
        <f>'1x3'!R16</f>
        <v>0.92689516081986567</v>
      </c>
      <c r="D24" s="1">
        <f>'1x4'!R16</f>
        <v>0.96441055681280508</v>
      </c>
      <c r="E24" s="1">
        <f>'1x5'!R16</f>
        <v>0.97686440441572431</v>
      </c>
      <c r="F24" s="1">
        <f>'1x6'!R16</f>
        <v>0.98207805164010098</v>
      </c>
      <c r="G24" s="1">
        <f>'1x7'!R16</f>
        <v>0.98459924092566276</v>
      </c>
      <c r="H24" s="1">
        <f>'1x8'!R16</f>
        <v>0.98592819395252407</v>
      </c>
      <c r="I24" s="1">
        <f>'1x9'!R16</f>
        <v>0.98666555166929548</v>
      </c>
      <c r="J24" s="1">
        <f>'1x10'!R16</f>
        <v>0.98708734442162371</v>
      </c>
      <c r="K24">
        <v>10</v>
      </c>
      <c r="L24" s="1">
        <f>'2x3'!R16</f>
        <v>-0.12323258490083416</v>
      </c>
      <c r="M24" s="1">
        <f>'2x4'!R16</f>
        <v>-2.740304519206932E-2</v>
      </c>
      <c r="N24" s="1">
        <f>'2x5'!R16</f>
        <v>2.980647954208443E-2</v>
      </c>
      <c r="O24" s="1">
        <f>'2x6'!R16</f>
        <v>6.3964406190392231E-2</v>
      </c>
      <c r="P24" s="1">
        <f>'2x7'!R16</f>
        <v>8.4369728192225213E-2</v>
      </c>
      <c r="Q24" s="1">
        <f>'2x8'!R16</f>
        <v>9.656632926096953E-2</v>
      </c>
      <c r="R24" s="1">
        <f>'2x9'!R16</f>
        <v>0.10385968724033684</v>
      </c>
      <c r="S24" s="1">
        <f>'2x10'!R16</f>
        <v>0.1082223466437241</v>
      </c>
      <c r="T24">
        <v>10</v>
      </c>
      <c r="U24" s="1">
        <f>'3x4'!R16</f>
        <v>-0.52428841748177868</v>
      </c>
      <c r="V24" s="1">
        <f>'3x5'!R16</f>
        <v>-0.49617646048887698</v>
      </c>
      <c r="W24" s="1">
        <f>'3x6'!R16</f>
        <v>-0.47935188085461067</v>
      </c>
      <c r="X24" s="1">
        <f>'3x7'!R16</f>
        <v>-0.46928261883869038</v>
      </c>
      <c r="Y24" s="1">
        <f>'3x8'!R16</f>
        <v>-0.46325630982839822</v>
      </c>
      <c r="Z24" s="1">
        <f>'3x9'!R16</f>
        <v>-0.45964964791638457</v>
      </c>
      <c r="AA24" s="1">
        <f>'3x10'!R16</f>
        <v>-0.45749111004880533</v>
      </c>
    </row>
    <row r="25" spans="1:27" x14ac:dyDescent="0.2">
      <c r="B25" s="355" t="s">
        <v>153</v>
      </c>
      <c r="C25" s="355"/>
      <c r="D25" s="355"/>
      <c r="E25" s="355"/>
      <c r="F25" s="355"/>
      <c r="G25" s="355"/>
      <c r="H25" s="355"/>
      <c r="I25" s="355"/>
      <c r="J25" s="355"/>
      <c r="L25" s="355" t="s">
        <v>153</v>
      </c>
      <c r="M25" s="355"/>
      <c r="N25" s="355"/>
      <c r="O25" s="355"/>
      <c r="P25" s="355"/>
      <c r="Q25" s="355"/>
      <c r="R25" s="355"/>
      <c r="S25" s="355"/>
      <c r="U25" s="355" t="s">
        <v>168</v>
      </c>
      <c r="V25" s="355"/>
      <c r="W25" s="355"/>
      <c r="X25" s="355"/>
      <c r="Y25" s="355"/>
      <c r="Z25" s="355"/>
      <c r="AA25" s="355"/>
    </row>
    <row r="26" spans="1:27" x14ac:dyDescent="0.2">
      <c r="A26" s="31" t="s">
        <v>57</v>
      </c>
      <c r="B26" s="49" t="s">
        <v>141</v>
      </c>
      <c r="C26" s="49" t="s">
        <v>142</v>
      </c>
      <c r="D26" s="49" t="s">
        <v>143</v>
      </c>
      <c r="E26" s="49" t="s">
        <v>144</v>
      </c>
      <c r="F26" s="49" t="s">
        <v>145</v>
      </c>
      <c r="G26" s="49" t="s">
        <v>146</v>
      </c>
      <c r="H26" s="49" t="s">
        <v>147</v>
      </c>
      <c r="I26" s="49" t="s">
        <v>148</v>
      </c>
      <c r="J26" s="49" t="s">
        <v>149</v>
      </c>
      <c r="K26" s="31" t="s">
        <v>57</v>
      </c>
      <c r="L26" s="49" t="s">
        <v>158</v>
      </c>
      <c r="M26" s="49" t="s">
        <v>159</v>
      </c>
      <c r="N26" s="49" t="s">
        <v>160</v>
      </c>
      <c r="O26" s="49" t="s">
        <v>161</v>
      </c>
      <c r="P26" s="49" t="s">
        <v>162</v>
      </c>
      <c r="Q26" s="49" t="s">
        <v>163</v>
      </c>
      <c r="R26" s="49" t="s">
        <v>164</v>
      </c>
      <c r="S26" s="49" t="s">
        <v>165</v>
      </c>
      <c r="T26" s="31" t="s">
        <v>57</v>
      </c>
      <c r="U26" s="49" t="s">
        <v>169</v>
      </c>
      <c r="V26" s="49" t="s">
        <v>170</v>
      </c>
      <c r="W26" s="49" t="s">
        <v>171</v>
      </c>
      <c r="X26" s="49" t="s">
        <v>172</v>
      </c>
      <c r="Y26" s="49" t="s">
        <v>173</v>
      </c>
      <c r="Z26" s="49" t="s">
        <v>174</v>
      </c>
      <c r="AA26" s="49" t="s">
        <v>175</v>
      </c>
    </row>
    <row r="27" spans="1:27" x14ac:dyDescent="0.2">
      <c r="A27" s="277">
        <v>1</v>
      </c>
      <c r="B27" s="1">
        <f>'1x2'!E21</f>
        <v>-90.321824013684903</v>
      </c>
      <c r="C27" s="1">
        <f>'1x3'!E21</f>
        <v>38.078860090907135</v>
      </c>
      <c r="D27" s="1">
        <f>'1x4'!E21</f>
        <v>30.725396746957941</v>
      </c>
      <c r="E27" s="1">
        <f>'1x5'!E21</f>
        <v>31.586896549486926</v>
      </c>
      <c r="F27" s="1">
        <f>'1x6'!E21</f>
        <v>34.43065747220021</v>
      </c>
      <c r="G27" s="1">
        <f>'1x7'!E21</f>
        <v>38.139987362557228</v>
      </c>
      <c r="H27" s="1">
        <f>'1x8'!E21</f>
        <v>42.331597861776075</v>
      </c>
      <c r="I27" s="1">
        <f>'1x9'!E21</f>
        <v>46.823531079243601</v>
      </c>
      <c r="J27" s="1">
        <f>'1x10'!E21</f>
        <v>51.511856158035869</v>
      </c>
      <c r="K27" s="277">
        <v>1</v>
      </c>
      <c r="L27" s="1">
        <f>'2x4'!D33</f>
        <v>4</v>
      </c>
      <c r="M27" s="1">
        <f>'2x4'!E21</f>
        <v>-11.578872821716432</v>
      </c>
      <c r="N27" s="1">
        <f>'2x5'!E21</f>
        <v>-15.628456153353872</v>
      </c>
      <c r="O27" s="1">
        <f>'2x6'!E21</f>
        <v>-19.665071703193625</v>
      </c>
      <c r="P27" s="1">
        <f>'2x7'!E21</f>
        <v>-23.616878480096837</v>
      </c>
      <c r="Q27" s="1">
        <f>'2x8'!E21</f>
        <v>-27.468754798860118</v>
      </c>
      <c r="R27" s="1">
        <f>'2x9'!E21</f>
        <v>-31.231296851704446</v>
      </c>
      <c r="S27" s="1">
        <f>'2x10'!E21</f>
        <v>-34.923083192027413</v>
      </c>
      <c r="T27" s="277">
        <v>1</v>
      </c>
      <c r="U27" s="1">
        <f>'3x4'!E21</f>
        <v>-6.4967026071541616</v>
      </c>
      <c r="V27" s="1">
        <f>'3x5'!E21</f>
        <v>-8.3674106720545645</v>
      </c>
      <c r="W27" s="1">
        <f>'3x6'!E21</f>
        <v>-10.223326742651491</v>
      </c>
      <c r="X27" s="1">
        <f>'3x7'!E21</f>
        <v>-12.056927852852962</v>
      </c>
      <c r="Y27" s="1">
        <f>'3x8'!E21</f>
        <v>-13.869044014560297</v>
      </c>
      <c r="Z27" s="1">
        <f>'3x9'!E21</f>
        <v>-15.66346647474243</v>
      </c>
      <c r="AA27" s="1">
        <f>'3x10'!E21</f>
        <v>-17.444437310166972</v>
      </c>
    </row>
    <row r="28" spans="1:27" x14ac:dyDescent="0.2">
      <c r="A28">
        <v>2</v>
      </c>
      <c r="B28" s="1">
        <f>'1x2'!E22</f>
        <v>19.763091965302699</v>
      </c>
      <c r="C28" s="1">
        <f>'1x3'!E22</f>
        <v>27.560313968421401</v>
      </c>
      <c r="D28" s="1">
        <f>'1x4'!E22</f>
        <v>40.124499275269557</v>
      </c>
      <c r="E28" s="1">
        <f>'1x5'!E22</f>
        <v>56.433517001417954</v>
      </c>
      <c r="F28" s="1">
        <f>'1x6'!E22</f>
        <v>76.3644029252482</v>
      </c>
      <c r="G28" s="1">
        <f>'1x7'!E22</f>
        <v>99.906541318001857</v>
      </c>
      <c r="H28" s="1">
        <f>'1x8'!E22</f>
        <v>127.0600790155766</v>
      </c>
      <c r="I28" s="1">
        <f>'1x9'!E22</f>
        <v>157.81811815888599</v>
      </c>
      <c r="J28" s="1">
        <f>'1x10'!E22</f>
        <v>192.16644919694235</v>
      </c>
      <c r="K28">
        <v>2</v>
      </c>
      <c r="L28" s="1">
        <f>'2x4'!D34</f>
        <v>24</v>
      </c>
      <c r="M28" s="1">
        <f>'2x4'!E22</f>
        <v>-124.48295797965838</v>
      </c>
      <c r="N28" s="1">
        <f>'2x5'!E22</f>
        <v>-243.5947332507474</v>
      </c>
      <c r="O28" s="1">
        <f>'2x6'!E22</f>
        <v>-414.34616954518134</v>
      </c>
      <c r="P28" s="1">
        <f>'2x7'!E22</f>
        <v>-632.37555314339102</v>
      </c>
      <c r="Q28" s="1">
        <f>'2x8'!E22</f>
        <v>-889.20833893845008</v>
      </c>
      <c r="R28" s="1">
        <f>'2x9'!E22</f>
        <v>-1177.0672696480187</v>
      </c>
      <c r="S28" s="1">
        <f>'2x10'!E22</f>
        <v>-1491.0667371113095</v>
      </c>
      <c r="T28">
        <v>2</v>
      </c>
      <c r="U28" s="1">
        <f>'3x4'!E22</f>
        <v>-36.691859129425474</v>
      </c>
      <c r="V28" s="1">
        <f>'3x5'!E22</f>
        <v>-57.638783465539554</v>
      </c>
      <c r="W28" s="1">
        <f>'3x6'!E22</f>
        <v>-83.017319010307403</v>
      </c>
      <c r="X28" s="1">
        <f>'3x7'!E22</f>
        <v>-112.6174201263907</v>
      </c>
      <c r="Y28" s="1">
        <f>'3x8'!E22</f>
        <v>-146.31276519429122</v>
      </c>
      <c r="Z28" s="1">
        <f>'3x9'!E22</f>
        <v>-184.04369193334594</v>
      </c>
      <c r="AA28" s="1">
        <f>'3x10'!E22</f>
        <v>-225.79280012052092</v>
      </c>
    </row>
    <row r="29" spans="1:27" x14ac:dyDescent="0.2">
      <c r="A29">
        <v>3</v>
      </c>
      <c r="B29" s="1">
        <f>'1x2'!E23</f>
        <v>30.023189886264088</v>
      </c>
      <c r="C29" s="1">
        <f>'1x3'!E23</f>
        <v>63.775384111327512</v>
      </c>
      <c r="D29" s="1">
        <f>'1x4'!E23</f>
        <v>124.17902306604816</v>
      </c>
      <c r="E29" s="1">
        <f>'1x5'!E23</f>
        <v>218.57876596249932</v>
      </c>
      <c r="F29" s="1">
        <f>'1x6'!E23</f>
        <v>354.98744676314726</v>
      </c>
      <c r="G29" s="1">
        <f>'1x7'!E23</f>
        <v>541.57978168665011</v>
      </c>
      <c r="H29" s="1">
        <f>'1x8'!E23</f>
        <v>786.5574697188822</v>
      </c>
      <c r="I29" s="1">
        <f>'1x9'!E23</f>
        <v>1098.0914074461527</v>
      </c>
      <c r="J29" s="1">
        <f>'1x10'!E23</f>
        <v>1484.3006520345455</v>
      </c>
      <c r="K29">
        <v>3</v>
      </c>
      <c r="L29" s="1">
        <f>'2x4'!D35</f>
        <v>124</v>
      </c>
      <c r="M29" s="1">
        <f>'2x4'!E23</f>
        <v>-954.86669305732312</v>
      </c>
      <c r="N29" s="1">
        <f>'2x5'!E23</f>
        <v>-3601.3775151264158</v>
      </c>
      <c r="O29" s="1">
        <f>'2x6'!E23</f>
        <v>-15317.282003726306</v>
      </c>
      <c r="P29" s="1">
        <f>'2x7'!E23</f>
        <v>-281341.76788069075</v>
      </c>
      <c r="Q29" s="1">
        <f>'2x8'!E23</f>
        <v>75618.507174429382</v>
      </c>
      <c r="R29" s="1">
        <f>'2x9'!E23</f>
        <v>62228.15567317899</v>
      </c>
      <c r="S29" s="1">
        <f>'2x10'!E23</f>
        <v>67665.269781395487</v>
      </c>
      <c r="T29">
        <v>3</v>
      </c>
      <c r="U29" s="1">
        <f>'3x4'!E23</f>
        <v>-158.73532288996952</v>
      </c>
      <c r="V29" s="1">
        <f>'3x5'!E23</f>
        <v>-308.62616652042789</v>
      </c>
      <c r="W29" s="1">
        <f>'3x6'!E23</f>
        <v>-530.67119833661718</v>
      </c>
      <c r="X29" s="1">
        <f>'3x7'!E23</f>
        <v>-837.17399719866262</v>
      </c>
      <c r="Y29" s="1">
        <f>'3x8'!E23</f>
        <v>-1240.2162276801184</v>
      </c>
      <c r="Z29" s="1">
        <f>'3x9'!E23</f>
        <v>-1751.9920943126695</v>
      </c>
      <c r="AA29" s="1">
        <f>'3x10'!E23</f>
        <v>-2384.9225703950051</v>
      </c>
    </row>
    <row r="30" spans="1:27" x14ac:dyDescent="0.2">
      <c r="A30">
        <v>4</v>
      </c>
      <c r="B30" s="1">
        <f>'1x2'!E24</f>
        <v>53.209916923481771</v>
      </c>
      <c r="C30" s="1">
        <f>'1x3'!E24</f>
        <v>167.72448198177628</v>
      </c>
      <c r="D30" s="1">
        <f>'1x4'!E24</f>
        <v>436.70633650462474</v>
      </c>
      <c r="E30" s="1">
        <f>'1x5'!E24</f>
        <v>964.35317527204825</v>
      </c>
      <c r="F30" s="1">
        <f>'1x6'!E24</f>
        <v>1884.2863937459429</v>
      </c>
      <c r="G30" s="1">
        <f>'1x7'!E24</f>
        <v>3359.3128107487778</v>
      </c>
      <c r="H30" s="1">
        <f>'1x8'!E24</f>
        <v>5581.2411220273252</v>
      </c>
      <c r="I30" s="1">
        <f>'1x9'!E24</f>
        <v>8770.6321628464557</v>
      </c>
      <c r="J30" s="1">
        <f>'1x10'!E24</f>
        <v>13176.560083374954</v>
      </c>
      <c r="K30">
        <v>4</v>
      </c>
      <c r="L30" s="1">
        <f>'2x4'!D36</f>
        <v>624</v>
      </c>
      <c r="M30" s="1">
        <f>'2x4'!E24</f>
        <v>-6093.0855552770263</v>
      </c>
      <c r="N30" s="1">
        <f>'2x5'!E24</f>
        <v>-128629.41163885496</v>
      </c>
      <c r="O30" s="1">
        <f>'2x6'!E24</f>
        <v>67349.073704051334</v>
      </c>
      <c r="P30" s="1">
        <f>'2x7'!E24</f>
        <v>69518.675856905073</v>
      </c>
      <c r="Q30" s="1">
        <f>'2x8'!E24</f>
        <v>92698.127346267793</v>
      </c>
      <c r="R30" s="1">
        <f>'2x9'!E24</f>
        <v>130468.50248918221</v>
      </c>
      <c r="S30" s="1">
        <f>'2x10'!E24</f>
        <v>184575.34916411579</v>
      </c>
      <c r="T30">
        <v>4</v>
      </c>
      <c r="U30" s="1">
        <f>'3x4'!E24</f>
        <v>-647.06495180049387</v>
      </c>
      <c r="V30" s="1">
        <f>'3x5'!E24</f>
        <v>-1567.2234698070415</v>
      </c>
      <c r="W30" s="1">
        <f>'3x6'!E24</f>
        <v>-3229.9492482769315</v>
      </c>
      <c r="X30" s="1">
        <f>'3x7'!E24</f>
        <v>-5942.0520826214306</v>
      </c>
      <c r="Y30" s="1">
        <f>'3x8'!E24</f>
        <v>-10058.125038084432</v>
      </c>
      <c r="Z30" s="1">
        <f>'3x9'!E24</f>
        <v>-15982.566770140294</v>
      </c>
      <c r="AA30" s="1">
        <f>'3x10'!E24</f>
        <v>-24171.416585163126</v>
      </c>
    </row>
    <row r="31" spans="1:27" x14ac:dyDescent="0.2">
      <c r="A31">
        <v>5</v>
      </c>
      <c r="B31" s="1">
        <f>'1x2'!E25</f>
        <v>98.616574747062955</v>
      </c>
      <c r="C31" s="1">
        <f>'1x3'!E25</f>
        <v>463.39959276198863</v>
      </c>
      <c r="D31" s="1">
        <f>'1x4'!E25</f>
        <v>1618.1191401733438</v>
      </c>
      <c r="E31" s="1">
        <f>'1x5'!E25</f>
        <v>4487.9643013937275</v>
      </c>
      <c r="F31" s="1">
        <f>'1x6'!E25</f>
        <v>10555.539317271388</v>
      </c>
      <c r="G31" s="1">
        <f>'1x7'!E25</f>
        <v>21996.232417890162</v>
      </c>
      <c r="H31" s="1">
        <f>'1x8'!E25</f>
        <v>41813.09377937996</v>
      </c>
      <c r="I31" s="1">
        <f>'1x9'!E25</f>
        <v>73970.572837175612</v>
      </c>
      <c r="J31" s="1">
        <f>'1x10'!E25</f>
        <v>123527.27565077659</v>
      </c>
      <c r="K31">
        <v>5</v>
      </c>
      <c r="L31" s="1">
        <f>'2x4'!D37</f>
        <v>3124</v>
      </c>
      <c r="M31" s="1">
        <f>'2x4'!E25</f>
        <v>-33407.510964231624</v>
      </c>
      <c r="N31" s="1">
        <f>'2x5'!E25</f>
        <v>325907.27896096068</v>
      </c>
      <c r="O31" s="1">
        <f>'2x6'!E25</f>
        <v>216598.71211161552</v>
      </c>
      <c r="P31" s="1">
        <f>'2x7'!E25</f>
        <v>318891.03163038084</v>
      </c>
      <c r="Q31" s="1">
        <f>'2x8'!E25</f>
        <v>517033.10143796401</v>
      </c>
      <c r="R31" s="1">
        <f>'2x9'!E25</f>
        <v>841395.73127633834</v>
      </c>
      <c r="S31" s="1">
        <f>'2x10'!E25</f>
        <v>1341186.4575806006</v>
      </c>
      <c r="T31">
        <v>5</v>
      </c>
      <c r="U31" s="1">
        <f>'3x4'!E25</f>
        <v>-2600.2532812623053</v>
      </c>
      <c r="V31" s="1">
        <f>'3x5'!E25</f>
        <v>-7864.1282761665061</v>
      </c>
      <c r="W31" s="1">
        <f>'3x6'!E25</f>
        <v>-19445.120063485116</v>
      </c>
      <c r="X31" s="1">
        <f>'3x7'!E25</f>
        <v>-41735.214953480441</v>
      </c>
      <c r="Y31" s="1">
        <f>'3x8'!E25</f>
        <v>-80741.272725738861</v>
      </c>
      <c r="Z31" s="1">
        <f>'3x9'!E25</f>
        <v>-144342.85285580912</v>
      </c>
      <c r="AA31" s="1">
        <f>'3x10'!E25</f>
        <v>-242560.60837392014</v>
      </c>
    </row>
    <row r="32" spans="1:27" x14ac:dyDescent="0.2">
      <c r="A32">
        <v>6</v>
      </c>
      <c r="B32" s="1">
        <f>'1x2'!E26</f>
        <v>186.67803833805183</v>
      </c>
      <c r="C32" s="1">
        <f>'1x3'!E26</f>
        <v>1314.6294555272668</v>
      </c>
      <c r="D32" s="1">
        <f>'1x4'!E26</f>
        <v>6162.374432304302</v>
      </c>
      <c r="E32" s="1">
        <f>'1x5'!E26</f>
        <v>21464.787553787923</v>
      </c>
      <c r="F32" s="1">
        <f>'1x6'!E26</f>
        <v>60751.440959747088</v>
      </c>
      <c r="G32" s="1">
        <f>'1x7'!E26</f>
        <v>147941.19243262155</v>
      </c>
      <c r="H32" s="1">
        <f>'1x8'!E26</f>
        <v>321713.24675988109</v>
      </c>
      <c r="I32" s="1">
        <f>'1x9'!E26</f>
        <v>640647.95567755355</v>
      </c>
      <c r="J32" s="1">
        <f>'1x10'!E26</f>
        <v>1189132.6013684438</v>
      </c>
      <c r="K32">
        <v>6</v>
      </c>
      <c r="L32" s="1">
        <f>'2x4'!D38</f>
        <v>15624</v>
      </c>
      <c r="M32" s="1">
        <f>'2x4'!E26</f>
        <v>-162027.07347089431</v>
      </c>
      <c r="N32" s="1">
        <f>'2x5'!E26</f>
        <v>928701.27386309044</v>
      </c>
      <c r="O32" s="1">
        <f>'2x6'!E26</f>
        <v>1048545.6311029387</v>
      </c>
      <c r="P32" s="1">
        <f>'2x7'!E26</f>
        <v>1890382.0630414917</v>
      </c>
      <c r="Q32" s="1">
        <f>'2x8'!E26</f>
        <v>3564578.3255737666</v>
      </c>
      <c r="R32" s="1">
        <f>'2x9'!E26</f>
        <v>6579316.6956934389</v>
      </c>
      <c r="S32" s="1">
        <f>'2x10'!E26</f>
        <v>11702398.906579057</v>
      </c>
      <c r="T32">
        <v>6</v>
      </c>
      <c r="U32" s="1">
        <f>'3x4'!E26</f>
        <v>-10412.815405540967</v>
      </c>
      <c r="V32" s="1">
        <f>'3x5'!E26</f>
        <v>-39353.387332547092</v>
      </c>
      <c r="W32" s="1">
        <f>'3x6'!E26</f>
        <v>-116766.13730932001</v>
      </c>
      <c r="X32" s="1">
        <f>'3x7'!E26</f>
        <v>-292396.0644368871</v>
      </c>
      <c r="Y32" s="1">
        <f>'3x8'!E26</f>
        <v>-646505.23323382076</v>
      </c>
      <c r="Z32" s="1">
        <f>'3x9'!E26</f>
        <v>-1300276.4321143113</v>
      </c>
      <c r="AA32" s="1">
        <f>'3x10'!E26</f>
        <v>-2427871.5866078781</v>
      </c>
    </row>
    <row r="33" spans="1:27" x14ac:dyDescent="0.2">
      <c r="A33">
        <v>7</v>
      </c>
      <c r="B33" s="1">
        <f>'1x2'!E27</f>
        <v>357.96040940683321</v>
      </c>
      <c r="C33" s="1">
        <f>'1x3'!E27</f>
        <v>3790.1438977220832</v>
      </c>
      <c r="D33" s="1">
        <f>'1x4'!E27</f>
        <v>23848.048315002903</v>
      </c>
      <c r="E33" s="1">
        <f>'1x5'!E27</f>
        <v>104268.09501430579</v>
      </c>
      <c r="F33" s="1">
        <f>'1x6'!E27</f>
        <v>354976.91989176424</v>
      </c>
      <c r="G33" s="1">
        <f>'1x7'!E27</f>
        <v>1009894.2255823287</v>
      </c>
      <c r="H33" s="1">
        <f>'1x8'!E27</f>
        <v>2511856.272303558</v>
      </c>
      <c r="I33" s="1">
        <f>'1x9'!E27</f>
        <v>5629915.3108487558</v>
      </c>
      <c r="J33" s="1">
        <f>'1x10'!E27</f>
        <v>11614244.539917899</v>
      </c>
      <c r="K33">
        <v>7</v>
      </c>
      <c r="L33" s="1">
        <f>'2x4'!D39</f>
        <v>78124</v>
      </c>
      <c r="M33" s="1">
        <f>'2x4'!E27</f>
        <v>-721778.44854588783</v>
      </c>
      <c r="N33" s="1">
        <f>'2x5'!E27</f>
        <v>3810700.1849855483</v>
      </c>
      <c r="O33" s="1">
        <f>'2x6'!E27</f>
        <v>5713166.3392866272</v>
      </c>
      <c r="P33" s="1">
        <f>'2x7'!E27</f>
        <v>12234099.417918762</v>
      </c>
      <c r="Q33" s="1">
        <f>'2x8'!E27</f>
        <v>26541610.374494039</v>
      </c>
      <c r="R33" s="1">
        <f>'2x9'!E27</f>
        <v>55286382.103355266</v>
      </c>
      <c r="S33" s="1">
        <f>'2x10'!E27</f>
        <v>109442194.04043916</v>
      </c>
      <c r="T33">
        <v>7</v>
      </c>
      <c r="U33" s="1">
        <f>'3x4'!E27</f>
        <v>-41662.866086613256</v>
      </c>
      <c r="V33" s="1">
        <f>'3x5'!E27</f>
        <v>-196805.58960658323</v>
      </c>
      <c r="W33" s="1">
        <f>'3x6'!E27</f>
        <v>-700738.92245093896</v>
      </c>
      <c r="X33" s="1">
        <f>'3x7'!E27</f>
        <v>-2047223.5511562328</v>
      </c>
      <c r="Y33" s="1">
        <f>'3x8'!E27</f>
        <v>-5173257.6197565179</v>
      </c>
      <c r="Z33" s="1">
        <f>'3x9'!E27</f>
        <v>-11705357.568931773</v>
      </c>
      <c r="AA33" s="1">
        <f>'3x10'!E27</f>
        <v>-24284828.701641463</v>
      </c>
    </row>
    <row r="34" spans="1:27" x14ac:dyDescent="0.2">
      <c r="A34">
        <v>8</v>
      </c>
      <c r="B34" s="1">
        <f>'1x2'!E28</f>
        <v>692.53049652658819</v>
      </c>
      <c r="C34" s="1">
        <f>'1x3'!E28</f>
        <v>11042.447055962262</v>
      </c>
      <c r="D34" s="1">
        <f>'1x4'!E28</f>
        <v>93220.099954132893</v>
      </c>
      <c r="E34" s="1">
        <f>'1x5'!E28</f>
        <v>511315.06838824082</v>
      </c>
      <c r="F34" s="1">
        <f>'1x6'!E28</f>
        <v>2093082.162032231</v>
      </c>
      <c r="G34" s="1">
        <f>'1x7'!E28</f>
        <v>6955001.1310954532</v>
      </c>
      <c r="H34" s="1">
        <f>'1x8'!E28</f>
        <v>19782842.437345088</v>
      </c>
      <c r="I34" s="1">
        <f>'1x9'!E28</f>
        <v>49901318.832643844</v>
      </c>
      <c r="J34" s="1">
        <f>'1x10'!E28</f>
        <v>114407656.28924657</v>
      </c>
      <c r="K34">
        <v>8</v>
      </c>
      <c r="L34" s="1">
        <f>'2x4'!D40</f>
        <v>390624</v>
      </c>
      <c r="M34" s="1">
        <f>'2x4'!E28</f>
        <v>-3055050.9132255148</v>
      </c>
      <c r="N34" s="1">
        <f>'2x5'!E28</f>
        <v>17452086.197046001</v>
      </c>
      <c r="O34" s="1">
        <f>'2x6'!E28</f>
        <v>32693223.511440177</v>
      </c>
      <c r="P34" s="1">
        <f>'2x7'!E28</f>
        <v>82300860.899766982</v>
      </c>
      <c r="Q34" s="1">
        <f>'2x8'!E28</f>
        <v>204635214.16133705</v>
      </c>
      <c r="R34" s="1">
        <f>'2x9'!E28</f>
        <v>480171445.86875266</v>
      </c>
      <c r="S34" s="1">
        <f>'2x10'!E28</f>
        <v>1056861018.1696687</v>
      </c>
      <c r="T34">
        <v>8</v>
      </c>
      <c r="U34" s="1">
        <f>'3x4'!E28</f>
        <v>-166662.87686416745</v>
      </c>
      <c r="V34" s="1">
        <f>'3x5'!E28</f>
        <v>-984074.024839447</v>
      </c>
      <c r="W34" s="1">
        <f>'3x6'!E28</f>
        <v>-4204648.4877765346</v>
      </c>
      <c r="X34" s="1">
        <f>'3x7'!E28</f>
        <v>-14331390.147887953</v>
      </c>
      <c r="Y34" s="1">
        <f>'3x8'!E28</f>
        <v>-41388651.875563346</v>
      </c>
      <c r="Z34" s="1">
        <f>'3x9'!E28</f>
        <v>-105355169.43088429</v>
      </c>
      <c r="AA34" s="1">
        <f>'3x10'!E28</f>
        <v>-242864834.5821017</v>
      </c>
    </row>
    <row r="35" spans="1:27" x14ac:dyDescent="0.2">
      <c r="A35">
        <v>9</v>
      </c>
      <c r="B35" s="1">
        <f>'1x2'!E29</f>
        <v>1348.5520190232075</v>
      </c>
      <c r="C35" s="1">
        <f>'1x3'!E29</f>
        <v>32402.153519205061</v>
      </c>
      <c r="D35" s="1">
        <f>'1x4'!E29</f>
        <v>366792.82616911479</v>
      </c>
      <c r="E35" s="1">
        <f>'1x5'!E29</f>
        <v>2522660.0679048486</v>
      </c>
      <c r="F35" s="1">
        <f>'1x6'!E29</f>
        <v>12412443.381014671</v>
      </c>
      <c r="G35" s="1">
        <f>'1x7'!E29</f>
        <v>48162768.960126683</v>
      </c>
      <c r="H35" s="1">
        <f>'1x8'!E29</f>
        <v>156646176.90993437</v>
      </c>
      <c r="I35" s="1">
        <f>'1x9'!E29</f>
        <v>444657754.50992978</v>
      </c>
      <c r="J35" s="1">
        <f>'1x10'!E29</f>
        <v>1132929267.9472141</v>
      </c>
      <c r="K35">
        <v>9</v>
      </c>
      <c r="L35" s="1">
        <f>'2x4'!D41</f>
        <v>1953124</v>
      </c>
      <c r="M35" s="1">
        <f>'2x4'!E29</f>
        <v>-12575039.99390506</v>
      </c>
      <c r="N35" s="1">
        <f>'2x5'!E29</f>
        <v>83650979.300642297</v>
      </c>
      <c r="O35" s="1">
        <f>'2x6'!E29</f>
        <v>191465032.22023821</v>
      </c>
      <c r="P35" s="1">
        <f>'2x7'!E29</f>
        <v>564233786.31321836</v>
      </c>
      <c r="Q35" s="1">
        <f>'2x8'!E29</f>
        <v>1605321319.2872725</v>
      </c>
      <c r="R35" s="1">
        <f>'2x9'!E29</f>
        <v>4240076961.085135</v>
      </c>
      <c r="S35" s="1">
        <f>'2x10'!E29</f>
        <v>10372343179.990631</v>
      </c>
      <c r="T35">
        <v>9</v>
      </c>
      <c r="U35" s="1">
        <f>'3x4'!E29</f>
        <v>-666662.73647338245</v>
      </c>
      <c r="V35" s="1">
        <f>'3x5'!E29</f>
        <v>-4920425.5470668403</v>
      </c>
      <c r="W35" s="1">
        <f>'3x6'!E29</f>
        <v>-25228219.652107172</v>
      </c>
      <c r="X35" s="1">
        <f>'3x7'!E29</f>
        <v>-100321251.30624259</v>
      </c>
      <c r="Y35" s="1">
        <f>'3x8'!E29</f>
        <v>-331114758.14053047</v>
      </c>
      <c r="Z35" s="1">
        <f>'3x9'!E29</f>
        <v>-948213400.48600161</v>
      </c>
      <c r="AA35" s="1">
        <f>'3x10'!E29</f>
        <v>-2428693197.1314635</v>
      </c>
    </row>
    <row r="36" spans="1:27" x14ac:dyDescent="0.2">
      <c r="A36">
        <v>10</v>
      </c>
      <c r="B36" s="1">
        <f>'1x2'!E30</f>
        <v>2638.9154673835865</v>
      </c>
      <c r="C36" s="1">
        <f>'1x3'!E30</f>
        <v>95557.732679988854</v>
      </c>
      <c r="D36" s="1">
        <f>'1x4'!E30</f>
        <v>1449693.7949543572</v>
      </c>
      <c r="E36" s="1">
        <f>'1x5'!E30</f>
        <v>12496135.538177572</v>
      </c>
      <c r="F36" s="1">
        <f>'1x6'!E30</f>
        <v>73883547.116060197</v>
      </c>
      <c r="G36" s="1">
        <f>'1x7'!E30</f>
        <v>334709232.24577355</v>
      </c>
      <c r="H36" s="1">
        <f>'1x8'!E30</f>
        <v>1244647956.6432714</v>
      </c>
      <c r="I36" s="1">
        <f>'1x9'!E30</f>
        <v>3975645489.3590569</v>
      </c>
      <c r="J36" s="1">
        <f>'1x10'!E30</f>
        <v>11256461925.879995</v>
      </c>
      <c r="K36">
        <v>10</v>
      </c>
      <c r="L36" s="1">
        <f>'2x4'!D42</f>
        <v>9765624</v>
      </c>
      <c r="M36" s="1">
        <f>'2x4'!E30</f>
        <v>-51019877.177906573</v>
      </c>
      <c r="N36" s="1">
        <f>'2x5'!E30</f>
        <v>409542830.53671682</v>
      </c>
      <c r="O36" s="1">
        <f>'2x6'!E30</f>
        <v>1134371665.7671213</v>
      </c>
      <c r="P36" s="1">
        <f>'2x7'!E30</f>
        <v>3906074643.8480158</v>
      </c>
      <c r="Q36" s="1">
        <f>'2x8'!E30</f>
        <v>12707674832.328814</v>
      </c>
      <c r="R36" s="1">
        <f>'2x9'!E30</f>
        <v>37768575606.460472</v>
      </c>
      <c r="S36" s="1">
        <f>'2x10'!E30</f>
        <v>102669286469.81378</v>
      </c>
      <c r="T36">
        <v>10</v>
      </c>
      <c r="U36" s="1">
        <f>'3x4'!E30</f>
        <v>-2666662.0001167394</v>
      </c>
      <c r="V36" s="1">
        <f>'3x5'!E30</f>
        <v>-24602194.928740781</v>
      </c>
      <c r="W36" s="1">
        <f>'3x6'!E30</f>
        <v>-151369824.3358047</v>
      </c>
      <c r="X36" s="1">
        <f>'3x7'!E30</f>
        <v>-702251570.31285644</v>
      </c>
      <c r="Y36" s="1">
        <f>'3x8'!E30</f>
        <v>-2648929946.4794364</v>
      </c>
      <c r="Z36" s="1">
        <f>'3x9'!E30</f>
        <v>-8533961611.3739977</v>
      </c>
      <c r="AA36" s="1">
        <f>'3x10'!E30</f>
        <v>-24287053597.204681</v>
      </c>
    </row>
    <row r="37" spans="1:27" x14ac:dyDescent="0.2">
      <c r="B37" s="355" t="s">
        <v>154</v>
      </c>
      <c r="C37" s="355"/>
      <c r="D37" s="355"/>
      <c r="E37" s="355"/>
      <c r="F37" s="355"/>
      <c r="G37" s="355"/>
      <c r="H37" s="355"/>
      <c r="I37" s="355"/>
      <c r="J37" s="355"/>
      <c r="L37" s="355" t="s">
        <v>166</v>
      </c>
      <c r="M37" s="355"/>
      <c r="N37" s="355"/>
      <c r="O37" s="355"/>
      <c r="P37" s="355"/>
      <c r="Q37" s="355"/>
      <c r="R37" s="355"/>
      <c r="S37" s="355"/>
      <c r="U37" s="355" t="s">
        <v>166</v>
      </c>
      <c r="V37" s="355"/>
      <c r="W37" s="355"/>
      <c r="X37" s="355"/>
      <c r="Y37" s="355"/>
      <c r="Z37" s="355"/>
      <c r="AA37" s="355"/>
    </row>
    <row r="38" spans="1:27" x14ac:dyDescent="0.2">
      <c r="A38" s="31" t="s">
        <v>57</v>
      </c>
      <c r="B38" s="49" t="s">
        <v>141</v>
      </c>
      <c r="C38" s="49" t="s">
        <v>142</v>
      </c>
      <c r="D38" s="49" t="s">
        <v>143</v>
      </c>
      <c r="E38" s="49" t="s">
        <v>144</v>
      </c>
      <c r="F38" s="49" t="s">
        <v>145</v>
      </c>
      <c r="G38" s="49" t="s">
        <v>146</v>
      </c>
      <c r="H38" s="49" t="s">
        <v>147</v>
      </c>
      <c r="I38" s="49" t="s">
        <v>148</v>
      </c>
      <c r="J38" s="49" t="s">
        <v>149</v>
      </c>
      <c r="K38" s="31" t="s">
        <v>57</v>
      </c>
      <c r="L38" s="49" t="s">
        <v>158</v>
      </c>
      <c r="M38" s="49" t="s">
        <v>159</v>
      </c>
      <c r="N38" s="49" t="s">
        <v>160</v>
      </c>
      <c r="O38" s="49" t="s">
        <v>161</v>
      </c>
      <c r="P38" s="49" t="s">
        <v>162</v>
      </c>
      <c r="Q38" s="49" t="s">
        <v>163</v>
      </c>
      <c r="R38" s="49" t="s">
        <v>164</v>
      </c>
      <c r="S38" s="49" t="s">
        <v>165</v>
      </c>
      <c r="T38" s="31" t="s">
        <v>57</v>
      </c>
      <c r="U38" s="49" t="s">
        <v>169</v>
      </c>
      <c r="V38" s="49" t="s">
        <v>170</v>
      </c>
      <c r="W38" s="49" t="s">
        <v>171</v>
      </c>
      <c r="X38" s="49" t="s">
        <v>172</v>
      </c>
      <c r="Y38" s="49" t="s">
        <v>173</v>
      </c>
      <c r="Z38" s="49" t="s">
        <v>174</v>
      </c>
      <c r="AA38" s="49" t="s">
        <v>175</v>
      </c>
    </row>
    <row r="39" spans="1:27" x14ac:dyDescent="0.2">
      <c r="A39" s="277">
        <v>1</v>
      </c>
      <c r="B39" s="1">
        <f>'1x2'!E33</f>
        <v>-90.321824013684903</v>
      </c>
      <c r="C39" s="1">
        <f>'1x3'!E33</f>
        <v>38.078860090907135</v>
      </c>
      <c r="D39" s="1">
        <f>'1x4'!E33</f>
        <v>30.725396746957941</v>
      </c>
      <c r="E39" s="1">
        <f>'1x5'!E33</f>
        <v>31.586896549486926</v>
      </c>
      <c r="F39" s="1">
        <f>'1x6'!E33</f>
        <v>34.43065747220021</v>
      </c>
      <c r="G39" s="1">
        <f>'1x7'!E33</f>
        <v>38.139987362557228</v>
      </c>
      <c r="H39" s="1">
        <f>'1x8'!E33</f>
        <v>42.331597861776075</v>
      </c>
      <c r="I39" s="1">
        <f>'1x9'!E33</f>
        <v>46.823531079243601</v>
      </c>
      <c r="J39" s="1">
        <f>'1x10'!E33</f>
        <v>51.511856158035869</v>
      </c>
      <c r="K39" s="277">
        <v>1</v>
      </c>
      <c r="L39" s="1">
        <f>'2x3'!E21</f>
        <v>-7.6846806333682025</v>
      </c>
      <c r="M39" s="1">
        <f>'2x4'!E21</f>
        <v>-11.578872821716432</v>
      </c>
      <c r="N39" s="1">
        <f>'2x5'!E21</f>
        <v>-15.628456153353872</v>
      </c>
      <c r="O39" s="1">
        <f>'2x6'!E21</f>
        <v>-19.665071703193625</v>
      </c>
      <c r="P39" s="1">
        <f>'2x7'!E21</f>
        <v>-23.616878480096837</v>
      </c>
      <c r="Q39" s="1">
        <f>'2x8'!E21</f>
        <v>-27.468754798860118</v>
      </c>
      <c r="R39" s="1">
        <f>'2x9'!E21</f>
        <v>-31.231296851704446</v>
      </c>
      <c r="S39" s="1">
        <f>'2x10'!E21</f>
        <v>-34.923083192027413</v>
      </c>
      <c r="T39" s="277">
        <v>1</v>
      </c>
      <c r="U39" s="1">
        <f>'3x4'!E21</f>
        <v>-6.4967026071541616</v>
      </c>
      <c r="V39" s="1">
        <f>'3x5'!E33</f>
        <v>-8.3674106720545645</v>
      </c>
      <c r="W39" s="1">
        <f>'3x6'!E33</f>
        <v>-10.223326742651491</v>
      </c>
      <c r="X39" s="1">
        <f>'3x7'!E33</f>
        <v>-12.056927852852962</v>
      </c>
      <c r="Y39" s="1">
        <f>'3x8'!E33</f>
        <v>-13.869044014560297</v>
      </c>
      <c r="Z39" s="1">
        <f>'3x9'!E33</f>
        <v>-15.66346647474243</v>
      </c>
      <c r="AA39" s="1">
        <f>'3x10'!E33</f>
        <v>-17.444437310166972</v>
      </c>
    </row>
    <row r="40" spans="1:27" x14ac:dyDescent="0.2">
      <c r="A40">
        <v>2</v>
      </c>
      <c r="B40" s="1">
        <f>'1x2'!E34</f>
        <v>26.350789287070267</v>
      </c>
      <c r="C40" s="1">
        <f>'1x3'!E34</f>
        <v>34.45039246052675</v>
      </c>
      <c r="D40" s="1">
        <f>'1x4'!E34</f>
        <v>48.149399130323467</v>
      </c>
      <c r="E40" s="1">
        <f>'1x5'!E34</f>
        <v>65.839103168320946</v>
      </c>
      <c r="F40" s="1">
        <f>'1x6'!E34</f>
        <v>87.273603343140792</v>
      </c>
      <c r="G40" s="1">
        <f>'1x7'!E34</f>
        <v>112.39485898275208</v>
      </c>
      <c r="H40" s="1">
        <f>'1x8'!E34</f>
        <v>141.17786557286288</v>
      </c>
      <c r="I40" s="1">
        <f>'1x9'!E34</f>
        <v>173.5999299747746</v>
      </c>
      <c r="J40" s="1">
        <f>'1x10'!E34</f>
        <v>209.63612639666439</v>
      </c>
      <c r="K40">
        <v>2</v>
      </c>
      <c r="L40" s="1">
        <f>'2x3'!E22</f>
        <v>-52.985230251422351</v>
      </c>
      <c r="M40" s="1">
        <f>'2x4'!E22</f>
        <v>-124.48295797965838</v>
      </c>
      <c r="N40" s="1">
        <f>'2x5'!E22</f>
        <v>-243.5947332507474</v>
      </c>
      <c r="O40" s="1">
        <f>'2x6'!E22</f>
        <v>-414.34616954518134</v>
      </c>
      <c r="P40" s="1">
        <f>'2x7'!E22</f>
        <v>-632.37555314339102</v>
      </c>
      <c r="Q40" s="1">
        <f>'2x8'!E22</f>
        <v>-889.20833893845008</v>
      </c>
      <c r="R40" s="1">
        <f>'2x9'!E22</f>
        <v>-1177.0672696480187</v>
      </c>
      <c r="S40" s="1">
        <f>'2x10'!E22</f>
        <v>-1491.0667371113095</v>
      </c>
      <c r="T40">
        <v>2</v>
      </c>
      <c r="U40" s="1">
        <f>'3x4'!E22</f>
        <v>-36.691859129425474</v>
      </c>
      <c r="V40" s="1">
        <f>'3x5'!E34</f>
        <v>-67.245247376462814</v>
      </c>
      <c r="W40" s="1">
        <f>'3x6'!E34</f>
        <v>-94.876936011779875</v>
      </c>
      <c r="X40" s="1">
        <f>'3x7'!E34</f>
        <v>-126.69459764218954</v>
      </c>
      <c r="Y40" s="1">
        <f>'3x8'!E34</f>
        <v>-162.56973910476802</v>
      </c>
      <c r="Z40" s="1">
        <f>'3x9'!E34</f>
        <v>-202.44806112668053</v>
      </c>
      <c r="AA40" s="1">
        <f>'3x10'!E34</f>
        <v>-246.31941831329553</v>
      </c>
    </row>
    <row r="41" spans="1:27" x14ac:dyDescent="0.2">
      <c r="A41">
        <v>3</v>
      </c>
      <c r="B41" s="1">
        <f>'1x2'!E35</f>
        <v>55.757352645919021</v>
      </c>
      <c r="C41" s="1">
        <f>'1x3'!E35</f>
        <v>103.0217743336829</v>
      </c>
      <c r="D41" s="1">
        <f>'1x4'!E35</f>
        <v>183.31189119273776</v>
      </c>
      <c r="E41" s="1">
        <f>'1x5'!E35</f>
        <v>303.18990117378939</v>
      </c>
      <c r="F41" s="1">
        <f>'1x6'!E35</f>
        <v>470.56475501161378</v>
      </c>
      <c r="G41" s="1">
        <f>'1x7'!E35</f>
        <v>693.60217654606072</v>
      </c>
      <c r="H41" s="1">
        <f>'1x8'!E35</f>
        <v>980.50314718381208</v>
      </c>
      <c r="I41" s="1">
        <f>'1x9'!E35</f>
        <v>1339.430178313439</v>
      </c>
      <c r="J41" s="1">
        <f>'1x10'!E35</f>
        <v>1778.4863668522032</v>
      </c>
      <c r="K41">
        <v>3</v>
      </c>
      <c r="L41" s="1">
        <f>'2x3'!E23</f>
        <v>-234.65664385679665</v>
      </c>
      <c r="M41" s="1">
        <f>'2x4'!E23</f>
        <v>-954.86669305732312</v>
      </c>
      <c r="N41" s="1">
        <f>'2x5'!E23</f>
        <v>-3601.3775151264158</v>
      </c>
      <c r="O41" s="1">
        <f>'2x6'!E23</f>
        <v>-15317.282003726306</v>
      </c>
      <c r="P41" s="1">
        <f>'2x7'!E23</f>
        <v>-281341.76788069075</v>
      </c>
      <c r="Q41" s="1">
        <f>'2x8'!E23</f>
        <v>75618.507174429382</v>
      </c>
      <c r="R41" s="1">
        <f>'2x9'!E23</f>
        <v>62228.15567317899</v>
      </c>
      <c r="S41" s="1">
        <f>'2x10'!E23</f>
        <v>67665.269781395487</v>
      </c>
      <c r="T41">
        <v>3</v>
      </c>
      <c r="U41" s="1">
        <f>'3x4'!E23</f>
        <v>-158.73532288996952</v>
      </c>
      <c r="V41" s="1">
        <f>'3x5'!E35</f>
        <v>-428.09436001220644</v>
      </c>
      <c r="W41" s="1">
        <f>'3x6'!E35</f>
        <v>-703.44786756249255</v>
      </c>
      <c r="X41" s="1">
        <f>'3x7'!E35</f>
        <v>-1072.1702069386381</v>
      </c>
      <c r="Y41" s="1">
        <f>'3x8'!E35</f>
        <v>-1546.0229687519286</v>
      </c>
      <c r="Z41" s="1">
        <f>'3x9'!E35</f>
        <v>-2137.0453018539156</v>
      </c>
      <c r="AA41" s="1">
        <f>'3x10'!E35</f>
        <v>-2857.6099266895103</v>
      </c>
    </row>
    <row r="42" spans="1:27" x14ac:dyDescent="0.2">
      <c r="A42">
        <v>4</v>
      </c>
      <c r="B42" s="1">
        <f>'1x2'!E36</f>
        <v>141.8931117959514</v>
      </c>
      <c r="C42" s="1">
        <f>'1x3'!E36</f>
        <v>356.41452421127462</v>
      </c>
      <c r="D42" s="1">
        <f>'1x4'!E36</f>
        <v>801.48457052613492</v>
      </c>
      <c r="E42" s="1">
        <f>'1x5'!E36</f>
        <v>1601.0735409965416</v>
      </c>
      <c r="F42" s="1">
        <f>'1x6'!E36</f>
        <v>2910.0948165960508</v>
      </c>
      <c r="G42" s="1">
        <f>'1x7'!E36</f>
        <v>4912.9949857200872</v>
      </c>
      <c r="H42" s="1">
        <f>'1x8'!E36</f>
        <v>7823.2781539528323</v>
      </c>
      <c r="I42" s="1">
        <f>'1x9'!E36</f>
        <v>11883.136991368794</v>
      </c>
      <c r="J42" s="1">
        <f>'1x10'!E36</f>
        <v>17363.171883043145</v>
      </c>
      <c r="K42">
        <v>4</v>
      </c>
      <c r="L42" s="1">
        <f>'2x3'!E24</f>
        <v>-847.45458201118981</v>
      </c>
      <c r="M42" s="1">
        <f>'2x4'!E24</f>
        <v>-6093.0855552770263</v>
      </c>
      <c r="N42" s="1">
        <f>'2x5'!E24</f>
        <v>-128629.41163885496</v>
      </c>
      <c r="O42" s="1">
        <f>'2x6'!E24</f>
        <v>67349.073704051334</v>
      </c>
      <c r="P42" s="1">
        <f>'2x7'!E24</f>
        <v>69518.675856905073</v>
      </c>
      <c r="Q42" s="1">
        <f>'2x8'!E24</f>
        <v>92698.127346267793</v>
      </c>
      <c r="R42" s="1">
        <f>'2x9'!E24</f>
        <v>130468.50248918221</v>
      </c>
      <c r="S42" s="1">
        <f>'2x10'!E24</f>
        <v>184575.34916411579</v>
      </c>
      <c r="T42">
        <v>4</v>
      </c>
      <c r="U42" s="1">
        <f>'3x4'!E24</f>
        <v>-647.06495180049387</v>
      </c>
      <c r="V42" s="1">
        <f>'3x5'!E36</f>
        <v>-2601.9928120514342</v>
      </c>
      <c r="W42" s="1">
        <f>'3x6'!E36</f>
        <v>-4988.3386073775009</v>
      </c>
      <c r="X42" s="1">
        <f>'3x7'!E36</f>
        <v>-8690.2511708338425</v>
      </c>
      <c r="Y42" s="1">
        <f>'3x8'!E36</f>
        <v>-14098.568429451683</v>
      </c>
      <c r="Z42" s="1">
        <f>'3x9'!E36</f>
        <v>-21654.428880031544</v>
      </c>
      <c r="AA42" s="1">
        <f>'3x10'!E36</f>
        <v>-31851.443636974633</v>
      </c>
    </row>
    <row r="43" spans="1:27" x14ac:dyDescent="0.2">
      <c r="A43">
        <v>5</v>
      </c>
      <c r="B43" s="1">
        <f>'1x2'!E37</f>
        <v>384.92275949660058</v>
      </c>
      <c r="C43" s="1">
        <f>'1x3'!E37</f>
        <v>1305.9443068746953</v>
      </c>
      <c r="D43" s="1">
        <f>'1x4'!E37</f>
        <v>3706.0148049131421</v>
      </c>
      <c r="E43" s="1">
        <f>'1x5'!E37</f>
        <v>8935.7035706366787</v>
      </c>
      <c r="F43" s="1">
        <f>'1x6'!E37</f>
        <v>19013.547027445118</v>
      </c>
      <c r="G43" s="1">
        <f>'1x7'!E37</f>
        <v>36759.858603407301</v>
      </c>
      <c r="H43" s="1">
        <f>'1x8'!E37</f>
        <v>65930.879125315842</v>
      </c>
      <c r="I43" s="1">
        <f>'1x9'!E37</f>
        <v>111351.71857388677</v>
      </c>
      <c r="J43" s="1">
        <f>'1x10'!E37</f>
        <v>179048.4001760199</v>
      </c>
      <c r="K43">
        <v>5</v>
      </c>
      <c r="L43" s="1">
        <f>'2x3'!E25</f>
        <v>-2768.0542761958291</v>
      </c>
      <c r="M43" s="1">
        <f>'2x4'!E25</f>
        <v>-33407.510964231624</v>
      </c>
      <c r="N43" s="1">
        <f>'2x5'!E25</f>
        <v>325907.27896096068</v>
      </c>
      <c r="O43" s="1">
        <f>'2x6'!E25</f>
        <v>216598.71211161552</v>
      </c>
      <c r="P43" s="1">
        <f>'2x7'!E25</f>
        <v>318891.03163038084</v>
      </c>
      <c r="Q43" s="1">
        <f>'2x8'!E25</f>
        <v>517033.10143796401</v>
      </c>
      <c r="R43" s="1">
        <f>'2x9'!E25</f>
        <v>841395.73127633834</v>
      </c>
      <c r="S43" s="1">
        <f>'2x10'!E25</f>
        <v>1341186.4575806006</v>
      </c>
      <c r="T43">
        <v>5</v>
      </c>
      <c r="U43" s="1">
        <f>'3x4'!E25</f>
        <v>-2600.2532812623053</v>
      </c>
      <c r="V43" s="1">
        <f>'3x5'!E37</f>
        <v>-15657.771407732289</v>
      </c>
      <c r="W43" s="1">
        <f>'3x6'!E37</f>
        <v>-35026.225914997951</v>
      </c>
      <c r="X43" s="1">
        <f>'3x7'!E37</f>
        <v>-69747.426346748296</v>
      </c>
      <c r="Y43" s="1">
        <f>'3x8'!E37</f>
        <v>-127312.82503496658</v>
      </c>
      <c r="Z43" s="1">
        <f>'3x9'!E37</f>
        <v>-217286.74137391886</v>
      </c>
      <c r="AA43" s="1">
        <f>'3x10'!E37</f>
        <v>-351582.98963747494</v>
      </c>
    </row>
    <row r="44" spans="1:27" x14ac:dyDescent="0.2">
      <c r="A44">
        <v>6</v>
      </c>
      <c r="B44" s="1">
        <f>'1x2'!E38</f>
        <v>1078.5842215087439</v>
      </c>
      <c r="C44" s="1">
        <f>'1x3'!E38</f>
        <v>4929.860458227251</v>
      </c>
      <c r="D44" s="1">
        <f>'1x4'!E38</f>
        <v>17633.871452440002</v>
      </c>
      <c r="E44" s="1">
        <f>'1x5'!E38</f>
        <v>51276.992489604476</v>
      </c>
      <c r="F44" s="1">
        <f>'1x6'!E38</f>
        <v>127662.01418269434</v>
      </c>
      <c r="G44" s="1">
        <f>'1x7'!E38</f>
        <v>282550.4750820708</v>
      </c>
      <c r="H44" s="1">
        <f>'1x8'!E38</f>
        <v>570680.41822902882</v>
      </c>
      <c r="I44" s="1">
        <f>'1x9'!E38</f>
        <v>1071549.5258661546</v>
      </c>
      <c r="J44" s="1">
        <f>'1x10'!E38</f>
        <v>1895959.6721119245</v>
      </c>
      <c r="K44">
        <v>6</v>
      </c>
      <c r="L44" s="1">
        <f>'2x3'!E26</f>
        <v>-8624.7438035632022</v>
      </c>
      <c r="M44" s="1">
        <f>'2x4'!E26</f>
        <v>-162027.07347089431</v>
      </c>
      <c r="N44" s="1">
        <f>'2x5'!E26</f>
        <v>928701.27386309044</v>
      </c>
      <c r="O44" s="1">
        <f>'2x6'!E26</f>
        <v>1048545.6311029387</v>
      </c>
      <c r="P44" s="1">
        <f>'2x7'!E26</f>
        <v>1890382.0630414917</v>
      </c>
      <c r="Q44" s="1">
        <f>'2x8'!E26</f>
        <v>3564578.3255737666</v>
      </c>
      <c r="R44" s="1">
        <f>'2x9'!E26</f>
        <v>6579316.6956934389</v>
      </c>
      <c r="S44" s="1">
        <f>'2x10'!E26</f>
        <v>11702398.906579057</v>
      </c>
      <c r="T44">
        <v>6</v>
      </c>
      <c r="U44" s="1">
        <f>'3x4'!E26</f>
        <v>-10412.815405540967</v>
      </c>
      <c r="V44" s="1">
        <f>'3x5'!E38</f>
        <v>-94010.869738862501</v>
      </c>
      <c r="W44" s="1">
        <f>'3x6'!E38</f>
        <v>-245370.31618917015</v>
      </c>
      <c r="X44" s="1">
        <f>'3x7'!E38</f>
        <v>-558442.48353207798</v>
      </c>
      <c r="Y44" s="1">
        <f>'3x8'!E38</f>
        <v>-1146822.1486213976</v>
      </c>
      <c r="Z44" s="1">
        <f>'3x9'!E38</f>
        <v>-2174845.9227555809</v>
      </c>
      <c r="AA44" s="1">
        <f>'3x10'!E38</f>
        <v>-3871012.0401859875</v>
      </c>
    </row>
    <row r="45" spans="1:27" x14ac:dyDescent="0.2">
      <c r="A45">
        <v>7</v>
      </c>
      <c r="B45" s="1">
        <f>'1x2'!E39</f>
        <v>3080.7143896194389</v>
      </c>
      <c r="C45" s="1">
        <f>'1x3'!E39</f>
        <v>18936.848879652604</v>
      </c>
      <c r="D45" s="1">
        <f>'1x4'!E39</f>
        <v>85291.380999875793</v>
      </c>
      <c r="E45" s="1">
        <f>'1x5'!E39</f>
        <v>298891.90699738555</v>
      </c>
      <c r="F45" s="1">
        <f>'1x6'!E39</f>
        <v>870256.79342675768</v>
      </c>
      <c r="G45" s="1">
        <f>'1x7'!E39</f>
        <v>2204311.91651345</v>
      </c>
      <c r="H45" s="1">
        <f>'1x8'!E39</f>
        <v>5012687.2836761894</v>
      </c>
      <c r="I45" s="1">
        <f>'1x9'!E39</f>
        <v>10462893.886728862</v>
      </c>
      <c r="J45" s="1">
        <f>'1x10'!E39</f>
        <v>20369590.236344691</v>
      </c>
      <c r="K45">
        <v>7</v>
      </c>
      <c r="L45" s="1">
        <f>'2x3'!E27</f>
        <v>-26307.938407522426</v>
      </c>
      <c r="M45" s="1">
        <f>'2x4'!E27</f>
        <v>-721778.44854588783</v>
      </c>
      <c r="N45" s="1">
        <f>'2x5'!E27</f>
        <v>3810700.1849855483</v>
      </c>
      <c r="O45" s="1">
        <f>'2x6'!E27</f>
        <v>5713166.3392866272</v>
      </c>
      <c r="P45" s="1">
        <f>'2x7'!E27</f>
        <v>12234099.417918762</v>
      </c>
      <c r="Q45" s="1">
        <f>'2x8'!E27</f>
        <v>26541610.374494039</v>
      </c>
      <c r="R45" s="1">
        <f>'2x9'!E27</f>
        <v>55286382.103355266</v>
      </c>
      <c r="S45" s="1">
        <f>'2x10'!E27</f>
        <v>109442194.04043916</v>
      </c>
      <c r="T45">
        <v>7</v>
      </c>
      <c r="U45" s="1">
        <f>'3x4'!E27</f>
        <v>-41662.866086613256</v>
      </c>
      <c r="V45" s="1">
        <f>'3x5'!E39</f>
        <v>-564157.2139318916</v>
      </c>
      <c r="W45" s="1">
        <f>'3x6'!E39</f>
        <v>-1717922.4155401886</v>
      </c>
      <c r="X45" s="1">
        <f>'3x7'!E39</f>
        <v>-4468506.8547436511</v>
      </c>
      <c r="Y45" s="1">
        <f>'3x8'!E39</f>
        <v>-10323808.321227295</v>
      </c>
      <c r="Z45" s="1">
        <f>'3x9'!E39</f>
        <v>-21753775.569936242</v>
      </c>
      <c r="AA45" s="1">
        <f>'3x10'!E39</f>
        <v>-42591836.938862674</v>
      </c>
    </row>
    <row r="46" spans="1:27" x14ac:dyDescent="0.2">
      <c r="A46">
        <v>8</v>
      </c>
      <c r="B46" s="1">
        <f>'1x2'!E40</f>
        <v>8907.8432494400367</v>
      </c>
      <c r="C46" s="1">
        <f>'1x3'!E40</f>
        <v>73543.3707126511</v>
      </c>
      <c r="D46" s="1">
        <f>'1x4'!E40</f>
        <v>416731.61277733132</v>
      </c>
      <c r="E46" s="1">
        <f>'1x5'!E40</f>
        <v>1758852.4178563838</v>
      </c>
      <c r="F46" s="1">
        <f>'1x6'!E40</f>
        <v>5986590.2045426108</v>
      </c>
      <c r="G46" s="1">
        <f>'1x7'!E40</f>
        <v>17349463.141077615</v>
      </c>
      <c r="H46" s="1">
        <f>'1x8'!E40</f>
        <v>44413698.537209399</v>
      </c>
      <c r="I46" s="1">
        <f>'1x9'!E40</f>
        <v>103043222.35857154</v>
      </c>
      <c r="J46" s="1">
        <f>'1x10'!E40</f>
        <v>220718675.79747742</v>
      </c>
      <c r="K46">
        <v>8</v>
      </c>
      <c r="L46" s="1">
        <f>'2x3'!E28</f>
        <v>-79498.329778999556</v>
      </c>
      <c r="M46" s="1">
        <f>'2x4'!E28</f>
        <v>-3055050.9132255148</v>
      </c>
      <c r="N46" s="1">
        <f>'2x5'!E28</f>
        <v>17452086.197046001</v>
      </c>
      <c r="O46" s="1">
        <f>'2x6'!E28</f>
        <v>32693223.511440177</v>
      </c>
      <c r="P46" s="1">
        <f>'2x7'!E28</f>
        <v>82300860.899766982</v>
      </c>
      <c r="Q46" s="1">
        <f>'2x8'!E28</f>
        <v>204635214.16133705</v>
      </c>
      <c r="R46" s="1">
        <f>'2x9'!E28</f>
        <v>480171445.86875266</v>
      </c>
      <c r="S46" s="1">
        <f>'2x10'!E28</f>
        <v>1056861018.1696687</v>
      </c>
      <c r="T46">
        <v>8</v>
      </c>
      <c r="U46" s="1">
        <f>'3x4'!E28</f>
        <v>-166662.87686416745</v>
      </c>
      <c r="V46" s="1">
        <f>'3x5'!E40</f>
        <v>-3385077.1959341113</v>
      </c>
      <c r="W46" s="1">
        <f>'3x6'!E40</f>
        <v>-12026048.430907363</v>
      </c>
      <c r="X46" s="1">
        <f>'3x7'!E40</f>
        <v>-35750091.257285297</v>
      </c>
      <c r="Y46" s="1">
        <f>'3x8'!E40</f>
        <v>-92920070.161033526</v>
      </c>
      <c r="Z46" s="1">
        <f>'3x9'!E40</f>
        <v>-217552088.88767594</v>
      </c>
      <c r="AA46" s="1">
        <f>'3x10'!E40</f>
        <v>-468542110.07706237</v>
      </c>
    </row>
    <row r="47" spans="1:27" x14ac:dyDescent="0.2">
      <c r="A47">
        <v>9</v>
      </c>
      <c r="B47" s="1">
        <f>'1x2'!E41</f>
        <v>25970.842307646548</v>
      </c>
      <c r="C47" s="1">
        <f>'1x3'!E41</f>
        <v>287707.8118749779</v>
      </c>
      <c r="D47" s="1">
        <f>'1x4'!E41</f>
        <v>2049621.4045923201</v>
      </c>
      <c r="E47" s="1">
        <f>'1x5'!E41</f>
        <v>10413101.780746888</v>
      </c>
      <c r="F47" s="1">
        <f>'1x6'!E41</f>
        <v>41418767.692312405</v>
      </c>
      <c r="G47" s="1">
        <f>'1x7'!E41</f>
        <v>137306844.94864914</v>
      </c>
      <c r="H47" s="1">
        <f>'1x8'!E41</f>
        <v>395640331.57899082</v>
      </c>
      <c r="I47" s="1">
        <f>'1x9'!E41</f>
        <v>1020212789.9516467</v>
      </c>
      <c r="J47" s="1">
        <f>'1x10'!E41</f>
        <v>2404249157.6648211</v>
      </c>
      <c r="K47">
        <v>9</v>
      </c>
      <c r="L47" s="1">
        <f>'2x3'!E29</f>
        <v>-239249.80035015094</v>
      </c>
      <c r="M47" s="1">
        <f>'2x4'!E29</f>
        <v>-12575039.99390506</v>
      </c>
      <c r="N47" s="1">
        <f>'2x5'!E29</f>
        <v>83650979.300642297</v>
      </c>
      <c r="O47" s="1">
        <f>'2x6'!E29</f>
        <v>191465032.22023821</v>
      </c>
      <c r="P47" s="1">
        <f>'2x7'!E29</f>
        <v>564233786.31321836</v>
      </c>
      <c r="Q47" s="1">
        <f>'2x8'!E29</f>
        <v>1605321319.2872725</v>
      </c>
      <c r="R47" s="1">
        <f>'2x9'!E29</f>
        <v>4240076961.085135</v>
      </c>
      <c r="S47" s="1">
        <f>'2x10'!E29</f>
        <v>10372343179.990631</v>
      </c>
      <c r="T47">
        <v>9</v>
      </c>
      <c r="U47" s="1">
        <f>'3x4'!E29</f>
        <v>-666662.73647338245</v>
      </c>
      <c r="V47" s="1">
        <f>'3x5'!E41</f>
        <v>-20310660.432639305</v>
      </c>
      <c r="W47" s="1">
        <f>'3x6'!E41</f>
        <v>-84183406.682000026</v>
      </c>
      <c r="X47" s="1">
        <f>'3x7'!E41</f>
        <v>-286005036.57845515</v>
      </c>
      <c r="Y47" s="1">
        <f>'3x8'!E41</f>
        <v>-836294605.36874914</v>
      </c>
      <c r="Z47" s="1">
        <f>'3x9'!E41</f>
        <v>-2175559582.5502667</v>
      </c>
      <c r="AA47" s="1">
        <f>'3x10'!E41</f>
        <v>-5154058367.6594219</v>
      </c>
    </row>
    <row r="48" spans="1:27" x14ac:dyDescent="0.2">
      <c r="A48">
        <v>10</v>
      </c>
      <c r="B48" s="1">
        <f>'1x2'!E42</f>
        <v>76159.667897392967</v>
      </c>
      <c r="C48" s="1">
        <f>'1x3'!E42</f>
        <v>1131276.8092051586</v>
      </c>
      <c r="D48" s="1">
        <f>'1x4'!E42</f>
        <v>10126002.801414311</v>
      </c>
      <c r="E48" s="1">
        <f>'1x5'!E42</f>
        <v>61898227.355479933</v>
      </c>
      <c r="F48" s="1">
        <f>'1x6'!E42</f>
        <v>287630140.52524394</v>
      </c>
      <c r="G48" s="1">
        <f>'1x7'!E42</f>
        <v>1090536919.3566823</v>
      </c>
      <c r="H48" s="1">
        <f>'1x8'!E42</f>
        <v>3536550046.3291354</v>
      </c>
      <c r="I48" s="1">
        <f>'1x9'!E42</f>
        <v>10135146587.49507</v>
      </c>
      <c r="J48" s="1">
        <f>'1x10'!E42</f>
        <v>26276726924.503155</v>
      </c>
      <c r="K48">
        <v>10</v>
      </c>
      <c r="L48" s="1">
        <f>'2x3'!E30</f>
        <v>-718738.47384824639</v>
      </c>
      <c r="M48" s="1">
        <f>'2x4'!E30</f>
        <v>-51019877.177906573</v>
      </c>
      <c r="N48" s="1">
        <f>'2x5'!E30</f>
        <v>409542830.53671682</v>
      </c>
      <c r="O48" s="1">
        <f>'2x6'!E30</f>
        <v>1134371665.7671213</v>
      </c>
      <c r="P48" s="1">
        <f>'2x7'!E30</f>
        <v>3906074643.8480158</v>
      </c>
      <c r="Q48" s="1">
        <f>'2x8'!E30</f>
        <v>12707674832.328814</v>
      </c>
      <c r="R48" s="1">
        <f>'2x9'!E30</f>
        <v>37768575606.460472</v>
      </c>
      <c r="S48" s="1">
        <f>'2x10'!E30</f>
        <v>102669286469.81378</v>
      </c>
      <c r="T48">
        <v>10</v>
      </c>
      <c r="U48" s="1">
        <f>'3x4'!E30</f>
        <v>-2666662.0001167394</v>
      </c>
      <c r="V48" s="1">
        <f>'3x5'!E42</f>
        <v>-121864255.59250306</v>
      </c>
      <c r="W48" s="1">
        <f>'3x6'!E42</f>
        <v>-589285782.07806361</v>
      </c>
      <c r="X48" s="1">
        <f>'3x7'!E42</f>
        <v>-2288049418.1888385</v>
      </c>
      <c r="Y48" s="1">
        <f>'3x8'!E42</f>
        <v>-7526685176.2722731</v>
      </c>
      <c r="Z48" s="1">
        <f>'3x9'!E42</f>
        <v>-21755700334.658176</v>
      </c>
      <c r="AA48" s="1">
        <f>'3x10'!E42</f>
        <v>-56694925934.698456</v>
      </c>
    </row>
    <row r="49" spans="1:27" x14ac:dyDescent="0.2">
      <c r="B49" s="355" t="s">
        <v>156</v>
      </c>
      <c r="C49" s="355"/>
      <c r="D49" s="355"/>
      <c r="E49" s="355"/>
      <c r="F49" s="355"/>
      <c r="G49" s="355"/>
      <c r="H49" s="355"/>
      <c r="I49" s="355"/>
      <c r="J49" s="355"/>
      <c r="L49" s="355" t="s">
        <v>167</v>
      </c>
      <c r="M49" s="355"/>
      <c r="N49" s="355"/>
      <c r="O49" s="355"/>
      <c r="P49" s="355"/>
      <c r="Q49" s="355"/>
      <c r="R49" s="355"/>
      <c r="S49" s="355"/>
      <c r="U49" s="355" t="s">
        <v>156</v>
      </c>
      <c r="V49" s="355"/>
      <c r="W49" s="355"/>
      <c r="X49" s="355"/>
      <c r="Y49" s="355"/>
      <c r="Z49" s="355"/>
      <c r="AA49" s="355"/>
    </row>
    <row r="50" spans="1:27" x14ac:dyDescent="0.2">
      <c r="A50" s="31" t="s">
        <v>57</v>
      </c>
      <c r="B50" s="49" t="s">
        <v>141</v>
      </c>
      <c r="C50" s="49" t="s">
        <v>142</v>
      </c>
      <c r="D50" s="49" t="s">
        <v>143</v>
      </c>
      <c r="E50" s="49" t="s">
        <v>144</v>
      </c>
      <c r="F50" s="49" t="s">
        <v>145</v>
      </c>
      <c r="G50" s="49" t="s">
        <v>146</v>
      </c>
      <c r="H50" s="49" t="s">
        <v>147</v>
      </c>
      <c r="I50" s="49" t="s">
        <v>148</v>
      </c>
      <c r="J50" s="49" t="s">
        <v>149</v>
      </c>
      <c r="K50" s="31" t="s">
        <v>57</v>
      </c>
      <c r="L50" s="49" t="s">
        <v>158</v>
      </c>
      <c r="M50" s="49" t="s">
        <v>159</v>
      </c>
      <c r="N50" s="49" t="s">
        <v>160</v>
      </c>
      <c r="O50" s="49" t="s">
        <v>161</v>
      </c>
      <c r="P50" s="49" t="s">
        <v>162</v>
      </c>
      <c r="Q50" s="49" t="s">
        <v>163</v>
      </c>
      <c r="R50" s="49" t="s">
        <v>164</v>
      </c>
      <c r="S50" s="49" t="s">
        <v>165</v>
      </c>
      <c r="T50" s="31" t="s">
        <v>57</v>
      </c>
      <c r="U50" s="49" t="s">
        <v>169</v>
      </c>
      <c r="V50" s="49" t="s">
        <v>170</v>
      </c>
      <c r="W50" s="49" t="s">
        <v>171</v>
      </c>
      <c r="X50" s="49" t="s">
        <v>172</v>
      </c>
      <c r="Y50" s="49" t="s">
        <v>173</v>
      </c>
      <c r="Z50" s="49" t="s">
        <v>174</v>
      </c>
      <c r="AA50" s="49" t="s">
        <v>175</v>
      </c>
    </row>
    <row r="51" spans="1:27" x14ac:dyDescent="0.2">
      <c r="A51" s="277">
        <v>1</v>
      </c>
      <c r="B51" s="1">
        <f>'1x2'!E45</f>
        <v>-90.321824013684903</v>
      </c>
      <c r="C51" s="1">
        <f>'1x3'!E45</f>
        <v>38.078860090907135</v>
      </c>
      <c r="D51" s="1">
        <f>'1x4'!E45</f>
        <v>30.725396746957941</v>
      </c>
      <c r="E51" s="1">
        <f>'1x5'!E45</f>
        <v>31.586896549486926</v>
      </c>
      <c r="F51" s="1">
        <f>'1x6'!E45</f>
        <v>34.43065747220021</v>
      </c>
      <c r="G51" s="1">
        <f>'1x7'!E45</f>
        <v>38.139987362557228</v>
      </c>
      <c r="H51" s="1">
        <f>'1x8'!E45</f>
        <v>42.331597861776075</v>
      </c>
      <c r="I51" s="1">
        <f>'1x9'!E45</f>
        <v>46.823531079243601</v>
      </c>
      <c r="J51" s="1">
        <f>'1x10'!E45</f>
        <v>51.511856158035869</v>
      </c>
      <c r="K51" s="277">
        <v>1</v>
      </c>
      <c r="L51" s="1">
        <f>'2x3'!E45</f>
        <v>-7.6846806333682025</v>
      </c>
      <c r="M51" s="1">
        <f>'2x4'!E45</f>
        <v>-11.578872821716432</v>
      </c>
      <c r="N51" s="1">
        <f>'2x5'!E45</f>
        <v>-15.628456153353872</v>
      </c>
      <c r="O51" s="1">
        <f>'2x6'!E45</f>
        <v>-19.665071703193625</v>
      </c>
      <c r="P51" s="1">
        <f>'2x7'!E45</f>
        <v>-23.616878480096837</v>
      </c>
      <c r="Q51" s="1">
        <f>'2x8'!E45</f>
        <v>-27.468754798860118</v>
      </c>
      <c r="R51" s="1">
        <f>'2x9'!E45</f>
        <v>-31.231296851704446</v>
      </c>
      <c r="S51" s="1">
        <f>'2x10'!E45</f>
        <v>-34.923083192027413</v>
      </c>
      <c r="T51" s="277">
        <v>1</v>
      </c>
      <c r="U51" s="1">
        <f>'3x4'!E45</f>
        <v>-6.4967026071541616</v>
      </c>
      <c r="V51" s="1">
        <f>'3x5'!E45</f>
        <v>-8.3674106720545645</v>
      </c>
      <c r="W51" s="1">
        <f>'3x6'!E45</f>
        <v>-10.223326742651491</v>
      </c>
      <c r="X51" s="1">
        <f>'3x7'!E45</f>
        <v>-12.056927852852962</v>
      </c>
      <c r="Y51" s="1">
        <f>'3x8'!E45</f>
        <v>-13.869044014560297</v>
      </c>
      <c r="Z51" s="1">
        <f>'3x9'!E45</f>
        <v>-15.66346647474243</v>
      </c>
      <c r="AA51" s="1">
        <f>'3x10'!E21</f>
        <v>-17.444437310166972</v>
      </c>
    </row>
    <row r="52" spans="1:27" x14ac:dyDescent="0.2">
      <c r="A52">
        <v>2</v>
      </c>
      <c r="B52" s="1">
        <f>'1x2'!E46</f>
        <v>32.938486608837835</v>
      </c>
      <c r="C52" s="1">
        <f>'1x3'!E46</f>
        <v>48.230549444737449</v>
      </c>
      <c r="D52" s="1">
        <f>'1x4'!E46</f>
        <v>72.224098695485196</v>
      </c>
      <c r="E52" s="1">
        <f>'1x5'!E46</f>
        <v>103.46144783593292</v>
      </c>
      <c r="F52" s="1">
        <f>'1x6'!E46</f>
        <v>141.81960543260379</v>
      </c>
      <c r="G52" s="1">
        <f>'1x7'!E46</f>
        <v>187.32476497125347</v>
      </c>
      <c r="H52" s="1">
        <f>'1x8'!E46</f>
        <v>240.00237147386693</v>
      </c>
      <c r="I52" s="1">
        <f>'1x9'!E46</f>
        <v>299.85442450188339</v>
      </c>
      <c r="J52" s="1">
        <f>'1x10'!E46</f>
        <v>366.86322119416269</v>
      </c>
      <c r="K52">
        <v>2</v>
      </c>
      <c r="L52" s="1">
        <f>'2x3'!E46</f>
        <v>-92.724152939989111</v>
      </c>
      <c r="M52" s="1">
        <f>'2x4'!E46</f>
        <v>-224.06932436338511</v>
      </c>
      <c r="N52" s="1">
        <f>'2x5'!E46</f>
        <v>-446.59034429303688</v>
      </c>
      <c r="O52" s="1">
        <f>'2x6'!E46</f>
        <v>-769.50002915533673</v>
      </c>
      <c r="P52" s="1">
        <f>'2x7'!E46</f>
        <v>-1185.7041621438582</v>
      </c>
      <c r="Q52" s="1">
        <f>'2x8'!E46</f>
        <v>-1679.6157513281835</v>
      </c>
      <c r="R52" s="1">
        <f>'2x9'!E46</f>
        <v>-2236.4278123312356</v>
      </c>
      <c r="S52" s="1">
        <f>'2x10'!E46</f>
        <v>-2846.5819526670457</v>
      </c>
      <c r="T52">
        <v>2</v>
      </c>
      <c r="U52" s="1">
        <f>'3x4'!E46</f>
        <v>-66.045346432965857</v>
      </c>
      <c r="V52" s="1">
        <f>'3x5'!E46</f>
        <v>-105.67110302015584</v>
      </c>
      <c r="W52" s="1">
        <f>'3x6'!E46</f>
        <v>-154.17502101914232</v>
      </c>
      <c r="X52" s="1">
        <f>'3x7'!E46</f>
        <v>-211.15766273698256</v>
      </c>
      <c r="Y52" s="1">
        <f>'3x8'!E46</f>
        <v>-276.36855647810563</v>
      </c>
      <c r="Z52" s="1">
        <f>'3x9'!E46</f>
        <v>-349.68301467335726</v>
      </c>
      <c r="AA52" s="1">
        <f>'3x10'!E22</f>
        <v>-225.79280012052092</v>
      </c>
    </row>
    <row r="53" spans="1:27" x14ac:dyDescent="0.2">
      <c r="A53">
        <v>3</v>
      </c>
      <c r="B53" s="1">
        <f>'1x2'!E47</f>
        <v>90.069569658792261</v>
      </c>
      <c r="C53" s="1">
        <f>'1x3'!E47</f>
        <v>210.94934744516021</v>
      </c>
      <c r="D53" s="1">
        <f>'1x4'!E47</f>
        <v>431.66993732483405</v>
      </c>
      <c r="E53" s="1">
        <f>'1x5'!E47</f>
        <v>782.65300070443311</v>
      </c>
      <c r="F53" s="1">
        <f>'1x6'!E47</f>
        <v>1296.1169567863749</v>
      </c>
      <c r="G53" s="1">
        <f>'1x7'!E47</f>
        <v>2004.7953322084768</v>
      </c>
      <c r="H53" s="1">
        <f>'1x8'!E47</f>
        <v>2941.5094415514363</v>
      </c>
      <c r="I53" s="1">
        <f>'1x9'!E47</f>
        <v>4138.9599203739599</v>
      </c>
      <c r="J53" s="1">
        <f>'1x10'!E47</f>
        <v>5629.6448153742667</v>
      </c>
      <c r="K53">
        <v>3</v>
      </c>
      <c r="L53" s="1">
        <f>'2x3'!E47</f>
        <v>-776.17197583401969</v>
      </c>
      <c r="M53" s="1">
        <f>'2x4'!E47</f>
        <v>-3319.2985044373613</v>
      </c>
      <c r="N53" s="1">
        <f>'2x5'!E47</f>
        <v>-12895.254973517167</v>
      </c>
      <c r="O53" s="1">
        <f>'2x6'!E47</f>
        <v>-55925.890106628605</v>
      </c>
      <c r="P53" s="1">
        <f>'2x7'!E47</f>
        <v>-1041458.1232074694</v>
      </c>
      <c r="Q53" s="1">
        <f>'2x8'!E47</f>
        <v>282792.49943314004</v>
      </c>
      <c r="R53" s="1">
        <f>'2x9'!E47</f>
        <v>234552.2790758285</v>
      </c>
      <c r="S53" s="1">
        <f>'2x10'!E47</f>
        <v>256640.34754925675</v>
      </c>
      <c r="T53">
        <v>3</v>
      </c>
      <c r="U53" s="1">
        <f>'3x4'!E47</f>
        <v>-551.79421766513224</v>
      </c>
      <c r="V53" s="1">
        <f>'3x5'!E47</f>
        <v>-1105.0807897989516</v>
      </c>
      <c r="W53" s="1">
        <f>'3x6'!E47</f>
        <v>-1937.5669334616023</v>
      </c>
      <c r="X53" s="1">
        <f>'3x7'!E47</f>
        <v>-3099.0125159459267</v>
      </c>
      <c r="Y53" s="1">
        <f>'3x8'!E47</f>
        <v>-4638.0689062557858</v>
      </c>
      <c r="Z53" s="1">
        <f>'3x9'!E47</f>
        <v>-6603.6625093323701</v>
      </c>
      <c r="AA53" s="1">
        <f>'3x10'!E23</f>
        <v>-2384.9225703950051</v>
      </c>
    </row>
    <row r="54" spans="1:27" x14ac:dyDescent="0.2">
      <c r="A54">
        <v>4</v>
      </c>
      <c r="B54" s="1">
        <f>'1x2'!E48</f>
        <v>301.52286256639673</v>
      </c>
      <c r="C54" s="1">
        <f>'1x3'!E48</f>
        <v>1086.0160208320015</v>
      </c>
      <c r="D54" s="1">
        <f>'1x4'!E48</f>
        <v>3005.5671394730057</v>
      </c>
      <c r="E54" s="1">
        <f>'1x5'!E48</f>
        <v>6867.925498251574</v>
      </c>
      <c r="F54" s="1">
        <f>'1x6'!E48</f>
        <v>13713.821823208889</v>
      </c>
      <c r="G54" s="1">
        <f>'1x7'!E48</f>
        <v>24816.923389406595</v>
      </c>
      <c r="H54" s="1">
        <f>'1x8'!E48</f>
        <v>41682.807627585273</v>
      </c>
      <c r="I54" s="1">
        <f>'1x9'!E48</f>
        <v>66047.13854338642</v>
      </c>
      <c r="J54" s="1">
        <f>'1x10'!E48</f>
        <v>99873.818597750214</v>
      </c>
      <c r="K54">
        <v>4</v>
      </c>
      <c r="L54" s="1">
        <f>'2x3'!E48</f>
        <v>-5487.2684185224543</v>
      </c>
      <c r="M54" s="1">
        <f>'2x4'!E48</f>
        <v>-41934.765292200711</v>
      </c>
      <c r="N54" s="1">
        <f>'2x5'!E48</f>
        <v>-916072.28417158884</v>
      </c>
      <c r="O54" s="1">
        <f>'2x6'!E48</f>
        <v>490166.03834801837</v>
      </c>
      <c r="P54" s="1">
        <f>'2x7'!E48</f>
        <v>513569.21789288626</v>
      </c>
      <c r="Q54" s="1">
        <f>'2x8'!E48</f>
        <v>692304.47585614352</v>
      </c>
      <c r="R54" s="1">
        <f>'2x9'!E48</f>
        <v>982491.46691548801</v>
      </c>
      <c r="S54" s="1">
        <f>'2x10'!E48</f>
        <v>1399018.0155814751</v>
      </c>
      <c r="T54">
        <v>4</v>
      </c>
      <c r="U54" s="1">
        <f>'3x4'!E48</f>
        <v>-4453.3293741563402</v>
      </c>
      <c r="V54" s="1">
        <f>'3x5'!E48</f>
        <v>-11161.444070228354</v>
      </c>
      <c r="W54" s="1">
        <f>'3x6'!E48</f>
        <v>-23507.545687266473</v>
      </c>
      <c r="X54" s="1">
        <f>'3x7'!E48</f>
        <v>-43896.909760365816</v>
      </c>
      <c r="Y54" s="1">
        <f>'3x8'!E48</f>
        <v>-75117.8603271639</v>
      </c>
      <c r="Z54" s="1">
        <f>'3x9'!E48</f>
        <v>-120356.52415319064</v>
      </c>
      <c r="AA54" s="1">
        <f>'3x10'!E24</f>
        <v>-24171.416585163126</v>
      </c>
    </row>
    <row r="55" spans="1:27" x14ac:dyDescent="0.2">
      <c r="A55">
        <v>5</v>
      </c>
      <c r="B55" s="1">
        <f>'1x2'!E49</f>
        <v>1084.7823222176926</v>
      </c>
      <c r="C55" s="1">
        <f>'1x3'!E49</f>
        <v>5955.259229296631</v>
      </c>
      <c r="D55" s="1">
        <f>'1x4'!E49</f>
        <v>22212.362742379537</v>
      </c>
      <c r="E55" s="1">
        <f>'1x5'!E49</f>
        <v>63848.618889610378</v>
      </c>
      <c r="F55" s="1">
        <f>'1x6'!E49</f>
        <v>153554.24752154088</v>
      </c>
      <c r="G55" s="1">
        <f>'1x7'!E49</f>
        <v>324886.1590005476</v>
      </c>
      <c r="H55" s="1">
        <f>'1x8'!E49</f>
        <v>624427.32763246226</v>
      </c>
      <c r="I55" s="1">
        <f>'1x9'!E49</f>
        <v>1113928.077689325</v>
      </c>
      <c r="J55" s="1">
        <f>'1x10'!E49</f>
        <v>1872431.5806299562</v>
      </c>
      <c r="K55">
        <v>5</v>
      </c>
      <c r="L55" s="1">
        <f>'2x3'!E49</f>
        <v>-35572.92892135962</v>
      </c>
      <c r="M55" s="1">
        <f>'2x4'!E49</f>
        <v>-458594.01414536138</v>
      </c>
      <c r="N55" s="1">
        <f>'2x5'!E49</f>
        <v>4636563.0941552287</v>
      </c>
      <c r="O55" s="1">
        <f>'2x6'!E49</f>
        <v>3150919.2711748262</v>
      </c>
      <c r="P55" s="1">
        <f>'2x7'!E49</f>
        <v>4710046.7224492989</v>
      </c>
      <c r="Q55" s="1">
        <f>'2x8'!E49</f>
        <v>7721255.918825224</v>
      </c>
      <c r="R55" s="1">
        <f>'2x9'!E49</f>
        <v>12670637.708589118</v>
      </c>
      <c r="S55" s="1">
        <f>'2x10'!E49</f>
        <v>20329760.091097321</v>
      </c>
      <c r="T55">
        <v>5</v>
      </c>
      <c r="U55" s="1">
        <f>'3x4'!E49</f>
        <v>-35694.385951873468</v>
      </c>
      <c r="V55" s="1">
        <f>'3x5'!E49</f>
        <v>-111880.06309409226</v>
      </c>
      <c r="W55" s="1">
        <f>'3x6'!E49</f>
        <v>-282873.35109716834</v>
      </c>
      <c r="X55" s="1">
        <f>'3x7'!E49</f>
        <v>-616432.5518887681</v>
      </c>
      <c r="Y55" s="1">
        <f>'3x8'!E49</f>
        <v>-1205771.9867320606</v>
      </c>
      <c r="Z55" s="1">
        <f>'3x9'!E49</f>
        <v>-2173669.2098328192</v>
      </c>
      <c r="AA55" s="1">
        <f>'3x10'!E25</f>
        <v>-242560.60837392014</v>
      </c>
    </row>
    <row r="56" spans="1:27" x14ac:dyDescent="0.2">
      <c r="A56">
        <v>6</v>
      </c>
      <c r="B56" s="1">
        <f>'1x2'!E50</f>
        <v>4044.6908306577898</v>
      </c>
      <c r="C56" s="1">
        <f>'1x3'!E50</f>
        <v>33700.020465727823</v>
      </c>
      <c r="D56" s="1">
        <f>'1x4'!E50</f>
        <v>169065.75832627385</v>
      </c>
      <c r="E56" s="1">
        <f>'1x5'!E50</f>
        <v>610592.42444673064</v>
      </c>
      <c r="F56" s="1">
        <f>'1x6'!E50</f>
        <v>1767351.9347172035</v>
      </c>
      <c r="G56" s="1">
        <f>'1x7'!E50</f>
        <v>4369991.7865673313</v>
      </c>
      <c r="H56" s="1">
        <f>'1x8'!E50</f>
        <v>9608538.3841821812</v>
      </c>
      <c r="I56" s="1">
        <f>'1x9'!E50</f>
        <v>19294844.757417418</v>
      </c>
      <c r="J56" s="1">
        <f>'1x10'!E50</f>
        <v>36049529.085635945</v>
      </c>
      <c r="K56">
        <v>6</v>
      </c>
      <c r="L56" s="1">
        <f>'2x3'!E50</f>
        <v>-221091.99019518751</v>
      </c>
      <c r="M56" s="1">
        <f>'2x4'!E50</f>
        <v>-4445239.4684333485</v>
      </c>
      <c r="N56" s="1">
        <f>'2x5'!E50</f>
        <v>26418056.129083931</v>
      </c>
      <c r="O56" s="1">
        <f>'2x6'!E50</f>
        <v>30503789.218710322</v>
      </c>
      <c r="P56" s="1">
        <f>'2x7'!E50</f>
        <v>55839445.07360857</v>
      </c>
      <c r="Q56" s="1">
        <f>'2x8'!E50</f>
        <v>106462472.43360496</v>
      </c>
      <c r="R56" s="1">
        <f>'2x9'!E50</f>
        <v>198153905.1647009</v>
      </c>
      <c r="S56" s="1">
        <f>'2x10'!E50</f>
        <v>354767810.81349224</v>
      </c>
      <c r="T56">
        <v>6</v>
      </c>
      <c r="U56" s="1">
        <f>'3x4'!E50</f>
        <v>-285677.30704916018</v>
      </c>
      <c r="V56" s="1">
        <f>'3x5'!E50</f>
        <v>-1119455.7654650896</v>
      </c>
      <c r="W56" s="1">
        <f>'3x6'!E50</f>
        <v>-3396904.7552273972</v>
      </c>
      <c r="X56" s="1">
        <f>'3x7'!E50</f>
        <v>-8637002.1696003079</v>
      </c>
      <c r="Y56" s="1">
        <f>'3x8'!E50</f>
        <v>-19309028.806446023</v>
      </c>
      <c r="Z56" s="1">
        <f>'3x9'!E50</f>
        <v>-39161339.198905811</v>
      </c>
      <c r="AA56" s="1">
        <f>'3x10'!E26</f>
        <v>-2427871.5866078781</v>
      </c>
    </row>
    <row r="57" spans="1:27" x14ac:dyDescent="0.2">
      <c r="A57">
        <v>7</v>
      </c>
      <c r="B57" s="1">
        <f>'1x2'!E51</f>
        <v>15392.29760449383</v>
      </c>
      <c r="C57" s="1">
        <f>'1x3'!E51</f>
        <v>194143.44593025278</v>
      </c>
      <c r="D57" s="1">
        <f>'1x4'!E51</f>
        <v>1308315.0226765545</v>
      </c>
      <c r="E57" s="1">
        <f>'1x5'!E51</f>
        <v>5931771.4054293334</v>
      </c>
      <c r="F57" s="1">
        <f>'1x6'!E51</f>
        <v>20653275.814054489</v>
      </c>
      <c r="G57" s="1">
        <f>'1x7'!E51</f>
        <v>59661515.359511152</v>
      </c>
      <c r="H57" s="1">
        <f>'1x8'!E51</f>
        <v>150041618.98540342</v>
      </c>
      <c r="I57" s="1">
        <f>'1x9'!E51</f>
        <v>339119674.95400101</v>
      </c>
      <c r="J57" s="1">
        <f>'1x10'!E51</f>
        <v>704190054.60493171</v>
      </c>
      <c r="K57">
        <v>7</v>
      </c>
      <c r="L57" s="1">
        <f>'2x3'!E51</f>
        <v>-1347577.8111820293</v>
      </c>
      <c r="M57" s="1">
        <f>'2x4'!E51</f>
        <v>-39597101.39813371</v>
      </c>
      <c r="N57" s="1">
        <f>'2x5'!E51</f>
        <v>216789252.63629499</v>
      </c>
      <c r="O57" s="1">
        <f>'2x6'!E51</f>
        <v>332403583.34518397</v>
      </c>
      <c r="P57" s="1">
        <f>'2x7'!E51</f>
        <v>722753820.98661506</v>
      </c>
      <c r="Q57" s="1">
        <f>'2x8'!E51</f>
        <v>1585419609.7839465</v>
      </c>
      <c r="R57" s="1">
        <f>'2x9'!E51</f>
        <v>3330192177.5171456</v>
      </c>
      <c r="S57" s="1">
        <f>'2x10'!E51</f>
        <v>6635653686.5173655</v>
      </c>
      <c r="T57">
        <v>7</v>
      </c>
      <c r="U57" s="1">
        <f>'3x4'!E51</f>
        <v>-2285644.211588853</v>
      </c>
      <c r="V57" s="1">
        <f>'3x5'!E51</f>
        <v>-11196193.511512995</v>
      </c>
      <c r="W57" s="1">
        <f>'3x6'!E51</f>
        <v>-40770409.083033904</v>
      </c>
      <c r="X57" s="1">
        <f>'3x7'!E51</f>
        <v>-120943813.96351831</v>
      </c>
      <c r="Y57" s="1">
        <f>'3x8'!E51</f>
        <v>-309016068.01929235</v>
      </c>
      <c r="Z57" s="1">
        <f>'3x9'!E51</f>
        <v>-705075802.17899597</v>
      </c>
      <c r="AA57" s="1">
        <f>'3x10'!E27</f>
        <v>-24284828.701641463</v>
      </c>
    </row>
    <row r="58" spans="1:27" x14ac:dyDescent="0.2">
      <c r="A58">
        <v>8</v>
      </c>
      <c r="B58" s="1">
        <f>'1x2'!E52</f>
        <v>59326.779202444384</v>
      </c>
      <c r="C58" s="1">
        <f>'1x3'!E52</f>
        <v>1130918.2751158569</v>
      </c>
      <c r="D58" s="1">
        <f>'1x4'!E52</f>
        <v>10227732.133878153</v>
      </c>
      <c r="E58" s="1">
        <f>'1x5'!E52</f>
        <v>58176440.575431459</v>
      </c>
      <c r="F58" s="1">
        <f>'1x6'!E52</f>
        <v>243558796.02411142</v>
      </c>
      <c r="G58" s="1">
        <f>'1x7'!E52</f>
        <v>821760275.63435042</v>
      </c>
      <c r="H58" s="1">
        <f>'1x8'!E52</f>
        <v>2363390383.500268</v>
      </c>
      <c r="I58" s="1">
        <f>'1x9'!E52</f>
        <v>6011641372.5939159</v>
      </c>
      <c r="J58" s="1">
        <f>'1x10'!E52</f>
        <v>13873433827.162096</v>
      </c>
      <c r="K58">
        <v>8</v>
      </c>
      <c r="L58" s="1">
        <f>'2x3'!E52</f>
        <v>-8141865.071448436</v>
      </c>
      <c r="M58" s="1">
        <f>'2x4'!E52</f>
        <v>-335187823.34715891</v>
      </c>
      <c r="N58" s="1">
        <f>'2x5'!E52</f>
        <v>1985664648.5310273</v>
      </c>
      <c r="O58" s="1">
        <f>'2x6'!E52</f>
        <v>3804304628.3774719</v>
      </c>
      <c r="P58" s="1">
        <f>'2x7'!E52</f>
        <v>9724164937.3081379</v>
      </c>
      <c r="Q58" s="1">
        <f>'2x8'!E52</f>
        <v>24447088369.942387</v>
      </c>
      <c r="R58" s="1">
        <f>'2x9'!E52</f>
        <v>57846537876.159302</v>
      </c>
      <c r="S58" s="1">
        <f>'2x10'!E52</f>
        <v>128158305795.67775</v>
      </c>
      <c r="T58">
        <v>8</v>
      </c>
      <c r="U58" s="1">
        <f>'3x4'!E52</f>
        <v>-18285576.416104786</v>
      </c>
      <c r="V58" s="1">
        <f>'3x5'!E52</f>
        <v>-111966041.22847396</v>
      </c>
      <c r="W58" s="1">
        <f>'3x6'!E52</f>
        <v>-489268477.82847995</v>
      </c>
      <c r="X58" s="1">
        <f>'3x7'!E52</f>
        <v>-1693309159.2893641</v>
      </c>
      <c r="Y58" s="1">
        <f>'3x8'!E52</f>
        <v>-4944564570.9684029</v>
      </c>
      <c r="Z58" s="1">
        <f>'3x9'!E52</f>
        <v>-12692199528.663031</v>
      </c>
      <c r="AA58" s="1">
        <f>'3x10'!E28</f>
        <v>-242864834.5821017</v>
      </c>
    </row>
    <row r="59" spans="1:27" x14ac:dyDescent="0.2">
      <c r="A59">
        <v>9</v>
      </c>
      <c r="B59" s="1">
        <f>'1x2'!E53</f>
        <v>230602.39525296848</v>
      </c>
      <c r="C59" s="1">
        <f>'1x3'!E53</f>
        <v>6636297.5410979623</v>
      </c>
      <c r="D59" s="1">
        <f>'1x4'!E53</f>
        <v>80485132.283292547</v>
      </c>
      <c r="E59" s="1">
        <f>'1x5'!E53</f>
        <v>574045606.56720865</v>
      </c>
      <c r="F59" s="1">
        <f>'1x6'!E53</f>
        <v>2888714382.029707</v>
      </c>
      <c r="G59" s="1">
        <f>'1x7'!E53</f>
        <v>11381233069.6028</v>
      </c>
      <c r="H59" s="1">
        <f>'1x8'!E53</f>
        <v>37427993481.329285</v>
      </c>
      <c r="I59" s="1">
        <f>'1x9'!E53</f>
        <v>107136362774.39006</v>
      </c>
      <c r="J59" s="1">
        <f>'1x10'!E53</f>
        <v>274765161679.53183</v>
      </c>
      <c r="K59">
        <v>9</v>
      </c>
      <c r="L59" s="1">
        <f>'2x3'!E53</f>
        <v>-49000843.750426061</v>
      </c>
      <c r="M59" s="1">
        <f>'2x4'!E53</f>
        <v>-2759333566.9833927</v>
      </c>
      <c r="N59" s="1">
        <f>'2x5'!E53</f>
        <v>19035254794.539143</v>
      </c>
      <c r="O59" s="1">
        <f>'2x6'!E53</f>
        <v>44559139184.179749</v>
      </c>
      <c r="P59" s="1">
        <f>'2x7'!E53</f>
        <v>133332787263.36563</v>
      </c>
      <c r="Q59" s="1">
        <f>'2x8'!E53</f>
        <v>383564776740.57098</v>
      </c>
      <c r="R59" s="1">
        <f>'2x9'!E53</f>
        <v>1021609133961.4905</v>
      </c>
      <c r="S59" s="1">
        <f>'2x10'!E53</f>
        <v>2515566180057.8545</v>
      </c>
      <c r="T59">
        <v>9</v>
      </c>
      <c r="U59" s="1">
        <f>'3x4'!E53</f>
        <v>-146285408.83365849</v>
      </c>
      <c r="V59" s="1">
        <f>'3x5'!E53</f>
        <v>-1119670741.0842924</v>
      </c>
      <c r="W59" s="1">
        <f>'3x6'!E53</f>
        <v>-5871295336.8645325</v>
      </c>
      <c r="X59" s="1">
        <f>'3x7'!E53</f>
        <v>-23706683971.924568</v>
      </c>
      <c r="Y59" s="1">
        <f>'3x8'!E53</f>
        <v>-79114353466.674011</v>
      </c>
      <c r="Z59" s="1">
        <f>'3x9'!E53</f>
        <v>-228463652846.82712</v>
      </c>
      <c r="AA59" s="1">
        <f>'3x10'!E29</f>
        <v>-2428693197.1314635</v>
      </c>
    </row>
    <row r="60" spans="1:27" x14ac:dyDescent="0.2">
      <c r="A60">
        <v>10</v>
      </c>
      <c r="B60" s="1">
        <f>'1x2'!E54</f>
        <v>901629.45135605871</v>
      </c>
      <c r="C60" s="1">
        <f>'1x3'!E54</f>
        <v>39141109.516538575</v>
      </c>
      <c r="D60" s="1">
        <f>'1x4'!E54</f>
        <v>636209083.01514482</v>
      </c>
      <c r="E60" s="1">
        <f>'1x5'!E54</f>
        <v>5687130711.1685085</v>
      </c>
      <c r="F60" s="1">
        <f>'1x6'!E54</f>
        <v>34389433407.658234</v>
      </c>
      <c r="G60" s="1">
        <f>'1x7'!E54</f>
        <v>158188733091.61865</v>
      </c>
      <c r="H60" s="1">
        <f>'1x8'!E54</f>
        <v>594775770767.98511</v>
      </c>
      <c r="I60" s="1">
        <f>'1x9'!E54</f>
        <v>1915793403421.2249</v>
      </c>
      <c r="J60" s="1">
        <f>'1x10'!E54</f>
        <v>5459976479961.7822</v>
      </c>
      <c r="K60">
        <v>10</v>
      </c>
      <c r="L60" s="1">
        <f>'2x3'!E54</f>
        <v>-294400259.71373111</v>
      </c>
      <c r="M60" s="1">
        <f>'2x4'!E54</f>
        <v>-22390458859.571255</v>
      </c>
      <c r="N60" s="1">
        <f>'2x5'!E54</f>
        <v>186387511720.59714</v>
      </c>
      <c r="O60" s="1">
        <f>'2x6'!E54</f>
        <v>527998456789.75269</v>
      </c>
      <c r="P60" s="1">
        <f>'2x7'!E54</f>
        <v>1846070976667.5864</v>
      </c>
      <c r="Q60" s="1">
        <f>'2x8'!E54</f>
        <v>6072574218858.8652</v>
      </c>
      <c r="R60" s="1">
        <f>'2x9'!E54</f>
        <v>18200010085692.508</v>
      </c>
      <c r="S60" s="1">
        <f>'2x10'!E54</f>
        <v>49800007589491.133</v>
      </c>
      <c r="T60">
        <v>10</v>
      </c>
      <c r="U60" s="1">
        <f>'3x4'!E54</f>
        <v>-1170284781.3175733</v>
      </c>
      <c r="V60" s="1">
        <f>'3x5'!E54</f>
        <v>-11196733415.217188</v>
      </c>
      <c r="W60" s="1">
        <f>'3x6'!E54</f>
        <v>-70455773945.828156</v>
      </c>
      <c r="X60" s="1">
        <f>'3x7'!E54</f>
        <v>-331894897173.97321</v>
      </c>
      <c r="Y60" s="1">
        <f>'3x8'!E54</f>
        <v>-1265835324935.3896</v>
      </c>
      <c r="Z60" s="1">
        <f>'3x9'!E54</f>
        <v>-4112365502376.8389</v>
      </c>
      <c r="AA60" s="1">
        <f>'3x10'!E30</f>
        <v>-24287053597.204681</v>
      </c>
    </row>
    <row r="61" spans="1:27" x14ac:dyDescent="0.2">
      <c r="B61" s="355" t="s">
        <v>157</v>
      </c>
      <c r="C61" s="355"/>
      <c r="D61" s="355"/>
      <c r="E61" s="355"/>
      <c r="F61" s="355"/>
      <c r="G61" s="355"/>
      <c r="H61" s="355"/>
      <c r="I61" s="355"/>
      <c r="J61" s="355"/>
      <c r="L61" s="355" t="s">
        <v>157</v>
      </c>
      <c r="M61" s="355"/>
      <c r="N61" s="355"/>
      <c r="O61" s="355"/>
      <c r="P61" s="355"/>
      <c r="Q61" s="355"/>
      <c r="R61" s="355"/>
      <c r="S61" s="355"/>
      <c r="U61" s="355" t="s">
        <v>176</v>
      </c>
      <c r="V61" s="355"/>
      <c r="W61" s="355"/>
      <c r="X61" s="355"/>
      <c r="Y61" s="355"/>
      <c r="Z61" s="355"/>
      <c r="AA61" s="355"/>
    </row>
    <row r="62" spans="1:27" x14ac:dyDescent="0.2">
      <c r="A62" s="31" t="s">
        <v>57</v>
      </c>
      <c r="B62" s="49" t="s">
        <v>141</v>
      </c>
      <c r="C62" s="49" t="s">
        <v>142</v>
      </c>
      <c r="D62" s="49" t="s">
        <v>143</v>
      </c>
      <c r="E62" s="49" t="s">
        <v>144</v>
      </c>
      <c r="F62" s="49" t="s">
        <v>145</v>
      </c>
      <c r="G62" s="49" t="s">
        <v>146</v>
      </c>
      <c r="H62" s="49" t="s">
        <v>147</v>
      </c>
      <c r="I62" s="49" t="s">
        <v>148</v>
      </c>
      <c r="J62" s="49" t="s">
        <v>149</v>
      </c>
      <c r="K62" s="31" t="s">
        <v>57</v>
      </c>
      <c r="L62" s="49" t="s">
        <v>158</v>
      </c>
      <c r="M62" s="49" t="s">
        <v>159</v>
      </c>
      <c r="N62" s="49" t="s">
        <v>160</v>
      </c>
      <c r="O62" s="49" t="s">
        <v>161</v>
      </c>
      <c r="P62" s="49" t="s">
        <v>162</v>
      </c>
      <c r="Q62" s="49" t="s">
        <v>163</v>
      </c>
      <c r="R62" s="49" t="s">
        <v>164</v>
      </c>
      <c r="S62" s="49" t="s">
        <v>165</v>
      </c>
      <c r="T62" s="31" t="s">
        <v>57</v>
      </c>
      <c r="U62" s="49" t="s">
        <v>169</v>
      </c>
      <c r="V62" s="49" t="s">
        <v>170</v>
      </c>
      <c r="W62" s="49" t="s">
        <v>171</v>
      </c>
      <c r="X62" s="49" t="s">
        <v>172</v>
      </c>
      <c r="Y62" s="49" t="s">
        <v>173</v>
      </c>
      <c r="Z62" s="49" t="s">
        <v>174</v>
      </c>
      <c r="AA62" s="49" t="s">
        <v>175</v>
      </c>
    </row>
    <row r="63" spans="1:27" x14ac:dyDescent="0.2">
      <c r="A63">
        <v>2</v>
      </c>
      <c r="B63" s="282">
        <f t="shared" ref="B63:J63" si="0">B4/B28</f>
        <v>-3.7275674444812489E-3</v>
      </c>
      <c r="C63" s="282">
        <f t="shared" si="0"/>
        <v>1.0775849328642678E-2</v>
      </c>
      <c r="D63" s="282">
        <f t="shared" si="0"/>
        <v>1.7191811293431305E-2</v>
      </c>
      <c r="E63" s="282">
        <f t="shared" si="0"/>
        <v>1.9209258764431761E-2</v>
      </c>
      <c r="F63" s="282">
        <f t="shared" si="0"/>
        <v>1.9288980477798718E-2</v>
      </c>
      <c r="G63" s="282">
        <f t="shared" si="0"/>
        <v>1.8564783840221529E-2</v>
      </c>
      <c r="H63" s="282">
        <f t="shared" si="0"/>
        <v>1.7546201103596747E-2</v>
      </c>
      <c r="I63" s="282">
        <f t="shared" si="0"/>
        <v>1.6461947461561287E-2</v>
      </c>
      <c r="J63" s="282">
        <f t="shared" si="0"/>
        <v>1.5412038300376235E-2</v>
      </c>
      <c r="K63">
        <v>2</v>
      </c>
      <c r="L63" s="1">
        <f t="shared" ref="L63:S63" si="1">L4/L28</f>
        <v>-0.12972514622311485</v>
      </c>
      <c r="M63" s="1">
        <f t="shared" si="1"/>
        <v>3.0505583077796109E-2</v>
      </c>
      <c r="N63" s="1">
        <f t="shared" si="1"/>
        <v>1.855568792155933E-2</v>
      </c>
      <c r="O63" s="1">
        <f t="shared" si="1"/>
        <v>1.2780656523818044E-2</v>
      </c>
      <c r="P63" s="1">
        <f t="shared" si="1"/>
        <v>9.6803903552564515E-3</v>
      </c>
      <c r="Q63" s="1">
        <f t="shared" si="1"/>
        <v>7.8607454203160673E-3</v>
      </c>
      <c r="R63" s="1">
        <f t="shared" si="1"/>
        <v>6.7038004735746198E-3</v>
      </c>
      <c r="S63" s="1">
        <f t="shared" si="1"/>
        <v>5.9126375148160059E-3</v>
      </c>
      <c r="T63">
        <v>2</v>
      </c>
      <c r="U63" s="1">
        <f t="shared" ref="U63:AA63" si="2">U4/U28</f>
        <v>0.35590881719605993</v>
      </c>
      <c r="V63" s="1">
        <f t="shared" si="2"/>
        <v>0.28860507772944932</v>
      </c>
      <c r="W63" s="1">
        <f t="shared" si="2"/>
        <v>0.24437901153444858</v>
      </c>
      <c r="X63" s="1">
        <f t="shared" si="2"/>
        <v>0.2130908730693627</v>
      </c>
      <c r="Y63" s="1">
        <f t="shared" si="2"/>
        <v>0.18965542336038479</v>
      </c>
      <c r="Z63" s="1">
        <f t="shared" si="2"/>
        <v>0.1713138540174583</v>
      </c>
      <c r="AA63" s="1">
        <f t="shared" si="2"/>
        <v>0.15646828366146873</v>
      </c>
    </row>
    <row r="64" spans="1:27" x14ac:dyDescent="0.2">
      <c r="A64">
        <v>3</v>
      </c>
      <c r="B64" s="282">
        <f t="shared" ref="B64:J64" si="3">B5/B29</f>
        <v>-3.7069207546567636E-3</v>
      </c>
      <c r="C64" s="282">
        <f t="shared" si="3"/>
        <v>6.783563876462605E-3</v>
      </c>
      <c r="D64" s="282">
        <f t="shared" si="3"/>
        <v>7.9147715066398075E-3</v>
      </c>
      <c r="E64" s="282">
        <f t="shared" si="3"/>
        <v>6.9749345476300059E-3</v>
      </c>
      <c r="F64" s="282">
        <f t="shared" si="3"/>
        <v>5.7911082805597296E-3</v>
      </c>
      <c r="G64" s="282">
        <f t="shared" si="3"/>
        <v>4.7580579497721364E-3</v>
      </c>
      <c r="H64" s="282">
        <f t="shared" si="3"/>
        <v>3.9273788430415346E-3</v>
      </c>
      <c r="I64" s="282">
        <f t="shared" si="3"/>
        <v>3.2729958889505151E-3</v>
      </c>
      <c r="J64" s="282">
        <f t="shared" si="3"/>
        <v>2.7576990939116612E-3</v>
      </c>
      <c r="K64">
        <v>3</v>
      </c>
      <c r="L64" s="1">
        <f t="shared" ref="L64:S64" si="4">L5/L29</f>
        <v>-3.9839641827680343E-2</v>
      </c>
      <c r="M64" s="1">
        <f t="shared" si="4"/>
        <v>6.3112528783366853E-3</v>
      </c>
      <c r="N64" s="1">
        <f t="shared" si="4"/>
        <v>1.9907471181084156E-3</v>
      </c>
      <c r="O64" s="1">
        <f t="shared" si="4"/>
        <v>5.4808165930259826E-4</v>
      </c>
      <c r="P64" s="1">
        <f t="shared" si="4"/>
        <v>3.4480620770874858E-5</v>
      </c>
      <c r="Q64" s="1">
        <f t="shared" si="4"/>
        <v>-1.4644282200275202E-4</v>
      </c>
      <c r="R64" s="1">
        <f t="shared" si="4"/>
        <v>-2.0085984878074879E-4</v>
      </c>
      <c r="S64" s="1">
        <f t="shared" si="4"/>
        <v>-2.0636031372408346E-4</v>
      </c>
      <c r="T64">
        <v>3</v>
      </c>
      <c r="U64" s="1">
        <f t="shared" ref="U64:AA64" si="5">U5/U29</f>
        <v>0.12851895797426605</v>
      </c>
      <c r="V64" s="1">
        <f t="shared" si="5"/>
        <v>8.4357929976944496E-2</v>
      </c>
      <c r="W64" s="1">
        <f t="shared" si="5"/>
        <v>5.9897441714664219E-2</v>
      </c>
      <c r="X64" s="1">
        <f t="shared" si="5"/>
        <v>4.4939048858507441E-2</v>
      </c>
      <c r="Y64" s="1">
        <f t="shared" si="5"/>
        <v>3.5089463010930189E-2</v>
      </c>
      <c r="Z64" s="1">
        <f t="shared" si="5"/>
        <v>2.8229365007719585E-2</v>
      </c>
      <c r="AA64" s="1">
        <f t="shared" si="5"/>
        <v>2.3240065164935698E-2</v>
      </c>
    </row>
    <row r="65" spans="1:27" x14ac:dyDescent="0.2">
      <c r="A65">
        <v>4</v>
      </c>
      <c r="B65" s="282">
        <f t="shared" ref="B65:J65" si="6">B6/B30</f>
        <v>-2.8086020754824613E-3</v>
      </c>
      <c r="C65" s="282">
        <f t="shared" si="6"/>
        <v>3.3380673809323205E-3</v>
      </c>
      <c r="D65" s="282">
        <f t="shared" si="6"/>
        <v>2.8469240555476691E-3</v>
      </c>
      <c r="E65" s="282">
        <f t="shared" si="6"/>
        <v>1.9733793043461671E-3</v>
      </c>
      <c r="F65" s="282">
        <f t="shared" si="6"/>
        <v>1.3513064982832888E-3</v>
      </c>
      <c r="G65" s="282">
        <f t="shared" si="6"/>
        <v>9.4577072335432996E-4</v>
      </c>
      <c r="H65" s="282">
        <f t="shared" si="6"/>
        <v>6.8057250169949949E-4</v>
      </c>
      <c r="I65" s="282">
        <f t="shared" si="6"/>
        <v>5.0307020363699528E-4</v>
      </c>
      <c r="J65" s="282">
        <f t="shared" si="6"/>
        <v>3.8100208526715355E-4</v>
      </c>
      <c r="K65">
        <v>4</v>
      </c>
      <c r="L65" s="1">
        <f t="shared" ref="L65:S65" si="7">L6/L30</f>
        <v>-1.1016096756800764E-2</v>
      </c>
      <c r="M65" s="1">
        <f t="shared" si="7"/>
        <v>1.3789472391975649E-3</v>
      </c>
      <c r="N65" s="1">
        <f t="shared" si="7"/>
        <v>7.7757416553625531E-5</v>
      </c>
      <c r="O65" s="1">
        <f t="shared" si="7"/>
        <v>-1.739267460269025E-4</v>
      </c>
      <c r="P65" s="1">
        <f t="shared" si="7"/>
        <v>-1.9471118839463266E-4</v>
      </c>
      <c r="Q65" s="1">
        <f t="shared" si="7"/>
        <v>-1.6668790028652838E-4</v>
      </c>
      <c r="R65" s="1">
        <f t="shared" si="7"/>
        <v>-1.3367388116712186E-4</v>
      </c>
      <c r="S65" s="1">
        <f t="shared" si="7"/>
        <v>-1.0555650499594218E-4</v>
      </c>
      <c r="T65">
        <v>4</v>
      </c>
      <c r="U65" s="1">
        <f t="shared" ref="U65:AA65" si="8">U6/U30</f>
        <v>4.3095947954919681E-2</v>
      </c>
      <c r="V65" s="1">
        <f t="shared" si="8"/>
        <v>2.2743330677083427E-2</v>
      </c>
      <c r="W65" s="1">
        <f t="shared" si="8"/>
        <v>1.3485532326239101E-2</v>
      </c>
      <c r="X65" s="1">
        <f t="shared" si="8"/>
        <v>8.6810578805417721E-3</v>
      </c>
      <c r="Y65" s="1">
        <f t="shared" si="8"/>
        <v>5.9342948489517046E-3</v>
      </c>
      <c r="Z65" s="1">
        <f t="shared" si="8"/>
        <v>4.2450590258207846E-3</v>
      </c>
      <c r="AA65" s="1">
        <f t="shared" si="8"/>
        <v>3.1459896098503556E-3</v>
      </c>
    </row>
    <row r="66" spans="1:27" x14ac:dyDescent="0.2">
      <c r="A66">
        <v>5</v>
      </c>
      <c r="B66" s="282">
        <f t="shared" ref="B66:J66" si="9">B7/B31</f>
        <v>-1.9076207293290937E-3</v>
      </c>
      <c r="C66" s="282">
        <f t="shared" si="9"/>
        <v>1.4650932653689009E-3</v>
      </c>
      <c r="D66" s="282">
        <f t="shared" si="9"/>
        <v>9.1030026554735207E-4</v>
      </c>
      <c r="E66" s="282">
        <f t="shared" si="9"/>
        <v>4.9569388577984613E-4</v>
      </c>
      <c r="F66" s="282">
        <f t="shared" si="9"/>
        <v>2.7982559066301523E-4</v>
      </c>
      <c r="G66" s="282">
        <f t="shared" si="9"/>
        <v>1.6680305436390724E-4</v>
      </c>
      <c r="H66" s="282">
        <f t="shared" si="9"/>
        <v>1.0463123488142687E-4</v>
      </c>
      <c r="I66" s="282">
        <f t="shared" si="9"/>
        <v>6.859455253787605E-5</v>
      </c>
      <c r="J66" s="282">
        <f t="shared" si="9"/>
        <v>4.6692998250784327E-5</v>
      </c>
      <c r="K66">
        <v>5</v>
      </c>
      <c r="L66" s="1">
        <f t="shared" ref="L66:S66" si="10">L7/L31</f>
        <v>-2.8405973366201708E-3</v>
      </c>
      <c r="M66" s="1">
        <f t="shared" si="10"/>
        <v>3.2559211437197525E-4</v>
      </c>
      <c r="N66" s="1">
        <f t="shared" si="10"/>
        <v>-3.9781674996082531E-5</v>
      </c>
      <c r="O66" s="1">
        <f t="shared" si="10"/>
        <v>-7.0146077799106908E-5</v>
      </c>
      <c r="P66" s="1">
        <f t="shared" si="10"/>
        <v>-5.507366034276197E-5</v>
      </c>
      <c r="Q66" s="1">
        <f t="shared" si="10"/>
        <v>-3.8781087199710689E-5</v>
      </c>
      <c r="R66" s="1">
        <f t="shared" si="10"/>
        <v>-2.690005515302439E-5</v>
      </c>
      <c r="S66" s="1">
        <f t="shared" si="10"/>
        <v>-1.8853508646439716E-5</v>
      </c>
      <c r="T66">
        <v>5</v>
      </c>
      <c r="U66" s="1">
        <f t="shared" ref="U66:AA66" si="11">U7/U31</f>
        <v>1.362134012714169E-2</v>
      </c>
      <c r="V66" s="1">
        <f t="shared" si="11"/>
        <v>5.7636498005962091E-3</v>
      </c>
      <c r="W66" s="1">
        <f t="shared" si="11"/>
        <v>2.850529896634626E-3</v>
      </c>
      <c r="X66" s="1">
        <f t="shared" si="11"/>
        <v>1.5734929434062298E-3</v>
      </c>
      <c r="Y66" s="1">
        <f t="shared" si="11"/>
        <v>9.4137016138490378E-4</v>
      </c>
      <c r="Z66" s="1">
        <f t="shared" si="11"/>
        <v>5.9864818431865747E-4</v>
      </c>
      <c r="AA66" s="1">
        <f t="shared" si="11"/>
        <v>3.9931518797309962E-4</v>
      </c>
    </row>
    <row r="67" spans="1:27" x14ac:dyDescent="0.2">
      <c r="A67">
        <v>6</v>
      </c>
      <c r="B67" s="282">
        <f t="shared" ref="B67:J67" si="12">B8/B32</f>
        <v>-1.2177386979478676E-3</v>
      </c>
      <c r="C67" s="282">
        <f t="shared" si="12"/>
        <v>6.0091987567912795E-4</v>
      </c>
      <c r="D67" s="282">
        <f t="shared" si="12"/>
        <v>2.7166588881878131E-4</v>
      </c>
      <c r="E67" s="282">
        <f t="shared" si="12"/>
        <v>1.1624310612044936E-4</v>
      </c>
      <c r="F67" s="282">
        <f t="shared" si="12"/>
        <v>5.41229487860155E-5</v>
      </c>
      <c r="G67" s="282">
        <f t="shared" si="12"/>
        <v>2.7488778285369872E-5</v>
      </c>
      <c r="H67" s="282">
        <f t="shared" si="12"/>
        <v>1.5034895636506705E-5</v>
      </c>
      <c r="I67" s="282">
        <f t="shared" si="12"/>
        <v>8.7433641084872462E-6</v>
      </c>
      <c r="J67" s="282">
        <f t="shared" si="12"/>
        <v>5.3499598976604529E-6</v>
      </c>
      <c r="K67">
        <v>6</v>
      </c>
      <c r="L67" s="1">
        <f t="shared" ref="L67:S67" si="13">L8/L32</f>
        <v>-6.9842781280817E-4</v>
      </c>
      <c r="M67" s="1">
        <f t="shared" si="13"/>
        <v>8.2802893306226934E-5</v>
      </c>
      <c r="N67" s="1">
        <f t="shared" si="13"/>
        <v>-1.7246839268074739E-5</v>
      </c>
      <c r="O67" s="1">
        <f t="shared" si="13"/>
        <v>-1.791631887830029E-5</v>
      </c>
      <c r="P67" s="1">
        <f t="shared" si="13"/>
        <v>-1.1492510696738133E-5</v>
      </c>
      <c r="Q67" s="1">
        <f t="shared" si="13"/>
        <v>-6.9601982434631961E-6</v>
      </c>
      <c r="R67" s="1">
        <f t="shared" si="13"/>
        <v>-4.2572497308474982E-6</v>
      </c>
      <c r="S67" s="1">
        <f t="shared" si="13"/>
        <v>-2.6742425050558166E-6</v>
      </c>
      <c r="T67">
        <v>6</v>
      </c>
      <c r="U67" s="1">
        <f t="shared" ref="U67:AA67" si="14">U8/U32</f>
        <v>4.1263218084074474E-3</v>
      </c>
      <c r="V67" s="1">
        <f t="shared" si="14"/>
        <v>1.3984105280942178E-3</v>
      </c>
      <c r="W67" s="1">
        <f t="shared" si="14"/>
        <v>5.7665500445455904E-4</v>
      </c>
      <c r="X67" s="1">
        <f t="shared" si="14"/>
        <v>2.7291721286020718E-4</v>
      </c>
      <c r="Y67" s="1">
        <f t="shared" si="14"/>
        <v>1.4289015608598979E-4</v>
      </c>
      <c r="Z67" s="1">
        <f t="shared" si="14"/>
        <v>8.077922632020095E-5</v>
      </c>
      <c r="AA67" s="1">
        <f t="shared" si="14"/>
        <v>4.8496329391485419E-5</v>
      </c>
    </row>
    <row r="68" spans="1:27" x14ac:dyDescent="0.2">
      <c r="A68">
        <v>7</v>
      </c>
      <c r="B68" s="282">
        <f t="shared" ref="B68:J68" si="15">B9/B33</f>
        <v>-7.460330516150871E-4</v>
      </c>
      <c r="C68" s="282">
        <f t="shared" si="15"/>
        <v>2.3569424989455408E-4</v>
      </c>
      <c r="D68" s="282">
        <f t="shared" si="15"/>
        <v>7.7531631572446387E-5</v>
      </c>
      <c r="E68" s="282">
        <f t="shared" si="15"/>
        <v>2.6089961050081483E-5</v>
      </c>
      <c r="F68" s="282">
        <f t="shared" si="15"/>
        <v>1.0026603993796176E-5</v>
      </c>
      <c r="G68" s="282">
        <f t="shared" si="15"/>
        <v>4.341254427397301E-6</v>
      </c>
      <c r="H68" s="282">
        <f t="shared" si="15"/>
        <v>2.0710801294791481E-6</v>
      </c>
      <c r="I68" s="282">
        <f t="shared" si="15"/>
        <v>1.0686068822396559E-6</v>
      </c>
      <c r="J68" s="282">
        <f t="shared" si="15"/>
        <v>5.8783677364715021E-7</v>
      </c>
      <c r="K68">
        <v>7</v>
      </c>
      <c r="L68" s="1">
        <f t="shared" ref="L68:S68" si="16">L9/L33</f>
        <v>-1.6603771730142156E-4</v>
      </c>
      <c r="M68" s="1">
        <f t="shared" si="16"/>
        <v>2.2160042923218946E-5</v>
      </c>
      <c r="N68" s="1">
        <f t="shared" si="16"/>
        <v>-5.0192798239314691E-6</v>
      </c>
      <c r="O68" s="1">
        <f t="shared" si="16"/>
        <v>-3.9303020717854933E-6</v>
      </c>
      <c r="P68" s="1">
        <f t="shared" si="16"/>
        <v>-2.123688809911535E-6</v>
      </c>
      <c r="Q68" s="1">
        <f t="shared" si="16"/>
        <v>-1.1182397501922787E-6</v>
      </c>
      <c r="R68" s="1">
        <f t="shared" si="16"/>
        <v>-6.0618141149069913E-7</v>
      </c>
      <c r="S68" s="1">
        <f t="shared" si="16"/>
        <v>-3.4217481745359679E-7</v>
      </c>
      <c r="T68">
        <v>7</v>
      </c>
      <c r="U68" s="1">
        <f t="shared" ref="U68:AA68" si="17">U9/U33</f>
        <v>1.2125568294188017E-3</v>
      </c>
      <c r="V68" s="1">
        <f t="shared" si="17"/>
        <v>3.2898306643382765E-4</v>
      </c>
      <c r="W68" s="1">
        <f t="shared" si="17"/>
        <v>1.1309406737663056E-4</v>
      </c>
      <c r="X68" s="1">
        <f t="shared" si="17"/>
        <v>4.5888419139396881E-5</v>
      </c>
      <c r="Y68" s="1">
        <f t="shared" si="17"/>
        <v>2.1025112530710535E-5</v>
      </c>
      <c r="Z68" s="1">
        <f t="shared" si="17"/>
        <v>1.0566136152993153E-5</v>
      </c>
      <c r="AA68" s="1">
        <f t="shared" si="17"/>
        <v>5.7093612604625575E-6</v>
      </c>
    </row>
    <row r="69" spans="1:27" x14ac:dyDescent="0.2">
      <c r="A69">
        <v>8</v>
      </c>
      <c r="B69" s="282">
        <f t="shared" ref="B69:J69" si="18">B10/B34</f>
        <v>-4.437308761382212E-4</v>
      </c>
      <c r="C69" s="282">
        <f t="shared" si="18"/>
        <v>8.9580191139901141E-5</v>
      </c>
      <c r="D69" s="282">
        <f t="shared" si="18"/>
        <v>2.145443657335047E-5</v>
      </c>
      <c r="E69" s="282">
        <f t="shared" si="18"/>
        <v>5.6836456728379161E-6</v>
      </c>
      <c r="F69" s="282">
        <f t="shared" si="18"/>
        <v>1.8044094534344179E-6</v>
      </c>
      <c r="G69" s="282">
        <f t="shared" si="18"/>
        <v>6.6638832866149239E-7</v>
      </c>
      <c r="H69" s="282">
        <f t="shared" si="18"/>
        <v>2.7739586685829565E-7</v>
      </c>
      <c r="I69" s="282">
        <f t="shared" si="18"/>
        <v>1.2701618774344076E-7</v>
      </c>
      <c r="J69" s="282">
        <f t="shared" si="18"/>
        <v>6.2823559527543577E-8</v>
      </c>
      <c r="K69">
        <v>8</v>
      </c>
      <c r="L69" s="1">
        <f t="shared" ref="L69:S69" si="19">L10/L34</f>
        <v>-3.8507703693904629E-5</v>
      </c>
      <c r="M69" s="1">
        <f t="shared" si="19"/>
        <v>6.0870442865204283E-6</v>
      </c>
      <c r="N69" s="1">
        <f t="shared" si="19"/>
        <v>-1.2762446853568026E-6</v>
      </c>
      <c r="O69" s="1">
        <f t="shared" si="19"/>
        <v>-8.0053995853650135E-7</v>
      </c>
      <c r="P69" s="1">
        <f t="shared" si="19"/>
        <v>-3.6815679592283176E-7</v>
      </c>
      <c r="Q69" s="1">
        <f t="shared" si="19"/>
        <v>-1.6919805611589253E-7</v>
      </c>
      <c r="R69" s="1">
        <f t="shared" si="19"/>
        <v>-8.1436745334992562E-8</v>
      </c>
      <c r="S69" s="1">
        <f t="shared" si="19"/>
        <v>-4.1348511091578458E-8</v>
      </c>
      <c r="T69">
        <v>8</v>
      </c>
      <c r="U69" s="1">
        <f t="shared" ref="U69:AA69" si="20">U10/U34</f>
        <v>3.4843850310799202E-4</v>
      </c>
      <c r="V69" s="1">
        <f t="shared" si="20"/>
        <v>7.5666499354288242E-5</v>
      </c>
      <c r="W69" s="1">
        <f t="shared" si="20"/>
        <v>2.1682758996137289E-5</v>
      </c>
      <c r="X69" s="1">
        <f t="shared" si="20"/>
        <v>7.5423407702042062E-6</v>
      </c>
      <c r="Y69" s="1">
        <f t="shared" si="20"/>
        <v>3.0240880910867646E-6</v>
      </c>
      <c r="Z69" s="1">
        <f t="shared" si="20"/>
        <v>1.3509732562561771E-6</v>
      </c>
      <c r="AA69" s="1">
        <f t="shared" si="20"/>
        <v>6.5701718914766528E-7</v>
      </c>
    </row>
    <row r="70" spans="1:27" x14ac:dyDescent="0.2">
      <c r="A70">
        <v>9</v>
      </c>
      <c r="B70" s="282">
        <f t="shared" ref="B70:J70" si="21">B11/B35</f>
        <v>-2.5810197643582765E-4</v>
      </c>
      <c r="C70" s="282">
        <f t="shared" si="21"/>
        <v>3.326613458637292E-5</v>
      </c>
      <c r="D70" s="282">
        <f t="shared" si="21"/>
        <v>5.8058332984566302E-6</v>
      </c>
      <c r="E70" s="282">
        <f t="shared" si="21"/>
        <v>1.2122331342271576E-6</v>
      </c>
      <c r="F70" s="282">
        <f t="shared" si="21"/>
        <v>3.1819692377021287E-7</v>
      </c>
      <c r="G70" s="282">
        <f t="shared" si="21"/>
        <v>1.0029155363549449E-7</v>
      </c>
      <c r="H70" s="282">
        <f t="shared" si="21"/>
        <v>3.6440208113441151E-8</v>
      </c>
      <c r="I70" s="282">
        <f t="shared" si="21"/>
        <v>1.4810557748654361E-8</v>
      </c>
      <c r="J70" s="282">
        <f t="shared" si="21"/>
        <v>6.5874315601339054E-9</v>
      </c>
      <c r="K70">
        <v>9</v>
      </c>
      <c r="L70" s="1">
        <f t="shared" ref="L70:S70" si="22">L11/L35</f>
        <v>-8.7645883935134041E-6</v>
      </c>
      <c r="M70" s="1">
        <f t="shared" si="22"/>
        <v>1.6867718002799781E-6</v>
      </c>
      <c r="N70" s="1">
        <f t="shared" si="22"/>
        <v>-3.0413923263899233E-7</v>
      </c>
      <c r="O70" s="1">
        <f t="shared" si="22"/>
        <v>-1.5627537017095701E-7</v>
      </c>
      <c r="P70" s="1">
        <f t="shared" si="22"/>
        <v>-6.1424717422138035E-8</v>
      </c>
      <c r="Q70" s="1">
        <f t="shared" si="22"/>
        <v>-2.4678206239172065E-8</v>
      </c>
      <c r="R70" s="1">
        <f t="shared" si="22"/>
        <v>-1.0554149611555395E-8</v>
      </c>
      <c r="S70" s="1">
        <f t="shared" si="22"/>
        <v>-4.8220216000561097E-9</v>
      </c>
      <c r="T70">
        <v>9</v>
      </c>
      <c r="U70" s="1">
        <f t="shared" ref="U70:AA70" si="23">U11/U35</f>
        <v>9.8438478464466081E-5</v>
      </c>
      <c r="V70" s="1">
        <f t="shared" si="23"/>
        <v>1.7107831852464367E-5</v>
      </c>
      <c r="W70" s="1">
        <f t="shared" si="23"/>
        <v>4.0862316028408844E-6</v>
      </c>
      <c r="X70" s="1">
        <f t="shared" si="23"/>
        <v>1.2185052407300435E-6</v>
      </c>
      <c r="Y70" s="1">
        <f t="shared" si="23"/>
        <v>4.2752323074514745E-7</v>
      </c>
      <c r="Z70" s="1">
        <f t="shared" si="23"/>
        <v>1.6977789886090197E-7</v>
      </c>
      <c r="AA70" s="1">
        <f t="shared" si="23"/>
        <v>7.4313315737615656E-8</v>
      </c>
    </row>
    <row r="71" spans="1:27" x14ac:dyDescent="0.2">
      <c r="A71">
        <v>10</v>
      </c>
      <c r="B71" s="282">
        <f t="shared" ref="B71:J71" si="24">B12/B36</f>
        <v>-1.4754117971119143E-4</v>
      </c>
      <c r="C71" s="282">
        <f t="shared" si="24"/>
        <v>1.2136773278982578E-5</v>
      </c>
      <c r="D71" s="282">
        <f t="shared" si="24"/>
        <v>1.5451546287923964E-6</v>
      </c>
      <c r="E71" s="282">
        <f t="shared" si="24"/>
        <v>2.5458055516247558E-7</v>
      </c>
      <c r="F71" s="282">
        <f t="shared" si="24"/>
        <v>5.5298310747453646E-8</v>
      </c>
      <c r="G71" s="282">
        <f t="shared" si="24"/>
        <v>1.4883193804636725E-8</v>
      </c>
      <c r="H71" s="282">
        <f t="shared" si="24"/>
        <v>4.721759970649327E-9</v>
      </c>
      <c r="I71" s="282">
        <f t="shared" si="24"/>
        <v>1.7037866967939242E-9</v>
      </c>
      <c r="J71" s="282">
        <f t="shared" si="24"/>
        <v>6.8154557672141737E-10</v>
      </c>
      <c r="K71">
        <v>10</v>
      </c>
      <c r="L71" s="1">
        <f t="shared" ref="L71:S71" si="25">L12/L36</f>
        <v>-1.9658294311197684E-6</v>
      </c>
      <c r="M71" s="1">
        <f t="shared" si="25"/>
        <v>4.6714677240905216E-7</v>
      </c>
      <c r="N71" s="1">
        <f t="shared" si="25"/>
        <v>-6.9890806311934294E-8</v>
      </c>
      <c r="O71" s="1">
        <f t="shared" si="25"/>
        <v>-2.9698985362801256E-8</v>
      </c>
      <c r="P71" s="1">
        <f t="shared" si="25"/>
        <v>-9.9950785044245789E-9</v>
      </c>
      <c r="Q71" s="1">
        <f t="shared" si="25"/>
        <v>-3.5128456681055263E-9</v>
      </c>
      <c r="R71" s="1">
        <f t="shared" si="25"/>
        <v>-1.3353377011993091E-9</v>
      </c>
      <c r="S71" s="1">
        <f t="shared" si="25"/>
        <v>-5.4907953307430816E-10</v>
      </c>
      <c r="T71">
        <v>10</v>
      </c>
      <c r="U71" s="1">
        <f t="shared" ref="U71:AA71" si="26">U12/U36</f>
        <v>2.744211942390547E-5</v>
      </c>
      <c r="V71" s="1">
        <f t="shared" si="26"/>
        <v>3.8165039538667773E-6</v>
      </c>
      <c r="W71" s="1">
        <f t="shared" si="26"/>
        <v>7.5978560865789907E-7</v>
      </c>
      <c r="X71" s="1">
        <f t="shared" si="26"/>
        <v>1.9422117502754477E-7</v>
      </c>
      <c r="Y71" s="1">
        <f t="shared" si="26"/>
        <v>5.9630152632155995E-8</v>
      </c>
      <c r="Z71" s="1">
        <f t="shared" si="26"/>
        <v>2.1050009244615117E-8</v>
      </c>
      <c r="AA71" s="1">
        <f t="shared" si="26"/>
        <v>8.2926010847961511E-9</v>
      </c>
    </row>
  </sheetData>
  <sheetProtection sheet="1" objects="1" scenarios="1"/>
  <mergeCells count="18">
    <mergeCell ref="L61:S61"/>
    <mergeCell ref="L1:S1"/>
    <mergeCell ref="L13:S13"/>
    <mergeCell ref="L25:S25"/>
    <mergeCell ref="L37:S37"/>
    <mergeCell ref="L49:S49"/>
    <mergeCell ref="B1:J1"/>
    <mergeCell ref="B13:J13"/>
    <mergeCell ref="B25:J25"/>
    <mergeCell ref="B37:J37"/>
    <mergeCell ref="B61:J61"/>
    <mergeCell ref="B49:J49"/>
    <mergeCell ref="U61:AA61"/>
    <mergeCell ref="U1:AA1"/>
    <mergeCell ref="U13:AA13"/>
    <mergeCell ref="U25:AA25"/>
    <mergeCell ref="U37:AA37"/>
    <mergeCell ref="U49:AA49"/>
  </mergeCells>
  <phoneticPr fontId="16" type="noConversion"/>
  <conditionalFormatting sqref="B15:J24">
    <cfRule type="colorScale" priority="4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42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3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3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3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85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8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60" priority="13" operator="lessThanOrEqual">
      <formula>0</formula>
    </cfRule>
    <cfRule type="colorScale" priority="18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59" priority="11" operator="lessThanOrEqual">
      <formula>0</formula>
    </cfRule>
    <cfRule type="colorScale" priority="18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58" priority="9" operator="lessThanOrEqual">
      <formula>0</formula>
    </cfRule>
    <cfRule type="colorScale" priority="18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194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57" priority="12" operator="lessThanOrEqual">
      <formula>0</formula>
    </cfRule>
    <cfRule type="colorScale" priority="195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56" priority="10" operator="lessThanOrEqual">
      <formula>0</formula>
    </cfRule>
    <cfRule type="colorScale" priority="19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19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1">
    <cfRule type="cellIs" dxfId="155" priority="317" operator="equal">
      <formula>MAX($B$63:$J$71)</formula>
    </cfRule>
    <cfRule type="colorScale" priority="318">
      <colorScale>
        <cfvo type="num" val="0"/>
        <cfvo type="percentile" val="50"/>
        <cfvo type="num" val="MAX($B$63:$J$71)"/>
        <color rgb="FFFF0000"/>
        <color rgb="FFFFEB84"/>
        <color rgb="FF00B050"/>
      </colorScale>
    </cfRule>
  </conditionalFormatting>
  <conditionalFormatting sqref="L63:S71">
    <cfRule type="colorScale" priority="3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1">
    <cfRule type="colorScale" priority="3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F125-C276-244A-97F9-A501244095E9}">
  <dimension ref="A1:AA72"/>
  <sheetViews>
    <sheetView workbookViewId="0">
      <selection activeCell="F65" sqref="F65"/>
    </sheetView>
  </sheetViews>
  <sheetFormatPr baseColWidth="10" defaultColWidth="8.83203125" defaultRowHeight="16" x14ac:dyDescent="0.2"/>
  <cols>
    <col min="1" max="27" width="6.6640625" customWidth="1"/>
  </cols>
  <sheetData>
    <row r="1" spans="1:27" x14ac:dyDescent="0.2">
      <c r="B1" s="355" t="s">
        <v>48</v>
      </c>
      <c r="C1" s="355"/>
      <c r="D1" s="355"/>
      <c r="E1" s="355"/>
      <c r="F1" s="355"/>
      <c r="G1" s="355"/>
      <c r="H1" s="355"/>
      <c r="I1" s="355"/>
      <c r="J1" s="355"/>
      <c r="L1" s="355" t="s">
        <v>48</v>
      </c>
      <c r="M1" s="355"/>
      <c r="N1" s="355"/>
      <c r="O1" s="355"/>
      <c r="P1" s="355"/>
      <c r="Q1" s="355"/>
      <c r="R1" s="355"/>
      <c r="S1" s="355"/>
      <c r="U1" s="355" t="s">
        <v>48</v>
      </c>
      <c r="V1" s="355"/>
      <c r="W1" s="355"/>
      <c r="X1" s="355"/>
      <c r="Y1" s="355"/>
      <c r="Z1" s="355"/>
      <c r="AA1" s="355"/>
    </row>
    <row r="2" spans="1:27" x14ac:dyDescent="0.2">
      <c r="A2" s="277" t="s">
        <v>57</v>
      </c>
      <c r="B2" s="278" t="s">
        <v>141</v>
      </c>
      <c r="C2" s="278" t="s">
        <v>142</v>
      </c>
      <c r="D2" s="278" t="s">
        <v>143</v>
      </c>
      <c r="E2" s="278" t="s">
        <v>144</v>
      </c>
      <c r="F2" s="278" t="s">
        <v>145</v>
      </c>
      <c r="G2" s="278" t="s">
        <v>146</v>
      </c>
      <c r="H2" s="278" t="s">
        <v>147</v>
      </c>
      <c r="I2" s="278" t="s">
        <v>148</v>
      </c>
      <c r="J2" s="278" t="s">
        <v>149</v>
      </c>
      <c r="K2" s="277" t="s">
        <v>57</v>
      </c>
      <c r="L2" s="278" t="s">
        <v>158</v>
      </c>
      <c r="M2" s="278" t="s">
        <v>159</v>
      </c>
      <c r="N2" s="278" t="s">
        <v>160</v>
      </c>
      <c r="O2" s="278" t="s">
        <v>161</v>
      </c>
      <c r="P2" s="278" t="s">
        <v>162</v>
      </c>
      <c r="Q2" s="278" t="s">
        <v>163</v>
      </c>
      <c r="R2" s="278" t="s">
        <v>164</v>
      </c>
      <c r="S2" s="278" t="s">
        <v>165</v>
      </c>
      <c r="T2" s="277" t="s">
        <v>57</v>
      </c>
      <c r="U2" s="278" t="s">
        <v>169</v>
      </c>
      <c r="V2" s="278" t="s">
        <v>170</v>
      </c>
      <c r="W2" s="278" t="s">
        <v>171</v>
      </c>
      <c r="X2" s="278" t="s">
        <v>172</v>
      </c>
      <c r="Y2" s="278" t="s">
        <v>173</v>
      </c>
      <c r="Z2" s="278" t="s">
        <v>174</v>
      </c>
      <c r="AA2" s="278" t="s">
        <v>175</v>
      </c>
    </row>
    <row r="3" spans="1:27" x14ac:dyDescent="0.2">
      <c r="A3" s="277">
        <v>1</v>
      </c>
      <c r="B3" s="1">
        <f>'1x2'!U7</f>
        <v>-3.6570223864540674E-2</v>
      </c>
      <c r="C3" s="1">
        <f>'1x3'!U7</f>
        <v>0.15281319380232716</v>
      </c>
      <c r="D3" s="1">
        <f>'1x4'!U7</f>
        <v>0.36258956038755419</v>
      </c>
      <c r="E3" s="1">
        <f>'1x5'!U7</f>
        <v>0.5769949910823704</v>
      </c>
      <c r="F3" s="1">
        <f>'1x6'!U7</f>
        <v>0.7898304523694315</v>
      </c>
      <c r="G3" s="1">
        <f>'1x7'!U7</f>
        <v>0.99889500731052427</v>
      </c>
      <c r="H3" s="1">
        <f>'1x8'!U7</f>
        <v>1.2038154875585767</v>
      </c>
      <c r="I3" s="1">
        <f>'1x9'!U7</f>
        <v>1.4050136858132474</v>
      </c>
      <c r="J3" s="1">
        <f>'1x10'!U7</f>
        <v>1.6031828648635646</v>
      </c>
      <c r="K3" s="277">
        <v>1</v>
      </c>
      <c r="L3" s="1">
        <f>'2x3'!U7</f>
        <v>-1.4474305507005927</v>
      </c>
      <c r="M3" s="1">
        <f>'2x4'!U7</f>
        <v>-1.7703803444732258</v>
      </c>
      <c r="N3" s="1">
        <f>'2x5'!U7</f>
        <v>-2.1119205886918473</v>
      </c>
      <c r="O3" s="1">
        <f>'2x6'!U7</f>
        <v>-2.477955225292038</v>
      </c>
      <c r="P3" s="1">
        <f>'2x7'!U7</f>
        <v>-2.8671785612277465</v>
      </c>
      <c r="Q3" s="1">
        <f>'2x8'!U7</f>
        <v>-3.275726559586865</v>
      </c>
      <c r="R3" s="1">
        <f>'2x9'!U7</f>
        <v>-3.6992817778532388</v>
      </c>
      <c r="S3" s="1">
        <f>'2x10'!U7</f>
        <v>-4.1339667003148586</v>
      </c>
      <c r="T3" s="277">
        <v>1</v>
      </c>
      <c r="U3" s="1">
        <f>'3x4'!U7</f>
        <v>-6.1021836161551244</v>
      </c>
      <c r="V3" s="1">
        <f>'3x5'!U7</f>
        <v>-7.7614352204102213</v>
      </c>
      <c r="W3" s="1">
        <f>'3x6'!U7</f>
        <v>-9.4581902106823801</v>
      </c>
      <c r="X3" s="1">
        <f>'3x7'!U7</f>
        <v>-11.182856269138819</v>
      </c>
      <c r="Y3" s="1">
        <f>'3x8'!U7</f>
        <v>-12.927648144868424</v>
      </c>
      <c r="Z3" s="1">
        <f>'3x9'!U7</f>
        <v>-14.686602330844327</v>
      </c>
      <c r="AA3" s="1">
        <f>'3x10'!U7</f>
        <v>-16.455330573699428</v>
      </c>
    </row>
    <row r="4" spans="1:27" x14ac:dyDescent="0.2">
      <c r="A4">
        <v>2</v>
      </c>
      <c r="B4" s="1">
        <f>'1x2'!U8</f>
        <v>-7.3668258212151283E-2</v>
      </c>
      <c r="C4" s="1">
        <f>'1x3'!U8</f>
        <v>0.29698579077379517</v>
      </c>
      <c r="D4" s="1">
        <f>'1x4'!U8</f>
        <v>0.68981281978385534</v>
      </c>
      <c r="E4" s="1">
        <f>'1x5'!U8</f>
        <v>1.0840460310671967</v>
      </c>
      <c r="F4" s="1">
        <f>'1x6'!U8</f>
        <v>1.4729914772238679</v>
      </c>
      <c r="G4" s="1">
        <f>'1x7'!U8</f>
        <v>1.8547433437928653</v>
      </c>
      <c r="H4" s="1">
        <f>'1x8'!U8</f>
        <v>2.2294216986461999</v>
      </c>
      <c r="I4" s="1">
        <f>'1x9'!U8</f>
        <v>2.5979935696140526</v>
      </c>
      <c r="J4" s="1">
        <f>'1x10'!U8</f>
        <v>2.9616766750705796</v>
      </c>
      <c r="K4">
        <v>2</v>
      </c>
      <c r="L4" s="1">
        <f>'2x3'!U8</f>
        <v>-3.1134035093547561</v>
      </c>
      <c r="M4" s="1">
        <f>'2x4'!U8</f>
        <v>-3.7974252164182709</v>
      </c>
      <c r="N4" s="1">
        <f>'2x5'!U8</f>
        <v>-4.5200678495363604</v>
      </c>
      <c r="O4" s="1">
        <f>'2x6'!U8</f>
        <v>-5.295616074916639</v>
      </c>
      <c r="P4" s="1">
        <f>'2x7'!U8</f>
        <v>-6.1216422055492457</v>
      </c>
      <c r="Q4" s="1">
        <f>'2x8'!U8</f>
        <v>-6.9898403780172789</v>
      </c>
      <c r="R4" s="1">
        <f>'2x9'!U8</f>
        <v>-7.8908241196955728</v>
      </c>
      <c r="S4" s="1">
        <f>'2x10'!U8</f>
        <v>-8.8161371269386244</v>
      </c>
      <c r="T4">
        <v>2</v>
      </c>
      <c r="U4" s="1">
        <f>'3x4'!U8</f>
        <v>-13.058956183478275</v>
      </c>
      <c r="V4" s="1">
        <f>'3x5'!U8</f>
        <v>-16.63484558230294</v>
      </c>
      <c r="W4" s="1">
        <f>'3x6'!U8</f>
        <v>-20.28769035997891</v>
      </c>
      <c r="X4" s="1">
        <f>'3x7'!U8</f>
        <v>-23.997744377551811</v>
      </c>
      <c r="Y4" s="1">
        <f>'3x8'!U8</f>
        <v>-27.749009425951872</v>
      </c>
      <c r="Z4" s="1">
        <f>'3x9'!U8</f>
        <v>-31.529234172703294</v>
      </c>
      <c r="AA4" s="1">
        <f>'3x10'!U8</f>
        <v>-35.329411897974978</v>
      </c>
    </row>
    <row r="5" spans="1:27" x14ac:dyDescent="0.2">
      <c r="A5">
        <v>3</v>
      </c>
      <c r="B5" s="1">
        <f>'1x2'!U9</f>
        <v>-0.11129358571039338</v>
      </c>
      <c r="C5" s="1">
        <f>'1x3'!U9</f>
        <v>0.43262439186512847</v>
      </c>
      <c r="D5" s="1">
        <f>'1x4'!U9</f>
        <v>0.98284859348552533</v>
      </c>
      <c r="E5" s="1">
        <f>'1x5'!U9</f>
        <v>1.5245725860901702</v>
      </c>
      <c r="F5" s="1">
        <f>'1x6'!U9</f>
        <v>2.0557707424448184</v>
      </c>
      <c r="G5" s="1">
        <f>'1x7'!U9</f>
        <v>2.5768679856900238</v>
      </c>
      <c r="H5" s="1">
        <f>'1x8'!U9</f>
        <v>3.0891091654102203</v>
      </c>
      <c r="I5" s="1">
        <f>'1x9'!U9</f>
        <v>3.5940486622631429</v>
      </c>
      <c r="J5" s="1">
        <f>'1x10'!U9</f>
        <v>4.0932545632081538</v>
      </c>
      <c r="K5">
        <v>3</v>
      </c>
      <c r="L5" s="1">
        <f>'2x3'!U9</f>
        <v>-4.9401155866323627</v>
      </c>
      <c r="M5" s="1">
        <f>'2x4'!U9</f>
        <v>-6.0264051649858628</v>
      </c>
      <c r="N5" s="1">
        <f>'2x5'!U9</f>
        <v>-7.1694319094583596</v>
      </c>
      <c r="O5" s="1">
        <f>'2x6'!U9</f>
        <v>-8.3951213366081419</v>
      </c>
      <c r="P5" s="1">
        <f>'2x7'!U9</f>
        <v>-9.7008388053015988</v>
      </c>
      <c r="Q5" s="1">
        <f>'2x8'!U9</f>
        <v>-11.073787586258788</v>
      </c>
      <c r="R5" s="1">
        <f>'2x9'!U9</f>
        <v>-12.499137938419628</v>
      </c>
      <c r="S5" s="1">
        <f>'2x10'!U9</f>
        <v>-13.963426300313518</v>
      </c>
      <c r="T5">
        <v>3</v>
      </c>
      <c r="U5" s="1">
        <f>'3x4'!U9</f>
        <v>-20.400498291527544</v>
      </c>
      <c r="V5" s="1">
        <f>'3x5'!U9</f>
        <v>-26.035064544383069</v>
      </c>
      <c r="W5" s="1">
        <f>'3x6'!U9</f>
        <v>-31.785847172018542</v>
      </c>
      <c r="X5" s="1">
        <f>'3x7'!U9</f>
        <v>-37.621803163182669</v>
      </c>
      <c r="Y5" s="1">
        <f>'3x8'!U9</f>
        <v>-43.518521446736891</v>
      </c>
      <c r="Z5" s="1">
        <f>'3x9'!U9</f>
        <v>-49.457624320991421</v>
      </c>
      <c r="AA5" s="1">
        <f>'3x10'!U9</f>
        <v>-55.425755949305859</v>
      </c>
    </row>
    <row r="6" spans="1:27" x14ac:dyDescent="0.2">
      <c r="A6">
        <v>4</v>
      </c>
      <c r="B6" s="1">
        <f>'1x2'!U10</f>
        <v>-0.14944548310754024</v>
      </c>
      <c r="C6" s="1">
        <f>'1x3'!U10</f>
        <v>0.55987562228713816</v>
      </c>
      <c r="D6" s="1">
        <f>'1x4'!U10</f>
        <v>1.2432697746051113</v>
      </c>
      <c r="E6" s="1">
        <f>'1x5'!U10</f>
        <v>1.903034598162372</v>
      </c>
      <c r="F6" s="1">
        <f>'1x6'!U10</f>
        <v>2.5462484484956764</v>
      </c>
      <c r="G6" s="1">
        <f>'1x7'!U10</f>
        <v>3.1771397069953391</v>
      </c>
      <c r="H6" s="1">
        <f>'1x8'!U10</f>
        <v>3.798439233006258</v>
      </c>
      <c r="I6" s="1">
        <f>'1x9'!U10</f>
        <v>4.4122437081883472</v>
      </c>
      <c r="J6" s="1">
        <f>'1x10'!U10</f>
        <v>5.0202968684137961</v>
      </c>
      <c r="K6">
        <v>4</v>
      </c>
      <c r="L6" s="1">
        <f>'2x3'!U10</f>
        <v>-6.8740443762436767</v>
      </c>
      <c r="M6" s="1">
        <f>'2x4'!U10</f>
        <v>-8.4020435046438173</v>
      </c>
      <c r="N6" s="1">
        <f>'2x5'!U10</f>
        <v>-10.001890741850213</v>
      </c>
      <c r="O6" s="1">
        <f>'2x6'!U10</f>
        <v>-11.713805237271673</v>
      </c>
      <c r="P6" s="1">
        <f>'2x7'!U10</f>
        <v>-13.536063991719244</v>
      </c>
      <c r="Q6" s="1">
        <f>'2x8'!U10</f>
        <v>-15.451656207842596</v>
      </c>
      <c r="R6" s="1">
        <f>'2x9'!U10</f>
        <v>-17.440231097791287</v>
      </c>
      <c r="S6" s="1">
        <f>'2x10'!U10</f>
        <v>-19.483128766169759</v>
      </c>
      <c r="T6">
        <v>4</v>
      </c>
      <c r="U6" s="1">
        <f>'3x4'!U10</f>
        <v>-27.885877486246695</v>
      </c>
      <c r="V6" s="1">
        <f>'3x5'!U10</f>
        <v>-35.643881618707617</v>
      </c>
      <c r="W6" s="1">
        <f>'3x6'!U10</f>
        <v>-43.557584999750247</v>
      </c>
      <c r="X6" s="1">
        <f>'3x7'!U10</f>
        <v>-51.583298058430415</v>
      </c>
      <c r="Y6" s="1">
        <f>'3x8'!U10</f>
        <v>-59.687879603616615</v>
      </c>
      <c r="Z6" s="1">
        <f>'3x9'!U10</f>
        <v>-67.846939323367408</v>
      </c>
      <c r="AA6" s="1">
        <f>'3x10'!U10</f>
        <v>-76.043025432287763</v>
      </c>
    </row>
    <row r="7" spans="1:27" x14ac:dyDescent="0.2">
      <c r="A7">
        <v>5</v>
      </c>
      <c r="B7" s="1">
        <f>'1x2'!U11</f>
        <v>-0.18812302224292932</v>
      </c>
      <c r="C7" s="1">
        <f>'1x3'!U11</f>
        <v>0.67892362253028082</v>
      </c>
      <c r="D7" s="1">
        <f>'1x4'!U11</f>
        <v>1.4729742829870478</v>
      </c>
      <c r="E7" s="1">
        <f>'1x5'!U11</f>
        <v>2.2246564637990893</v>
      </c>
      <c r="F7" s="1">
        <f>'1x6'!U11</f>
        <v>2.953710024222147</v>
      </c>
      <c r="G7" s="1">
        <f>'1x7'!U11</f>
        <v>3.6690387518024714</v>
      </c>
      <c r="H7" s="1">
        <f>'1x8'!U11</f>
        <v>4.3749556363494335</v>
      </c>
      <c r="I7" s="1">
        <f>'1x9'!U11</f>
        <v>5.0739783447364299</v>
      </c>
      <c r="J7" s="1">
        <f>'1x10'!U11</f>
        <v>5.7678588658858647</v>
      </c>
      <c r="K7">
        <v>5</v>
      </c>
      <c r="L7" s="1">
        <f>'2x3'!U11</f>
        <v>-8.8740260796014141</v>
      </c>
      <c r="M7" s="1">
        <f>'2x4'!U11</f>
        <v>-10.87722213074912</v>
      </c>
      <c r="N7" s="1">
        <f>'2x5'!U11</f>
        <v>-12.965137450482544</v>
      </c>
      <c r="O7" s="1">
        <f>'2x6'!U11</f>
        <v>-15.193550110967742</v>
      </c>
      <c r="P7" s="1">
        <f>'2x7'!U11</f>
        <v>-17.562496362364559</v>
      </c>
      <c r="Q7" s="1">
        <f>'2x8'!U11</f>
        <v>-20.051105792002545</v>
      </c>
      <c r="R7" s="1">
        <f>'2x9'!U11</f>
        <v>-22.63359157685279</v>
      </c>
      <c r="S7" s="1">
        <f>'2x10'!U11</f>
        <v>-25.286070474483708</v>
      </c>
      <c r="T7">
        <v>5</v>
      </c>
      <c r="U7" s="1">
        <f>'3x4'!U11</f>
        <v>-35.418934360790089</v>
      </c>
      <c r="V7" s="1">
        <f>'3x5'!U11</f>
        <v>-45.326081370790092</v>
      </c>
      <c r="W7" s="1">
        <f>'3x6'!U11</f>
        <v>-55.428896084614117</v>
      </c>
      <c r="X7" s="1">
        <f>'3x7'!U11</f>
        <v>-65.670066220843637</v>
      </c>
      <c r="Y7" s="1">
        <f>'3x8'!U11</f>
        <v>-76.007424936251326</v>
      </c>
      <c r="Z7" s="1">
        <f>'3x9'!U11</f>
        <v>-86.410586781505273</v>
      </c>
      <c r="AA7" s="1">
        <f>'3x10'!U11</f>
        <v>-96.858134927701329</v>
      </c>
    </row>
    <row r="8" spans="1:27" x14ac:dyDescent="0.2">
      <c r="A8">
        <v>6</v>
      </c>
      <c r="B8" s="1">
        <f>'1x2'!U12</f>
        <v>-0.22732507134124136</v>
      </c>
      <c r="C8" s="1">
        <f>'1x3'!U12</f>
        <v>0.78998696897956489</v>
      </c>
      <c r="D8" s="1">
        <f>'1x4'!U12</f>
        <v>1.6741069273860809</v>
      </c>
      <c r="E8" s="1">
        <f>'1x5'!U12</f>
        <v>2.49513357746787</v>
      </c>
      <c r="F8" s="1">
        <f>'1x6'!U12</f>
        <v>3.2880471277410361</v>
      </c>
      <c r="G8" s="1">
        <f>'1x7'!U12</f>
        <v>4.066722638053573</v>
      </c>
      <c r="H8" s="1">
        <f>'1x8'!U12</f>
        <v>4.8369250899165408</v>
      </c>
      <c r="I8" s="1">
        <f>'1x9'!U12</f>
        <v>5.6014183418468502</v>
      </c>
      <c r="J8" s="1">
        <f>'1x10'!U12</f>
        <v>6.3618117303218273</v>
      </c>
      <c r="K8">
        <v>6</v>
      </c>
      <c r="L8" s="1">
        <f>'2x3'!U12</f>
        <v>-10.912236147314848</v>
      </c>
      <c r="M8" s="1">
        <f>'2x4'!U12</f>
        <v>-13.416310477330654</v>
      </c>
      <c r="N8" s="1">
        <f>'2x5'!U12</f>
        <v>-16.017161598372979</v>
      </c>
      <c r="O8" s="1">
        <f>'2x6'!U12</f>
        <v>-18.786077885288872</v>
      </c>
      <c r="P8" s="1">
        <f>'2x7'!U12</f>
        <v>-21.725236080426242</v>
      </c>
      <c r="Q8" s="1">
        <f>'2x8'!U12</f>
        <v>-24.810171800345511</v>
      </c>
      <c r="R8" s="1">
        <f>'2x9'!U12</f>
        <v>-28.009794231901346</v>
      </c>
      <c r="S8" s="1">
        <f>'2x10'!U12</f>
        <v>-31.295052567092426</v>
      </c>
      <c r="T8">
        <v>6</v>
      </c>
      <c r="U8" s="1">
        <f>'3x4'!U12</f>
        <v>-42.966627294804731</v>
      </c>
      <c r="V8" s="1">
        <f>'3x5'!U12</f>
        <v>-55.032191162003478</v>
      </c>
      <c r="W8" s="1">
        <f>'3x6'!U12</f>
        <v>-67.333777430247579</v>
      </c>
      <c r="X8" s="1">
        <f>'3x7'!U12</f>
        <v>-79.799918957408778</v>
      </c>
      <c r="Y8" s="1">
        <f>'3x8'!U12</f>
        <v>-92.379233687189881</v>
      </c>
      <c r="Z8" s="1">
        <f>'3x9'!U12</f>
        <v>-105.03532418858535</v>
      </c>
      <c r="AA8" s="1">
        <f>'3x10'!U12</f>
        <v>-117.74286018436398</v>
      </c>
    </row>
    <row r="9" spans="1:27" x14ac:dyDescent="0.2">
      <c r="A9">
        <v>7</v>
      </c>
      <c r="B9" s="1">
        <f>'1x2'!U13</f>
        <v>-0.26705029658716573</v>
      </c>
      <c r="C9" s="1">
        <f>'1x3'!U13</f>
        <v>0.89331512296602789</v>
      </c>
      <c r="D9" s="1">
        <f>'1x4'!U13</f>
        <v>1.8489780956807058</v>
      </c>
      <c r="E9" s="1">
        <f>'1x5'!U13</f>
        <v>2.7203505376894332</v>
      </c>
      <c r="F9" s="1">
        <f>'1x6'!U13</f>
        <v>3.5592130026922284</v>
      </c>
      <c r="G9" s="1">
        <f>'1x7'!U13</f>
        <v>4.3842077780122537</v>
      </c>
      <c r="H9" s="1">
        <f>'1x8'!U13</f>
        <v>5.2022556136754634</v>
      </c>
      <c r="I9" s="1">
        <f>'1x9'!U13</f>
        <v>6.0161662475993918</v>
      </c>
      <c r="J9" s="1">
        <f>'1x10'!U13</f>
        <v>6.8272800386943686</v>
      </c>
      <c r="K9">
        <v>7</v>
      </c>
      <c r="L9" s="1">
        <f>'2x3'!U13</f>
        <v>-12.971530626456257</v>
      </c>
      <c r="M9" s="1">
        <f>'2x4'!U13</f>
        <v>-15.994641400831252</v>
      </c>
      <c r="N9" s="1">
        <f>'2x5'!U13</f>
        <v>-19.126970553549878</v>
      </c>
      <c r="O9" s="1">
        <f>'2x6'!U13</f>
        <v>-22.454469499753376</v>
      </c>
      <c r="P9" s="1">
        <f>'2x7'!U13</f>
        <v>-25.981420033179297</v>
      </c>
      <c r="Q9" s="1">
        <f>'2x8'!U13</f>
        <v>-29.679883754875007</v>
      </c>
      <c r="R9" s="1">
        <f>'2x9'!U13</f>
        <v>-33.513577139626022</v>
      </c>
      <c r="S9" s="1">
        <f>'2x10'!U13</f>
        <v>-37.448362767508385</v>
      </c>
      <c r="T9">
        <v>7</v>
      </c>
      <c r="U9" s="1">
        <f>'3x4'!U13</f>
        <v>-50.518592806483888</v>
      </c>
      <c r="V9" s="1">
        <f>'3x5'!U13</f>
        <v>-64.745706360091191</v>
      </c>
      <c r="W9" s="1">
        <f>'3x6'!U13</f>
        <v>-79.249414909093986</v>
      </c>
      <c r="X9" s="1">
        <f>'3x7'!U13</f>
        <v>-93.943852387501721</v>
      </c>
      <c r="Y9" s="1">
        <f>'3x8'!U13</f>
        <v>-108.76832360573653</v>
      </c>
      <c r="Z9" s="1">
        <f>'3x9'!U13</f>
        <v>-123.68040179280206</v>
      </c>
      <c r="AA9" s="1">
        <f>'3x10'!U13</f>
        <v>-138.650860206121</v>
      </c>
    </row>
    <row r="10" spans="1:27" x14ac:dyDescent="0.2">
      <c r="A10">
        <v>8</v>
      </c>
      <c r="B10" s="1">
        <f>'1x2'!U14</f>
        <v>-0.30729716397618034</v>
      </c>
      <c r="C10" s="1">
        <f>'1x3'!U14</f>
        <v>0.98918451792533801</v>
      </c>
      <c r="D10" s="1">
        <f>'1x4'!U14</f>
        <v>1.9999847218273352</v>
      </c>
      <c r="E10" s="1">
        <f>'1x5'!U14</f>
        <v>2.9061336759016481</v>
      </c>
      <c r="F10" s="1">
        <f>'1x6'!U14</f>
        <v>3.7767772399859076</v>
      </c>
      <c r="G10" s="1">
        <f>'1x7'!U14</f>
        <v>4.6347315795894879</v>
      </c>
      <c r="H10" s="1">
        <f>'1x8'!U14</f>
        <v>5.4876787268284186</v>
      </c>
      <c r="I10" s="1">
        <f>'1x9'!U14</f>
        <v>6.3382752814923862</v>
      </c>
      <c r="J10" s="1">
        <f>'1x10'!U14</f>
        <v>7.1874962052942273</v>
      </c>
      <c r="K10">
        <v>8</v>
      </c>
      <c r="L10" s="1">
        <f>'2x3'!U14</f>
        <v>-15.042033247727803</v>
      </c>
      <c r="M10" s="1">
        <f>'2x4'!U14</f>
        <v>-18.596230206378387</v>
      </c>
      <c r="N10" s="1">
        <f>'2x5'!U14</f>
        <v>-22.273132257368772</v>
      </c>
      <c r="O10" s="1">
        <f>'2x6'!U14</f>
        <v>-26.172231794272889</v>
      </c>
      <c r="P10" s="1">
        <f>'2x7'!U14</f>
        <v>-30.299621250548874</v>
      </c>
      <c r="Q10" s="1">
        <f>'2x8'!U14</f>
        <v>-34.623880448957593</v>
      </c>
      <c r="R10" s="1">
        <f>'2x9'!U14</f>
        <v>-39.103599754348778</v>
      </c>
      <c r="S10" s="1">
        <f>'2x10'!U14</f>
        <v>-43.699629532045449</v>
      </c>
      <c r="T10">
        <v>8</v>
      </c>
      <c r="U10" s="1">
        <f>'3x4'!U14</f>
        <v>-58.071763338222105</v>
      </c>
      <c r="V10" s="1">
        <f>'3x5'!U14</f>
        <v>-74.461436565085847</v>
      </c>
      <c r="W10" s="1">
        <f>'3x6'!U14</f>
        <v>-91.168379823931701</v>
      </c>
      <c r="X10" s="1">
        <f>'3x7'!U14</f>
        <v>-108.09222820611819</v>
      </c>
      <c r="Y10" s="1">
        <f>'3x8'!U14</f>
        <v>-125.16292924302699</v>
      </c>
      <c r="Z10" s="1">
        <f>'3x9'!U14</f>
        <v>-142.332016309463</v>
      </c>
      <c r="AA10" s="1">
        <f>'3x10'!U14</f>
        <v>-159.56637095994515</v>
      </c>
    </row>
    <row r="11" spans="1:27" x14ac:dyDescent="0.2">
      <c r="A11">
        <v>9</v>
      </c>
      <c r="B11" s="1">
        <f>'1x2'!U15</f>
        <v>-0.34806394143641572</v>
      </c>
      <c r="C11" s="1">
        <f>'1x3'!U15</f>
        <v>1.0778943998581925</v>
      </c>
      <c r="D11" s="1">
        <f>'1x4'!U15</f>
        <v>2.129538003807661</v>
      </c>
      <c r="E11" s="1">
        <f>'1x5'!U15</f>
        <v>3.0580521207059892</v>
      </c>
      <c r="F11" s="1">
        <f>'1x6'!U15</f>
        <v>3.9496013003108086</v>
      </c>
      <c r="G11" s="1">
        <f>'1x7'!U15</f>
        <v>4.8303189263984745</v>
      </c>
      <c r="H11" s="1">
        <f>'1x8'!U15</f>
        <v>5.7082192867729287</v>
      </c>
      <c r="I11" s="1">
        <f>'1x9'!U15</f>
        <v>6.5856293515562889</v>
      </c>
      <c r="J11" s="1">
        <f>'1x10'!U15</f>
        <v>7.4630940150748799</v>
      </c>
      <c r="K11">
        <v>9</v>
      </c>
      <c r="L11" s="1">
        <f>'2x3'!U15</f>
        <v>-17.118327941492474</v>
      </c>
      <c r="M11" s="1">
        <f>'2x4'!U15</f>
        <v>-21.211222849111962</v>
      </c>
      <c r="N11" s="1">
        <f>'2x5'!U15</f>
        <v>-25.441544653997578</v>
      </c>
      <c r="O11" s="1">
        <f>'2x6'!U15</f>
        <v>-29.921268785011939</v>
      </c>
      <c r="P11" s="1">
        <f>'2x7'!U15</f>
        <v>-34.657900884312454</v>
      </c>
      <c r="Q11" s="1">
        <f>'2x8'!U15</f>
        <v>-39.616450597511097</v>
      </c>
      <c r="R11" s="1">
        <f>'2x9'!U15</f>
        <v>-44.750406611801658</v>
      </c>
      <c r="S11" s="1">
        <f>'2x10'!U15</f>
        <v>-50.015662857109497</v>
      </c>
      <c r="T11">
        <v>9</v>
      </c>
      <c r="U11" s="1">
        <f>'3x4'!U15</f>
        <v>-65.625265427397082</v>
      </c>
      <c r="V11" s="1">
        <f>'3x5'!U15</f>
        <v>-84.177812901789494</v>
      </c>
      <c r="W11" s="1">
        <f>'3x6'!U15</f>
        <v>-103.08834842585178</v>
      </c>
      <c r="X11" s="1">
        <f>'3x7'!U15</f>
        <v>-122.24197047325232</v>
      </c>
      <c r="Y11" s="1">
        <f>'3x8'!U15</f>
        <v>-141.5592511476377</v>
      </c>
      <c r="Z11" s="1">
        <f>'3x9'!U15</f>
        <v>-160.98567880626433</v>
      </c>
      <c r="AA11" s="1">
        <f>'3x10'!U15</f>
        <v>-180.48424438822968</v>
      </c>
    </row>
    <row r="12" spans="1:27" x14ac:dyDescent="0.2">
      <c r="A12">
        <v>10</v>
      </c>
      <c r="B12" s="1">
        <f>'1x2'!U16</f>
        <v>-0.3893487012158845</v>
      </c>
      <c r="C12" s="1">
        <f>'1x3'!U16</f>
        <v>1.159762536590649</v>
      </c>
      <c r="D12" s="1">
        <f>'1x4'!U16</f>
        <v>2.2400010776053403</v>
      </c>
      <c r="E12" s="1">
        <f>'1x5'!U16</f>
        <v>3.1812731226947868</v>
      </c>
      <c r="F12" s="1">
        <f>'1x6'!U16</f>
        <v>4.0856353475480294</v>
      </c>
      <c r="G12" s="1">
        <f>'1x7'!U16</f>
        <v>4.9815423717150118</v>
      </c>
      <c r="H12" s="1">
        <f>'1x8'!U16</f>
        <v>5.8769288992286786</v>
      </c>
      <c r="I12" s="1">
        <f>'1x9'!U16</f>
        <v>6.7736518959387322</v>
      </c>
      <c r="J12" s="1">
        <f>'1x10'!U16</f>
        <v>7.6717918351165579</v>
      </c>
      <c r="K12">
        <v>10</v>
      </c>
      <c r="L12" s="1">
        <f>'2x3'!U16</f>
        <v>-19.197551072449556</v>
      </c>
      <c r="M12" s="1">
        <f>'2x4'!U16</f>
        <v>-23.833770952365317</v>
      </c>
      <c r="N12" s="1">
        <f>'2x5'!U16</f>
        <v>-28.623278645483005</v>
      </c>
      <c r="O12" s="1">
        <f>'2x6'!U16</f>
        <v>-33.689687497594214</v>
      </c>
      <c r="P12" s="1">
        <f>'2x7'!U16</f>
        <v>-39.041522709403196</v>
      </c>
      <c r="Q12" s="1">
        <f>'2x8'!U16</f>
        <v>-44.640100486439891</v>
      </c>
      <c r="R12" s="1">
        <f>'2x9'!U16</f>
        <v>-50.43380292790323</v>
      </c>
      <c r="S12" s="1">
        <f>'2x10'!U16</f>
        <v>-56.373603875917738</v>
      </c>
      <c r="T12">
        <v>10</v>
      </c>
      <c r="U12" s="1">
        <f>'3x4'!U16</f>
        <v>-73.178857070394187</v>
      </c>
      <c r="V12" s="1">
        <f>'3x5'!U16</f>
        <v>-93.894374219340364</v>
      </c>
      <c r="W12" s="1">
        <f>'3x6'!U16</f>
        <v>-115.00861411541864</v>
      </c>
      <c r="X12" s="1">
        <f>'3x7'!U16</f>
        <v>-136.39212515110145</v>
      </c>
      <c r="Y12" s="1">
        <f>'3x8'!U16</f>
        <v>-157.95609702045761</v>
      </c>
      <c r="Z12" s="1">
        <f>'3x9'!U16</f>
        <v>-179.63997081261317</v>
      </c>
      <c r="AA12" s="1">
        <f>'3x10'!U16</f>
        <v>-201.40284700668181</v>
      </c>
    </row>
    <row r="13" spans="1:27" x14ac:dyDescent="0.2">
      <c r="B13" s="355" t="s">
        <v>49</v>
      </c>
      <c r="C13" s="355"/>
      <c r="D13" s="355"/>
      <c r="E13" s="355"/>
      <c r="F13" s="355"/>
      <c r="G13" s="355"/>
      <c r="H13" s="355"/>
      <c r="I13" s="355"/>
      <c r="J13" s="355"/>
      <c r="L13" s="355" t="s">
        <v>49</v>
      </c>
      <c r="M13" s="355"/>
      <c r="N13" s="355"/>
      <c r="O13" s="355"/>
      <c r="P13" s="355"/>
      <c r="Q13" s="355"/>
      <c r="R13" s="355"/>
      <c r="S13" s="355"/>
      <c r="U13" s="355" t="s">
        <v>49</v>
      </c>
      <c r="V13" s="355"/>
      <c r="W13" s="355"/>
      <c r="X13" s="355"/>
      <c r="Y13" s="355"/>
      <c r="Z13" s="355"/>
      <c r="AA13" s="355"/>
    </row>
    <row r="14" spans="1:27" x14ac:dyDescent="0.2">
      <c r="A14" s="277" t="s">
        <v>57</v>
      </c>
      <c r="B14" s="278" t="s">
        <v>141</v>
      </c>
      <c r="C14" s="278" t="s">
        <v>142</v>
      </c>
      <c r="D14" s="278" t="s">
        <v>143</v>
      </c>
      <c r="E14" s="278" t="s">
        <v>144</v>
      </c>
      <c r="F14" s="278" t="s">
        <v>145</v>
      </c>
      <c r="G14" s="278" t="s">
        <v>146</v>
      </c>
      <c r="H14" s="278" t="s">
        <v>147</v>
      </c>
      <c r="I14" s="278" t="s">
        <v>148</v>
      </c>
      <c r="J14" s="278" t="s">
        <v>149</v>
      </c>
      <c r="K14" s="277" t="s">
        <v>57</v>
      </c>
      <c r="L14" s="278" t="s">
        <v>158</v>
      </c>
      <c r="M14" s="278" t="s">
        <v>159</v>
      </c>
      <c r="N14" s="278" t="s">
        <v>160</v>
      </c>
      <c r="O14" s="278" t="s">
        <v>161</v>
      </c>
      <c r="P14" s="278" t="s">
        <v>162</v>
      </c>
      <c r="Q14" s="278" t="s">
        <v>163</v>
      </c>
      <c r="R14" s="278" t="s">
        <v>164</v>
      </c>
      <c r="S14" s="278" t="s">
        <v>165</v>
      </c>
      <c r="T14" s="277" t="s">
        <v>57</v>
      </c>
      <c r="U14" s="278" t="s">
        <v>169</v>
      </c>
      <c r="V14" s="278" t="s">
        <v>170</v>
      </c>
      <c r="W14" s="278" t="s">
        <v>171</v>
      </c>
      <c r="X14" s="278" t="s">
        <v>172</v>
      </c>
      <c r="Y14" s="278" t="s">
        <v>173</v>
      </c>
      <c r="Z14" s="278" t="s">
        <v>174</v>
      </c>
      <c r="AA14" s="278" t="s">
        <v>175</v>
      </c>
    </row>
    <row r="15" spans="1:27" x14ac:dyDescent="0.2">
      <c r="A15" s="277">
        <v>1</v>
      </c>
      <c r="B15" s="1">
        <f>'1x2'!R7</f>
        <v>-2.2143042634933663E-2</v>
      </c>
      <c r="C15" s="1">
        <f>'1x3'!R7</f>
        <v>7.878387096772288E-2</v>
      </c>
      <c r="D15" s="1">
        <f>'1x4'!R7</f>
        <v>0.13018546295569094</v>
      </c>
      <c r="E15" s="1">
        <f>'1x5'!R7</f>
        <v>0.15829348705297913</v>
      </c>
      <c r="F15" s="1">
        <f>'1x6'!R7</f>
        <v>0.17426330022435627</v>
      </c>
      <c r="G15" s="1">
        <f>'1x7'!R7</f>
        <v>0.18353440795504922</v>
      </c>
      <c r="H15" s="1">
        <f>'1x8'!R7</f>
        <v>0.18898412543089271</v>
      </c>
      <c r="I15" s="1">
        <f>'1x9'!R7</f>
        <v>0.19221104843136466</v>
      </c>
      <c r="J15" s="1">
        <f>'1x10'!R7</f>
        <v>0.19413006530614013</v>
      </c>
      <c r="K15" s="277">
        <v>1</v>
      </c>
      <c r="L15" s="1">
        <f>'2x3'!R7</f>
        <v>-0.39038707568060604</v>
      </c>
      <c r="M15" s="1">
        <f>'2x4'!R7</f>
        <v>-0.34545676954823368</v>
      </c>
      <c r="N15" s="1">
        <f>'2x5'!R7</f>
        <v>-0.3199292336323955</v>
      </c>
      <c r="O15" s="1">
        <f>'2x6'!R7</f>
        <v>-0.30510949009281235</v>
      </c>
      <c r="P15" s="1">
        <f>'2x7'!R7</f>
        <v>-0.29639818852009853</v>
      </c>
      <c r="Q15" s="1">
        <f>'2x8'!R7</f>
        <v>-0.29123999462589323</v>
      </c>
      <c r="R15" s="1">
        <f>'2x9'!R7</f>
        <v>-0.28817247143897662</v>
      </c>
      <c r="S15" s="1">
        <f>'2x10'!R7</f>
        <v>-0.2863435609340157</v>
      </c>
      <c r="T15" s="277">
        <v>1</v>
      </c>
      <c r="U15" s="1">
        <f>'3x4'!R7</f>
        <v>-0.61569695303509886</v>
      </c>
      <c r="V15" s="1">
        <f>'3x5'!R7</f>
        <v>-0.59755642407979026</v>
      </c>
      <c r="W15" s="1">
        <f>'3x6'!R7</f>
        <v>-0.58689310740388778</v>
      </c>
      <c r="X15" s="1">
        <f>'3x7'!R7</f>
        <v>-0.58057907332866976</v>
      </c>
      <c r="Y15" s="1">
        <f>'3x8'!R7</f>
        <v>-0.57682418424811899</v>
      </c>
      <c r="Z15" s="1">
        <f>'3x9'!R7</f>
        <v>-0.57458545428067487</v>
      </c>
      <c r="AA15" s="1">
        <f>'3x10'!R7</f>
        <v>-0.57324864208556603</v>
      </c>
    </row>
    <row r="16" spans="1:27" x14ac:dyDescent="0.2">
      <c r="A16">
        <v>2</v>
      </c>
      <c r="B16" s="1">
        <f>'1x2'!R8</f>
        <v>0.30359621918138968</v>
      </c>
      <c r="C16" s="1">
        <f>'1x3'!R8</f>
        <v>0.43540868270766425</v>
      </c>
      <c r="D16" s="1">
        <f>'1x4'!R8</f>
        <v>0.49844858780148954</v>
      </c>
      <c r="E16" s="1">
        <f>'1x5'!R8</f>
        <v>0.53159897865742123</v>
      </c>
      <c r="F16" s="1">
        <f>'1x6'!R8</f>
        <v>0.54999447898666975</v>
      </c>
      <c r="G16" s="1">
        <f>'1x7'!R8</f>
        <v>0.56052385821016837</v>
      </c>
      <c r="H16" s="1">
        <f>'1x8'!R8</f>
        <v>0.56666106740869682</v>
      </c>
      <c r="I16" s="1">
        <f>'1x9'!R8</f>
        <v>0.5702767277290115</v>
      </c>
      <c r="J16" s="1">
        <f>'1x10'!R8</f>
        <v>0.57242042229372814</v>
      </c>
      <c r="K16">
        <v>2</v>
      </c>
      <c r="L16" s="1">
        <f>'2x3'!R8</f>
        <v>-0.22647820804134128</v>
      </c>
      <c r="M16" s="1">
        <f>'2x4'!R8</f>
        <v>-0.16066456264051965</v>
      </c>
      <c r="N16" s="1">
        <f>'2x5'!R8</f>
        <v>-0.12315537203802807</v>
      </c>
      <c r="O16" s="1">
        <f>'2x6'!R8</f>
        <v>-0.10136451857658652</v>
      </c>
      <c r="P16" s="1">
        <f>'2x7'!R8</f>
        <v>-8.8554972945486421E-2</v>
      </c>
      <c r="Q16" s="1">
        <f>'2x8'!R8</f>
        <v>-8.0970900572024163E-2</v>
      </c>
      <c r="R16" s="1">
        <f>'2x9'!R8</f>
        <v>-7.6461220459314028E-2</v>
      </c>
      <c r="S16" s="1">
        <f>'2x10'!R8</f>
        <v>-7.3772687205876819E-2</v>
      </c>
      <c r="T16">
        <v>2</v>
      </c>
      <c r="U16" s="1">
        <f>'3x4'!R8</f>
        <v>-0.54508003885692347</v>
      </c>
      <c r="V16" s="1">
        <f>'3x5'!R8</f>
        <v>-0.52048287969047913</v>
      </c>
      <c r="W16" s="1">
        <f>'3x6'!R8</f>
        <v>-0.50591853002125131</v>
      </c>
      <c r="X16" s="1">
        <f>'3x7'!R8</f>
        <v>-0.49725877166384308</v>
      </c>
      <c r="Y16" s="1">
        <f>'3x8'!R8</f>
        <v>-0.49209650234133689</v>
      </c>
      <c r="Z16" s="1">
        <f>'3x9'!R8</f>
        <v>-0.48901431532135747</v>
      </c>
      <c r="AA16" s="1">
        <f>'3x10'!R8</f>
        <v>-0.48717230992877342</v>
      </c>
    </row>
    <row r="17" spans="1:27" x14ac:dyDescent="0.2">
      <c r="A17">
        <v>3</v>
      </c>
      <c r="B17" s="1">
        <f>'1x2'!R9</f>
        <v>0.46630621373131109</v>
      </c>
      <c r="C17" s="1">
        <f>'1x3'!R9</f>
        <v>0.61152120905960938</v>
      </c>
      <c r="D17" s="1">
        <f>'1x4'!R9</f>
        <v>0.67644275116677477</v>
      </c>
      <c r="E17" s="1">
        <f>'1x5'!R9</f>
        <v>0.7091265215880701</v>
      </c>
      <c r="F17" s="1">
        <f>'1x6'!R9</f>
        <v>0.72678626343691899</v>
      </c>
      <c r="G17" s="1">
        <f>'1x7'!R9</f>
        <v>0.73673355891792758</v>
      </c>
      <c r="H17" s="1">
        <f>'1x8'!R9</f>
        <v>0.74247594420369967</v>
      </c>
      <c r="I17" s="1">
        <f>'1x9'!R9</f>
        <v>0.7458395489176628</v>
      </c>
      <c r="J17" s="1">
        <f>'1x10'!R9</f>
        <v>0.74782693012935897</v>
      </c>
      <c r="K17">
        <v>3</v>
      </c>
      <c r="L17" s="1">
        <f>'2x3'!R9</f>
        <v>-0.16620028037135159</v>
      </c>
      <c r="M17" s="1">
        <f>'2x4'!R9</f>
        <v>-8.7970394831812682E-2</v>
      </c>
      <c r="N17" s="1">
        <f>'2x5'!R9</f>
        <v>-4.3039086946306759E-2</v>
      </c>
      <c r="O17" s="1">
        <f>'2x6'!R9</f>
        <v>-1.6843719397294843E-2</v>
      </c>
      <c r="P17" s="1">
        <f>'2x7'!R9</f>
        <v>-1.4182039268666458E-3</v>
      </c>
      <c r="Q17" s="1">
        <f>'2x8'!R9</f>
        <v>7.722977109993534E-3</v>
      </c>
      <c r="R17" s="1">
        <f>'2x9'!R9</f>
        <v>1.3161244956404805E-2</v>
      </c>
      <c r="S17" s="1">
        <f>'2x10'!R9</f>
        <v>1.6404279530489563E-2</v>
      </c>
      <c r="T17">
        <v>3</v>
      </c>
      <c r="U17" s="1">
        <f>'3x4'!R9</f>
        <v>-0.52918278345788372</v>
      </c>
      <c r="V17" s="1">
        <f>'3x5'!R9</f>
        <v>-0.50222572423955691</v>
      </c>
      <c r="W17" s="1">
        <f>'3x6'!R9</f>
        <v>-0.48617675277779926</v>
      </c>
      <c r="X17" s="1">
        <f>'3x7'!R9</f>
        <v>-0.47660343170610531</v>
      </c>
      <c r="Y17" s="1">
        <f>'3x8'!R9</f>
        <v>-0.47088563023594593</v>
      </c>
      <c r="Z17" s="1">
        <f>'3x9'!R9</f>
        <v>-0.4674678628166441</v>
      </c>
      <c r="AA17" s="1">
        <f>'3x10'!R9</f>
        <v>-0.46542391513203518</v>
      </c>
    </row>
    <row r="18" spans="1:27" x14ac:dyDescent="0.2">
      <c r="A18">
        <v>4</v>
      </c>
      <c r="B18" s="1">
        <f>'1x2'!R10</f>
        <v>0.56380467654443689</v>
      </c>
      <c r="C18" s="1">
        <f>'1x3'!R10</f>
        <v>0.71545905870222526</v>
      </c>
      <c r="D18" s="1">
        <f>'1x4'!R10</f>
        <v>0.77855522482532002</v>
      </c>
      <c r="E18" s="1">
        <f>'1x5'!R10</f>
        <v>0.80883230335189038</v>
      </c>
      <c r="F18" s="1">
        <f>'1x6'!R10</f>
        <v>0.82471539632075952</v>
      </c>
      <c r="G18" s="1">
        <f>'1x7'!R10</f>
        <v>0.83350380203976626</v>
      </c>
      <c r="H18" s="1">
        <f>'1x8'!R10</f>
        <v>0.83852317032668189</v>
      </c>
      <c r="I18" s="1">
        <f>'1x9'!R10</f>
        <v>0.84144447777238285</v>
      </c>
      <c r="J18" s="1">
        <f>'1x10'!R10</f>
        <v>0.84316391605253926</v>
      </c>
      <c r="K18">
        <v>4</v>
      </c>
      <c r="L18" s="1">
        <f>'2x3'!R10</f>
        <v>-0.14160050880274255</v>
      </c>
      <c r="M18" s="1">
        <f>'2x4'!R10</f>
        <v>-5.5800956168346738E-2</v>
      </c>
      <c r="N18" s="1">
        <f>'2x5'!R10</f>
        <v>-6.0639319581897722E-3</v>
      </c>
      <c r="O18" s="1">
        <f>'2x6'!R10</f>
        <v>2.3073814004163806E-2</v>
      </c>
      <c r="P18" s="1">
        <f>'2x7'!R10</f>
        <v>4.0276946669171698E-2</v>
      </c>
      <c r="Q18" s="1">
        <f>'2x8'!R10</f>
        <v>5.0486456781571931E-2</v>
      </c>
      <c r="R18" s="1">
        <f>'2x9'!R10</f>
        <v>5.6565376770626397E-2</v>
      </c>
      <c r="S18" s="1">
        <f>'2x10'!R10</f>
        <v>6.0192219872879704E-2</v>
      </c>
      <c r="T18">
        <v>4</v>
      </c>
      <c r="U18" s="1">
        <f>'3x4'!R10</f>
        <v>-0.52544956894038419</v>
      </c>
      <c r="V18" s="1">
        <f>'3x5'!R10</f>
        <v>-0.49769545634486612</v>
      </c>
      <c r="W18" s="1">
        <f>'3x6'!R10</f>
        <v>-0.481122110766603</v>
      </c>
      <c r="X18" s="1">
        <f>'3x7'!R10</f>
        <v>-0.47121768053650848</v>
      </c>
      <c r="Y18" s="1">
        <f>'3x8'!R10</f>
        <v>-0.46529546831834823</v>
      </c>
      <c r="Z18" s="1">
        <f>'3x9'!R10</f>
        <v>-0.46175311551257286</v>
      </c>
      <c r="AA18" s="1">
        <f>'3x10'!R10</f>
        <v>-0.45963379766577389</v>
      </c>
    </row>
    <row r="19" spans="1:27" x14ac:dyDescent="0.2">
      <c r="A19">
        <v>5</v>
      </c>
      <c r="B19" s="1">
        <f>'1x2'!R11</f>
        <v>0.62869756082099693</v>
      </c>
      <c r="C19" s="1">
        <f>'1x3'!R11</f>
        <v>0.78334121494673847</v>
      </c>
      <c r="D19" s="1">
        <f>'1x4'!R11</f>
        <v>0.84295399895824674</v>
      </c>
      <c r="E19" s="1">
        <f>'1x5'!R11</f>
        <v>0.87010496023493566</v>
      </c>
      <c r="F19" s="1">
        <f>'1x6'!R11</f>
        <v>0.88389609659583068</v>
      </c>
      <c r="G19" s="1">
        <f>'1x7'!R11</f>
        <v>0.89137992486627249</v>
      </c>
      <c r="H19" s="1">
        <f>'1x8'!R11</f>
        <v>0.89560462082974124</v>
      </c>
      <c r="I19" s="1">
        <f>'1x9'!R11</f>
        <v>0.89804631020262393</v>
      </c>
      <c r="J19" s="1">
        <f>'1x10'!R11</f>
        <v>0.89947745884171026</v>
      </c>
      <c r="K19">
        <v>5</v>
      </c>
      <c r="L19" s="1">
        <f>'2x3'!R11</f>
        <v>-0.13113904706336732</v>
      </c>
      <c r="M19" s="1">
        <f>'2x4'!R11</f>
        <v>-4.0829141729846086E-2</v>
      </c>
      <c r="N19" s="1">
        <f>'2x5'!R11</f>
        <v>1.1981935513836028E-2</v>
      </c>
      <c r="O19" s="1">
        <f>'2x6'!R11</f>
        <v>4.3075048364978996E-2</v>
      </c>
      <c r="P19" s="1">
        <f>'2x7'!R11</f>
        <v>6.1484952711765239E-2</v>
      </c>
      <c r="Q19" s="1">
        <f>'2x8'!R11</f>
        <v>7.2428631543802968E-2</v>
      </c>
      <c r="R19" s="1">
        <f>'2x9'!R11</f>
        <v>7.8950959139324206E-2</v>
      </c>
      <c r="S19" s="1">
        <f>'2x10'!R11</f>
        <v>8.2844558541423141E-2</v>
      </c>
      <c r="T19">
        <v>5</v>
      </c>
      <c r="U19" s="1">
        <f>'3x4'!R11</f>
        <v>-0.52456428372925257</v>
      </c>
      <c r="V19" s="1">
        <f>'3x5'!R11</f>
        <v>-0.49655853298257158</v>
      </c>
      <c r="W19" s="1">
        <f>'3x6'!R11</f>
        <v>-0.47981189982571903</v>
      </c>
      <c r="X19" s="1">
        <f>'3x7'!R11</f>
        <v>-0.46979511239740013</v>
      </c>
      <c r="Y19" s="1">
        <f>'3x8'!R11</f>
        <v>-0.4638024486832526</v>
      </c>
      <c r="Z19" s="1">
        <f>'3x9'!R11</f>
        <v>-0.46021675951187596</v>
      </c>
      <c r="AA19" s="1">
        <f>'3x10'!R11</f>
        <v>-0.45807108064602969</v>
      </c>
    </row>
    <row r="20" spans="1:27" x14ac:dyDescent="0.2">
      <c r="A20">
        <v>6</v>
      </c>
      <c r="B20" s="1">
        <f>'1x2'!R12</f>
        <v>0.67495888172892038</v>
      </c>
      <c r="C20" s="1">
        <f>'1x3'!R12</f>
        <v>0.83065231454290256</v>
      </c>
      <c r="D20" s="1">
        <f>'1x4'!R12</f>
        <v>0.88602211046730206</v>
      </c>
      <c r="E20" s="1">
        <f>'1x5'!R12</f>
        <v>0.90986225468388171</v>
      </c>
      <c r="F20" s="1">
        <f>'1x6'!R12</f>
        <v>0.92155838800754386</v>
      </c>
      <c r="G20" s="1">
        <f>'1x7'!R12</f>
        <v>0.92777405496790211</v>
      </c>
      <c r="H20" s="1">
        <f>'1x8'!R12</f>
        <v>0.93123924183205353</v>
      </c>
      <c r="I20" s="1">
        <f>'1x9'!R12</f>
        <v>0.93322704724420569</v>
      </c>
      <c r="J20" s="1">
        <f>'1x10'!R12</f>
        <v>0.93438696300256496</v>
      </c>
      <c r="K20">
        <v>6</v>
      </c>
      <c r="L20" s="1">
        <f>'2x3'!R12</f>
        <v>-0.12661245654031533</v>
      </c>
      <c r="M20" s="1">
        <f>'2x4'!R12</f>
        <v>-3.3698072075472041E-2</v>
      </c>
      <c r="N20" s="1">
        <f>'2x5'!R12</f>
        <v>2.1029367084597239E-2</v>
      </c>
      <c r="O20" s="1">
        <f>'2x6'!R12</f>
        <v>5.3393956676076881E-2</v>
      </c>
      <c r="P20" s="1">
        <f>'2x7'!R12</f>
        <v>7.2607544624690712E-2</v>
      </c>
      <c r="Q20" s="1">
        <f>'2x8'!R12</f>
        <v>8.4046967870113121E-2</v>
      </c>
      <c r="R20" s="1">
        <f>'2x9'!R12</f>
        <v>9.0871138699151255E-2</v>
      </c>
      <c r="S20" s="1">
        <f>'2x10'!R12</f>
        <v>9.4947199191384335E-2</v>
      </c>
      <c r="T20">
        <v>6</v>
      </c>
      <c r="U20" s="1">
        <f>'3x4'!R12</f>
        <v>-0.52435386467089129</v>
      </c>
      <c r="V20" s="1">
        <f>'3x5'!R12</f>
        <v>-0.49627240051703952</v>
      </c>
      <c r="W20" s="1">
        <f>'3x6'!R12</f>
        <v>-0.47947120021355133</v>
      </c>
      <c r="X20" s="1">
        <f>'3x7'!R12</f>
        <v>-0.46941808284709774</v>
      </c>
      <c r="Y20" s="1">
        <f>'3x8'!R12</f>
        <v>-0.4634022813727896</v>
      </c>
      <c r="Z20" s="1">
        <f>'3x9'!R12</f>
        <v>-0.45980222761388895</v>
      </c>
      <c r="AA20" s="1">
        <f>'3x10'!R12</f>
        <v>-0.45764776280956315</v>
      </c>
    </row>
    <row r="21" spans="1:27" x14ac:dyDescent="0.2">
      <c r="A21">
        <v>7</v>
      </c>
      <c r="B21" s="1">
        <f>'1x2'!R13</f>
        <v>0.7095756774356603</v>
      </c>
      <c r="C21" s="1">
        <f>'1x3'!R13</f>
        <v>0.86513865660106304</v>
      </c>
      <c r="D21" s="1">
        <f>'1x4'!R13</f>
        <v>0.91596594033474232</v>
      </c>
      <c r="E21" s="1">
        <f>'1x5'!R13</f>
        <v>0.93657604453789578</v>
      </c>
      <c r="F21" s="1">
        <f>'1x6'!R13</f>
        <v>0.9463206793907214</v>
      </c>
      <c r="G21" s="1">
        <f>'1x7'!R13</f>
        <v>0.95138577453097206</v>
      </c>
      <c r="H21" s="1">
        <f>'1x8'!R13</f>
        <v>0.95417242874410502</v>
      </c>
      <c r="I21" s="1">
        <f>'1x9'!R13</f>
        <v>0.95575842670869493</v>
      </c>
      <c r="J21" s="1">
        <f>'1x10'!R13</f>
        <v>0.95667952933239553</v>
      </c>
      <c r="K21">
        <v>7</v>
      </c>
      <c r="L21" s="1">
        <f>'2x3'!R13</f>
        <v>-0.12463918491851156</v>
      </c>
      <c r="M21" s="1">
        <f>'2x4'!R13</f>
        <v>-3.0264134436276735E-2</v>
      </c>
      <c r="N21" s="1">
        <f>'2x5'!R13</f>
        <v>2.5626524066303669E-2</v>
      </c>
      <c r="O21" s="1">
        <f>'2x6'!R13</f>
        <v>5.8797867951092209E-2</v>
      </c>
      <c r="P21" s="1">
        <f>'2x7'!R13</f>
        <v>7.8534509748446113E-2</v>
      </c>
      <c r="Q21" s="1">
        <f>'2x8'!R13</f>
        <v>9.0301378333216109E-2</v>
      </c>
      <c r="R21" s="1">
        <f>'2x9'!R13</f>
        <v>9.7326661562711358E-2</v>
      </c>
      <c r="S21" s="1">
        <f>'2x10'!R13</f>
        <v>0.10152492004952329</v>
      </c>
      <c r="T21">
        <v>7</v>
      </c>
      <c r="U21" s="1">
        <f>'3x4'!R13</f>
        <v>-0.52430382380771257</v>
      </c>
      <c r="V21" s="1">
        <f>'3x5'!R13</f>
        <v>-0.4962003375778784</v>
      </c>
      <c r="W21" s="1">
        <f>'3x6'!R13</f>
        <v>-0.47938253354767657</v>
      </c>
      <c r="X21" s="1">
        <f>'3x7'!R13</f>
        <v>-0.46931806712430552</v>
      </c>
      <c r="Y21" s="1">
        <f>'3x8'!R13</f>
        <v>-0.46329492481621359</v>
      </c>
      <c r="Z21" s="1">
        <f>'3x9'!R13</f>
        <v>-0.45969027159680809</v>
      </c>
      <c r="AA21" s="1">
        <f>'3x10'!R13</f>
        <v>-0.45753297816133975</v>
      </c>
    </row>
    <row r="22" spans="1:27" x14ac:dyDescent="0.2">
      <c r="A22">
        <v>8</v>
      </c>
      <c r="B22" s="1">
        <f>'1x2'!R14</f>
        <v>0.73642966274831723</v>
      </c>
      <c r="C22" s="1">
        <f>'1x3'!R14</f>
        <v>0.89110683077144459</v>
      </c>
      <c r="D22" s="1">
        <f>'1x4'!R14</f>
        <v>0.93735149439867149</v>
      </c>
      <c r="E22" s="1">
        <f>'1x5'!R14</f>
        <v>0.95494936524978313</v>
      </c>
      <c r="F22" s="1">
        <f>'1x6'!R14</f>
        <v>0.96295216526190197</v>
      </c>
      <c r="G22" s="1">
        <f>'1x7'!R14</f>
        <v>0.96701637760059989</v>
      </c>
      <c r="H22" s="1">
        <f>'1x8'!R14</f>
        <v>0.96922169100454092</v>
      </c>
      <c r="I22" s="1">
        <f>'1x9'!R14</f>
        <v>0.97046653541189065</v>
      </c>
      <c r="J22" s="1">
        <f>'1x10'!R14</f>
        <v>0.97118596432993776</v>
      </c>
      <c r="K22">
        <v>8</v>
      </c>
      <c r="L22" s="1">
        <f>'2x3'!R14</f>
        <v>-0.12377618532810175</v>
      </c>
      <c r="M22" s="1">
        <f>'2x4'!R14</f>
        <v>-2.8601814661001645E-2</v>
      </c>
      <c r="N22" s="1">
        <f>'2x5'!R14</f>
        <v>2.7978317003880482E-2</v>
      </c>
      <c r="O22" s="1">
        <f>'2x6'!R14</f>
        <v>6.1650023568178058E-2</v>
      </c>
      <c r="P22" s="1">
        <f>'2x7'!R14</f>
        <v>8.1719679800081435E-2</v>
      </c>
      <c r="Q22" s="1">
        <f>'2x8'!R14</f>
        <v>9.369824288835743E-2</v>
      </c>
      <c r="R22" s="1">
        <f>'2x9'!R14</f>
        <v>0.10085472682029684</v>
      </c>
      <c r="S22" s="1">
        <f>'2x10'!R14</f>
        <v>0.10513313301348598</v>
      </c>
      <c r="T22">
        <v>8</v>
      </c>
      <c r="U22" s="1">
        <f>'3x4'!R14</f>
        <v>-0.52429192177701278</v>
      </c>
      <c r="V22" s="1">
        <f>'3x5'!R14</f>
        <v>-0.49618218515590179</v>
      </c>
      <c r="W22" s="1">
        <f>'3x6'!R14</f>
        <v>-0.47935945320029338</v>
      </c>
      <c r="X22" s="1">
        <f>'3x7'!R14</f>
        <v>-0.46929152933507751</v>
      </c>
      <c r="Y22" s="1">
        <f>'3x8'!R14</f>
        <v>-0.46326611597901968</v>
      </c>
      <c r="Z22" s="1">
        <f>'3x9'!R14</f>
        <v>-0.45966002676090545</v>
      </c>
      <c r="AA22" s="1">
        <f>'3x10'!R14</f>
        <v>-0.45750184538321181</v>
      </c>
    </row>
    <row r="23" spans="1:27" x14ac:dyDescent="0.2">
      <c r="A23">
        <v>9</v>
      </c>
      <c r="B23" s="1">
        <f>'1x2'!R15</f>
        <v>0.75784989053686047</v>
      </c>
      <c r="C23" s="1">
        <f>'1x3'!R15</f>
        <v>0.9111431430784821</v>
      </c>
      <c r="D23" s="1">
        <f>'1x4'!R15</f>
        <v>0.95291940044336432</v>
      </c>
      <c r="E23" s="1">
        <f>'1x5'!R15</f>
        <v>0.96778992582526835</v>
      </c>
      <c r="F23" s="1">
        <f>'1x6'!R15</f>
        <v>0.97428311483757379</v>
      </c>
      <c r="G23" s="1">
        <f>'1x7'!R15</f>
        <v>0.97750208338262801</v>
      </c>
      <c r="H23" s="1">
        <f>'1x8'!R15</f>
        <v>0.97922394932239187</v>
      </c>
      <c r="I23" s="1">
        <f>'1x9'!R15</f>
        <v>0.98018767148311803</v>
      </c>
      <c r="J23" s="1">
        <f>'1x10'!R15</f>
        <v>0.9807418180777101</v>
      </c>
      <c r="K23">
        <v>9</v>
      </c>
      <c r="L23" s="1">
        <f>'2x3'!R15</f>
        <v>-0.12339822209586798</v>
      </c>
      <c r="M23" s="1">
        <f>'2x4'!R15</f>
        <v>-2.7795060705127717E-2</v>
      </c>
      <c r="N23" s="1">
        <f>'2x5'!R15</f>
        <v>2.9185611697689406E-2</v>
      </c>
      <c r="O23" s="1">
        <f>'2x6'!R15</f>
        <v>6.3161580262287298E-2</v>
      </c>
      <c r="P23" s="1">
        <f>'2x7'!R15</f>
        <v>8.3439184504745911E-2</v>
      </c>
      <c r="Q23" s="1">
        <f>'2x8'!R15</f>
        <v>9.555201575974992E-2</v>
      </c>
      <c r="R23" s="1">
        <f>'2x9'!R15</f>
        <v>0.10279248537235425</v>
      </c>
      <c r="S23" s="1">
        <f>'2x10'!R15</f>
        <v>0.10712247856814583</v>
      </c>
      <c r="T23">
        <v>9</v>
      </c>
      <c r="U23" s="1">
        <f>'3x4'!R15</f>
        <v>-0.52428909083619568</v>
      </c>
      <c r="V23" s="1">
        <f>'3x5'!R15</f>
        <v>-0.49617761241309061</v>
      </c>
      <c r="W23" s="1">
        <f>'3x6'!R15</f>
        <v>-0.47935344494235527</v>
      </c>
      <c r="X23" s="1">
        <f>'3x7'!R15</f>
        <v>-0.46928448745405998</v>
      </c>
      <c r="Y23" s="1">
        <f>'3x8'!R15</f>
        <v>-0.46325838468032909</v>
      </c>
      <c r="Z23" s="1">
        <f>'3x9'!R15</f>
        <v>-0.45965185555973842</v>
      </c>
      <c r="AA23" s="1">
        <f>'3x10'!R15</f>
        <v>-0.45749340069480021</v>
      </c>
    </row>
    <row r="24" spans="1:27" x14ac:dyDescent="0.2">
      <c r="A24">
        <v>10</v>
      </c>
      <c r="B24" s="1">
        <f>'1x2'!R16</f>
        <v>0.77531850689728754</v>
      </c>
      <c r="C24" s="1">
        <f>'1x3'!R16</f>
        <v>0.92689516081986567</v>
      </c>
      <c r="D24" s="1">
        <f>'1x4'!R16</f>
        <v>0.96441055681280508</v>
      </c>
      <c r="E24" s="1">
        <f>'1x5'!R16</f>
        <v>0.97686440441572431</v>
      </c>
      <c r="F24" s="1">
        <f>'1x6'!R16</f>
        <v>0.98207805164010098</v>
      </c>
      <c r="G24" s="1">
        <f>'1x7'!R16</f>
        <v>0.98459924092566276</v>
      </c>
      <c r="H24" s="1">
        <f>'1x8'!R16</f>
        <v>0.98592819395252407</v>
      </c>
      <c r="I24" s="1">
        <f>'1x9'!R16</f>
        <v>0.98666555166929548</v>
      </c>
      <c r="J24" s="1">
        <f>'1x10'!R16</f>
        <v>0.98708734442162371</v>
      </c>
      <c r="K24">
        <v>10</v>
      </c>
      <c r="L24" s="1">
        <f>'2x3'!R16</f>
        <v>-0.12323258490083416</v>
      </c>
      <c r="M24" s="1">
        <f>'2x4'!R16</f>
        <v>-2.740304519206932E-2</v>
      </c>
      <c r="N24" s="1">
        <f>'2x5'!R16</f>
        <v>2.980647954208443E-2</v>
      </c>
      <c r="O24" s="1">
        <f>'2x6'!R16</f>
        <v>6.3964406190392231E-2</v>
      </c>
      <c r="P24" s="1">
        <f>'2x7'!R16</f>
        <v>8.4369728192225213E-2</v>
      </c>
      <c r="Q24" s="1">
        <f>'2x8'!R16</f>
        <v>9.656632926096953E-2</v>
      </c>
      <c r="R24" s="1">
        <f>'2x9'!R16</f>
        <v>0.10385968724033684</v>
      </c>
      <c r="S24" s="1">
        <f>'2x10'!R16</f>
        <v>0.1082223466437241</v>
      </c>
      <c r="T24">
        <v>10</v>
      </c>
      <c r="U24" s="1">
        <f>'3x4'!R16</f>
        <v>-0.52428841748177868</v>
      </c>
      <c r="V24" s="1">
        <f>'3x5'!R16</f>
        <v>-0.49617646048887698</v>
      </c>
      <c r="W24" s="1">
        <f>'3x6'!R16</f>
        <v>-0.47935188085461067</v>
      </c>
      <c r="X24" s="1">
        <f>'3x7'!R16</f>
        <v>-0.46928261883869038</v>
      </c>
      <c r="Y24" s="1">
        <f>'3x8'!R16</f>
        <v>-0.46325630982839822</v>
      </c>
      <c r="Z24" s="1">
        <f>'3x9'!R16</f>
        <v>-0.45964964791638457</v>
      </c>
      <c r="AA24" s="1">
        <f>'3x10'!R16</f>
        <v>-0.45749111004880533</v>
      </c>
    </row>
    <row r="25" spans="1:27" x14ac:dyDescent="0.2">
      <c r="B25" s="355" t="s">
        <v>153</v>
      </c>
      <c r="C25" s="355"/>
      <c r="D25" s="355"/>
      <c r="E25" s="355"/>
      <c r="F25" s="355"/>
      <c r="G25" s="355"/>
      <c r="H25" s="355"/>
      <c r="I25" s="355"/>
      <c r="J25" s="355"/>
      <c r="L25" s="355" t="s">
        <v>153</v>
      </c>
      <c r="M25" s="355"/>
      <c r="N25" s="355"/>
      <c r="O25" s="355"/>
      <c r="P25" s="355"/>
      <c r="Q25" s="355"/>
      <c r="R25" s="355"/>
      <c r="S25" s="355"/>
      <c r="U25" s="355" t="s">
        <v>168</v>
      </c>
      <c r="V25" s="355"/>
      <c r="W25" s="355"/>
      <c r="X25" s="355"/>
      <c r="Y25" s="355"/>
      <c r="Z25" s="355"/>
      <c r="AA25" s="355"/>
    </row>
    <row r="26" spans="1:27" x14ac:dyDescent="0.2">
      <c r="A26" s="277" t="s">
        <v>57</v>
      </c>
      <c r="B26" s="278" t="s">
        <v>141</v>
      </c>
      <c r="C26" s="278" t="s">
        <v>142</v>
      </c>
      <c r="D26" s="278" t="s">
        <v>143</v>
      </c>
      <c r="E26" s="278" t="s">
        <v>144</v>
      </c>
      <c r="F26" s="278" t="s">
        <v>145</v>
      </c>
      <c r="G26" s="278" t="s">
        <v>146</v>
      </c>
      <c r="H26" s="278" t="s">
        <v>147</v>
      </c>
      <c r="I26" s="278" t="s">
        <v>148</v>
      </c>
      <c r="J26" s="278" t="s">
        <v>149</v>
      </c>
      <c r="K26" s="277" t="s">
        <v>57</v>
      </c>
      <c r="L26" s="278" t="s">
        <v>158</v>
      </c>
      <c r="M26" s="278" t="s">
        <v>159</v>
      </c>
      <c r="N26" s="278" t="s">
        <v>160</v>
      </c>
      <c r="O26" s="278" t="s">
        <v>161</v>
      </c>
      <c r="P26" s="278" t="s">
        <v>162</v>
      </c>
      <c r="Q26" s="278" t="s">
        <v>163</v>
      </c>
      <c r="R26" s="278" t="s">
        <v>164</v>
      </c>
      <c r="S26" s="278" t="s">
        <v>165</v>
      </c>
      <c r="T26" s="277" t="s">
        <v>57</v>
      </c>
      <c r="U26" s="278" t="s">
        <v>169</v>
      </c>
      <c r="V26" s="278" t="s">
        <v>170</v>
      </c>
      <c r="W26" s="278" t="s">
        <v>171</v>
      </c>
      <c r="X26" s="278" t="s">
        <v>172</v>
      </c>
      <c r="Y26" s="278" t="s">
        <v>173</v>
      </c>
      <c r="Z26" s="278" t="s">
        <v>174</v>
      </c>
      <c r="AA26" s="278" t="s">
        <v>175</v>
      </c>
    </row>
    <row r="27" spans="1:27" x14ac:dyDescent="0.2">
      <c r="A27" s="277">
        <v>1</v>
      </c>
      <c r="B27" s="1">
        <f>'1x2'!S21</f>
        <v>-135.48273602052737</v>
      </c>
      <c r="C27" s="1">
        <f>'1x3'!S21</f>
        <v>76.15772018181427</v>
      </c>
      <c r="D27" s="1">
        <f>'1x4'!S21</f>
        <v>76.813491867394845</v>
      </c>
      <c r="E27" s="1">
        <f>'1x5'!S21</f>
        <v>94.760689648460783</v>
      </c>
      <c r="F27" s="1">
        <f>'1x6'!S21</f>
        <v>120.50730115270072</v>
      </c>
      <c r="G27" s="1">
        <f>'1x7'!S21</f>
        <v>152.55994945022891</v>
      </c>
      <c r="H27" s="1">
        <f>'1x8'!S21</f>
        <v>190.49219037799236</v>
      </c>
      <c r="I27" s="1">
        <f>'1x9'!S21</f>
        <v>234.117655396218</v>
      </c>
      <c r="J27" s="1">
        <f>'1x10'!S21</f>
        <v>283.31520886919731</v>
      </c>
      <c r="K27" s="277">
        <v>1</v>
      </c>
      <c r="L27" s="1">
        <f>'2x3'!S21</f>
        <v>-15.369361266736405</v>
      </c>
      <c r="M27" s="1">
        <f>'2x4'!S21</f>
        <v>-28.947182054291083</v>
      </c>
      <c r="N27" s="1">
        <f>'2x5'!S21</f>
        <v>-46.885368460061613</v>
      </c>
      <c r="O27" s="1">
        <f>'2x6'!S21</f>
        <v>-68.827750961177685</v>
      </c>
      <c r="P27" s="1">
        <f>'2x7'!S21</f>
        <v>-94.467513920387347</v>
      </c>
      <c r="Q27" s="1">
        <f>'2x8'!S21</f>
        <v>-123.60939659487053</v>
      </c>
      <c r="R27" s="1">
        <f>'2x9'!S21</f>
        <v>-156.15648425852223</v>
      </c>
      <c r="S27" s="1">
        <f>'2x10'!S21</f>
        <v>-192.07695755615075</v>
      </c>
      <c r="T27" s="277">
        <v>1</v>
      </c>
      <c r="U27" s="1">
        <f>'3x4'!S21</f>
        <v>-16.241756517885403</v>
      </c>
      <c r="V27" s="1">
        <f>'3x5'!S21</f>
        <v>-25.102232016163693</v>
      </c>
      <c r="W27" s="1">
        <f>'3x6'!S21</f>
        <v>-35.781643599280223</v>
      </c>
      <c r="X27" s="1">
        <f>'3x7'!S21</f>
        <v>-48.227711411411846</v>
      </c>
      <c r="Y27" s="1">
        <f>'3x8'!S21</f>
        <v>-62.410698065521331</v>
      </c>
      <c r="Z27" s="1">
        <f>'3x9'!S21</f>
        <v>-78.317332373712148</v>
      </c>
      <c r="AA27" s="1">
        <f>'3x10'!S21</f>
        <v>-95.944405205918343</v>
      </c>
    </row>
    <row r="28" spans="1:27" x14ac:dyDescent="0.2">
      <c r="A28">
        <v>2</v>
      </c>
      <c r="B28" s="1">
        <f>'1x2'!S22</f>
        <v>32.938486608837835</v>
      </c>
      <c r="C28" s="1">
        <f>'1x3'!S22</f>
        <v>62.010706428948147</v>
      </c>
      <c r="D28" s="1">
        <f>'1x4'!S22</f>
        <v>112.34859797075475</v>
      </c>
      <c r="E28" s="1">
        <f>'1x5'!S22</f>
        <v>188.11172333805985</v>
      </c>
      <c r="F28" s="1">
        <f>'1x6'!S22</f>
        <v>294.54841128310017</v>
      </c>
      <c r="G28" s="1">
        <f>'1x7'!S22</f>
        <v>437.09111826625809</v>
      </c>
      <c r="H28" s="1">
        <f>'1x8'!S22</f>
        <v>621.18260852059677</v>
      </c>
      <c r="I28" s="1">
        <f>'1x9'!S22</f>
        <v>852.21783805798441</v>
      </c>
      <c r="J28" s="1">
        <f>'1x10'!S22</f>
        <v>1135.5290179819322</v>
      </c>
      <c r="K28">
        <v>2</v>
      </c>
      <c r="L28" s="1">
        <f>'2x3'!S22</f>
        <v>-119.21676806570028</v>
      </c>
      <c r="M28" s="1">
        <f>'2x4'!S22</f>
        <v>-348.55228234304349</v>
      </c>
      <c r="N28" s="1">
        <f>'2x5'!S22</f>
        <v>-811.98244416915793</v>
      </c>
      <c r="O28" s="1">
        <f>'2x6'!S22</f>
        <v>-1598.1923682456995</v>
      </c>
      <c r="P28" s="1">
        <f>'2x7'!S22</f>
        <v>-2766.6430450023354</v>
      </c>
      <c r="Q28" s="1">
        <f>'2x8'!S22</f>
        <v>-4347.2407681435334</v>
      </c>
      <c r="R28" s="1">
        <f>'2x9'!S22</f>
        <v>-6356.1632560993021</v>
      </c>
      <c r="S28" s="1">
        <f>'2x10'!S22</f>
        <v>-8810.8489011122838</v>
      </c>
      <c r="T28">
        <v>2</v>
      </c>
      <c r="U28" s="1">
        <f>'3x4'!S22</f>
        <v>-78.887497128264769</v>
      </c>
      <c r="V28" s="1">
        <f>'3x5'!S22</f>
        <v>-192.12927821846517</v>
      </c>
      <c r="W28" s="1">
        <f>'3x6'!S22</f>
        <v>-320.20965903975713</v>
      </c>
      <c r="X28" s="1">
        <f>'3x7'!S22</f>
        <v>-492.7012130529593</v>
      </c>
      <c r="Y28" s="1">
        <f>'3x8'!S22</f>
        <v>-715.30685206097928</v>
      </c>
      <c r="Z28" s="1">
        <f>'3x9'!S22</f>
        <v>-993.83593644006805</v>
      </c>
      <c r="AA28" s="1">
        <f>'3x10'!S22</f>
        <v>-1334.2301825303509</v>
      </c>
    </row>
    <row r="29" spans="1:27" x14ac:dyDescent="0.2">
      <c r="A29">
        <v>3</v>
      </c>
      <c r="B29" s="1">
        <f>'1x2'!S23</f>
        <v>53.612839082614443</v>
      </c>
      <c r="C29" s="1">
        <f>'1x3'!S23</f>
        <v>152.07976211162713</v>
      </c>
      <c r="D29" s="1">
        <f>'1x4'!S23</f>
        <v>363.66713897914104</v>
      </c>
      <c r="E29" s="1">
        <f>'1x5'!S23</f>
        <v>754.44928896733643</v>
      </c>
      <c r="F29" s="1">
        <f>'1x6'!S23</f>
        <v>1407.5665040259676</v>
      </c>
      <c r="G29" s="1">
        <f>'1x7'!S23</f>
        <v>2422.8569180718559</v>
      </c>
      <c r="H29" s="1">
        <f>'1x8'!S23</f>
        <v>3916.6252088056672</v>
      </c>
      <c r="I29" s="1">
        <f>'1x9'!S23</f>
        <v>6021.4023331387934</v>
      </c>
      <c r="J29" s="1">
        <f>'1x10'!S23</f>
        <v>8885.7457952878867</v>
      </c>
      <c r="K29">
        <v>3</v>
      </c>
      <c r="L29" s="1">
        <f>'2x3'!S23</f>
        <v>-559.56584304313049</v>
      </c>
      <c r="M29" s="1">
        <f>'2x4'!S23</f>
        <v>-2796.3953153821603</v>
      </c>
      <c r="N29" s="1">
        <f>'2x5'!S23</f>
        <v>-12430.56110059763</v>
      </c>
      <c r="O29" s="1">
        <f>'2x6'!S23</f>
        <v>-60734.804224077561</v>
      </c>
      <c r="P29" s="1">
        <f>'2x7'!S23</f>
        <v>-1258634.2247294062</v>
      </c>
      <c r="Q29" s="1">
        <f>'2x8'!S23</f>
        <v>376538.7309302066</v>
      </c>
      <c r="R29" s="1">
        <f>'2x9'!S23</f>
        <v>341229.11737270677</v>
      </c>
      <c r="S29" s="1">
        <f>'2x10'!S23</f>
        <v>405077.22315078654</v>
      </c>
      <c r="T29">
        <v>3</v>
      </c>
      <c r="U29" s="1">
        <f>'3x4'!S23</f>
        <v>-274.00740260768549</v>
      </c>
      <c r="V29" s="1">
        <f>'3x5'!S23</f>
        <v>-1065.2580586350255</v>
      </c>
      <c r="W29" s="1">
        <f>'3x6'!S23</f>
        <v>-2104.173007357982</v>
      </c>
      <c r="X29" s="1">
        <f>'3x7'!S23</f>
        <v>-3745.2520927308592</v>
      </c>
      <c r="Y29" s="1">
        <f>'3x8'!S23</f>
        <v>-6175.5972433112747</v>
      </c>
      <c r="Z29" s="1">
        <f>'3x9'!S23</f>
        <v>-9607.0775281540882</v>
      </c>
      <c r="AA29" s="1">
        <f>'3x10'!S23</f>
        <v>-14277.306738986314</v>
      </c>
    </row>
    <row r="30" spans="1:27" x14ac:dyDescent="0.2">
      <c r="A30">
        <v>4</v>
      </c>
      <c r="B30" s="1">
        <f>'1x2'!S24</f>
        <v>99.325178257165973</v>
      </c>
      <c r="C30" s="1">
        <f>'1x3'!S24</f>
        <v>410.92498085535192</v>
      </c>
      <c r="D30" s="1">
        <f>'1x4'!S24</f>
        <v>1299.8435663020007</v>
      </c>
      <c r="E30" s="1">
        <f>'1x5'!S24</f>
        <v>3362.8726112050913</v>
      </c>
      <c r="F30" s="1">
        <f>'1x6'!S24</f>
        <v>7522.5951009007913</v>
      </c>
      <c r="G30" s="1">
        <f>'1x7'!S24</f>
        <v>15100.111084315757</v>
      </c>
      <c r="H30" s="1">
        <f>'1x8'!S24</f>
        <v>27887.124443907473</v>
      </c>
      <c r="I30" s="1">
        <f>'1x9'!S24</f>
        <v>48217.085109892461</v>
      </c>
      <c r="J30" s="1">
        <f>'1x10'!S24</f>
        <v>79035.640320081642</v>
      </c>
      <c r="K30">
        <v>4</v>
      </c>
      <c r="L30" s="1">
        <f>'2x3'!S24</f>
        <v>-2076.2637259274152</v>
      </c>
      <c r="M30" s="1">
        <f>'2x4'!S24</f>
        <v>-18135.889946883384</v>
      </c>
      <c r="N30" s="1">
        <f>'2x5'!S24</f>
        <v>-448553.84571498138</v>
      </c>
      <c r="O30" s="1">
        <f>'2x6'!S24</f>
        <v>268876.22474899259</v>
      </c>
      <c r="P30" s="1">
        <f>'2x7'!S24</f>
        <v>312486.44797678833</v>
      </c>
      <c r="Q30" s="1">
        <f>'2x8'!S24</f>
        <v>463173.72005665087</v>
      </c>
      <c r="R30" s="1">
        <f>'2x9'!S24</f>
        <v>717258.54783077247</v>
      </c>
      <c r="S30" s="1">
        <f>'2x10'!S24</f>
        <v>1107119.8261293138</v>
      </c>
      <c r="T30">
        <v>4</v>
      </c>
      <c r="U30" s="1">
        <f>'3x4'!S24</f>
        <v>-864.02202387477712</v>
      </c>
      <c r="V30" s="1">
        <f>'3x5'!S24</f>
        <v>-5465.1895357373751</v>
      </c>
      <c r="W30" s="1">
        <f>'3x6'!S24</f>
        <v>-12894.85530007084</v>
      </c>
      <c r="X30" s="1">
        <f>'3x7'!S24</f>
        <v>-26709.524111383329</v>
      </c>
      <c r="Y30" s="1">
        <f>'3x8'!S24</f>
        <v>-50256.238438155204</v>
      </c>
      <c r="Z30" s="1">
        <f>'3x9'!S24</f>
        <v>-87865.135365600552</v>
      </c>
      <c r="AA30" s="1">
        <f>'3x10'!S24</f>
        <v>-144984.98660983535</v>
      </c>
    </row>
    <row r="31" spans="1:27" x14ac:dyDescent="0.2">
      <c r="A31">
        <v>5</v>
      </c>
      <c r="B31" s="1">
        <f>'1x2'!S25</f>
        <v>189.28019991774985</v>
      </c>
      <c r="C31" s="1">
        <f>'1x3'!S25</f>
        <v>1148.9246101536908</v>
      </c>
      <c r="D31" s="1">
        <f>'1x4'!S25</f>
        <v>4842.4943769703732</v>
      </c>
      <c r="E31" s="1">
        <f>'1x5'!S25</f>
        <v>15693.508971967054</v>
      </c>
      <c r="F31" s="1">
        <f>'1x6'!S25</f>
        <v>42205.186948639777</v>
      </c>
      <c r="G31" s="1">
        <f>'1x7'!S25</f>
        <v>98963.413398876059</v>
      </c>
      <c r="H31" s="1">
        <f>'1x8'!S25</f>
        <v>209043.13761417207</v>
      </c>
      <c r="I31" s="1">
        <f>'1x9'!S25</f>
        <v>406813.09621724288</v>
      </c>
      <c r="J31" s="1">
        <f>'1x10'!S25</f>
        <v>741135.85998969898</v>
      </c>
      <c r="K31">
        <v>5</v>
      </c>
      <c r="L31" s="1">
        <f>'2x3'!S25</f>
        <v>-6862.9444864359402</v>
      </c>
      <c r="M31" s="1">
        <f>'2x4'!S25</f>
        <v>-99977.609791784082</v>
      </c>
      <c r="N31" s="1">
        <f>'2x5'!S25</f>
        <v>1139632.239234806</v>
      </c>
      <c r="O31" s="1">
        <f>'2x6'!S25</f>
        <v>866046.61900576809</v>
      </c>
      <c r="P31" s="1">
        <f>'2x7'!S25</f>
        <v>1434725.0198522168</v>
      </c>
      <c r="Q31" s="1">
        <f>'2x8'!S25</f>
        <v>2584889.3732967214</v>
      </c>
      <c r="R31" s="1">
        <f>'2x9'!S25</f>
        <v>4627391.5349817649</v>
      </c>
      <c r="S31" s="1">
        <f>'2x10'!S25</f>
        <v>8046816.9755129488</v>
      </c>
      <c r="T31">
        <v>5</v>
      </c>
      <c r="U31" s="1">
        <f>'3x4'!S25</f>
        <v>-2638.3801622192309</v>
      </c>
      <c r="V31" s="1">
        <f>'3x5'!S25</f>
        <v>-27499.275700653943</v>
      </c>
      <c r="W31" s="1">
        <f>'3x6'!S25</f>
        <v>-77749.218003034533</v>
      </c>
      <c r="X31" s="1">
        <f>'3x7'!S25</f>
        <v>-187771.21700955392</v>
      </c>
      <c r="Y31" s="1">
        <f>'3x8'!S25</f>
        <v>-403663.24182100059</v>
      </c>
      <c r="Z31" s="1">
        <f>'3x9'!S25</f>
        <v>-793836.80070124089</v>
      </c>
      <c r="AA31" s="1">
        <f>'3x10'!S25</f>
        <v>-1455309.07356087</v>
      </c>
    </row>
    <row r="32" spans="1:27" x14ac:dyDescent="0.2">
      <c r="A32">
        <v>6</v>
      </c>
      <c r="B32" s="1">
        <f>'1x2'!S26</f>
        <v>364.46664627905358</v>
      </c>
      <c r="C32" s="1">
        <f>'1x3'!S26</f>
        <v>3275.7387806682173</v>
      </c>
      <c r="D32" s="1">
        <f>'1x4'!S26</f>
        <v>18473.579616841907</v>
      </c>
      <c r="E32" s="1">
        <f>'1x5'!S26</f>
        <v>75110.270426311647</v>
      </c>
      <c r="F32" s="1">
        <f>'1x6'!S26</f>
        <v>242986.23170707547</v>
      </c>
      <c r="G32" s="1">
        <f>'1x7'!S26</f>
        <v>665712.73112543335</v>
      </c>
      <c r="H32" s="1">
        <f>'1x8'!S26</f>
        <v>1608540.4616895951</v>
      </c>
      <c r="I32" s="1">
        <f>'1x9'!S26</f>
        <v>3523534.8243604139</v>
      </c>
      <c r="J32" s="1">
        <f>'1x10'!S26</f>
        <v>7134763.50159832</v>
      </c>
      <c r="K32">
        <v>6</v>
      </c>
      <c r="L32" s="1">
        <f>'2x3'!S26</f>
        <v>-21490.776455581938</v>
      </c>
      <c r="M32" s="1">
        <f>'2x4'!S26</f>
        <v>-485725.11695450509</v>
      </c>
      <c r="N32" s="1">
        <f>'2x5'!S26</f>
        <v>3249741.1702920431</v>
      </c>
      <c r="O32" s="1">
        <f>'2x6'!S26</f>
        <v>4193845.4076082706</v>
      </c>
      <c r="P32" s="1">
        <f>'2x7'!S26</f>
        <v>8506430.0575448759</v>
      </c>
      <c r="Q32" s="1">
        <f>'2x8'!S26</f>
        <v>17822606.073248506</v>
      </c>
      <c r="R32" s="1">
        <f>'2x9'!S26</f>
        <v>36185944.702272259</v>
      </c>
      <c r="S32" s="1">
        <f>'2x10'!S26</f>
        <v>70214077.474387899</v>
      </c>
      <c r="T32">
        <v>6</v>
      </c>
      <c r="U32" s="1">
        <f>'3x4'!S26</f>
        <v>-7965.9944961437031</v>
      </c>
      <c r="V32" s="1">
        <f>'3x5'!S26</f>
        <v>-137706.63032802191</v>
      </c>
      <c r="W32" s="1">
        <f>'3x6'!S26</f>
        <v>-467027.00787923398</v>
      </c>
      <c r="X32" s="1">
        <f>'3x7'!S26</f>
        <v>-1315737.5537260231</v>
      </c>
      <c r="Y32" s="1">
        <f>'3x8'!S26</f>
        <v>-3232474.3753148834</v>
      </c>
      <c r="Z32" s="1">
        <f>'3x9'!S26</f>
        <v>-7151461.6557300771</v>
      </c>
      <c r="AA32" s="1">
        <f>'3x10'!S26</f>
        <v>-14567163.967048878</v>
      </c>
    </row>
    <row r="33" spans="1:27" x14ac:dyDescent="0.2">
      <c r="A33">
        <v>7</v>
      </c>
      <c r="B33" s="1">
        <f>'1x2'!S27</f>
        <v>706.05576816072221</v>
      </c>
      <c r="C33" s="1">
        <f>'1x3'!S27</f>
        <v>9463.2229614671232</v>
      </c>
      <c r="D33" s="1">
        <f>'1x4'!S27</f>
        <v>71528.860533893065</v>
      </c>
      <c r="E33" s="1">
        <f>'1x5'!S27</f>
        <v>364919.64746827463</v>
      </c>
      <c r="F33" s="1">
        <f>'1x6'!S27</f>
        <v>1419885.4883580329</v>
      </c>
      <c r="G33" s="1">
        <f>'1x7'!S27</f>
        <v>4544498.263211363</v>
      </c>
      <c r="H33" s="1">
        <f>'1x8'!S27</f>
        <v>12559252.016716834</v>
      </c>
      <c r="I33" s="1">
        <f>'1x9'!S27</f>
        <v>30964501.251549117</v>
      </c>
      <c r="J33" s="1">
        <f>'1x10'!S27</f>
        <v>69685430.654633433</v>
      </c>
      <c r="K33">
        <v>7</v>
      </c>
      <c r="L33" s="1">
        <f>'2x3'!S27</f>
        <v>-65685.602849157091</v>
      </c>
      <c r="M33" s="1">
        <f>'2x4'!S27</f>
        <v>-2164872.7518691393</v>
      </c>
      <c r="N33" s="1">
        <f>'2x5'!S27</f>
        <v>13336767.761235327</v>
      </c>
      <c r="O33" s="1">
        <f>'2x6'!S27</f>
        <v>22852308.201339137</v>
      </c>
      <c r="P33" s="1">
        <f>'2x7'!S27</f>
        <v>55053135.41586788</v>
      </c>
      <c r="Q33" s="1">
        <f>'2x8'!S27</f>
        <v>132707741.79968375</v>
      </c>
      <c r="R33" s="1">
        <f>'2x9'!S27</f>
        <v>304074777.91613203</v>
      </c>
      <c r="S33" s="1">
        <f>'2x10'!S27</f>
        <v>656652819.49968922</v>
      </c>
      <c r="T33">
        <v>7</v>
      </c>
      <c r="U33" s="1">
        <f>'3x4'!S27</f>
        <v>-23953.668521414387</v>
      </c>
      <c r="V33" s="1">
        <f>'3x5'!S27</f>
        <v>-688784.29560995323</v>
      </c>
      <c r="W33" s="1">
        <f>'3x6'!S27</f>
        <v>-2802911.883451771</v>
      </c>
      <c r="X33" s="1">
        <f>'3x7'!S27</f>
        <v>-9212453.7768004593</v>
      </c>
      <c r="Y33" s="1">
        <f>'3x8'!S27</f>
        <v>-25866227.662117951</v>
      </c>
      <c r="Z33" s="1">
        <f>'3x9'!S27</f>
        <v>-64379398.104724854</v>
      </c>
      <c r="AA33" s="1">
        <f>'3x10'!S27</f>
        <v>-145708895.71263072</v>
      </c>
    </row>
    <row r="34" spans="1:27" x14ac:dyDescent="0.2">
      <c r="A34">
        <v>8</v>
      </c>
      <c r="B34" s="1">
        <f>'1x2'!S28</f>
        <v>1374.1977695782496</v>
      </c>
      <c r="C34" s="1">
        <f>'1x3'!S28</f>
        <v>27592.651241056919</v>
      </c>
      <c r="D34" s="1">
        <f>'1x4'!S28</f>
        <v>279643.23049184174</v>
      </c>
      <c r="E34" s="1">
        <f>'1x5'!S28</f>
        <v>1789581.7958400261</v>
      </c>
      <c r="F34" s="1">
        <f>'1x6'!S28</f>
        <v>8372303.7247725353</v>
      </c>
      <c r="G34" s="1">
        <f>'1x7'!S28</f>
        <v>31297476.13488736</v>
      </c>
      <c r="H34" s="1">
        <f>'1x8'!S28</f>
        <v>98914179.170543179</v>
      </c>
      <c r="I34" s="1">
        <f>'1x9'!S28</f>
        <v>274457216.48398072</v>
      </c>
      <c r="J34" s="1">
        <f>'1x10'!S28</f>
        <v>686445896.54872274</v>
      </c>
      <c r="K34">
        <v>8</v>
      </c>
      <c r="L34" s="1">
        <f>'2x3'!S28</f>
        <v>-198648.8752648416</v>
      </c>
      <c r="M34" s="1">
        <f>'2x4'!S28</f>
        <v>-9164593.3346111793</v>
      </c>
      <c r="N34" s="1">
        <f>'2x5'!S28</f>
        <v>61081586.850380383</v>
      </c>
      <c r="O34" s="1">
        <f>'2x6'!S28</f>
        <v>130772504.75150564</v>
      </c>
      <c r="P34" s="1">
        <f>'2x7'!S28</f>
        <v>370353531.41422659</v>
      </c>
      <c r="Q34" s="1">
        <f>'2x8'!S28</f>
        <v>1023175729.284806</v>
      </c>
      <c r="R34" s="1">
        <f>'2x9'!S28</f>
        <v>2640942595.3290792</v>
      </c>
      <c r="S34" s="1">
        <f>'2x10'!S28</f>
        <v>6341165728.5480413</v>
      </c>
      <c r="T34">
        <v>8</v>
      </c>
      <c r="U34" s="1">
        <f>'3x4'!S28</f>
        <v>-71921.764257198753</v>
      </c>
      <c r="V34" s="1">
        <f>'3x5'!S28</f>
        <v>-3444218.779162819</v>
      </c>
      <c r="W34" s="1">
        <f>'3x6'!S28</f>
        <v>-16818543.884293351</v>
      </c>
      <c r="X34" s="1">
        <f>'3x7'!S28</f>
        <v>-64491196.001090512</v>
      </c>
      <c r="Y34" s="1">
        <f>'3x8'!S28</f>
        <v>-206943190.30304763</v>
      </c>
      <c r="Z34" s="1">
        <f>'3x9'!S28</f>
        <v>-579453353.55111086</v>
      </c>
      <c r="AA34" s="1">
        <f>'3x10'!S28</f>
        <v>-1457188920.0612688</v>
      </c>
    </row>
    <row r="35" spans="1:27" x14ac:dyDescent="0.2">
      <c r="A35">
        <v>9</v>
      </c>
      <c r="B35" s="1">
        <f>'1x2'!S29</f>
        <v>2685.2283353348603</v>
      </c>
      <c r="C35" s="1">
        <f>'1x3'!S29</f>
        <v>80990.56724574801</v>
      </c>
      <c r="D35" s="1">
        <f>'1x4'!S29</f>
        <v>1100359.5891868083</v>
      </c>
      <c r="E35" s="1">
        <f>'1x5'!S29</f>
        <v>8829286.9888198823</v>
      </c>
      <c r="F35" s="1">
        <f>'1x6'!S29</f>
        <v>49649745.811374776</v>
      </c>
      <c r="G35" s="1">
        <f>'1x7'!S29</f>
        <v>216732428.09557483</v>
      </c>
      <c r="H35" s="1">
        <f>'1x8'!S29</f>
        <v>783230847.78586507</v>
      </c>
      <c r="I35" s="1">
        <f>'1x9'!S29</f>
        <v>2445617608.4859958</v>
      </c>
      <c r="J35" s="1">
        <f>'1x10'!S29</f>
        <v>6797575561.7996492</v>
      </c>
      <c r="K35">
        <v>9</v>
      </c>
      <c r="L35" s="1">
        <f>'2x3'!S29</f>
        <v>-598015.09897500381</v>
      </c>
      <c r="M35" s="1">
        <f>'2x4'!S29</f>
        <v>-37724472.384640612</v>
      </c>
      <c r="N35" s="1">
        <f>'2x5'!S29</f>
        <v>292777656.62442803</v>
      </c>
      <c r="O35" s="1">
        <f>'2x6'!S29</f>
        <v>765859701.40589786</v>
      </c>
      <c r="P35" s="1">
        <f>'2x7'!S29</f>
        <v>2539051660.8890142</v>
      </c>
      <c r="Q35" s="1">
        <f>'2x8'!S29</f>
        <v>8026606219.6782198</v>
      </c>
      <c r="R35" s="1">
        <f>'2x9'!S29</f>
        <v>23320422891.97057</v>
      </c>
      <c r="S35" s="1">
        <f>'2x10'!S29</f>
        <v>62234058659.863892</v>
      </c>
      <c r="T35">
        <v>9</v>
      </c>
      <c r="U35" s="1">
        <f>'3x4'!S29</f>
        <v>-215831.30753211514</v>
      </c>
      <c r="V35" s="1">
        <f>'3x5'!S29</f>
        <v>-17221444.068068881</v>
      </c>
      <c r="W35" s="1">
        <f>'3x6'!S29</f>
        <v>-100912822.28255832</v>
      </c>
      <c r="X35" s="1">
        <f>'3x7'!S29</f>
        <v>-451445563.75462854</v>
      </c>
      <c r="Y35" s="1">
        <f>'3x8'!S29</f>
        <v>-1655573712.9922402</v>
      </c>
      <c r="Z35" s="1">
        <f>'3x9'!S29</f>
        <v>-5215173614.5628452</v>
      </c>
      <c r="AA35" s="1">
        <f>'3x10'!S29</f>
        <v>-14572159084.426706</v>
      </c>
    </row>
    <row r="36" spans="1:27" x14ac:dyDescent="0.2">
      <c r="A36">
        <v>10</v>
      </c>
      <c r="B36" s="1">
        <f>'1x2'!S30</f>
        <v>5264.9330097066468</v>
      </c>
      <c r="C36" s="1">
        <f>'1x3'!S30</f>
        <v>238878.14863997349</v>
      </c>
      <c r="D36" s="1">
        <f>'1x4'!S30</f>
        <v>4349060.6468072105</v>
      </c>
      <c r="E36" s="1">
        <f>'1x5'!S30</f>
        <v>43736448.791533299</v>
      </c>
      <c r="F36" s="1">
        <f>'1x6'!S30</f>
        <v>295534157.91677058</v>
      </c>
      <c r="G36" s="1">
        <f>'1x7'!S30</f>
        <v>1506191509.5585232</v>
      </c>
      <c r="H36" s="1">
        <f>'1x8'!S30</f>
        <v>6223239742.6454506</v>
      </c>
      <c r="I36" s="1">
        <f>'1x9'!S30</f>
        <v>21866050145.866653</v>
      </c>
      <c r="J36" s="1">
        <f>'1x10'!S30</f>
        <v>67538771504.625893</v>
      </c>
      <c r="K36">
        <v>10</v>
      </c>
      <c r="L36" s="1">
        <f>'2x3'!S30</f>
        <v>-1796724.4635676001</v>
      </c>
      <c r="M36" s="1">
        <f>'2x4'!S30</f>
        <v>-153058901.68782634</v>
      </c>
      <c r="N36" s="1">
        <f>'2x5'!S30</f>
        <v>1433399068.134706</v>
      </c>
      <c r="O36" s="1">
        <f>'2x6'!S30</f>
        <v>4537486194.0576429</v>
      </c>
      <c r="P36" s="1">
        <f>'2x7'!S30</f>
        <v>17577335482.475338</v>
      </c>
      <c r="Q36" s="1">
        <f>'2x8'!S30</f>
        <v>63538373747.421013</v>
      </c>
      <c r="R36" s="1">
        <f>'2x9'!S30</f>
        <v>207727165402.25574</v>
      </c>
      <c r="S36" s="1">
        <f>'2x10'!S30</f>
        <v>616015718356.87097</v>
      </c>
      <c r="T36">
        <v>10</v>
      </c>
      <c r="U36" s="1">
        <f>'3x4'!S30</f>
        <v>-647565.32602935005</v>
      </c>
      <c r="V36" s="1">
        <f>'3x5'!S30</f>
        <v>-86107631.865292355</v>
      </c>
      <c r="W36" s="1">
        <f>'3x6'!S30</f>
        <v>-605479234.7587142</v>
      </c>
      <c r="X36" s="1">
        <f>'3x7'!S30</f>
        <v>-3160131991.8259315</v>
      </c>
      <c r="Y36" s="1">
        <f>'3x8'!S30</f>
        <v>-13244649646.051891</v>
      </c>
      <c r="Z36" s="1">
        <f>'3x9'!S30</f>
        <v>-46936788764.656334</v>
      </c>
      <c r="AA36" s="1">
        <f>'3x10'!S30</f>
        <v>-145722321473.93634</v>
      </c>
    </row>
    <row r="37" spans="1:27" x14ac:dyDescent="0.2">
      <c r="B37" s="355" t="s">
        <v>154</v>
      </c>
      <c r="C37" s="355"/>
      <c r="D37" s="355"/>
      <c r="E37" s="355"/>
      <c r="F37" s="355"/>
      <c r="G37" s="355"/>
      <c r="H37" s="355"/>
      <c r="I37" s="355"/>
      <c r="J37" s="355"/>
      <c r="L37" s="355" t="s">
        <v>166</v>
      </c>
      <c r="M37" s="355"/>
      <c r="N37" s="355"/>
      <c r="O37" s="355"/>
      <c r="P37" s="355"/>
      <c r="Q37" s="355"/>
      <c r="R37" s="355"/>
      <c r="S37" s="355"/>
      <c r="U37" s="355" t="s">
        <v>166</v>
      </c>
      <c r="V37" s="355"/>
      <c r="W37" s="355"/>
      <c r="X37" s="355"/>
      <c r="Y37" s="355"/>
      <c r="Z37" s="355"/>
      <c r="AA37" s="355"/>
    </row>
    <row r="38" spans="1:27" x14ac:dyDescent="0.2">
      <c r="A38" s="277" t="s">
        <v>57</v>
      </c>
      <c r="B38" s="278" t="s">
        <v>141</v>
      </c>
      <c r="C38" s="278" t="s">
        <v>142</v>
      </c>
      <c r="D38" s="278" t="s">
        <v>143</v>
      </c>
      <c r="E38" s="278" t="s">
        <v>144</v>
      </c>
      <c r="F38" s="278" t="s">
        <v>145</v>
      </c>
      <c r="G38" s="278" t="s">
        <v>146</v>
      </c>
      <c r="H38" s="278" t="s">
        <v>147</v>
      </c>
      <c r="I38" s="278" t="s">
        <v>148</v>
      </c>
      <c r="J38" s="278" t="s">
        <v>149</v>
      </c>
      <c r="K38" s="277" t="s">
        <v>57</v>
      </c>
      <c r="L38" s="278" t="s">
        <v>158</v>
      </c>
      <c r="M38" s="278" t="s">
        <v>159</v>
      </c>
      <c r="N38" s="278" t="s">
        <v>160</v>
      </c>
      <c r="O38" s="278" t="s">
        <v>161</v>
      </c>
      <c r="P38" s="278" t="s">
        <v>162</v>
      </c>
      <c r="Q38" s="278" t="s">
        <v>163</v>
      </c>
      <c r="R38" s="278" t="s">
        <v>164</v>
      </c>
      <c r="S38" s="278" t="s">
        <v>165</v>
      </c>
      <c r="T38" s="277" t="s">
        <v>57</v>
      </c>
      <c r="U38" s="278" t="s">
        <v>169</v>
      </c>
      <c r="V38" s="278" t="s">
        <v>170</v>
      </c>
      <c r="W38" s="278" t="s">
        <v>171</v>
      </c>
      <c r="X38" s="278" t="s">
        <v>172</v>
      </c>
      <c r="Y38" s="278" t="s">
        <v>173</v>
      </c>
      <c r="Z38" s="278" t="s">
        <v>174</v>
      </c>
      <c r="AA38" s="278" t="s">
        <v>175</v>
      </c>
    </row>
    <row r="39" spans="1:27" x14ac:dyDescent="0.2">
      <c r="A39" s="277">
        <v>1</v>
      </c>
      <c r="B39" s="1">
        <f>'1x2'!S33</f>
        <v>-135.48273602052737</v>
      </c>
      <c r="C39" s="1">
        <f>'1x3'!S33</f>
        <v>76.15772018181427</v>
      </c>
      <c r="D39" s="1">
        <f>'1x4'!S33</f>
        <v>76.813491867394845</v>
      </c>
      <c r="E39" s="1">
        <f>'1x5'!S33</f>
        <v>94.760689648460783</v>
      </c>
      <c r="F39" s="1">
        <f>'1x6'!S33</f>
        <v>120.50730115270072</v>
      </c>
      <c r="G39" s="1">
        <f>'1x7'!S33</f>
        <v>152.55994945022891</v>
      </c>
      <c r="H39" s="1">
        <f>'1x8'!S33</f>
        <v>190.49219037799236</v>
      </c>
      <c r="I39" s="1">
        <f>'1x9'!S33</f>
        <v>234.117655396218</v>
      </c>
      <c r="J39" s="1">
        <f>'1x10'!S33</f>
        <v>283.31520886919731</v>
      </c>
      <c r="K39" s="277"/>
      <c r="L39" s="282">
        <f>'2x3'!S21</f>
        <v>-15.369361266736405</v>
      </c>
      <c r="M39" s="282">
        <f>'2x4'!S21</f>
        <v>-28.947182054291083</v>
      </c>
      <c r="N39" s="282">
        <f>'2x5'!S21</f>
        <v>-46.885368460061613</v>
      </c>
      <c r="O39" s="282">
        <f>'2x6'!S21</f>
        <v>-68.827750961177685</v>
      </c>
      <c r="P39" s="282">
        <f>'2x7'!S21</f>
        <v>-94.467513920387347</v>
      </c>
      <c r="Q39" s="282">
        <f>'2x8'!S21</f>
        <v>-123.60939659487053</v>
      </c>
      <c r="R39" s="282">
        <f>'2x9'!S21</f>
        <v>-156.15648425852223</v>
      </c>
      <c r="S39" s="282">
        <f>'2x10'!S21</f>
        <v>-192.07695755615075</v>
      </c>
      <c r="T39" s="277">
        <v>1</v>
      </c>
      <c r="U39" s="282">
        <f>'3x4'!S21</f>
        <v>-16.241756517885403</v>
      </c>
      <c r="V39" s="282">
        <f>'3x5'!S33</f>
        <v>-25.102232016163693</v>
      </c>
      <c r="W39" s="282">
        <f>'3x6'!S33</f>
        <v>-35.781643599280223</v>
      </c>
      <c r="X39" s="282">
        <f>'3x7'!S33</f>
        <v>-48.227711411411846</v>
      </c>
      <c r="Y39" s="282">
        <f>'3x8'!S33</f>
        <v>-62.410698065521331</v>
      </c>
      <c r="Z39" s="282">
        <f>'3x9'!S33</f>
        <v>-78.317332373712148</v>
      </c>
      <c r="AA39" s="282">
        <f>'3x10'!S33</f>
        <v>-95.944405205918343</v>
      </c>
    </row>
    <row r="40" spans="1:27" x14ac:dyDescent="0.2">
      <c r="A40">
        <v>2</v>
      </c>
      <c r="B40" s="1">
        <f>'1x2'!S34</f>
        <v>39.526183930605399</v>
      </c>
      <c r="C40" s="1">
        <f>'1x3'!S34</f>
        <v>68.9007849210535</v>
      </c>
      <c r="D40" s="1">
        <f>'1x4'!S34</f>
        <v>120.37349782580867</v>
      </c>
      <c r="E40" s="1">
        <f>'1x5'!S34</f>
        <v>197.51730950496284</v>
      </c>
      <c r="F40" s="1">
        <f>'1x6'!S34</f>
        <v>305.4576117009928</v>
      </c>
      <c r="G40" s="1">
        <f>'1x7'!S34</f>
        <v>449.57943593100833</v>
      </c>
      <c r="H40" s="1">
        <f>'1x8'!S34</f>
        <v>635.30039507788308</v>
      </c>
      <c r="I40" s="1">
        <f>'1x9'!S34</f>
        <v>867.99964987387307</v>
      </c>
      <c r="J40" s="1">
        <f>'1x10'!S34</f>
        <v>1152.9986951816541</v>
      </c>
      <c r="K40">
        <v>2</v>
      </c>
      <c r="L40" s="282">
        <f>'2x3'!S22</f>
        <v>-119.21676806570028</v>
      </c>
      <c r="M40" s="282">
        <f>'2x4'!S22</f>
        <v>-348.55228234304349</v>
      </c>
      <c r="N40" s="282">
        <f>'2x5'!S22</f>
        <v>-811.98244416915793</v>
      </c>
      <c r="O40" s="282">
        <f>'2x6'!S22</f>
        <v>-1598.1923682456995</v>
      </c>
      <c r="P40" s="282">
        <f>'2x7'!S22</f>
        <v>-2766.6430450023354</v>
      </c>
      <c r="Q40" s="282">
        <f>'2x8'!S22</f>
        <v>-4347.2407681435334</v>
      </c>
      <c r="R40" s="282">
        <f>'2x9'!S22</f>
        <v>-6356.1632560993021</v>
      </c>
      <c r="S40" s="282">
        <f>'2x10'!S22</f>
        <v>-8810.8489011122838</v>
      </c>
      <c r="T40">
        <v>2</v>
      </c>
      <c r="U40" s="282">
        <f>'3x4'!S22</f>
        <v>-78.887497128264769</v>
      </c>
      <c r="V40" s="282">
        <f>'3x5'!S34</f>
        <v>-201.73574212938843</v>
      </c>
      <c r="W40" s="282">
        <f>'3x6'!S34</f>
        <v>-332.06927604122961</v>
      </c>
      <c r="X40" s="282">
        <f>'3x7'!S34</f>
        <v>-506.77839056875814</v>
      </c>
      <c r="Y40" s="282">
        <f>'3x8'!S34</f>
        <v>-731.56382597145603</v>
      </c>
      <c r="Z40" s="282">
        <f>'3x9'!S34</f>
        <v>-1012.2403056334026</v>
      </c>
      <c r="AA40" s="282">
        <f>'3x10'!S34</f>
        <v>-1354.7568007231255</v>
      </c>
    </row>
    <row r="41" spans="1:27" x14ac:dyDescent="0.2">
      <c r="A41">
        <v>3</v>
      </c>
      <c r="B41" s="1">
        <f>'1x2'!S35</f>
        <v>70.768947589051066</v>
      </c>
      <c r="C41" s="1">
        <f>'1x3'!S35</f>
        <v>176.60875600059924</v>
      </c>
      <c r="D41" s="1">
        <f>'1x4'!S35</f>
        <v>399.14685985515479</v>
      </c>
      <c r="E41" s="1">
        <f>'1x5'!S35</f>
        <v>803.80578450725557</v>
      </c>
      <c r="F41" s="1">
        <f>'1x6'!S35</f>
        <v>1473.6106801679484</v>
      </c>
      <c r="G41" s="1">
        <f>'1x7'!S35</f>
        <v>2508.3695151802744</v>
      </c>
      <c r="H41" s="1">
        <f>'1x8'!S35</f>
        <v>4024.3728073972948</v>
      </c>
      <c r="I41" s="1">
        <f>'1x9'!S35</f>
        <v>6154.1386571158009</v>
      </c>
      <c r="J41" s="1">
        <f>'1x10'!S35</f>
        <v>9046.2107306429734</v>
      </c>
      <c r="K41">
        <v>3</v>
      </c>
      <c r="L41" s="282">
        <f>'2x3'!S23</f>
        <v>-559.56584304313049</v>
      </c>
      <c r="M41" s="282">
        <f>'2x4'!S23</f>
        <v>-2796.3953153821603</v>
      </c>
      <c r="N41" s="282">
        <f>'2x5'!S23</f>
        <v>-12430.56110059763</v>
      </c>
      <c r="O41" s="282">
        <f>'2x6'!S23</f>
        <v>-60734.804224077561</v>
      </c>
      <c r="P41" s="282">
        <f>'2x7'!S23</f>
        <v>-1258634.2247294062</v>
      </c>
      <c r="Q41" s="282">
        <f>'2x8'!S23</f>
        <v>376538.7309302066</v>
      </c>
      <c r="R41" s="282">
        <f>'2x9'!S23</f>
        <v>341229.11737270677</v>
      </c>
      <c r="S41" s="282">
        <f>'2x10'!S23</f>
        <v>405077.22315078654</v>
      </c>
      <c r="T41">
        <v>3</v>
      </c>
      <c r="U41" s="282">
        <f>'3x4'!S23</f>
        <v>-274.00740260768549</v>
      </c>
      <c r="V41" s="282">
        <f>'3x5'!S35</f>
        <v>-1134.9478381718961</v>
      </c>
      <c r="W41" s="282">
        <f>'3x6'!S35</f>
        <v>-2202.9025326299106</v>
      </c>
      <c r="X41" s="282">
        <f>'3x7'!S35</f>
        <v>-3877.4374607095951</v>
      </c>
      <c r="Y41" s="282">
        <f>'3x8'!S35</f>
        <v>-6345.4898772400584</v>
      </c>
      <c r="Z41" s="282">
        <f>'3x9'!S35</f>
        <v>-9818.8567923017745</v>
      </c>
      <c r="AA41" s="282">
        <f>'3x10'!S35</f>
        <v>-14535.136206056044</v>
      </c>
    </row>
    <row r="42" spans="1:27" x14ac:dyDescent="0.2">
      <c r="A42">
        <v>4</v>
      </c>
      <c r="B42" s="1">
        <f>'1x2'!S36</f>
        <v>138.34578400105261</v>
      </c>
      <c r="C42" s="1">
        <f>'1x3'!S36</f>
        <v>486.40099774715122</v>
      </c>
      <c r="D42" s="1">
        <f>'1x4'!S36</f>
        <v>1438.5620496622935</v>
      </c>
      <c r="E42" s="1">
        <f>'1x5'!S36</f>
        <v>3597.7791538995643</v>
      </c>
      <c r="F42" s="1">
        <f>'1x6'!S36</f>
        <v>7893.6321900167877</v>
      </c>
      <c r="G42" s="1">
        <f>'1x7'!S36</f>
        <v>15654.397698089304</v>
      </c>
      <c r="H42" s="1">
        <f>'1x8'!S36</f>
        <v>28678.992842417334</v>
      </c>
      <c r="I42" s="1">
        <f>'1x9'!S36</f>
        <v>49308.06618380751</v>
      </c>
      <c r="J42" s="1">
        <f>'1x10'!S36</f>
        <v>80494.431400419271</v>
      </c>
      <c r="K42">
        <v>4</v>
      </c>
      <c r="L42" s="282">
        <f>'2x3'!S24</f>
        <v>-2076.2637259274152</v>
      </c>
      <c r="M42" s="282">
        <f>'2x4'!S24</f>
        <v>-18135.889946883384</v>
      </c>
      <c r="N42" s="282">
        <f>'2x5'!S24</f>
        <v>-448553.84571498138</v>
      </c>
      <c r="O42" s="282">
        <f>'2x6'!S24</f>
        <v>268876.22474899259</v>
      </c>
      <c r="P42" s="282">
        <f>'2x7'!S24</f>
        <v>312486.44797678833</v>
      </c>
      <c r="Q42" s="282">
        <f>'2x8'!S24</f>
        <v>463173.72005665087</v>
      </c>
      <c r="R42" s="282">
        <f>'2x9'!S24</f>
        <v>717258.54783077247</v>
      </c>
      <c r="S42" s="282">
        <f>'2x10'!S24</f>
        <v>1107119.8261293138</v>
      </c>
      <c r="T42">
        <v>4</v>
      </c>
      <c r="U42" s="282">
        <f>'3x4'!S24</f>
        <v>-864.02202387477712</v>
      </c>
      <c r="V42" s="282">
        <f>'3x5'!S36</f>
        <v>-5846.9490988955013</v>
      </c>
      <c r="W42" s="282">
        <f>'3x6'!S36</f>
        <v>-13530.868472511471</v>
      </c>
      <c r="X42" s="282">
        <f>'3x7'!S36</f>
        <v>-27689.962705015863</v>
      </c>
      <c r="Y42" s="282">
        <f>'3x8'!S36</f>
        <v>-51683.288657233854</v>
      </c>
      <c r="Z42" s="282">
        <f>'3x9'!S36</f>
        <v>-89853.210744325319</v>
      </c>
      <c r="AA42" s="282">
        <f>'3x10'!S36</f>
        <v>-147661.03003015494</v>
      </c>
    </row>
    <row r="43" spans="1:27" x14ac:dyDescent="0.2">
      <c r="A43">
        <v>5</v>
      </c>
      <c r="B43" s="1">
        <f>'1x2'!S37</f>
        <v>271.99087551206071</v>
      </c>
      <c r="C43" s="1">
        <f>'1x3'!S37</f>
        <v>1371.0500347834043</v>
      </c>
      <c r="D43" s="1">
        <f>'1x4'!S37</f>
        <v>5373.9587279950492</v>
      </c>
      <c r="E43" s="1">
        <f>'1x5'!S37</f>
        <v>16808.31700585999</v>
      </c>
      <c r="F43" s="1">
        <f>'1x6'!S37</f>
        <v>44309.506683915752</v>
      </c>
      <c r="G43" s="1">
        <f>'1x7'!S37</f>
        <v>102622.90797464785</v>
      </c>
      <c r="H43" s="1">
        <f>'1x8'!S37</f>
        <v>215010.05635901843</v>
      </c>
      <c r="I43" s="1">
        <f>'1x9'!S37</f>
        <v>416053.15422508412</v>
      </c>
      <c r="J43" s="1">
        <f>'1x10'!S37</f>
        <v>754854.93641423841</v>
      </c>
      <c r="K43">
        <v>5</v>
      </c>
      <c r="L43" s="282">
        <f>'2x3'!S25</f>
        <v>-6862.9444864359402</v>
      </c>
      <c r="M43" s="282">
        <f>'2x4'!S25</f>
        <v>-99977.609791784082</v>
      </c>
      <c r="N43" s="282">
        <f>'2x5'!S25</f>
        <v>1139632.239234806</v>
      </c>
      <c r="O43" s="282">
        <f>'2x6'!S25</f>
        <v>866046.61900576809</v>
      </c>
      <c r="P43" s="282">
        <f>'2x7'!S25</f>
        <v>1434725.0198522168</v>
      </c>
      <c r="Q43" s="282">
        <f>'2x8'!S25</f>
        <v>2584889.3732967214</v>
      </c>
      <c r="R43" s="282">
        <f>'2x9'!S25</f>
        <v>4627391.5349817649</v>
      </c>
      <c r="S43" s="282">
        <f>'2x10'!S25</f>
        <v>8046816.9755129488</v>
      </c>
      <c r="T43">
        <v>5</v>
      </c>
      <c r="U43" s="282">
        <f>'3x4'!S25</f>
        <v>-2638.3801622192309</v>
      </c>
      <c r="V43" s="282">
        <f>'3x5'!S37</f>
        <v>-29452.721136731154</v>
      </c>
      <c r="W43" s="282">
        <f>'3x6'!S37</f>
        <v>-81625.737115369193</v>
      </c>
      <c r="X43" s="282">
        <f>'3x7'!S37</f>
        <v>-194714.66940809798</v>
      </c>
      <c r="Y43" s="282">
        <f>'3x8'!S37</f>
        <v>-415185.38883676508</v>
      </c>
      <c r="Z43" s="282">
        <f>'3x9'!S37</f>
        <v>-811867.43480678974</v>
      </c>
      <c r="AA43" s="282">
        <f>'3x10'!S37</f>
        <v>-1482248.124117383</v>
      </c>
    </row>
    <row r="44" spans="1:27" x14ac:dyDescent="0.2">
      <c r="A44">
        <v>6</v>
      </c>
      <c r="B44" s="1">
        <f>'1x2'!S38</f>
        <v>533.36582382300526</v>
      </c>
      <c r="C44" s="1">
        <f>'1x3'!S38</f>
        <v>3922.2186502819004</v>
      </c>
      <c r="D44" s="1">
        <f>'1x4'!S38</f>
        <v>20518.675307562677</v>
      </c>
      <c r="E44" s="1">
        <f>'1x5'!S38</f>
        <v>80468.22430878559</v>
      </c>
      <c r="F44" s="1">
        <f>'1x6'!S38</f>
        <v>255128.70704625972</v>
      </c>
      <c r="G44" s="1">
        <f>'1x7'!S38</f>
        <v>690362.05159041565</v>
      </c>
      <c r="H44" s="1">
        <f>'1x8'!S38</f>
        <v>1654492.1334810611</v>
      </c>
      <c r="I44" s="1">
        <f>'1x9'!S38</f>
        <v>3603608.5858535757</v>
      </c>
      <c r="J44" s="1">
        <f>'1x10'!S38</f>
        <v>7266882.2113920702</v>
      </c>
      <c r="K44">
        <v>6</v>
      </c>
      <c r="L44" s="282">
        <f>'2x3'!S26</f>
        <v>-21490.776455581938</v>
      </c>
      <c r="M44" s="282">
        <f>'2x4'!S26</f>
        <v>-485725.11695450509</v>
      </c>
      <c r="N44" s="282">
        <f>'2x5'!S26</f>
        <v>3249741.1702920431</v>
      </c>
      <c r="O44" s="282">
        <f>'2x6'!S26</f>
        <v>4193845.4076082706</v>
      </c>
      <c r="P44" s="282">
        <f>'2x7'!S26</f>
        <v>8506430.0575448759</v>
      </c>
      <c r="Q44" s="282">
        <f>'2x8'!S26</f>
        <v>17822606.073248506</v>
      </c>
      <c r="R44" s="282">
        <f>'2x9'!S26</f>
        <v>36185944.702272259</v>
      </c>
      <c r="S44" s="282">
        <f>'2x10'!S26</f>
        <v>70214077.474387899</v>
      </c>
      <c r="T44">
        <v>6</v>
      </c>
      <c r="U44" s="282">
        <f>'3x4'!S26</f>
        <v>-7965.9944961437031</v>
      </c>
      <c r="V44" s="282">
        <f>'3x5'!S38</f>
        <v>-147529.86449321226</v>
      </c>
      <c r="W44" s="282">
        <f>'3x6'!S38</f>
        <v>-490365.21879787953</v>
      </c>
      <c r="X44" s="282">
        <f>'3x7'!S38</f>
        <v>-1364455.3190521812</v>
      </c>
      <c r="Y44" s="282">
        <f>'3x8'!S38</f>
        <v>-3324817.4683899377</v>
      </c>
      <c r="Z44" s="282">
        <f>'3x9'!S38</f>
        <v>-7313981.529519707</v>
      </c>
      <c r="AA44" s="282">
        <f>'3x10'!S38</f>
        <v>-14836912.909427889</v>
      </c>
    </row>
    <row r="45" spans="1:27" x14ac:dyDescent="0.2">
      <c r="A45">
        <v>7</v>
      </c>
      <c r="B45" s="1">
        <f>'1x2'!S39</f>
        <v>1044.2860762616669</v>
      </c>
      <c r="C45" s="1">
        <f>'1x3'!S39</f>
        <v>11346.15812749008</v>
      </c>
      <c r="D45" s="1">
        <f>'1x4'!S39</f>
        <v>79468.020364816941</v>
      </c>
      <c r="E45" s="1">
        <f>'1x5'!S39</f>
        <v>390977.32868095324</v>
      </c>
      <c r="F45" s="1">
        <f>'1x6'!S39</f>
        <v>1490871.9958527763</v>
      </c>
      <c r="G45" s="1">
        <f>'1x7'!S39</f>
        <v>4712805.3835053788</v>
      </c>
      <c r="H45" s="1">
        <f>'1x8'!S39</f>
        <v>12918080.242817068</v>
      </c>
      <c r="I45" s="1">
        <f>'1x9'!S39</f>
        <v>31668232.425875451</v>
      </c>
      <c r="J45" s="1">
        <f>'1x10'!S39</f>
        <v>70975894.140207872</v>
      </c>
      <c r="K45">
        <v>7</v>
      </c>
      <c r="L45" s="282">
        <f>'2x3'!S27</f>
        <v>-65685.602849157091</v>
      </c>
      <c r="M45" s="282">
        <f>'2x4'!S27</f>
        <v>-2164872.7518691393</v>
      </c>
      <c r="N45" s="282">
        <f>'2x5'!S27</f>
        <v>13336767.761235327</v>
      </c>
      <c r="O45" s="282">
        <f>'2x6'!S27</f>
        <v>22852308.201339137</v>
      </c>
      <c r="P45" s="282">
        <f>'2x7'!S27</f>
        <v>55053135.41586788</v>
      </c>
      <c r="Q45" s="282">
        <f>'2x8'!S27</f>
        <v>132707741.79968375</v>
      </c>
      <c r="R45" s="282">
        <f>'2x9'!S27</f>
        <v>304074777.91613203</v>
      </c>
      <c r="S45" s="282">
        <f>'2x10'!S27</f>
        <v>656652819.49968922</v>
      </c>
      <c r="T45">
        <v>7</v>
      </c>
      <c r="U45" s="282">
        <f>'3x4'!S27</f>
        <v>-23953.668521414387</v>
      </c>
      <c r="V45" s="282">
        <f>'3x5'!S39</f>
        <v>-737968.05900505499</v>
      </c>
      <c r="W45" s="282">
        <f>'3x6'!S39</f>
        <v>-2943042.1454011649</v>
      </c>
      <c r="X45" s="282">
        <f>'3x7'!S39</f>
        <v>-9553640.3008589689</v>
      </c>
      <c r="Y45" s="282">
        <f>'3x8'!S39</f>
        <v>-26605247.197321843</v>
      </c>
      <c r="Z45" s="282">
        <f>'3x9'!S39</f>
        <v>-65842550.669741355</v>
      </c>
      <c r="AA45" s="282">
        <f>'3x10'!S39</f>
        <v>-148407193.01343131</v>
      </c>
    </row>
    <row r="46" spans="1:27" x14ac:dyDescent="0.2">
      <c r="A46">
        <v>8</v>
      </c>
      <c r="B46" s="1">
        <f>'1x2'!S40</f>
        <v>2045.0018191549839</v>
      </c>
      <c r="C46" s="1">
        <f>'1x3'!S40</f>
        <v>33100.408370189318</v>
      </c>
      <c r="D46" s="1">
        <f>'1x4'!S40</f>
        <v>310705.21756284806</v>
      </c>
      <c r="E46" s="1">
        <f>'1x5'!S40</f>
        <v>1917400.0911776782</v>
      </c>
      <c r="F46" s="1">
        <f>'1x6'!S40</f>
        <v>8790910.1878364254</v>
      </c>
      <c r="G46" s="1">
        <f>'1x7'!S40</f>
        <v>32456633.33838921</v>
      </c>
      <c r="H46" s="1">
        <f>'1x8'!S40</f>
        <v>101740290.0855404</v>
      </c>
      <c r="I46" s="1">
        <f>'1x9'!S40</f>
        <v>280694872.06417108</v>
      </c>
      <c r="J46" s="1">
        <f>'1x10'!S40</f>
        <v>699157849.20602643</v>
      </c>
      <c r="K46">
        <v>8</v>
      </c>
      <c r="L46" s="282">
        <f>'2x3'!S28</f>
        <v>-198648.8752648416</v>
      </c>
      <c r="M46" s="282">
        <f>'2x4'!S28</f>
        <v>-9164593.3346111793</v>
      </c>
      <c r="N46" s="282">
        <f>'2x5'!S28</f>
        <v>61081586.850380383</v>
      </c>
      <c r="O46" s="282">
        <f>'2x6'!S28</f>
        <v>130772504.75150564</v>
      </c>
      <c r="P46" s="282">
        <f>'2x7'!S28</f>
        <v>370353531.41422659</v>
      </c>
      <c r="Q46" s="282">
        <f>'2x8'!S28</f>
        <v>1023175729.284806</v>
      </c>
      <c r="R46" s="282">
        <f>'2x9'!S28</f>
        <v>2640942595.3290792</v>
      </c>
      <c r="S46" s="282">
        <f>'2x10'!S28</f>
        <v>6341165728.5480413</v>
      </c>
      <c r="T46">
        <v>8</v>
      </c>
      <c r="U46" s="282">
        <f>'3x4'!S28</f>
        <v>-71921.764257198753</v>
      </c>
      <c r="V46" s="282">
        <f>'3x5'!S40</f>
        <v>-3690217.1314850585</v>
      </c>
      <c r="W46" s="282">
        <f>'3x6'!S40</f>
        <v>-17659453.555123545</v>
      </c>
      <c r="X46" s="282">
        <f>'3x7'!S40</f>
        <v>-66879741.13760341</v>
      </c>
      <c r="Y46" s="282">
        <f>'3x8'!S40</f>
        <v>-212855835.12105122</v>
      </c>
      <c r="Z46" s="282">
        <f>'3x9'!S40</f>
        <v>-592622730.1502831</v>
      </c>
      <c r="AA46" s="282">
        <f>'3x10'!S40</f>
        <v>-1484173882.2523153</v>
      </c>
    </row>
    <row r="47" spans="1:27" x14ac:dyDescent="0.2">
      <c r="A47">
        <v>9</v>
      </c>
      <c r="B47" s="1">
        <f>'1x2'!S41</f>
        <v>4010.0289489349584</v>
      </c>
      <c r="C47" s="1">
        <f>'1x3'!S41</f>
        <v>97176.827453085891</v>
      </c>
      <c r="D47" s="1">
        <f>'1x4'!S41</f>
        <v>1222611.2716961559</v>
      </c>
      <c r="E47" s="1">
        <f>'1x5'!S41</f>
        <v>9459940.3813725486</v>
      </c>
      <c r="F47" s="1">
        <f>'1x6'!S41</f>
        <v>52132223.402504146</v>
      </c>
      <c r="G47" s="1">
        <f>'1x7'!S41</f>
        <v>224759545.51393083</v>
      </c>
      <c r="H47" s="1">
        <f>'1x8'!S41</f>
        <v>805608862.55476809</v>
      </c>
      <c r="I47" s="1">
        <f>'1x9'!S41</f>
        <v>2501199817.4700823</v>
      </c>
      <c r="J47" s="1">
        <f>'1x10'!S41</f>
        <v>6923456581.3751993</v>
      </c>
      <c r="K47">
        <v>9</v>
      </c>
      <c r="L47" s="282">
        <f>'2x3'!S29</f>
        <v>-598015.09897500381</v>
      </c>
      <c r="M47" s="282">
        <f>'2x4'!S29</f>
        <v>-37724472.384640612</v>
      </c>
      <c r="N47" s="282">
        <f>'2x5'!S29</f>
        <v>292777656.62442803</v>
      </c>
      <c r="O47" s="282">
        <f>'2x6'!S29</f>
        <v>765859701.40589786</v>
      </c>
      <c r="P47" s="282">
        <f>'2x7'!S29</f>
        <v>2539051660.8890142</v>
      </c>
      <c r="Q47" s="282">
        <f>'2x8'!S29</f>
        <v>8026606219.6782198</v>
      </c>
      <c r="R47" s="282">
        <f>'2x9'!S29</f>
        <v>23320422891.97057</v>
      </c>
      <c r="S47" s="282">
        <f>'2x10'!S29</f>
        <v>62234058659.863892</v>
      </c>
      <c r="T47">
        <v>9</v>
      </c>
      <c r="U47" s="282">
        <f>'3x4'!S29</f>
        <v>-215831.30753211514</v>
      </c>
      <c r="V47" s="282">
        <f>'3x5'!S41</f>
        <v>-18451527.781503063</v>
      </c>
      <c r="W47" s="282">
        <f>'3x6'!S41</f>
        <v>-105958443.6826316</v>
      </c>
      <c r="X47" s="282">
        <f>'3x7'!S41</f>
        <v>-468165749.93118125</v>
      </c>
      <c r="Y47" s="282">
        <f>'3x8'!S41</f>
        <v>-1702875799.0950553</v>
      </c>
      <c r="Z47" s="282">
        <f>'3x9'!S41</f>
        <v>-5333700267.596055</v>
      </c>
      <c r="AA47" s="282">
        <f>'3x10'!S41</f>
        <v>-14842013862.249741</v>
      </c>
    </row>
    <row r="48" spans="1:27" x14ac:dyDescent="0.2">
      <c r="A48">
        <v>10</v>
      </c>
      <c r="B48" s="1">
        <f>'1x2'!S42</f>
        <v>7878.0526269691818</v>
      </c>
      <c r="C48" s="1">
        <f>'1x3'!S42</f>
        <v>286640.83191996929</v>
      </c>
      <c r="D48" s="1">
        <f>'1x4'!S42</f>
        <v>4832278.0864214227</v>
      </c>
      <c r="E48" s="1">
        <f>'1x5'!S42</f>
        <v>46860469.88003359</v>
      </c>
      <c r="F48" s="1">
        <f>'1x6'!S42</f>
        <v>310310855.12099457</v>
      </c>
      <c r="G48" s="1">
        <f>'1x7'!S42</f>
        <v>1561976369.7503328</v>
      </c>
      <c r="H48" s="1">
        <f>'1x8'!S42</f>
        <v>6401046582.0028019</v>
      </c>
      <c r="I48" s="1">
        <f>'1x9'!S42</f>
        <v>22363005820.634495</v>
      </c>
      <c r="J48" s="1">
        <f>'1x10'!S42</f>
        <v>68789489485.133865</v>
      </c>
      <c r="K48">
        <v>10</v>
      </c>
      <c r="L48" s="282">
        <f>'2x3'!S30</f>
        <v>-1796724.4635676001</v>
      </c>
      <c r="M48" s="282">
        <f>'2x4'!S30</f>
        <v>-153058901.68782634</v>
      </c>
      <c r="N48" s="282">
        <f>'2x5'!S30</f>
        <v>1433399068.134706</v>
      </c>
      <c r="O48" s="282">
        <f>'2x6'!S30</f>
        <v>4537486194.0576429</v>
      </c>
      <c r="P48" s="282">
        <f>'2x7'!S30</f>
        <v>17577335482.475338</v>
      </c>
      <c r="Q48" s="282">
        <f>'2x8'!S30</f>
        <v>63538373747.421013</v>
      </c>
      <c r="R48" s="282">
        <f>'2x9'!S30</f>
        <v>207727165402.25574</v>
      </c>
      <c r="S48" s="282">
        <f>'2x10'!S30</f>
        <v>616015718356.87097</v>
      </c>
      <c r="T48">
        <v>10</v>
      </c>
      <c r="U48" s="282">
        <f>'3x4'!S30</f>
        <v>-647565.32602935005</v>
      </c>
      <c r="V48" s="282">
        <f>'3x5'!S42</f>
        <v>-92258155.404827371</v>
      </c>
      <c r="W48" s="282">
        <f>'3x6'!S42</f>
        <v>-635753174.59207332</v>
      </c>
      <c r="X48" s="282">
        <f>'3x7'!S42</f>
        <v>-3277173895.3507667</v>
      </c>
      <c r="Y48" s="282">
        <f>'3x8'!S42</f>
        <v>-13623068185.164585</v>
      </c>
      <c r="Z48" s="282">
        <f>'3x9'!S42</f>
        <v>-48003533941.602921</v>
      </c>
      <c r="AA48" s="282">
        <f>'3x10'!S42</f>
        <v>-148420882960.4498</v>
      </c>
    </row>
    <row r="49" spans="1:27" x14ac:dyDescent="0.2">
      <c r="B49" s="355" t="s">
        <v>156</v>
      </c>
      <c r="C49" s="355"/>
      <c r="D49" s="355"/>
      <c r="E49" s="355"/>
      <c r="F49" s="355"/>
      <c r="G49" s="355"/>
      <c r="H49" s="355"/>
      <c r="I49" s="355"/>
      <c r="J49" s="355"/>
      <c r="L49" s="355" t="s">
        <v>167</v>
      </c>
      <c r="M49" s="355"/>
      <c r="N49" s="355"/>
      <c r="O49" s="355"/>
      <c r="P49" s="355"/>
      <c r="Q49" s="355"/>
      <c r="R49" s="355"/>
      <c r="S49" s="355"/>
      <c r="U49" s="355" t="s">
        <v>156</v>
      </c>
      <c r="V49" s="355"/>
      <c r="W49" s="355"/>
      <c r="X49" s="355"/>
      <c r="Y49" s="355"/>
      <c r="Z49" s="355"/>
      <c r="AA49" s="355"/>
    </row>
    <row r="50" spans="1:27" x14ac:dyDescent="0.2">
      <c r="A50" s="277" t="s">
        <v>57</v>
      </c>
      <c r="B50" s="278" t="s">
        <v>141</v>
      </c>
      <c r="C50" s="278" t="s">
        <v>142</v>
      </c>
      <c r="D50" s="278" t="s">
        <v>143</v>
      </c>
      <c r="E50" s="278" t="s">
        <v>144</v>
      </c>
      <c r="F50" s="278" t="s">
        <v>145</v>
      </c>
      <c r="G50" s="278" t="s">
        <v>146</v>
      </c>
      <c r="H50" s="278" t="s">
        <v>147</v>
      </c>
      <c r="I50" s="278" t="s">
        <v>148</v>
      </c>
      <c r="J50" s="278" t="s">
        <v>149</v>
      </c>
      <c r="K50" s="277" t="s">
        <v>57</v>
      </c>
      <c r="L50" s="278" t="s">
        <v>158</v>
      </c>
      <c r="M50" s="278" t="s">
        <v>159</v>
      </c>
      <c r="N50" s="278" t="s">
        <v>160</v>
      </c>
      <c r="O50" s="278" t="s">
        <v>161</v>
      </c>
      <c r="P50" s="278" t="s">
        <v>162</v>
      </c>
      <c r="Q50" s="278" t="s">
        <v>163</v>
      </c>
      <c r="R50" s="278" t="s">
        <v>164</v>
      </c>
      <c r="S50" s="278" t="s">
        <v>165</v>
      </c>
      <c r="T50" s="277" t="s">
        <v>57</v>
      </c>
      <c r="U50" s="278" t="s">
        <v>169</v>
      </c>
      <c r="V50" s="278" t="s">
        <v>170</v>
      </c>
      <c r="W50" s="278" t="s">
        <v>171</v>
      </c>
      <c r="X50" s="278" t="s">
        <v>172</v>
      </c>
      <c r="Y50" s="278" t="s">
        <v>173</v>
      </c>
      <c r="Z50" s="278" t="s">
        <v>174</v>
      </c>
      <c r="AA50" s="278" t="s">
        <v>175</v>
      </c>
    </row>
    <row r="51" spans="1:27" x14ac:dyDescent="0.2">
      <c r="A51" s="277">
        <v>1</v>
      </c>
      <c r="B51" s="1">
        <f>'1x2'!S45</f>
        <v>-135.48273602052737</v>
      </c>
      <c r="C51" s="1">
        <f>'1x3'!S45</f>
        <v>76.15772018181427</v>
      </c>
      <c r="D51" s="1">
        <f>'1x4'!S45</f>
        <v>76.813491867394845</v>
      </c>
      <c r="E51" s="1">
        <f>'1x5'!S45</f>
        <v>94.760689648460783</v>
      </c>
      <c r="F51" s="1">
        <f>'1x6'!S45</f>
        <v>120.50730115270072</v>
      </c>
      <c r="G51" s="1">
        <f>'1x7'!S45</f>
        <v>152.55994945022891</v>
      </c>
      <c r="H51" s="1">
        <f>'1x8'!S45</f>
        <v>190.49219037799236</v>
      </c>
      <c r="I51" s="1">
        <f>'1x9'!S45</f>
        <v>234.117655396218</v>
      </c>
      <c r="J51" s="1">
        <f>'1x10'!S45</f>
        <v>283.31520886919731</v>
      </c>
      <c r="K51" s="277">
        <v>1</v>
      </c>
      <c r="L51" s="1">
        <f>'2x3'!S45</f>
        <v>-15.369361266736405</v>
      </c>
      <c r="M51" s="1">
        <f>'2x4'!S45</f>
        <v>-28.947182054291083</v>
      </c>
      <c r="N51" s="1">
        <f>'2x5'!S45</f>
        <v>-46.885368460061613</v>
      </c>
      <c r="O51" s="1">
        <f>'2x6'!S45</f>
        <v>-68.827750961177685</v>
      </c>
      <c r="P51" s="1">
        <f>'2x7'!S45</f>
        <v>-94.467513920387347</v>
      </c>
      <c r="Q51" s="1">
        <f>'2x8'!S45</f>
        <v>-123.60939659487053</v>
      </c>
      <c r="R51" s="1">
        <f>'2x9'!S45</f>
        <v>-156.15648425852223</v>
      </c>
      <c r="S51" s="1">
        <f>'2x10'!S45</f>
        <v>-192.07695755615075</v>
      </c>
      <c r="T51" s="277">
        <v>1</v>
      </c>
      <c r="U51" s="282">
        <f>'3x4'!S45</f>
        <v>-16.241756517885403</v>
      </c>
      <c r="V51" s="282">
        <f>'3x5'!S45</f>
        <v>-25.102232016163693</v>
      </c>
      <c r="W51" s="282">
        <f>'3x6'!S45</f>
        <v>-35.781643599280223</v>
      </c>
      <c r="X51" s="282">
        <f>'3x7'!S45</f>
        <v>-48.227711411411846</v>
      </c>
      <c r="Y51" s="282">
        <f>'3x8'!S45</f>
        <v>-62.410698065521331</v>
      </c>
      <c r="Z51" s="282">
        <f>'3x9'!S45</f>
        <v>-78.317332373712148</v>
      </c>
      <c r="AA51" s="282">
        <f>'3x10'!S21</f>
        <v>-95.944405205918343</v>
      </c>
    </row>
    <row r="52" spans="1:27" x14ac:dyDescent="0.2">
      <c r="A52">
        <v>2</v>
      </c>
      <c r="B52" s="1">
        <f>'1x2'!S46</f>
        <v>52.701578574140534</v>
      </c>
      <c r="C52" s="1">
        <f>'1x3'!S46</f>
        <v>103.35117738158024</v>
      </c>
      <c r="D52" s="1">
        <f>'1x4'!S46</f>
        <v>192.59759652129387</v>
      </c>
      <c r="E52" s="1">
        <f>'1x5'!S46</f>
        <v>329.19551584160473</v>
      </c>
      <c r="F52" s="1">
        <f>'1x6'!S46</f>
        <v>523.64162005884475</v>
      </c>
      <c r="G52" s="1">
        <f>'1x7'!S46</f>
        <v>786.76401287926467</v>
      </c>
      <c r="H52" s="1">
        <f>'1x8'!S46</f>
        <v>1129.4229245829031</v>
      </c>
      <c r="I52" s="1">
        <f>'1x9'!S46</f>
        <v>1562.3993697729713</v>
      </c>
      <c r="J52" s="1">
        <f>'1x10'!S46</f>
        <v>2096.3612639666439</v>
      </c>
      <c r="K52">
        <v>2</v>
      </c>
      <c r="L52" s="1">
        <f>'2x3'!S46</f>
        <v>-198.6946134428338</v>
      </c>
      <c r="M52" s="1">
        <f>'2x4'!S46</f>
        <v>-597.51819830236025</v>
      </c>
      <c r="N52" s="1">
        <f>'2x5'!S46</f>
        <v>-1420.9692772960263</v>
      </c>
      <c r="O52" s="1">
        <f>'2x6'!S46</f>
        <v>-2841.2308768812436</v>
      </c>
      <c r="P52" s="1">
        <f>'2x7'!S46</f>
        <v>-4979.9574810042041</v>
      </c>
      <c r="Q52" s="1">
        <f>'2x8'!S46</f>
        <v>-7904.0741238973333</v>
      </c>
      <c r="R52" s="1">
        <f>'2x9'!S46</f>
        <v>-11652.965969515386</v>
      </c>
      <c r="S52" s="1">
        <f>'2x10'!S46</f>
        <v>-16266.182586668832</v>
      </c>
      <c r="T52">
        <v>2</v>
      </c>
      <c r="U52" s="282">
        <f>'3x4'!S46</f>
        <v>-176.12092382124229</v>
      </c>
      <c r="V52" s="282">
        <f>'3x5'!S46</f>
        <v>-336.22623688231403</v>
      </c>
      <c r="W52" s="282">
        <f>'3x6'!S46</f>
        <v>-569.26161607067934</v>
      </c>
      <c r="X52" s="282">
        <f>'3x7'!S46</f>
        <v>-886.8621834953268</v>
      </c>
      <c r="Y52" s="282">
        <f>'3x8'!S46</f>
        <v>-1300.5579128381441</v>
      </c>
      <c r="Z52" s="282">
        <f>'3x9'!S46</f>
        <v>-1822.0325501401246</v>
      </c>
      <c r="AA52" s="282">
        <f>'3x10'!S22</f>
        <v>-1334.2301825303509</v>
      </c>
    </row>
    <row r="53" spans="1:27" x14ac:dyDescent="0.2">
      <c r="A53">
        <v>3</v>
      </c>
      <c r="B53" s="1">
        <f>'1x2'!S47</f>
        <v>147.97143586801587</v>
      </c>
      <c r="C53" s="1">
        <f>'1x3'!S47</f>
        <v>461.14508511267582</v>
      </c>
      <c r="D53" s="1">
        <f>'1x4'!S47</f>
        <v>1167.8741455021195</v>
      </c>
      <c r="E53" s="1">
        <f>'1x5'!S47</f>
        <v>2517.1812725358795</v>
      </c>
      <c r="F53" s="1">
        <f>'1x6'!S47</f>
        <v>4825.3526193734788</v>
      </c>
      <c r="G53" s="1">
        <f>'1x7'!S47</f>
        <v>8475.248513412138</v>
      </c>
      <c r="H53" s="1">
        <f>'1x8'!S47</f>
        <v>13915.602358108717</v>
      </c>
      <c r="I53" s="1">
        <f>'1x9'!S47</f>
        <v>21660.154685338945</v>
      </c>
      <c r="J53" s="1">
        <f>'1x10'!S47</f>
        <v>32286.882201237928</v>
      </c>
      <c r="K53">
        <v>3</v>
      </c>
      <c r="L53" s="1">
        <f>'2x3'!S47</f>
        <v>-1696.7480401952987</v>
      </c>
      <c r="M53" s="1">
        <f>'2x4'!S47</f>
        <v>-8980.293898991491</v>
      </c>
      <c r="N53" s="1">
        <f>'2x5'!S47</f>
        <v>-41473.928158068724</v>
      </c>
      <c r="O53" s="1">
        <f>'2x6'!S47</f>
        <v>-208208.17049251223</v>
      </c>
      <c r="P53" s="1">
        <f>'2x7'!S47</f>
        <v>-4402751.8763083536</v>
      </c>
      <c r="Q53" s="1">
        <f>'2x8'!S47</f>
        <v>1337826.055010624</v>
      </c>
      <c r="R53" s="1">
        <f>'2x9'!S47</f>
        <v>1227467.4663006184</v>
      </c>
      <c r="S53" s="1">
        <f>'2x10'!S47</f>
        <v>1471872.0170016163</v>
      </c>
      <c r="T53">
        <v>3</v>
      </c>
      <c r="U53" s="282">
        <f>'3x4'!S47</f>
        <v>-1492.8679176556659</v>
      </c>
      <c r="V53" s="282">
        <f>'3x5'!S47</f>
        <v>-3554.1787563804119</v>
      </c>
      <c r="W53" s="282">
        <f>'3x6'!S47</f>
        <v>-7213.4259401802965</v>
      </c>
      <c r="X53" s="282">
        <f>'3x7'!S47</f>
        <v>-13101.038693003633</v>
      </c>
      <c r="Y53" s="282">
        <f>'3x8'!S47</f>
        <v>-21941.633671902371</v>
      </c>
      <c r="Z53" s="282">
        <f>'3x9'!S47</f>
        <v>-34558.52537682683</v>
      </c>
      <c r="AA53" s="282">
        <f>'3x10'!S23</f>
        <v>-14277.306738986314</v>
      </c>
    </row>
    <row r="54" spans="1:27" x14ac:dyDescent="0.2">
      <c r="A54">
        <v>4</v>
      </c>
      <c r="B54" s="1">
        <f>'1x2'!S48</f>
        <v>500.1732190807287</v>
      </c>
      <c r="C54" s="1">
        <f>'1x3'!S48</f>
        <v>2385.8807561907674</v>
      </c>
      <c r="D54" s="1">
        <f>'1x4'!S48</f>
        <v>8153.5641886216417</v>
      </c>
      <c r="E54" s="1">
        <f>'1x5'!S48</f>
        <v>22124.487271145259</v>
      </c>
      <c r="F54" s="1">
        <f>'1x6'!S48</f>
        <v>51108.540216468144</v>
      </c>
      <c r="G54" s="1">
        <f>'1x7'!S48</f>
        <v>104986.92361792618</v>
      </c>
      <c r="H54" s="1">
        <f>'1x8'!S48</f>
        <v>197289.71822633001</v>
      </c>
      <c r="I54" s="1">
        <f>'1x9'!S48</f>
        <v>345766.12918089918</v>
      </c>
      <c r="J54" s="1">
        <f>'1x10'!S48</f>
        <v>572949.0918701716</v>
      </c>
      <c r="K54">
        <v>4</v>
      </c>
      <c r="L54" s="1">
        <f>'2x3'!S48</f>
        <v>-12055.041429109177</v>
      </c>
      <c r="M54" s="1">
        <f>'2x4'!S48</f>
        <v>-113761.49148499577</v>
      </c>
      <c r="N54" s="1">
        <f>'2x5'!S48</f>
        <v>-2951055.5400991146</v>
      </c>
      <c r="O54" s="1">
        <f>'2x6'!S48</f>
        <v>1826746.11108479</v>
      </c>
      <c r="P54" s="1">
        <f>'2x7'!S48</f>
        <v>2172632.4172179261</v>
      </c>
      <c r="Q54" s="1">
        <f>'2x8'!S48</f>
        <v>3276759.9579375582</v>
      </c>
      <c r="R54" s="1">
        <f>'2x9'!S48</f>
        <v>5143482.0487412112</v>
      </c>
      <c r="S54" s="1">
        <f>'2x10'!S48</f>
        <v>8025788.0672990717</v>
      </c>
      <c r="T54">
        <v>4</v>
      </c>
      <c r="U54" s="282">
        <f>'3x4'!S48</f>
        <v>-12081.083276557458</v>
      </c>
      <c r="V54" s="282">
        <f>'3x5'!S48</f>
        <v>-35955.723066919243</v>
      </c>
      <c r="W54" s="282">
        <f>'3x6'!S48</f>
        <v>-87607.696792067349</v>
      </c>
      <c r="X54" s="282">
        <f>'3x7'!S48</f>
        <v>-185703.98271212625</v>
      </c>
      <c r="Y54" s="282">
        <f>'3x8'!S48</f>
        <v>-355541.82506418455</v>
      </c>
      <c r="Z54" s="282">
        <f>'3x9'!S48</f>
        <v>-630083.45851015276</v>
      </c>
      <c r="AA54" s="282">
        <f>'3x10'!S24</f>
        <v>-144984.98660983535</v>
      </c>
    </row>
    <row r="55" spans="1:27" x14ac:dyDescent="0.2">
      <c r="A55">
        <v>5</v>
      </c>
      <c r="B55" s="1">
        <f>'1x2'!S49</f>
        <v>1805.319553837362</v>
      </c>
      <c r="C55" s="1">
        <f>'1x3'!S49</f>
        <v>13097.740555752074</v>
      </c>
      <c r="D55" s="1">
        <f>'1x4'!S49</f>
        <v>60285.614710651753</v>
      </c>
      <c r="E55" s="1">
        <f>'1x5'!S49</f>
        <v>205728.05371856189</v>
      </c>
      <c r="F55" s="1">
        <f>'1x6'!S49</f>
        <v>572330.84516190435</v>
      </c>
      <c r="G55" s="1">
        <f>'1x7'!S49</f>
        <v>1374509.3038569493</v>
      </c>
      <c r="H55" s="1">
        <f>'1x8'!S49</f>
        <v>2955612.2628617152</v>
      </c>
      <c r="I55" s="1">
        <f>'1x9'!S49</f>
        <v>5831729.3223089483</v>
      </c>
      <c r="J55" s="1">
        <f>'1x10'!S49</f>
        <v>10741831.165443715</v>
      </c>
      <c r="K55">
        <v>5</v>
      </c>
      <c r="L55" s="1">
        <f>'2x3'!S49</f>
        <v>-78237.567145369714</v>
      </c>
      <c r="M55" s="1">
        <f>'2x4'!S49</f>
        <v>-1244650.2142084476</v>
      </c>
      <c r="N55" s="1">
        <f>'2x5'!S49</f>
        <v>14939572.97577638</v>
      </c>
      <c r="O55" s="1">
        <f>'2x6'!S49</f>
        <v>11744177.179178583</v>
      </c>
      <c r="P55" s="1">
        <f>'2x7'!S49</f>
        <v>19926989.384600341</v>
      </c>
      <c r="Q55" s="1">
        <f>'2x8'!S49</f>
        <v>36547149.153289281</v>
      </c>
      <c r="R55" s="1">
        <f>'2x9'!S49</f>
        <v>66334380.951066285</v>
      </c>
      <c r="S55" s="1">
        <f>'2x10'!S49</f>
        <v>116628480.73683539</v>
      </c>
      <c r="T55">
        <v>5</v>
      </c>
      <c r="U55" s="282">
        <f>'3x4'!S49</f>
        <v>-96876.591823451497</v>
      </c>
      <c r="V55" s="282">
        <f>'3x5'!S49</f>
        <v>-360491.23740721779</v>
      </c>
      <c r="W55" s="282">
        <f>'3x6'!S49</f>
        <v>-1054331.9167026703</v>
      </c>
      <c r="X55" s="282">
        <f>'3x7'!S49</f>
        <v>-2607966.6809381228</v>
      </c>
      <c r="Y55" s="282">
        <f>'3x8'!S49</f>
        <v>-5707300.6136881625</v>
      </c>
      <c r="Z55" s="282">
        <f>'3x9'!S49</f>
        <v>-11379774.620886778</v>
      </c>
      <c r="AA55" s="282">
        <f>'3x10'!S25</f>
        <v>-1455309.07356087</v>
      </c>
    </row>
    <row r="56" spans="1:27" x14ac:dyDescent="0.2">
      <c r="A56">
        <v>6</v>
      </c>
      <c r="B56" s="1">
        <f>'1x2'!S50</f>
        <v>6738.1882409639666</v>
      </c>
      <c r="C56" s="1">
        <f>'1x3'!S50</f>
        <v>74135.711081341229</v>
      </c>
      <c r="D56" s="1">
        <f>'1x4'!S50</f>
        <v>458886.96816557</v>
      </c>
      <c r="E56" s="1">
        <f>'1x5'!S50</f>
        <v>1967457.1516563781</v>
      </c>
      <c r="F56" s="1">
        <f>'1x6'!S50</f>
        <v>6587393.7875223439</v>
      </c>
      <c r="G56" s="1">
        <f>'1x7'!S50</f>
        <v>18488416.342482697</v>
      </c>
      <c r="H56" s="1">
        <f>'1x8'!S50</f>
        <v>45480402.99147775</v>
      </c>
      <c r="I56" s="1">
        <f>'1x9'!S50</f>
        <v>101014173.64442478</v>
      </c>
      <c r="J56" s="1">
        <f>'1x10'!S50</f>
        <v>206810441.12498981</v>
      </c>
      <c r="K56">
        <v>6</v>
      </c>
      <c r="L56" s="1">
        <f>'2x3'!S50</f>
        <v>-486373.94520808203</v>
      </c>
      <c r="M56" s="1">
        <f>'2x4'!S50</f>
        <v>-12065497.36997987</v>
      </c>
      <c r="N56" s="1">
        <f>'2x5'!S50</f>
        <v>85124530.510057658</v>
      </c>
      <c r="O56" s="1">
        <f>'2x6'!S50</f>
        <v>113695788.39846416</v>
      </c>
      <c r="P56" s="1">
        <f>'2x7'!S50</f>
        <v>236243672.59166309</v>
      </c>
      <c r="Q56" s="1">
        <f>'2x8'!S50</f>
        <v>503922236.26024067</v>
      </c>
      <c r="R56" s="1">
        <f>'2x9'!S50</f>
        <v>1037393834.2744733</v>
      </c>
      <c r="S56" s="1">
        <f>'2x10'!S50</f>
        <v>2035246764.9992039</v>
      </c>
      <c r="T56">
        <v>6</v>
      </c>
      <c r="U56" s="282">
        <f>'3x4'!S50</f>
        <v>-775400.02542975615</v>
      </c>
      <c r="V56" s="282">
        <f>'3x5'!S50</f>
        <v>-3607121.8107937807</v>
      </c>
      <c r="W56" s="282">
        <f>'3x6'!S50</f>
        <v>-12661173.387048461</v>
      </c>
      <c r="X56" s="282">
        <f>'3x7'!S50</f>
        <v>-36541142.377736703</v>
      </c>
      <c r="Y56" s="282">
        <f>'3x8'!S50</f>
        <v>-91396045.51477921</v>
      </c>
      <c r="Z56" s="282">
        <f>'3x9'!S50</f>
        <v>-205021101.11384869</v>
      </c>
      <c r="AA56" s="282">
        <f>'3x10'!S26</f>
        <v>-14567163.967048878</v>
      </c>
    </row>
    <row r="57" spans="1:27" x14ac:dyDescent="0.2">
      <c r="A57">
        <v>7</v>
      </c>
      <c r="B57" s="1">
        <f>'1x2'!S51</f>
        <v>25650.540990605401</v>
      </c>
      <c r="C57" s="1">
        <f>'1x3'!S51</f>
        <v>427110.72633342084</v>
      </c>
      <c r="D57" s="1">
        <f>'1x4'!S51</f>
        <v>3551134.2253744556</v>
      </c>
      <c r="E57" s="1">
        <f>'1x5'!S51</f>
        <v>19113477.335235942</v>
      </c>
      <c r="F57" s="1">
        <f>'1x6'!S51</f>
        <v>76980381.583653539</v>
      </c>
      <c r="G57" s="1">
        <f>'1x7'!S51</f>
        <v>252414091.5585891</v>
      </c>
      <c r="H57" s="1">
        <f>'1x8'!S51</f>
        <v>710196982.83666909</v>
      </c>
      <c r="I57" s="1">
        <f>'1x9'!S51</f>
        <v>1775391223.9553609</v>
      </c>
      <c r="J57" s="1">
        <f>'1x10'!S51</f>
        <v>4039827138.0354576</v>
      </c>
      <c r="K57">
        <v>7</v>
      </c>
      <c r="L57" s="1">
        <f>'2x3'!S51</f>
        <v>-2964637.4873326048</v>
      </c>
      <c r="M57" s="1">
        <f>'2x4'!S51</f>
        <v>-107477648.39760499</v>
      </c>
      <c r="N57" s="1">
        <f>'2x5'!S51</f>
        <v>698542843.87863314</v>
      </c>
      <c r="O57" s="1">
        <f>'2x6'!S51</f>
        <v>1238958648.3066823</v>
      </c>
      <c r="P57" s="1">
        <f>'2x7'!S51</f>
        <v>3057804483.2673254</v>
      </c>
      <c r="Q57" s="1">
        <f>'2x8'!S51</f>
        <v>7504319341.6100464</v>
      </c>
      <c r="R57" s="1">
        <f>'2x9'!S51</f>
        <v>17434535365.282787</v>
      </c>
      <c r="S57" s="1">
        <f>'2x10'!S51</f>
        <v>38067697301.458229</v>
      </c>
      <c r="T57">
        <v>7</v>
      </c>
      <c r="U57" s="282">
        <f>'3x4'!S51</f>
        <v>-6203879.9877090501</v>
      </c>
      <c r="V57" s="282">
        <f>'3x5'!S51</f>
        <v>-36076607.862424947</v>
      </c>
      <c r="W57" s="282">
        <f>'3x6'!S51</f>
        <v>-151962413.9429664</v>
      </c>
      <c r="X57" s="282">
        <f>'3x7'!S51</f>
        <v>-511685342.67485315</v>
      </c>
      <c r="Y57" s="282">
        <f>'3x8'!S51</f>
        <v>-1462676027.0875404</v>
      </c>
      <c r="Z57" s="282">
        <f>'3x9'!S51</f>
        <v>-3691279167.3962026</v>
      </c>
      <c r="AA57" s="282">
        <f>'3x10'!S27</f>
        <v>-145708895.71263072</v>
      </c>
    </row>
    <row r="58" spans="1:27" x14ac:dyDescent="0.2">
      <c r="A58">
        <v>8</v>
      </c>
      <c r="B58" s="1">
        <f>'1x2'!S52</f>
        <v>98874.344262915663</v>
      </c>
      <c r="C58" s="1">
        <f>'1x3'!S52</f>
        <v>2488014.8186953459</v>
      </c>
      <c r="D58" s="1">
        <f>'1x4'!S52</f>
        <v>27760979.905081891</v>
      </c>
      <c r="E58" s="1">
        <f>'1x5'!S52</f>
        <v>187457410.32371524</v>
      </c>
      <c r="F58" s="1">
        <f>'1x6'!S52</f>
        <v>907810046.5792532</v>
      </c>
      <c r="G58" s="1">
        <f>'1x7'!S52</f>
        <v>3476678075.858386</v>
      </c>
      <c r="H58" s="1">
        <f>'1x8'!S52</f>
        <v>11186714466.493715</v>
      </c>
      <c r="I58" s="1">
        <f>'1x9'!S52</f>
        <v>31472710697.887882</v>
      </c>
      <c r="J58" s="1">
        <f>'1x10'!S52</f>
        <v>79589699304.736191</v>
      </c>
      <c r="K58">
        <v>8</v>
      </c>
      <c r="L58" s="1">
        <f>'2x3'!S52</f>
        <v>-17912064.377513494</v>
      </c>
      <c r="M58" s="1">
        <f>'2x4'!S52</f>
        <v>-909795280.76868904</v>
      </c>
      <c r="N58" s="1">
        <f>'2x5'!S52</f>
        <v>6398252438.6714077</v>
      </c>
      <c r="O58" s="1">
        <f>'2x6'!S52</f>
        <v>14179680710.636824</v>
      </c>
      <c r="P58" s="1">
        <f>'2x7'!S52</f>
        <v>41140697653.549171</v>
      </c>
      <c r="Q58" s="1">
        <f>'2x8'!S52</f>
        <v>115716218125.01709</v>
      </c>
      <c r="R58" s="1">
        <f>'2x9'!S52</f>
        <v>302843639301.32855</v>
      </c>
      <c r="S58" s="1">
        <f>'2x10'!S52</f>
        <v>735223964647.61292</v>
      </c>
      <c r="T58">
        <v>8</v>
      </c>
      <c r="U58" s="282">
        <f>'3x4'!S52</f>
        <v>-49632265.764848769</v>
      </c>
      <c r="V58" s="282">
        <f>'3x5'!S52</f>
        <v>-360779448.26607156</v>
      </c>
      <c r="W58" s="282">
        <f>'3x6'!S52</f>
        <v>-1823637030.966692</v>
      </c>
      <c r="X58" s="282">
        <f>'3x7'!S52</f>
        <v>-7164000261.7637377</v>
      </c>
      <c r="Y58" s="282">
        <f>'3x8'!S52</f>
        <v>-23404272270.348885</v>
      </c>
      <c r="Z58" s="282">
        <f>'3x9'!S52</f>
        <v>-66447397495.55645</v>
      </c>
      <c r="AA58" s="282">
        <f>'3x10'!S28</f>
        <v>-1457188920.0612688</v>
      </c>
    </row>
    <row r="59" spans="1:27" x14ac:dyDescent="0.2">
      <c r="A59">
        <v>9</v>
      </c>
      <c r="B59" s="1">
        <f>'1x2'!S53</f>
        <v>384333.36685404362</v>
      </c>
      <c r="C59" s="1">
        <f>'1x3'!S53</f>
        <v>14599848.663794613</v>
      </c>
      <c r="D59" s="1">
        <f>'1x4'!S53</f>
        <v>218459636.67351383</v>
      </c>
      <c r="E59" s="1">
        <f>'1x5'!S53</f>
        <v>1849702499.7170734</v>
      </c>
      <c r="F59" s="1">
        <f>'1x6'!S53</f>
        <v>10767026320.423141</v>
      </c>
      <c r="G59" s="1">
        <f>'1x7'!S53</f>
        <v>48151370664.215698</v>
      </c>
      <c r="H59" s="1">
        <f>'1x8'!S53</f>
        <v>177159169127.80215</v>
      </c>
      <c r="I59" s="1">
        <f>'1x9'!S53</f>
        <v>560890369799.42151</v>
      </c>
      <c r="J59" s="1">
        <f>'1x10'!S53</f>
        <v>1576284348560.843</v>
      </c>
      <c r="K59">
        <v>9</v>
      </c>
      <c r="L59" s="1">
        <f>'2x3'!S53</f>
        <v>-107801812.49017718</v>
      </c>
      <c r="M59" s="1">
        <f>'2x4'!S53</f>
        <v>-7489619404.270463</v>
      </c>
      <c r="N59" s="1">
        <f>'2x5'!S53</f>
        <v>61335820661.991547</v>
      </c>
      <c r="O59" s="1">
        <f>'2x6'!S53</f>
        <v>166084064037.63583</v>
      </c>
      <c r="P59" s="1">
        <f>'2x7'!S53</f>
        <v>564100253632.30664</v>
      </c>
      <c r="Q59" s="1">
        <f>'2x8'!S53</f>
        <v>1815539943062.8823</v>
      </c>
      <c r="R59" s="1">
        <f>'2x9'!S53</f>
        <v>5348424289377.6865</v>
      </c>
      <c r="S59" s="1">
        <f>'2x10'!S53</f>
        <v>14431405980132.918</v>
      </c>
      <c r="T59">
        <v>9</v>
      </c>
      <c r="U59" s="282">
        <f>'3x4'!S53</f>
        <v>-397060380.69184279</v>
      </c>
      <c r="V59" s="282">
        <f>'3x5'!S53</f>
        <v>-3607827923.3397579</v>
      </c>
      <c r="W59" s="282">
        <f>'3x6'!S53</f>
        <v>-21883918957.256046</v>
      </c>
      <c r="X59" s="282">
        <f>'3x7'!S53</f>
        <v>-100297509081.0085</v>
      </c>
      <c r="Y59" s="282">
        <f>'3x8'!S53</f>
        <v>-374474606372.65881</v>
      </c>
      <c r="Z59" s="282">
        <f>'3x9'!S53</f>
        <v>-1196074417803.6902</v>
      </c>
      <c r="AA59" s="282">
        <f>'3x10'!S29</f>
        <v>-14572159084.426706</v>
      </c>
    </row>
    <row r="60" spans="1:27" x14ac:dyDescent="0.2">
      <c r="A60">
        <v>10</v>
      </c>
      <c r="B60" s="1">
        <f>'1x2'!S54</f>
        <v>1502711.4529517444</v>
      </c>
      <c r="C60" s="1">
        <f>'1x3'!S54</f>
        <v>86110434.463160872</v>
      </c>
      <c r="D60" s="1">
        <f>'1x4'!S54</f>
        <v>1726853216.4390836</v>
      </c>
      <c r="E60" s="1">
        <f>'1x5'!S54</f>
        <v>18325198946.835377</v>
      </c>
      <c r="F60" s="1">
        <f>'1x6'!S54</f>
        <v>128178797232.84094</v>
      </c>
      <c r="G60" s="1">
        <f>'1x7'!S54</f>
        <v>669260024601.9801</v>
      </c>
      <c r="H60" s="1">
        <f>'1x8'!S54</f>
        <v>2815271981616.1963</v>
      </c>
      <c r="I60" s="1">
        <f>'1x9'!S54</f>
        <v>10029741935536.715</v>
      </c>
      <c r="J60" s="1">
        <f>'1x10'!S54</f>
        <v>31323022963967.281</v>
      </c>
      <c r="K60">
        <v>10</v>
      </c>
      <c r="L60" s="1">
        <f>'2x3'!S54</f>
        <v>-647680522.68178725</v>
      </c>
      <c r="M60" s="1">
        <f>'2x4'!S54</f>
        <v>-60774102306.045166</v>
      </c>
      <c r="N60" s="1">
        <f>'2x5'!S54</f>
        <v>600581981838.03796</v>
      </c>
      <c r="O60" s="1">
        <f>'2x6'!S54</f>
        <v>1967994247821.3459</v>
      </c>
      <c r="P60" s="1">
        <f>'2x7'!S54</f>
        <v>7810300285709.8623</v>
      </c>
      <c r="Q60" s="1">
        <f>'2x8'!S54</f>
        <v>28743517969071.988</v>
      </c>
      <c r="R60" s="1">
        <f>'2x9'!S54</f>
        <v>95282405742539.234</v>
      </c>
      <c r="S60" s="1">
        <f>'2x10'!S54</f>
        <v>285694780381598.69</v>
      </c>
      <c r="T60">
        <v>10</v>
      </c>
      <c r="U60" s="282">
        <f>'3x4'!S54</f>
        <v>-3176487247.227581</v>
      </c>
      <c r="V60" s="282">
        <f>'3x5'!S54</f>
        <v>-36078363204.417473</v>
      </c>
      <c r="W60" s="282">
        <f>'3x6'!S54</f>
        <v>-262607884678.73016</v>
      </c>
      <c r="X60" s="282">
        <f>'3x7'!S54</f>
        <v>-1404170718778.541</v>
      </c>
      <c r="Y60" s="282">
        <f>'3x8'!S54</f>
        <v>-5991620537987.2168</v>
      </c>
      <c r="Z60" s="282">
        <f>'3x9'!S54</f>
        <v>-21529442924162.086</v>
      </c>
      <c r="AA60" s="282">
        <f>'3x10'!S30</f>
        <v>-145722321473.93634</v>
      </c>
    </row>
    <row r="61" spans="1:27" x14ac:dyDescent="0.2">
      <c r="B61" s="355" t="s">
        <v>157</v>
      </c>
      <c r="C61" s="355"/>
      <c r="D61" s="355"/>
      <c r="E61" s="355"/>
      <c r="F61" s="355"/>
      <c r="G61" s="355"/>
      <c r="H61" s="355"/>
      <c r="I61" s="355"/>
      <c r="J61" s="355"/>
      <c r="L61" s="355" t="s">
        <v>157</v>
      </c>
      <c r="M61" s="355"/>
      <c r="N61" s="355"/>
      <c r="O61" s="355"/>
      <c r="P61" s="355"/>
      <c r="Q61" s="355"/>
      <c r="R61" s="355"/>
      <c r="S61" s="355"/>
      <c r="U61" s="355" t="s">
        <v>176</v>
      </c>
      <c r="V61" s="355"/>
      <c r="W61" s="355"/>
      <c r="X61" s="355"/>
      <c r="Y61" s="355"/>
      <c r="Z61" s="355"/>
      <c r="AA61" s="355"/>
    </row>
    <row r="62" spans="1:27" x14ac:dyDescent="0.2">
      <c r="A62" s="277" t="s">
        <v>57</v>
      </c>
      <c r="B62" s="278" t="s">
        <v>141</v>
      </c>
      <c r="C62" s="278" t="s">
        <v>142</v>
      </c>
      <c r="D62" s="278" t="s">
        <v>143</v>
      </c>
      <c r="E62" s="278" t="s">
        <v>144</v>
      </c>
      <c r="F62" s="278" t="s">
        <v>145</v>
      </c>
      <c r="G62" s="278" t="s">
        <v>146</v>
      </c>
      <c r="H62" s="278" t="s">
        <v>147</v>
      </c>
      <c r="I62" s="278" t="s">
        <v>148</v>
      </c>
      <c r="J62" s="278" t="s">
        <v>149</v>
      </c>
      <c r="K62" s="277" t="s">
        <v>57</v>
      </c>
      <c r="L62" s="278" t="s">
        <v>158</v>
      </c>
      <c r="M62" s="278" t="s">
        <v>159</v>
      </c>
      <c r="N62" s="278" t="s">
        <v>160</v>
      </c>
      <c r="O62" s="278" t="s">
        <v>161</v>
      </c>
      <c r="P62" s="278" t="s">
        <v>162</v>
      </c>
      <c r="Q62" s="278" t="s">
        <v>163</v>
      </c>
      <c r="R62" s="278" t="s">
        <v>164</v>
      </c>
      <c r="S62" s="278" t="s">
        <v>165</v>
      </c>
      <c r="T62" s="277" t="s">
        <v>57</v>
      </c>
      <c r="U62" s="278" t="s">
        <v>169</v>
      </c>
      <c r="V62" s="278" t="s">
        <v>170</v>
      </c>
      <c r="W62" s="278" t="s">
        <v>171</v>
      </c>
      <c r="X62" s="278" t="s">
        <v>172</v>
      </c>
      <c r="Y62" s="278" t="s">
        <v>173</v>
      </c>
      <c r="Z62" s="278" t="s">
        <v>174</v>
      </c>
      <c r="AA62" s="278" t="s">
        <v>175</v>
      </c>
    </row>
    <row r="63" spans="1:27" x14ac:dyDescent="0.2">
      <c r="A63" s="277">
        <v>1</v>
      </c>
      <c r="B63" s="1">
        <f t="shared" ref="B63:J63" si="0">B3/B27</f>
        <v>2.6992534206719755E-4</v>
      </c>
      <c r="C63" s="1">
        <f t="shared" si="0"/>
        <v>2.006535823781362E-3</v>
      </c>
      <c r="D63" s="1">
        <f t="shared" si="0"/>
        <v>4.7203889781954203E-3</v>
      </c>
      <c r="E63" s="180">
        <f t="shared" si="0"/>
        <v>6.0889699433687335E-3</v>
      </c>
      <c r="F63" s="180">
        <f t="shared" si="0"/>
        <v>6.5542124403615886E-3</v>
      </c>
      <c r="G63" s="1">
        <f t="shared" si="0"/>
        <v>6.5475572777139871E-3</v>
      </c>
      <c r="H63" s="1">
        <f t="shared" si="0"/>
        <v>6.3195004749005924E-3</v>
      </c>
      <c r="I63" s="1">
        <f t="shared" si="0"/>
        <v>6.0013145246795617E-3</v>
      </c>
      <c r="J63" s="1">
        <f t="shared" si="0"/>
        <v>5.6586544409754289E-3</v>
      </c>
      <c r="K63" s="277">
        <v>1</v>
      </c>
      <c r="L63" s="1">
        <f t="shared" ref="L63:S72" si="1">L3/L27</f>
        <v>9.4176363323128925E-2</v>
      </c>
      <c r="M63" s="1">
        <f t="shared" si="1"/>
        <v>6.1158987467340969E-2</v>
      </c>
      <c r="N63" s="1">
        <f t="shared" si="1"/>
        <v>4.5044342362177352E-2</v>
      </c>
      <c r="O63" s="1">
        <f t="shared" si="1"/>
        <v>3.600226929817494E-2</v>
      </c>
      <c r="P63" s="1">
        <f t="shared" si="1"/>
        <v>3.0350947561127373E-2</v>
      </c>
      <c r="Q63" s="1">
        <f t="shared" si="1"/>
        <v>2.6500627378054843E-2</v>
      </c>
      <c r="R63" s="1">
        <f t="shared" si="1"/>
        <v>2.3689581610514203E-2</v>
      </c>
      <c r="S63" s="1">
        <f t="shared" si="1"/>
        <v>2.1522449922741809E-2</v>
      </c>
      <c r="T63" s="277">
        <v>1</v>
      </c>
      <c r="U63" s="1">
        <f t="shared" ref="U63:AA72" si="2">U3/U27</f>
        <v>0.37570958593274117</v>
      </c>
      <c r="V63" s="1">
        <f t="shared" si="2"/>
        <v>0.30919303173568469</v>
      </c>
      <c r="W63" s="1">
        <f t="shared" si="2"/>
        <v>0.26433079253163877</v>
      </c>
      <c r="X63" s="1">
        <f t="shared" si="2"/>
        <v>0.23187615463944</v>
      </c>
      <c r="Y63" s="1">
        <f t="shared" si="2"/>
        <v>0.20713833598362327</v>
      </c>
      <c r="Z63" s="1">
        <f t="shared" si="2"/>
        <v>0.18752684604684014</v>
      </c>
      <c r="AA63" s="1">
        <f t="shared" si="2"/>
        <v>0.17150901648076899</v>
      </c>
    </row>
    <row r="64" spans="1:27" x14ac:dyDescent="0.2">
      <c r="A64">
        <v>2</v>
      </c>
      <c r="B64" s="1">
        <f t="shared" ref="B64:J64" si="3">B4/B28</f>
        <v>-2.2365404666887492E-3</v>
      </c>
      <c r="C64" s="1">
        <f t="shared" si="3"/>
        <v>4.789266368285635E-3</v>
      </c>
      <c r="D64" s="1">
        <f t="shared" si="3"/>
        <v>6.1399326047968947E-3</v>
      </c>
      <c r="E64" s="180">
        <f t="shared" si="3"/>
        <v>5.7627776293295288E-3</v>
      </c>
      <c r="F64" s="180">
        <f t="shared" si="3"/>
        <v>5.0008467905404089E-3</v>
      </c>
      <c r="G64" s="1">
        <f t="shared" si="3"/>
        <v>4.243379163479207E-3</v>
      </c>
      <c r="H64" s="1">
        <f t="shared" si="3"/>
        <v>3.5889956802811524E-3</v>
      </c>
      <c r="I64" s="1">
        <f t="shared" si="3"/>
        <v>3.048508789178016E-3</v>
      </c>
      <c r="J64" s="1">
        <f t="shared" si="3"/>
        <v>2.6081910969867473E-3</v>
      </c>
      <c r="K64">
        <v>2</v>
      </c>
      <c r="L64" s="1">
        <f t="shared" si="1"/>
        <v>2.611548324845513E-2</v>
      </c>
      <c r="M64" s="1">
        <f t="shared" si="1"/>
        <v>1.0894851099212895E-2</v>
      </c>
      <c r="N64" s="1">
        <f t="shared" si="1"/>
        <v>5.5667063764677999E-3</v>
      </c>
      <c r="O64" s="1">
        <f t="shared" si="1"/>
        <v>3.3135035432120853E-3</v>
      </c>
      <c r="P64" s="1">
        <f t="shared" si="1"/>
        <v>2.2126606526300463E-3</v>
      </c>
      <c r="Q64" s="1">
        <f t="shared" si="1"/>
        <v>1.6078797450646504E-3</v>
      </c>
      <c r="R64" s="1">
        <f t="shared" si="1"/>
        <v>1.241444532143448E-3</v>
      </c>
      <c r="S64" s="1">
        <f t="shared" si="1"/>
        <v>1.0006001948150165E-3</v>
      </c>
      <c r="T64">
        <v>2</v>
      </c>
      <c r="U64" s="1">
        <f t="shared" si="2"/>
        <v>0.16553898474235346</v>
      </c>
      <c r="V64" s="1">
        <f t="shared" si="2"/>
        <v>8.6581523318834799E-2</v>
      </c>
      <c r="W64" s="1">
        <f t="shared" si="2"/>
        <v>6.3357521508931119E-2</v>
      </c>
      <c r="X64" s="1">
        <f t="shared" si="2"/>
        <v>4.8706485272997188E-2</v>
      </c>
      <c r="Y64" s="1">
        <f t="shared" si="2"/>
        <v>3.8793154778260522E-2</v>
      </c>
      <c r="Z64" s="1">
        <f t="shared" si="2"/>
        <v>3.1724787781010795E-2</v>
      </c>
      <c r="AA64" s="1">
        <f t="shared" si="2"/>
        <v>2.6479248004248553E-2</v>
      </c>
    </row>
    <row r="65" spans="1:27" x14ac:dyDescent="0.2">
      <c r="A65">
        <v>3</v>
      </c>
      <c r="B65" s="1">
        <f t="shared" ref="B65:J65" si="4">B5/B29</f>
        <v>-2.0758756226077874E-3</v>
      </c>
      <c r="C65" s="1">
        <f t="shared" si="4"/>
        <v>2.8447203352907698E-3</v>
      </c>
      <c r="D65" s="1">
        <f t="shared" si="4"/>
        <v>2.7026049047062756E-3</v>
      </c>
      <c r="E65" s="180">
        <f t="shared" si="4"/>
        <v>2.020775429687198E-3</v>
      </c>
      <c r="F65" s="180">
        <f t="shared" si="4"/>
        <v>1.4605141118127179E-3</v>
      </c>
      <c r="G65" s="1">
        <f t="shared" si="4"/>
        <v>1.063565894654948E-3</v>
      </c>
      <c r="H65" s="1">
        <f t="shared" si="4"/>
        <v>7.8871707164245388E-4</v>
      </c>
      <c r="I65" s="1">
        <f t="shared" si="4"/>
        <v>5.9687900980861098E-4</v>
      </c>
      <c r="J65" s="1">
        <f t="shared" si="4"/>
        <v>4.6065402471662063E-4</v>
      </c>
      <c r="K65">
        <v>3</v>
      </c>
      <c r="L65" s="1">
        <f t="shared" si="1"/>
        <v>8.8284795222062645E-3</v>
      </c>
      <c r="M65" s="1">
        <f t="shared" si="1"/>
        <v>2.1550619584564295E-3</v>
      </c>
      <c r="N65" s="1">
        <f t="shared" si="1"/>
        <v>5.7675851085384005E-4</v>
      </c>
      <c r="O65" s="1">
        <f t="shared" si="1"/>
        <v>1.3822587302059664E-4</v>
      </c>
      <c r="P65" s="1">
        <f t="shared" si="1"/>
        <v>7.7074328781955563E-6</v>
      </c>
      <c r="Q65" s="1">
        <f t="shared" si="1"/>
        <v>-2.940942505144676E-5</v>
      </c>
      <c r="R65" s="1">
        <f t="shared" si="1"/>
        <v>-3.6629751982060406E-5</v>
      </c>
      <c r="S65" s="1">
        <f t="shared" si="1"/>
        <v>-3.447102306000491E-5</v>
      </c>
      <c r="T65">
        <v>3</v>
      </c>
      <c r="U65" s="1">
        <f t="shared" si="2"/>
        <v>7.4452361860954122E-2</v>
      </c>
      <c r="V65" s="1">
        <f t="shared" si="2"/>
        <v>2.4440147937245599E-2</v>
      </c>
      <c r="W65" s="1">
        <f t="shared" si="2"/>
        <v>1.5106099669973966E-2</v>
      </c>
      <c r="X65" s="1">
        <f t="shared" si="2"/>
        <v>1.0045199156607544E-2</v>
      </c>
      <c r="Y65" s="1">
        <f t="shared" si="2"/>
        <v>7.0468522690451275E-3</v>
      </c>
      <c r="Z65" s="1">
        <f t="shared" si="2"/>
        <v>5.1480405124298238E-3</v>
      </c>
      <c r="AA65" s="1">
        <f t="shared" si="2"/>
        <v>3.8820876347748119E-3</v>
      </c>
    </row>
    <row r="66" spans="1:27" x14ac:dyDescent="0.2">
      <c r="A66">
        <v>4</v>
      </c>
      <c r="B66" s="1">
        <f t="shared" ref="B66:J66" si="5">B6/B30</f>
        <v>-1.5046082547227472E-3</v>
      </c>
      <c r="C66" s="1">
        <f t="shared" si="5"/>
        <v>1.362476482013192E-3</v>
      </c>
      <c r="D66" s="1">
        <f t="shared" si="5"/>
        <v>9.564764613500074E-4</v>
      </c>
      <c r="E66" s="1">
        <f t="shared" si="5"/>
        <v>5.6589553580515086E-4</v>
      </c>
      <c r="F66" s="1">
        <f t="shared" si="5"/>
        <v>3.3848006098198433E-4</v>
      </c>
      <c r="G66" s="1">
        <f t="shared" si="5"/>
        <v>2.1040505525124137E-4</v>
      </c>
      <c r="H66" s="1">
        <f t="shared" si="5"/>
        <v>1.3620763376469627E-4</v>
      </c>
      <c r="I66" s="1">
        <f t="shared" si="5"/>
        <v>9.1507889747634473E-5</v>
      </c>
      <c r="J66" s="1">
        <f t="shared" si="5"/>
        <v>6.3519405271879884E-5</v>
      </c>
      <c r="K66">
        <v>4</v>
      </c>
      <c r="L66" s="1">
        <f t="shared" si="1"/>
        <v>3.3107761265603252E-3</v>
      </c>
      <c r="M66" s="1">
        <f t="shared" si="1"/>
        <v>4.6328266929562459E-4</v>
      </c>
      <c r="N66" s="1">
        <f t="shared" si="1"/>
        <v>2.2298082688172026E-5</v>
      </c>
      <c r="O66" s="1">
        <f t="shared" si="1"/>
        <v>-4.3565790349098397E-5</v>
      </c>
      <c r="P66" s="1">
        <f t="shared" si="1"/>
        <v>-4.3317283291353197E-5</v>
      </c>
      <c r="Q66" s="1">
        <f t="shared" si="1"/>
        <v>-3.3360390580779713E-5</v>
      </c>
      <c r="R66" s="1">
        <f t="shared" si="1"/>
        <v>-2.4315124790825185E-5</v>
      </c>
      <c r="S66" s="1">
        <f t="shared" si="1"/>
        <v>-1.7598030769881716E-5</v>
      </c>
      <c r="T66">
        <v>4</v>
      </c>
      <c r="U66" s="1">
        <f t="shared" si="2"/>
        <v>3.2274498468442048E-2</v>
      </c>
      <c r="V66" s="1">
        <f t="shared" si="2"/>
        <v>6.5219845323989242E-3</v>
      </c>
      <c r="W66" s="1">
        <f t="shared" si="2"/>
        <v>3.3779041320076662E-3</v>
      </c>
      <c r="X66" s="1">
        <f t="shared" si="2"/>
        <v>1.9312698288190817E-3</v>
      </c>
      <c r="Y66" s="1">
        <f t="shared" si="2"/>
        <v>1.1876710525613231E-3</v>
      </c>
      <c r="Z66" s="1">
        <f t="shared" si="2"/>
        <v>7.7217134010049767E-4</v>
      </c>
      <c r="AA66" s="1">
        <f t="shared" si="2"/>
        <v>5.2448896406718864E-4</v>
      </c>
    </row>
    <row r="67" spans="1:27" x14ac:dyDescent="0.2">
      <c r="A67">
        <v>5</v>
      </c>
      <c r="B67" s="1">
        <f t="shared" ref="B67:J67" si="6">B7/B31</f>
        <v>-9.9388643040675476E-4</v>
      </c>
      <c r="C67" s="1">
        <f t="shared" si="6"/>
        <v>5.9092095036545678E-4</v>
      </c>
      <c r="D67" s="1">
        <f t="shared" si="6"/>
        <v>3.0417676683159927E-4</v>
      </c>
      <c r="E67" s="1">
        <f t="shared" si="6"/>
        <v>1.4175647191287435E-4</v>
      </c>
      <c r="F67" s="1">
        <f t="shared" si="6"/>
        <v>6.9984526494730801E-5</v>
      </c>
      <c r="G67" s="1">
        <f t="shared" si="6"/>
        <v>3.7074698879011599E-5</v>
      </c>
      <c r="H67" s="1">
        <f t="shared" si="6"/>
        <v>2.0928482447600011E-5</v>
      </c>
      <c r="I67" s="1">
        <f t="shared" si="6"/>
        <v>1.2472504921589022E-5</v>
      </c>
      <c r="J67" s="1">
        <f t="shared" si="6"/>
        <v>7.782458220232431E-6</v>
      </c>
      <c r="K67">
        <v>5</v>
      </c>
      <c r="L67" s="1">
        <f t="shared" si="1"/>
        <v>1.2930348041048875E-3</v>
      </c>
      <c r="M67" s="1">
        <f t="shared" si="1"/>
        <v>1.0879658108852871E-4</v>
      </c>
      <c r="N67" s="1">
        <f t="shared" si="1"/>
        <v>-1.1376597646261611E-5</v>
      </c>
      <c r="O67" s="1">
        <f t="shared" si="1"/>
        <v>-1.7543570724183555E-5</v>
      </c>
      <c r="P67" s="1">
        <f t="shared" si="1"/>
        <v>-1.224101909380069E-5</v>
      </c>
      <c r="Q67" s="1">
        <f t="shared" si="1"/>
        <v>-7.757046007129398E-6</v>
      </c>
      <c r="R67" s="1">
        <f t="shared" si="1"/>
        <v>-4.8912203356360214E-6</v>
      </c>
      <c r="S67" s="1">
        <f t="shared" si="1"/>
        <v>-3.1423692810997276E-6</v>
      </c>
      <c r="T67">
        <v>5</v>
      </c>
      <c r="U67" s="1">
        <f t="shared" si="2"/>
        <v>1.3424499951893978E-2</v>
      </c>
      <c r="V67" s="1">
        <f t="shared" si="2"/>
        <v>1.6482645530082895E-3</v>
      </c>
      <c r="W67" s="1">
        <f t="shared" si="2"/>
        <v>7.1291901717198932E-4</v>
      </c>
      <c r="X67" s="1">
        <f t="shared" si="2"/>
        <v>3.4973446551982617E-4</v>
      </c>
      <c r="Y67" s="1">
        <f t="shared" si="2"/>
        <v>1.8829414487523703E-4</v>
      </c>
      <c r="Z67" s="1">
        <f t="shared" si="2"/>
        <v>1.0885182786332647E-4</v>
      </c>
      <c r="AA67" s="1">
        <f t="shared" si="2"/>
        <v>6.6555027167327093E-5</v>
      </c>
    </row>
    <row r="68" spans="1:27" x14ac:dyDescent="0.2">
      <c r="A68">
        <v>6</v>
      </c>
      <c r="B68" s="1">
        <f t="shared" ref="B68:J68" si="7">B8/B32</f>
        <v>-6.2371982090012729E-4</v>
      </c>
      <c r="C68" s="1">
        <f t="shared" si="7"/>
        <v>2.4116299310606679E-4</v>
      </c>
      <c r="D68" s="1">
        <f t="shared" si="7"/>
        <v>9.0621685786323669E-5</v>
      </c>
      <c r="E68" s="1">
        <f t="shared" si="7"/>
        <v>3.3219605831612174E-5</v>
      </c>
      <c r="F68" s="1">
        <f t="shared" si="7"/>
        <v>1.3531824847198914E-5</v>
      </c>
      <c r="G68" s="1">
        <f t="shared" si="7"/>
        <v>6.1088250951405083E-6</v>
      </c>
      <c r="H68" s="1">
        <f t="shared" si="7"/>
        <v>3.0070273052602496E-6</v>
      </c>
      <c r="I68" s="1">
        <f t="shared" si="7"/>
        <v>1.5897156182821635E-6</v>
      </c>
      <c r="J68" s="1">
        <f t="shared" si="7"/>
        <v>8.9166399543540058E-7</v>
      </c>
      <c r="K68">
        <v>6</v>
      </c>
      <c r="L68" s="1">
        <f t="shared" si="1"/>
        <v>5.0776369899285529E-4</v>
      </c>
      <c r="M68" s="1">
        <f t="shared" si="1"/>
        <v>2.7621199746578634E-5</v>
      </c>
      <c r="N68" s="1">
        <f t="shared" si="1"/>
        <v>-4.9287499400863273E-6</v>
      </c>
      <c r="O68" s="1">
        <f t="shared" si="1"/>
        <v>-4.4794397645674016E-6</v>
      </c>
      <c r="P68" s="1">
        <f t="shared" si="1"/>
        <v>-2.5539781005025478E-6</v>
      </c>
      <c r="Q68" s="1">
        <f t="shared" si="1"/>
        <v>-1.3920619520163916E-6</v>
      </c>
      <c r="R68" s="1">
        <f t="shared" si="1"/>
        <v>-7.7405176132219371E-7</v>
      </c>
      <c r="S68" s="1">
        <f t="shared" si="1"/>
        <v>-4.4570908986887953E-7</v>
      </c>
      <c r="T68">
        <v>6</v>
      </c>
      <c r="U68" s="1">
        <f t="shared" si="2"/>
        <v>5.3937555838890743E-3</v>
      </c>
      <c r="V68" s="1">
        <f t="shared" si="2"/>
        <v>3.9963356180392265E-4</v>
      </c>
      <c r="W68" s="1">
        <f t="shared" si="2"/>
        <v>1.4417533952909862E-4</v>
      </c>
      <c r="X68" s="1">
        <f t="shared" si="2"/>
        <v>6.0650331619268785E-5</v>
      </c>
      <c r="Y68" s="1">
        <f t="shared" si="2"/>
        <v>2.8578489095738305E-5</v>
      </c>
      <c r="Z68" s="1">
        <f t="shared" si="2"/>
        <v>1.4687252654766912E-5</v>
      </c>
      <c r="AA68" s="1">
        <f t="shared" si="2"/>
        <v>8.082757937694662E-6</v>
      </c>
    </row>
    <row r="69" spans="1:27" x14ac:dyDescent="0.2">
      <c r="A69">
        <v>7</v>
      </c>
      <c r="B69" s="1">
        <f t="shared" ref="B69:J69" si="8">B9/B33</f>
        <v>-3.7822833355335755E-4</v>
      </c>
      <c r="C69" s="1">
        <f t="shared" si="8"/>
        <v>9.4398613094447633E-5</v>
      </c>
      <c r="D69" s="1">
        <f t="shared" si="8"/>
        <v>2.5849399555366751E-5</v>
      </c>
      <c r="E69" s="1">
        <f t="shared" si="8"/>
        <v>7.4546562690240867E-6</v>
      </c>
      <c r="F69" s="1">
        <f t="shared" si="8"/>
        <v>2.5066901745774802E-6</v>
      </c>
      <c r="G69" s="1">
        <f t="shared" si="8"/>
        <v>9.6472867280053919E-7</v>
      </c>
      <c r="H69" s="1">
        <f t="shared" si="8"/>
        <v>4.1421699371515649E-7</v>
      </c>
      <c r="I69" s="1">
        <f t="shared" si="8"/>
        <v>1.9429236720867288E-7</v>
      </c>
      <c r="J69" s="1">
        <f t="shared" si="8"/>
        <v>9.7972847043608221E-8</v>
      </c>
      <c r="K69">
        <v>7</v>
      </c>
      <c r="L69" s="1">
        <f t="shared" si="1"/>
        <v>1.9747905269659429E-4</v>
      </c>
      <c r="M69" s="1">
        <f t="shared" si="1"/>
        <v>7.3882593732225443E-6</v>
      </c>
      <c r="N69" s="1">
        <f t="shared" si="1"/>
        <v>-1.4341533792876235E-6</v>
      </c>
      <c r="O69" s="1">
        <f t="shared" si="1"/>
        <v>-9.8259087449369999E-7</v>
      </c>
      <c r="P69" s="1">
        <f t="shared" si="1"/>
        <v>-4.7193352089608164E-7</v>
      </c>
      <c r="Q69" s="1">
        <f t="shared" si="1"/>
        <v>-2.2364847259382524E-7</v>
      </c>
      <c r="R69" s="1">
        <f t="shared" si="1"/>
        <v>-1.1021491940008758E-7</v>
      </c>
      <c r="S69" s="1">
        <f t="shared" si="1"/>
        <v>-5.7029166182581374E-8</v>
      </c>
      <c r="T69">
        <v>7</v>
      </c>
      <c r="U69" s="1">
        <f t="shared" si="2"/>
        <v>2.1090127702702685E-3</v>
      </c>
      <c r="V69" s="1">
        <f t="shared" si="2"/>
        <v>9.3999974698545649E-5</v>
      </c>
      <c r="W69" s="1">
        <f t="shared" si="2"/>
        <v>2.827395872734278E-5</v>
      </c>
      <c r="X69" s="1">
        <f t="shared" si="2"/>
        <v>1.0197484260282388E-5</v>
      </c>
      <c r="Y69" s="1">
        <f t="shared" si="2"/>
        <v>4.2050323312135599E-6</v>
      </c>
      <c r="Z69" s="1">
        <f t="shared" si="2"/>
        <v>1.9211177089853077E-6</v>
      </c>
      <c r="AA69" s="1">
        <f t="shared" si="2"/>
        <v>9.5156070964651538E-7</v>
      </c>
    </row>
    <row r="70" spans="1:27" x14ac:dyDescent="0.2">
      <c r="A70">
        <v>8</v>
      </c>
      <c r="B70" s="1">
        <f t="shared" ref="B70:J70" si="9">B10/B34</f>
        <v>-2.2361931504989409E-4</v>
      </c>
      <c r="C70" s="1">
        <f t="shared" si="9"/>
        <v>3.5849564048179083E-5</v>
      </c>
      <c r="D70" s="1">
        <f t="shared" si="9"/>
        <v>7.1519153827172025E-6</v>
      </c>
      <c r="E70" s="1">
        <f t="shared" si="9"/>
        <v>1.6239177681942807E-6</v>
      </c>
      <c r="F70" s="1">
        <f t="shared" si="9"/>
        <v>4.5110370623690167E-7</v>
      </c>
      <c r="G70" s="1">
        <f t="shared" si="9"/>
        <v>1.4808643226100725E-7</v>
      </c>
      <c r="H70" s="1">
        <f t="shared" si="9"/>
        <v>5.5479191889838367E-8</v>
      </c>
      <c r="I70" s="1">
        <f t="shared" si="9"/>
        <v>2.309385543834783E-8</v>
      </c>
      <c r="J70" s="1">
        <f t="shared" si="9"/>
        <v>1.0470593882826236E-8</v>
      </c>
      <c r="K70">
        <v>8</v>
      </c>
      <c r="L70" s="1">
        <f t="shared" si="1"/>
        <v>7.5721713640077468E-5</v>
      </c>
      <c r="M70" s="1">
        <f t="shared" si="1"/>
        <v>2.0291386128555762E-6</v>
      </c>
      <c r="N70" s="1">
        <f t="shared" si="1"/>
        <v>-3.6464560607973245E-7</v>
      </c>
      <c r="O70" s="1">
        <f t="shared" si="1"/>
        <v>-2.0013558541228107E-7</v>
      </c>
      <c r="P70" s="1">
        <f t="shared" si="1"/>
        <v>-8.1812697005607536E-8</v>
      </c>
      <c r="Q70" s="1">
        <f t="shared" si="1"/>
        <v>-3.3839622518371785E-8</v>
      </c>
      <c r="R70" s="1">
        <f t="shared" si="1"/>
        <v>-1.4806682971265496E-8</v>
      </c>
      <c r="S70" s="1">
        <f t="shared" si="1"/>
        <v>-6.891418928748217E-9</v>
      </c>
      <c r="T70">
        <v>8</v>
      </c>
      <c r="U70" s="1">
        <f t="shared" si="2"/>
        <v>8.0742962770702083E-4</v>
      </c>
      <c r="V70" s="1">
        <f t="shared" si="2"/>
        <v>2.1619252823185951E-5</v>
      </c>
      <c r="W70" s="1">
        <f t="shared" si="2"/>
        <v>5.4207058857855601E-6</v>
      </c>
      <c r="X70" s="1">
        <f t="shared" si="2"/>
        <v>1.676077277343258E-6</v>
      </c>
      <c r="Y70" s="1">
        <f t="shared" si="2"/>
        <v>6.0481782009709228E-7</v>
      </c>
      <c r="Z70" s="1">
        <f t="shared" si="2"/>
        <v>2.4563153433697153E-7</v>
      </c>
      <c r="AA70" s="1">
        <f t="shared" si="2"/>
        <v>1.0950287142811657E-7</v>
      </c>
    </row>
    <row r="71" spans="1:27" x14ac:dyDescent="0.2">
      <c r="A71">
        <v>9</v>
      </c>
      <c r="B71" s="1">
        <f t="shared" ref="B71:J71" si="10">B11/B35</f>
        <v>-1.2962172968914785E-4</v>
      </c>
      <c r="C71" s="1">
        <f t="shared" si="10"/>
        <v>1.3308888139868927E-5</v>
      </c>
      <c r="D71" s="1">
        <f t="shared" si="10"/>
        <v>1.9353109880938466E-6</v>
      </c>
      <c r="E71" s="1">
        <f t="shared" si="10"/>
        <v>3.4635323606291868E-7</v>
      </c>
      <c r="F71" s="1">
        <f t="shared" si="10"/>
        <v>7.9549275344043222E-8</v>
      </c>
      <c r="G71" s="1">
        <f t="shared" si="10"/>
        <v>2.2287015232756939E-8</v>
      </c>
      <c r="H71" s="1">
        <f t="shared" si="10"/>
        <v>7.2880419647791415E-9</v>
      </c>
      <c r="I71" s="1">
        <f t="shared" si="10"/>
        <v>2.6928287270687598E-9</v>
      </c>
      <c r="J71" s="1">
        <f t="shared" si="10"/>
        <v>1.0979052674331781E-9</v>
      </c>
      <c r="K71">
        <v>9</v>
      </c>
      <c r="L71" s="1">
        <f t="shared" si="1"/>
        <v>2.8625243695072651E-5</v>
      </c>
      <c r="M71" s="1">
        <f t="shared" si="1"/>
        <v>5.6226691874816086E-7</v>
      </c>
      <c r="N71" s="1">
        <f t="shared" si="1"/>
        <v>-8.6897152423874037E-8</v>
      </c>
      <c r="O71" s="1">
        <f t="shared" si="1"/>
        <v>-3.9068864349547449E-8</v>
      </c>
      <c r="P71" s="1">
        <f t="shared" si="1"/>
        <v>-1.3649939234468929E-8</v>
      </c>
      <c r="Q71" s="1">
        <f t="shared" si="1"/>
        <v>-4.9356414795068007E-9</v>
      </c>
      <c r="R71" s="1">
        <f t="shared" si="1"/>
        <v>-1.9189363254304289E-9</v>
      </c>
      <c r="S71" s="1">
        <f t="shared" si="1"/>
        <v>-8.036702721007925E-10</v>
      </c>
      <c r="T71">
        <v>9</v>
      </c>
      <c r="U71" s="1">
        <f t="shared" si="2"/>
        <v>3.0405813770846107E-4</v>
      </c>
      <c r="V71" s="1">
        <f t="shared" si="2"/>
        <v>4.8879648285632264E-6</v>
      </c>
      <c r="W71" s="1">
        <f t="shared" si="2"/>
        <v>1.0215584709067191E-6</v>
      </c>
      <c r="X71" s="1">
        <f t="shared" si="2"/>
        <v>2.7077898264538882E-7</v>
      </c>
      <c r="Y71" s="1">
        <f t="shared" si="2"/>
        <v>8.5504650162503031E-8</v>
      </c>
      <c r="Z71" s="1">
        <f t="shared" si="2"/>
        <v>3.0868709405326044E-8</v>
      </c>
      <c r="AA71" s="1">
        <f t="shared" si="2"/>
        <v>1.2385552706538425E-8</v>
      </c>
    </row>
    <row r="72" spans="1:27" x14ac:dyDescent="0.2">
      <c r="A72">
        <v>10</v>
      </c>
      <c r="B72" s="1">
        <f t="shared" ref="B72:J72" si="11">B12/B36</f>
        <v>-7.3951311535790719E-5</v>
      </c>
      <c r="C72" s="1">
        <f t="shared" si="11"/>
        <v>4.855038199155635E-6</v>
      </c>
      <c r="D72" s="1">
        <f t="shared" si="11"/>
        <v>5.1505399890199262E-7</v>
      </c>
      <c r="E72" s="1">
        <f t="shared" si="11"/>
        <v>7.2737344036734696E-8</v>
      </c>
      <c r="F72" s="1">
        <f t="shared" si="11"/>
        <v>1.3824579115821329E-8</v>
      </c>
      <c r="G72" s="1">
        <f t="shared" si="11"/>
        <v>3.307376479087405E-9</v>
      </c>
      <c r="H72" s="1">
        <f t="shared" si="11"/>
        <v>9.4435200028633991E-10</v>
      </c>
      <c r="I72" s="1">
        <f t="shared" si="11"/>
        <v>3.0977940006321434E-10</v>
      </c>
      <c r="J72" s="1">
        <f t="shared" si="11"/>
        <v>1.1359092953876276E-10</v>
      </c>
      <c r="K72">
        <v>10</v>
      </c>
      <c r="L72" s="1">
        <f t="shared" si="1"/>
        <v>1.0684749643988618E-5</v>
      </c>
      <c r="M72" s="1">
        <f t="shared" si="1"/>
        <v>1.5571633331706413E-7</v>
      </c>
      <c r="N72" s="1">
        <f t="shared" si="1"/>
        <v>-1.9968813488019573E-8</v>
      </c>
      <c r="O72" s="1">
        <f t="shared" si="1"/>
        <v>-7.4247471081487174E-9</v>
      </c>
      <c r="P72" s="1">
        <f t="shared" si="1"/>
        <v>-2.2211286089594026E-9</v>
      </c>
      <c r="Q72" s="1">
        <f t="shared" si="1"/>
        <v>-7.0256913820133472E-10</v>
      </c>
      <c r="R72" s="1">
        <f t="shared" si="1"/>
        <v>-2.4278867345173703E-10</v>
      </c>
      <c r="S72" s="1">
        <f t="shared" si="1"/>
        <v>-9.1513255581019625E-11</v>
      </c>
      <c r="T72">
        <v>10</v>
      </c>
      <c r="U72" s="1">
        <f t="shared" si="2"/>
        <v>1.1300613873059264E-4</v>
      </c>
      <c r="V72" s="1">
        <f t="shared" si="2"/>
        <v>1.090430339162383E-6</v>
      </c>
      <c r="W72" s="1">
        <f t="shared" si="2"/>
        <v>1.8994642179801594E-7</v>
      </c>
      <c r="X72" s="1">
        <f t="shared" si="2"/>
        <v>4.3160262135852678E-8</v>
      </c>
      <c r="Y72" s="1">
        <f t="shared" si="2"/>
        <v>1.1926030604180071E-8</v>
      </c>
      <c r="Z72" s="1">
        <f t="shared" si="2"/>
        <v>3.82727441609476E-9</v>
      </c>
      <c r="AA72" s="1">
        <f t="shared" si="2"/>
        <v>1.3821001818359338E-9</v>
      </c>
    </row>
  </sheetData>
  <sheetProtection sheet="1" objects="1" scenarios="1"/>
  <mergeCells count="18">
    <mergeCell ref="B1:J1"/>
    <mergeCell ref="L1:S1"/>
    <mergeCell ref="U1:AA1"/>
    <mergeCell ref="B13:J13"/>
    <mergeCell ref="L13:S13"/>
    <mergeCell ref="U13:AA13"/>
    <mergeCell ref="B25:J25"/>
    <mergeCell ref="L25:S25"/>
    <mergeCell ref="U25:AA25"/>
    <mergeCell ref="B37:J37"/>
    <mergeCell ref="L37:S37"/>
    <mergeCell ref="U37:AA37"/>
    <mergeCell ref="B49:J49"/>
    <mergeCell ref="L49:S49"/>
    <mergeCell ref="U49:AA49"/>
    <mergeCell ref="B61:J61"/>
    <mergeCell ref="L61:S61"/>
    <mergeCell ref="U61:AA61"/>
  </mergeCells>
  <conditionalFormatting sqref="B15:J24">
    <cfRule type="colorScale" priority="1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B3:J12">
    <cfRule type="colorScale" priority="13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B27:J36">
    <cfRule type="colorScale" priority="1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39:J48">
    <cfRule type="colorScale" priority="10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51:J60">
    <cfRule type="colorScale" priority="9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15:S24">
    <cfRule type="colorScale" priority="14">
      <colorScale>
        <cfvo type="num" val="0"/>
        <cfvo type="percentile" val="0"/>
        <cfvo type="max"/>
        <color rgb="FFFF0000"/>
        <color rgb="FFFFEB84"/>
        <color rgb="FF00B050"/>
      </colorScale>
    </cfRule>
  </conditionalFormatting>
  <conditionalFormatting sqref="L3:S12">
    <cfRule type="colorScale" priority="15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L27:S36">
    <cfRule type="cellIs" dxfId="154" priority="8" operator="lessThanOrEqual">
      <formula>0</formula>
    </cfRule>
    <cfRule type="colorScale" priority="16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39:S48">
    <cfRule type="cellIs" dxfId="153" priority="6" operator="lessThanOrEqual">
      <formula>0</formula>
    </cfRule>
    <cfRule type="colorScale" priority="17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L51:S60">
    <cfRule type="cellIs" dxfId="152" priority="4" operator="lessThanOrEqual">
      <formula>0</formula>
    </cfRule>
    <cfRule type="colorScale" priority="18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15:AA24">
    <cfRule type="colorScale" priority="19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3:AA12">
    <cfRule type="colorScale" priority="20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27:AA36">
    <cfRule type="cellIs" dxfId="151" priority="7" operator="lessThanOrEqual">
      <formula>0</formula>
    </cfRule>
    <cfRule type="colorScale" priority="21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39:AA48">
    <cfRule type="cellIs" dxfId="150" priority="5" operator="lessThanOrEqual">
      <formula>0</formula>
    </cfRule>
    <cfRule type="colorScale" priority="22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U51:AA60">
    <cfRule type="colorScale" priority="23">
      <colorScale>
        <cfvo type="num" val="0"/>
        <cfvo type="percentile" val="50"/>
        <cfvo type="max"/>
        <color rgb="FF00B050"/>
        <color rgb="FFFFEB84"/>
        <color rgb="FFFF0000"/>
      </colorScale>
    </cfRule>
  </conditionalFormatting>
  <conditionalFormatting sqref="B63:J72">
    <cfRule type="cellIs" dxfId="149" priority="1" operator="equal">
      <formula>MAX($B$63:$J$72)</formula>
    </cfRule>
    <cfRule type="colorScale" priority="24">
      <colorScale>
        <cfvo type="num" val="0"/>
        <cfvo type="percentile" val="50"/>
        <cfvo type="num" val="MAX($B$64:$J$72)"/>
        <color rgb="FFFF0000"/>
        <color rgb="FFFFEB84"/>
        <color rgb="FF00B050"/>
      </colorScale>
    </cfRule>
  </conditionalFormatting>
  <conditionalFormatting sqref="L63:S72">
    <cfRule type="colorScale" priority="3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U63:AA72">
    <cfRule type="colorScale" priority="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>
    <pageSetUpPr fitToPage="1"/>
  </sheetPr>
  <dimension ref="A1:AH46"/>
  <sheetViews>
    <sheetView view="pageLayout" zoomScale="90" zoomScaleNormal="70" zoomScaleSheetLayoutView="75" zoomScalePageLayoutView="90" workbookViewId="0">
      <selection activeCell="Z5" sqref="Z5"/>
    </sheetView>
  </sheetViews>
  <sheetFormatPr baseColWidth="10" defaultColWidth="11" defaultRowHeight="16" x14ac:dyDescent="0.2"/>
  <cols>
    <col min="1" max="1" width="5.83203125" style="31" bestFit="1" customWidth="1"/>
    <col min="2" max="11" width="3.6640625" customWidth="1"/>
    <col min="12" max="12" width="4.83203125" customWidth="1"/>
    <col min="13" max="13" width="6.83203125" customWidth="1"/>
    <col min="14" max="22" width="7.83203125" customWidth="1"/>
    <col min="23" max="23" width="5.33203125" customWidth="1"/>
    <col min="24" max="34" width="6.5" customWidth="1"/>
  </cols>
  <sheetData>
    <row r="1" spans="1:34" ht="21" x14ac:dyDescent="0.25">
      <c r="A1" s="356" t="str">
        <f>Rules!B18</f>
        <v>20191025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 t="str">
        <f>Rules!B19</f>
        <v>EVO - INFINIT BJ</v>
      </c>
      <c r="U1" s="356"/>
      <c r="V1" s="356"/>
      <c r="W1" s="356"/>
      <c r="X1" s="356"/>
      <c r="Y1" s="356"/>
      <c r="Z1" s="356"/>
      <c r="AA1" s="356"/>
      <c r="AB1" s="356"/>
      <c r="AC1" s="356"/>
      <c r="AD1" s="356"/>
      <c r="AE1" s="356"/>
      <c r="AF1" s="356"/>
      <c r="AG1" s="356"/>
      <c r="AH1" s="356"/>
    </row>
    <row r="2" spans="1:34" ht="21" x14ac:dyDescent="0.25">
      <c r="A2" s="251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</row>
    <row r="3" spans="1:34" ht="21" x14ac:dyDescent="0.25">
      <c r="A3" s="362" t="s">
        <v>199</v>
      </c>
      <c r="B3" s="362"/>
      <c r="C3" s="362"/>
      <c r="D3" s="362"/>
      <c r="E3" s="366">
        <f>'WL Prob'!P15</f>
        <v>0.37440835558793756</v>
      </c>
      <c r="F3" s="366"/>
      <c r="G3" s="366"/>
      <c r="H3" s="362" t="s">
        <v>200</v>
      </c>
      <c r="I3" s="362"/>
      <c r="J3" s="362"/>
      <c r="K3" s="362"/>
      <c r="L3" s="362"/>
      <c r="M3" s="366">
        <f>'WL Prob'!R15</f>
        <v>0.6255916444120625</v>
      </c>
      <c r="N3" s="366"/>
      <c r="O3" s="362" t="s">
        <v>201</v>
      </c>
      <c r="P3" s="362"/>
      <c r="Q3" s="362"/>
      <c r="R3" s="363">
        <f>Analysis!K2</f>
        <v>-6.9023663911402661E-3</v>
      </c>
      <c r="S3" s="363"/>
      <c r="T3" s="362" t="s">
        <v>186</v>
      </c>
      <c r="U3" s="362"/>
      <c r="V3" s="257">
        <v>1</v>
      </c>
      <c r="W3" s="362" t="s">
        <v>202</v>
      </c>
      <c r="X3" s="362"/>
      <c r="Y3" s="362"/>
      <c r="Z3" s="362"/>
      <c r="AA3" s="362"/>
      <c r="AB3" s="363">
        <f>Analysis!G2</f>
        <v>1.6524451679220342</v>
      </c>
      <c r="AC3" s="363"/>
      <c r="AD3" s="362" t="s">
        <v>187</v>
      </c>
      <c r="AE3" s="362"/>
      <c r="AF3" s="362"/>
      <c r="AG3" s="363" t="s">
        <v>203</v>
      </c>
      <c r="AH3" s="363"/>
    </row>
    <row r="4" spans="1:34" ht="21" x14ac:dyDescent="0.25">
      <c r="A4" s="362" t="s">
        <v>63</v>
      </c>
      <c r="B4" s="362"/>
      <c r="C4" s="362"/>
      <c r="D4" s="362"/>
      <c r="E4" s="363" t="str">
        <f>Rules!B3</f>
        <v>Pay 3 to 2</v>
      </c>
      <c r="F4" s="363"/>
      <c r="G4" s="363"/>
      <c r="H4" s="363"/>
      <c r="I4" s="362" t="s">
        <v>188</v>
      </c>
      <c r="J4" s="362"/>
      <c r="K4" s="362"/>
      <c r="L4" s="363" t="str">
        <f>Rules!B4</f>
        <v>Stand</v>
      </c>
      <c r="M4" s="363"/>
      <c r="N4" s="364" t="s">
        <v>54</v>
      </c>
      <c r="O4" s="364"/>
      <c r="P4" s="363" t="str">
        <f>Rules!B6</f>
        <v>Any 2 Cards</v>
      </c>
      <c r="Q4" s="363"/>
      <c r="R4" s="362" t="s">
        <v>189</v>
      </c>
      <c r="S4" s="362"/>
      <c r="T4" s="362"/>
      <c r="U4" s="257" t="str">
        <f>Rules!B7</f>
        <v>No</v>
      </c>
      <c r="V4" s="362" t="s">
        <v>73</v>
      </c>
      <c r="W4" s="362"/>
      <c r="X4" s="362"/>
      <c r="Y4" s="362"/>
      <c r="Z4" s="257" t="str">
        <f>Rules!B9</f>
        <v>No</v>
      </c>
      <c r="AA4" s="256" t="s">
        <v>50</v>
      </c>
      <c r="AB4" s="363" t="str">
        <f>Rules!B10</f>
        <v>American</v>
      </c>
      <c r="AC4" s="363"/>
      <c r="AD4" s="362" t="s">
        <v>190</v>
      </c>
      <c r="AE4" s="362"/>
      <c r="AF4" s="257">
        <f>Rules!B11</f>
        <v>2</v>
      </c>
      <c r="AG4" s="357"/>
      <c r="AH4" s="358"/>
    </row>
    <row r="5" spans="1:34" ht="21" x14ac:dyDescent="0.25">
      <c r="A5" s="250"/>
      <c r="B5" s="250"/>
      <c r="C5" s="250"/>
      <c r="D5" s="250"/>
      <c r="E5" s="250"/>
      <c r="F5" s="250"/>
      <c r="G5" s="250"/>
      <c r="H5" s="250"/>
      <c r="I5" s="250"/>
      <c r="J5" s="250"/>
      <c r="K5" s="250"/>
      <c r="L5" s="250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0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</row>
    <row r="6" spans="1:34" x14ac:dyDescent="0.2">
      <c r="A6" s="365" t="str">
        <f>Rules!I2</f>
        <v>My Basic Strategy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M6" s="359" t="s">
        <v>178</v>
      </c>
      <c r="N6" s="360"/>
      <c r="O6" s="360"/>
      <c r="P6" s="360"/>
      <c r="Q6" s="360"/>
      <c r="R6" s="360"/>
      <c r="S6" s="360"/>
      <c r="T6" s="360"/>
      <c r="U6" s="360"/>
      <c r="V6" s="361"/>
      <c r="X6" s="359" t="s">
        <v>152</v>
      </c>
      <c r="Y6" s="360"/>
      <c r="Z6" s="360"/>
      <c r="AA6" s="360"/>
      <c r="AB6" s="360"/>
      <c r="AC6" s="360"/>
      <c r="AD6" s="360"/>
      <c r="AE6" s="360"/>
      <c r="AF6" s="360"/>
      <c r="AG6" s="360"/>
      <c r="AH6" s="360"/>
    </row>
    <row r="7" spans="1:34" x14ac:dyDescent="0.2">
      <c r="A7" s="174" t="str">
        <f>Rules!I3</f>
        <v>Hard</v>
      </c>
      <c r="B7" s="48" t="str">
        <f>Rules!J3</f>
        <v>A</v>
      </c>
      <c r="C7" s="48">
        <f>Rules!K3</f>
        <v>2</v>
      </c>
      <c r="D7" s="48">
        <f>Rules!L3</f>
        <v>3</v>
      </c>
      <c r="E7" s="48">
        <f>Rules!M3</f>
        <v>4</v>
      </c>
      <c r="F7" s="48">
        <f>Rules!N3</f>
        <v>5</v>
      </c>
      <c r="G7" s="48">
        <f>Rules!O3</f>
        <v>6</v>
      </c>
      <c r="H7" s="48">
        <f>Rules!P3</f>
        <v>7</v>
      </c>
      <c r="I7" s="48">
        <f>Rules!Q3</f>
        <v>8</v>
      </c>
      <c r="J7" s="48">
        <f>Rules!R3</f>
        <v>9</v>
      </c>
      <c r="K7" s="48">
        <f>Rules!S3</f>
        <v>10</v>
      </c>
      <c r="M7" s="177" t="s">
        <v>134</v>
      </c>
      <c r="N7" s="177" t="str">
        <f>'Strategy Summary'!B2</f>
        <v>1x2</v>
      </c>
      <c r="O7" s="177" t="str">
        <f>'Strategy Summary'!C2</f>
        <v>1x3</v>
      </c>
      <c r="P7" s="177" t="str">
        <f>'Strategy Summary'!D2</f>
        <v>1x4</v>
      </c>
      <c r="Q7" s="177" t="str">
        <f>'Strategy Summary'!E2</f>
        <v>1x5</v>
      </c>
      <c r="R7" s="177" t="str">
        <f>'Strategy Summary'!F2</f>
        <v>1x6</v>
      </c>
      <c r="S7" s="177" t="str">
        <f>'Strategy Summary'!G2</f>
        <v>1x7</v>
      </c>
      <c r="T7" s="177" t="str">
        <f>'Strategy Summary'!H2</f>
        <v>1x8</v>
      </c>
      <c r="U7" s="177" t="str">
        <f>'Strategy Summary'!I2</f>
        <v>1x9</v>
      </c>
      <c r="V7" s="177" t="str">
        <f>'Strategy Summary'!J2</f>
        <v>1x10</v>
      </c>
      <c r="X7" s="252" t="str">
        <f>ER!A2</f>
        <v>Hard</v>
      </c>
      <c r="Y7" s="253" t="str">
        <f>ER!B2</f>
        <v>Ace</v>
      </c>
      <c r="Z7" s="253">
        <f>ER!C2</f>
        <v>2</v>
      </c>
      <c r="AA7" s="253">
        <f>ER!D2</f>
        <v>3</v>
      </c>
      <c r="AB7" s="253">
        <f>ER!E2</f>
        <v>4</v>
      </c>
      <c r="AC7" s="253">
        <f>ER!F2</f>
        <v>5</v>
      </c>
      <c r="AD7" s="253">
        <f>ER!G2</f>
        <v>6</v>
      </c>
      <c r="AE7" s="253">
        <f>ER!H2</f>
        <v>7</v>
      </c>
      <c r="AF7" s="253">
        <f>ER!I2</f>
        <v>8</v>
      </c>
      <c r="AG7" s="254">
        <f>ER!J2</f>
        <v>9</v>
      </c>
      <c r="AH7" s="179">
        <f>ER!K2</f>
        <v>10</v>
      </c>
    </row>
    <row r="8" spans="1:34" x14ac:dyDescent="0.2">
      <c r="A8" s="174" t="str">
        <f>Rules!I4</f>
        <v>5-8</v>
      </c>
      <c r="B8" s="49" t="str">
        <f>Rules!J4</f>
        <v>H</v>
      </c>
      <c r="C8" s="49" t="str">
        <f>Rules!K4</f>
        <v>H</v>
      </c>
      <c r="D8" s="49" t="str">
        <f>Rules!L4</f>
        <v>H</v>
      </c>
      <c r="E8" s="49" t="str">
        <f>Rules!M4</f>
        <v>H</v>
      </c>
      <c r="F8" s="49" t="str">
        <f>Rules!N4</f>
        <v>H</v>
      </c>
      <c r="G8" s="49" t="str">
        <f>Rules!O4</f>
        <v>H</v>
      </c>
      <c r="H8" s="49" t="str">
        <f>Rules!P4</f>
        <v>H</v>
      </c>
      <c r="I8" s="49" t="str">
        <f>Rules!Q4</f>
        <v>H</v>
      </c>
      <c r="J8" s="49" t="str">
        <f>Rules!R4</f>
        <v>H</v>
      </c>
      <c r="K8" s="49" t="str">
        <f>Rules!S4</f>
        <v>H</v>
      </c>
      <c r="M8" s="177">
        <v>1</v>
      </c>
      <c r="N8" s="1">
        <f>'Strategy Summary'!B3</f>
        <v>-3.6570223864540674E-2</v>
      </c>
      <c r="O8" s="1">
        <f>'Strategy Summary'!C3</f>
        <v>0.15281319380232716</v>
      </c>
      <c r="P8" s="1">
        <f>'Strategy Summary'!D3</f>
        <v>0.36258956038755419</v>
      </c>
      <c r="Q8" s="1">
        <f>'Strategy Summary'!E3</f>
        <v>0.5769949910823704</v>
      </c>
      <c r="R8" s="1">
        <f>'Strategy Summary'!F3</f>
        <v>0.7898304523694315</v>
      </c>
      <c r="S8" s="1">
        <f>'Strategy Summary'!G3</f>
        <v>0.99889500731052427</v>
      </c>
      <c r="T8" s="1">
        <f>'Strategy Summary'!H3</f>
        <v>1.2038154875585767</v>
      </c>
      <c r="U8" s="1">
        <f>'Strategy Summary'!I3</f>
        <v>1.4050136858132474</v>
      </c>
      <c r="V8" s="1">
        <f>'Strategy Summary'!J3</f>
        <v>1.6031828648635646</v>
      </c>
      <c r="X8" s="179">
        <f>ER!A3</f>
        <v>5</v>
      </c>
      <c r="Y8" s="34">
        <f>ER!B3</f>
        <v>-0.27857459755181968</v>
      </c>
      <c r="Z8" s="34">
        <f>ER!C3</f>
        <v>-0.12821556706374745</v>
      </c>
      <c r="AA8" s="34">
        <f>ER!D3</f>
        <v>-9.5310227261489883E-2</v>
      </c>
      <c r="AB8" s="34">
        <f>ER!E3</f>
        <v>-6.1479464199694238E-2</v>
      </c>
      <c r="AC8" s="34">
        <f>ER!F3</f>
        <v>-2.397897039185962E-2</v>
      </c>
      <c r="AD8" s="34">
        <f>ER!G3</f>
        <v>-1.1863378384401623E-3</v>
      </c>
      <c r="AE8" s="34">
        <f>ER!H3</f>
        <v>-0.11944744188414852</v>
      </c>
      <c r="AF8" s="34">
        <f>ER!I3</f>
        <v>-0.18809330390318524</v>
      </c>
      <c r="AG8" s="34">
        <f>ER!J3</f>
        <v>-0.26661505335795899</v>
      </c>
      <c r="AH8" s="34">
        <f>ER!K3</f>
        <v>-0.31341164336497107</v>
      </c>
    </row>
    <row r="9" spans="1:34" x14ac:dyDescent="0.2">
      <c r="A9" s="174">
        <f>Rules!I5</f>
        <v>9</v>
      </c>
      <c r="B9" s="49" t="str">
        <f>Rules!J5</f>
        <v>H</v>
      </c>
      <c r="C9" s="49" t="str">
        <f>Rules!K5</f>
        <v>H</v>
      </c>
      <c r="D9" s="49" t="str">
        <f>Rules!L5</f>
        <v>D</v>
      </c>
      <c r="E9" s="49" t="str">
        <f>Rules!M5</f>
        <v>D</v>
      </c>
      <c r="F9" s="49" t="str">
        <f>Rules!N5</f>
        <v>D</v>
      </c>
      <c r="G9" s="49" t="str">
        <f>Rules!O5</f>
        <v>D</v>
      </c>
      <c r="H9" s="49" t="str">
        <f>Rules!P5</f>
        <v>H</v>
      </c>
      <c r="I9" s="49" t="str">
        <f>Rules!Q5</f>
        <v>H</v>
      </c>
      <c r="J9" s="49" t="str">
        <f>Rules!R5</f>
        <v>H</v>
      </c>
      <c r="K9" s="49" t="str">
        <f>Rules!S5</f>
        <v>H</v>
      </c>
      <c r="M9" s="177">
        <f>'Strategy Summary'!A4</f>
        <v>2</v>
      </c>
      <c r="N9" s="1">
        <f>'Strategy Summary'!B4</f>
        <v>-7.3668258212151283E-2</v>
      </c>
      <c r="O9" s="1">
        <f>'Strategy Summary'!C4</f>
        <v>0.29698579077379517</v>
      </c>
      <c r="P9" s="1">
        <f>'Strategy Summary'!D4</f>
        <v>0.68981281978385534</v>
      </c>
      <c r="Q9" s="1">
        <f>'Strategy Summary'!E4</f>
        <v>1.0840460310671967</v>
      </c>
      <c r="R9" s="1">
        <f>'Strategy Summary'!F4</f>
        <v>1.4729914772238679</v>
      </c>
      <c r="S9" s="1">
        <f>'Strategy Summary'!G4</f>
        <v>1.8547433437928653</v>
      </c>
      <c r="T9" s="1">
        <f>'Strategy Summary'!H4</f>
        <v>2.2294216986461999</v>
      </c>
      <c r="U9" s="1">
        <f>'Strategy Summary'!I4</f>
        <v>2.5979935696140526</v>
      </c>
      <c r="V9" s="1">
        <f>'Strategy Summary'!J4</f>
        <v>2.9616766750705796</v>
      </c>
      <c r="X9" s="179">
        <f>ER!A4</f>
        <v>6</v>
      </c>
      <c r="Y9" s="34">
        <f>ER!B4</f>
        <v>-0.30414663097569933</v>
      </c>
      <c r="Z9" s="34">
        <f>ER!C4</f>
        <v>-0.14075911746001987</v>
      </c>
      <c r="AA9" s="34">
        <f>ER!D4</f>
        <v>-0.10729107800860836</v>
      </c>
      <c r="AB9" s="34">
        <f>ER!E4</f>
        <v>-7.2917141926387305E-2</v>
      </c>
      <c r="AC9" s="34">
        <f>ER!F4</f>
        <v>-3.4915973330102178E-2</v>
      </c>
      <c r="AD9" s="34">
        <f>ER!G4</f>
        <v>-1.3005835529874294E-2</v>
      </c>
      <c r="AE9" s="34">
        <f>ER!H4</f>
        <v>-0.15193270723669944</v>
      </c>
      <c r="AF9" s="34">
        <f>ER!I4</f>
        <v>-0.21724188132078476</v>
      </c>
      <c r="AG9" s="34">
        <f>ER!J4</f>
        <v>-0.29264070019772598</v>
      </c>
      <c r="AH9" s="34">
        <f>ER!K4</f>
        <v>-0.33774944037840804</v>
      </c>
    </row>
    <row r="10" spans="1:34" x14ac:dyDescent="0.2">
      <c r="A10" s="174">
        <f>Rules!I6</f>
        <v>10</v>
      </c>
      <c r="B10" s="49" t="str">
        <f>Rules!J6</f>
        <v>H</v>
      </c>
      <c r="C10" s="49" t="str">
        <f>Rules!K6</f>
        <v>D</v>
      </c>
      <c r="D10" s="49" t="str">
        <f>Rules!L6</f>
        <v>D</v>
      </c>
      <c r="E10" s="49" t="str">
        <f>Rules!M6</f>
        <v>D</v>
      </c>
      <c r="F10" s="49" t="str">
        <f>Rules!N6</f>
        <v>D</v>
      </c>
      <c r="G10" s="49" t="str">
        <f>Rules!O6</f>
        <v>D</v>
      </c>
      <c r="H10" s="49" t="str">
        <f>Rules!P6</f>
        <v>D</v>
      </c>
      <c r="I10" s="49" t="str">
        <f>Rules!Q6</f>
        <v>D</v>
      </c>
      <c r="J10" s="49" t="str">
        <f>Rules!R6</f>
        <v>D</v>
      </c>
      <c r="K10" s="49" t="str">
        <f>Rules!S6</f>
        <v>H</v>
      </c>
      <c r="M10" s="177">
        <f>'Strategy Summary'!A5</f>
        <v>3</v>
      </c>
      <c r="N10" s="1">
        <f>'Strategy Summary'!B5</f>
        <v>-0.11129358571039338</v>
      </c>
      <c r="O10" s="1">
        <f>'Strategy Summary'!C5</f>
        <v>0.43262439186512847</v>
      </c>
      <c r="P10" s="1">
        <f>'Strategy Summary'!D5</f>
        <v>0.98284859348552533</v>
      </c>
      <c r="Q10" s="1">
        <f>'Strategy Summary'!E5</f>
        <v>1.5245725860901702</v>
      </c>
      <c r="R10" s="1">
        <f>'Strategy Summary'!F5</f>
        <v>2.0557707424448184</v>
      </c>
      <c r="S10" s="1">
        <f>'Strategy Summary'!G5</f>
        <v>2.5768679856900238</v>
      </c>
      <c r="T10" s="1">
        <f>'Strategy Summary'!H5</f>
        <v>3.0891091654102203</v>
      </c>
      <c r="U10" s="1">
        <f>'Strategy Summary'!I5</f>
        <v>3.5940486622631429</v>
      </c>
      <c r="V10" s="1">
        <f>'Strategy Summary'!J5</f>
        <v>4.0932545632081538</v>
      </c>
      <c r="X10" s="179">
        <f>ER!A5</f>
        <v>7</v>
      </c>
      <c r="Y10" s="34">
        <f>ER!B5</f>
        <v>-0.31007165033163697</v>
      </c>
      <c r="Z10" s="34">
        <f>ER!C5</f>
        <v>-0.10918342786661633</v>
      </c>
      <c r="AA10" s="34">
        <f>ER!D5</f>
        <v>-7.658298190446361E-2</v>
      </c>
      <c r="AB10" s="34">
        <f>ER!E5</f>
        <v>-4.3021794004341876E-2</v>
      </c>
      <c r="AC10" s="34">
        <f>ER!F5</f>
        <v>-7.2713609029408845E-3</v>
      </c>
      <c r="AD10" s="34">
        <f>ER!G5</f>
        <v>2.9185342353860864E-2</v>
      </c>
      <c r="AE10" s="34">
        <f>ER!H5</f>
        <v>-6.8807799580427764E-2</v>
      </c>
      <c r="AF10" s="34">
        <f>ER!I5</f>
        <v>-0.21060476872434969</v>
      </c>
      <c r="AG10" s="34">
        <f>ER!J5</f>
        <v>-0.28536544048687656</v>
      </c>
      <c r="AH10" s="34">
        <f>ER!K5</f>
        <v>-0.31905479139833842</v>
      </c>
    </row>
    <row r="11" spans="1:34" x14ac:dyDescent="0.2">
      <c r="A11" s="174">
        <f>Rules!I7</f>
        <v>11</v>
      </c>
      <c r="B11" s="49" t="str">
        <f>Rules!J7</f>
        <v>H</v>
      </c>
      <c r="C11" s="49" t="str">
        <f>Rules!K7</f>
        <v>D</v>
      </c>
      <c r="D11" s="49" t="str">
        <f>Rules!L7</f>
        <v>D</v>
      </c>
      <c r="E11" s="49" t="str">
        <f>Rules!M7</f>
        <v>D</v>
      </c>
      <c r="F11" s="49" t="str">
        <f>Rules!N7</f>
        <v>D</v>
      </c>
      <c r="G11" s="49" t="str">
        <f>Rules!O7</f>
        <v>D</v>
      </c>
      <c r="H11" s="49" t="str">
        <f>Rules!P7</f>
        <v>D</v>
      </c>
      <c r="I11" s="49" t="str">
        <f>Rules!Q7</f>
        <v>D</v>
      </c>
      <c r="J11" s="49" t="str">
        <f>Rules!R7</f>
        <v>D</v>
      </c>
      <c r="K11" s="49" t="str">
        <f>Rules!S7</f>
        <v>D</v>
      </c>
      <c r="M11" s="177">
        <f>'Strategy Summary'!A6</f>
        <v>4</v>
      </c>
      <c r="N11" s="1">
        <f>'Strategy Summary'!B6</f>
        <v>-0.14944548310754024</v>
      </c>
      <c r="O11" s="1">
        <f>'Strategy Summary'!C6</f>
        <v>0.55987562228713816</v>
      </c>
      <c r="P11" s="1">
        <f>'Strategy Summary'!D6</f>
        <v>1.2432697746051113</v>
      </c>
      <c r="Q11" s="1">
        <f>'Strategy Summary'!E6</f>
        <v>1.903034598162372</v>
      </c>
      <c r="R11" s="1">
        <f>'Strategy Summary'!F6</f>
        <v>2.5462484484956764</v>
      </c>
      <c r="S11" s="1">
        <f>'Strategy Summary'!G6</f>
        <v>3.1771397069953391</v>
      </c>
      <c r="T11" s="1">
        <f>'Strategy Summary'!H6</f>
        <v>3.798439233006258</v>
      </c>
      <c r="U11" s="1">
        <f>'Strategy Summary'!I6</f>
        <v>4.4122437081883472</v>
      </c>
      <c r="V11" s="1">
        <f>'Strategy Summary'!J6</f>
        <v>5.0202968684137961</v>
      </c>
      <c r="X11" s="179">
        <f>ER!A6</f>
        <v>8</v>
      </c>
      <c r="Y11" s="34">
        <f>ER!B6</f>
        <v>-0.1970288105741636</v>
      </c>
      <c r="Z11" s="34">
        <f>ER!C6</f>
        <v>-2.1798188008805668E-2</v>
      </c>
      <c r="AA11" s="34">
        <f>ER!D6</f>
        <v>8.0052625306546825E-3</v>
      </c>
      <c r="AB11" s="34">
        <f>ER!E6</f>
        <v>3.8784473277208811E-2</v>
      </c>
      <c r="AC11" s="34">
        <f>ER!F6</f>
        <v>7.0804635983033826E-2</v>
      </c>
      <c r="AD11" s="34">
        <f>ER!G6</f>
        <v>0.11496015009622321</v>
      </c>
      <c r="AE11" s="34">
        <f>ER!H6</f>
        <v>8.2207439363742862E-2</v>
      </c>
      <c r="AF11" s="34">
        <f>ER!I6</f>
        <v>-5.9898275658656304E-2</v>
      </c>
      <c r="AG11" s="34">
        <f>ER!J6</f>
        <v>-0.21018633199821757</v>
      </c>
      <c r="AH11" s="34">
        <f>ER!K6</f>
        <v>-0.24937508055334259</v>
      </c>
    </row>
    <row r="12" spans="1:34" x14ac:dyDescent="0.2">
      <c r="A12" s="174">
        <f>Rules!I8</f>
        <v>12</v>
      </c>
      <c r="B12" s="49" t="str">
        <f>Rules!J8</f>
        <v>H</v>
      </c>
      <c r="C12" s="49" t="str">
        <f>Rules!K8</f>
        <v>H</v>
      </c>
      <c r="D12" s="49" t="str">
        <f>Rules!L8</f>
        <v>H</v>
      </c>
      <c r="E12" s="49" t="str">
        <f>Rules!M8</f>
        <v>S</v>
      </c>
      <c r="F12" s="49" t="str">
        <f>Rules!N8</f>
        <v>S</v>
      </c>
      <c r="G12" s="49" t="str">
        <f>Rules!O8</f>
        <v>S</v>
      </c>
      <c r="H12" s="49" t="str">
        <f>Rules!P8</f>
        <v>H</v>
      </c>
      <c r="I12" s="49" t="str">
        <f>Rules!Q8</f>
        <v>H</v>
      </c>
      <c r="J12" s="49" t="str">
        <f>Rules!R8</f>
        <v>H</v>
      </c>
      <c r="K12" s="49" t="str">
        <f>Rules!S8</f>
        <v>H</v>
      </c>
      <c r="M12" s="359" t="s">
        <v>179</v>
      </c>
      <c r="N12" s="360"/>
      <c r="O12" s="360"/>
      <c r="P12" s="360"/>
      <c r="Q12" s="360"/>
      <c r="R12" s="360"/>
      <c r="S12" s="360"/>
      <c r="T12" s="360"/>
      <c r="U12" s="360"/>
      <c r="V12" s="361"/>
      <c r="X12" s="179">
        <f>ER!A7</f>
        <v>9</v>
      </c>
      <c r="Y12" s="34">
        <f>ER!B7</f>
        <v>-6.5680778778066204E-2</v>
      </c>
      <c r="Z12" s="34">
        <f>ER!C7</f>
        <v>7.4446037576340524E-2</v>
      </c>
      <c r="AA12" s="34">
        <f>ER!D7</f>
        <v>0.12081635332999649</v>
      </c>
      <c r="AB12" s="34">
        <f>ER!E7</f>
        <v>0.18194893405242166</v>
      </c>
      <c r="AC12" s="34">
        <f>ER!F7</f>
        <v>0.24305722487303633</v>
      </c>
      <c r="AD12" s="34">
        <f>ER!G7</f>
        <v>0.31705474570166692</v>
      </c>
      <c r="AE12" s="34">
        <f>ER!H7</f>
        <v>0.17186785993695267</v>
      </c>
      <c r="AF12" s="34">
        <f>ER!I7</f>
        <v>9.8376217435392516E-2</v>
      </c>
      <c r="AG12" s="34">
        <f>ER!J7</f>
        <v>-5.2178053462651669E-2</v>
      </c>
      <c r="AH12" s="34">
        <f>ER!K7</f>
        <v>-0.15295298487455075</v>
      </c>
    </row>
    <row r="13" spans="1:34" x14ac:dyDescent="0.2">
      <c r="A13" s="174">
        <f>Rules!I9</f>
        <v>13</v>
      </c>
      <c r="B13" s="49" t="str">
        <f>Rules!J9</f>
        <v>H</v>
      </c>
      <c r="C13" s="49" t="str">
        <f>Rules!K9</f>
        <v>S</v>
      </c>
      <c r="D13" s="49" t="str">
        <f>Rules!L9</f>
        <v>S</v>
      </c>
      <c r="E13" s="49" t="str">
        <f>Rules!M9</f>
        <v>S</v>
      </c>
      <c r="F13" s="49" t="str">
        <f>Rules!N9</f>
        <v>S</v>
      </c>
      <c r="G13" s="49" t="str">
        <f>Rules!O9</f>
        <v>S</v>
      </c>
      <c r="H13" s="49" t="str">
        <f>Rules!P9</f>
        <v>H</v>
      </c>
      <c r="I13" s="49" t="str">
        <f>Rules!Q9</f>
        <v>H</v>
      </c>
      <c r="J13" s="49" t="str">
        <f>Rules!R9</f>
        <v>H</v>
      </c>
      <c r="K13" s="49" t="str">
        <f>Rules!S9</f>
        <v>H</v>
      </c>
      <c r="M13" s="177" t="s">
        <v>134</v>
      </c>
      <c r="N13" s="177" t="str">
        <f>'Strategy Summary'!B14</f>
        <v>1x2</v>
      </c>
      <c r="O13" s="177" t="str">
        <f>'Strategy Summary'!C14</f>
        <v>1x3</v>
      </c>
      <c r="P13" s="177" t="str">
        <f>'Strategy Summary'!D14</f>
        <v>1x4</v>
      </c>
      <c r="Q13" s="177" t="str">
        <f>'Strategy Summary'!E14</f>
        <v>1x5</v>
      </c>
      <c r="R13" s="177" t="str">
        <f>'Strategy Summary'!F14</f>
        <v>1x6</v>
      </c>
      <c r="S13" s="177" t="str">
        <f>'Strategy Summary'!G14</f>
        <v>1x7</v>
      </c>
      <c r="T13" s="177" t="str">
        <f>'Strategy Summary'!H14</f>
        <v>1x8</v>
      </c>
      <c r="U13" s="177" t="str">
        <f>'Strategy Summary'!I14</f>
        <v>1x9</v>
      </c>
      <c r="V13" s="177" t="str">
        <f>'Strategy Summary'!J14</f>
        <v>1x10</v>
      </c>
      <c r="X13" s="179">
        <f>ER!A8</f>
        <v>10</v>
      </c>
      <c r="Y13" s="34">
        <f>ER!B8</f>
        <v>8.1449707945275923E-2</v>
      </c>
      <c r="Z13" s="34">
        <f>ER!C8</f>
        <v>0.3589394124422991</v>
      </c>
      <c r="AA13" s="34">
        <f>ER!D8</f>
        <v>0.40932067017593915</v>
      </c>
      <c r="AB13" s="34">
        <f>ER!E8</f>
        <v>0.460940243794354</v>
      </c>
      <c r="AC13" s="34">
        <f>ER!F8</f>
        <v>0.51251710900326775</v>
      </c>
      <c r="AD13" s="34">
        <f>ER!G8</f>
        <v>0.57559016859776857</v>
      </c>
      <c r="AE13" s="34">
        <f>ER!H8</f>
        <v>0.39241245528243773</v>
      </c>
      <c r="AF13" s="34">
        <f>ER!I8</f>
        <v>0.28663571688628381</v>
      </c>
      <c r="AG13" s="34">
        <f>ER!J8</f>
        <v>0.1443283683807712</v>
      </c>
      <c r="AH13" s="34">
        <f>ER!K8</f>
        <v>2.5308523040868145E-2</v>
      </c>
    </row>
    <row r="14" spans="1:34" x14ac:dyDescent="0.2">
      <c r="A14" s="174">
        <f>Rules!I10</f>
        <v>14</v>
      </c>
      <c r="B14" s="49" t="str">
        <f>Rules!J10</f>
        <v>H</v>
      </c>
      <c r="C14" s="49" t="str">
        <f>Rules!K10</f>
        <v>S</v>
      </c>
      <c r="D14" s="49" t="str">
        <f>Rules!L10</f>
        <v>S</v>
      </c>
      <c r="E14" s="49" t="str">
        <f>Rules!M10</f>
        <v>S</v>
      </c>
      <c r="F14" s="49" t="str">
        <f>Rules!N10</f>
        <v>S</v>
      </c>
      <c r="G14" s="49" t="str">
        <f>Rules!O10</f>
        <v>S</v>
      </c>
      <c r="H14" s="49" t="str">
        <f>Rules!P10</f>
        <v>H</v>
      </c>
      <c r="I14" s="49" t="str">
        <f>Rules!Q10</f>
        <v>H</v>
      </c>
      <c r="J14" s="49" t="str">
        <f>Rules!R10</f>
        <v>H</v>
      </c>
      <c r="K14" s="49" t="str">
        <f>Rules!S10</f>
        <v>H</v>
      </c>
      <c r="M14" s="177">
        <f>'Strategy Summary'!A16</f>
        <v>2</v>
      </c>
      <c r="N14" s="1">
        <f>'Strategy Summary'!B16</f>
        <v>0.30359621918138968</v>
      </c>
      <c r="O14" s="1">
        <f>'Strategy Summary'!C16</f>
        <v>0.43540868270766425</v>
      </c>
      <c r="P14" s="1">
        <f>'Strategy Summary'!D16</f>
        <v>0.49844858780148954</v>
      </c>
      <c r="Q14" s="1">
        <f>'Strategy Summary'!E16</f>
        <v>0.53159897865742123</v>
      </c>
      <c r="R14" s="1">
        <f>'Strategy Summary'!F16</f>
        <v>0.54999447898666975</v>
      </c>
      <c r="S14" s="1">
        <f>'Strategy Summary'!G16</f>
        <v>0.56052385821016837</v>
      </c>
      <c r="T14" s="1">
        <f>'Strategy Summary'!H16</f>
        <v>0.56666106740869682</v>
      </c>
      <c r="U14" s="1">
        <f>'Strategy Summary'!I16</f>
        <v>0.5702767277290115</v>
      </c>
      <c r="V14" s="1">
        <f>'Strategy Summary'!J16</f>
        <v>0.57242042229372814</v>
      </c>
      <c r="X14" s="179">
        <f>ER!A9</f>
        <v>11</v>
      </c>
      <c r="Y14" s="34">
        <f>ER!B9</f>
        <v>0.14300128216153027</v>
      </c>
      <c r="Z14" s="34">
        <f>ER!C9</f>
        <v>0.47064092333946889</v>
      </c>
      <c r="AA14" s="34">
        <f>ER!D9</f>
        <v>0.51779525312221675</v>
      </c>
      <c r="AB14" s="34">
        <f>ER!E9</f>
        <v>0.56604055041797607</v>
      </c>
      <c r="AC14" s="34">
        <f>ER!F9</f>
        <v>0.61469901790902803</v>
      </c>
      <c r="AD14" s="34">
        <f>ER!G9</f>
        <v>0.66738009490756944</v>
      </c>
      <c r="AE14" s="34">
        <f>ER!H9</f>
        <v>0.46288894886429077</v>
      </c>
      <c r="AF14" s="34">
        <f>ER!I9</f>
        <v>0.35069259087031501</v>
      </c>
      <c r="AG14" s="34">
        <f>ER!J9</f>
        <v>0.22778342315245487</v>
      </c>
      <c r="AH14" s="34">
        <f>ER!K9</f>
        <v>0.1796887274111463</v>
      </c>
    </row>
    <row r="15" spans="1:34" x14ac:dyDescent="0.2">
      <c r="A15" s="174">
        <f>Rules!I11</f>
        <v>15</v>
      </c>
      <c r="B15" s="49" t="str">
        <f>Rules!J11</f>
        <v>H</v>
      </c>
      <c r="C15" s="49" t="str">
        <f>Rules!K11</f>
        <v>S</v>
      </c>
      <c r="D15" s="49" t="str">
        <f>Rules!L11</f>
        <v>S</v>
      </c>
      <c r="E15" s="49" t="str">
        <f>Rules!M11</f>
        <v>S</v>
      </c>
      <c r="F15" s="49" t="str">
        <f>Rules!N11</f>
        <v>S</v>
      </c>
      <c r="G15" s="49" t="str">
        <f>Rules!O11</f>
        <v>S</v>
      </c>
      <c r="H15" s="49" t="str">
        <f>Rules!P11</f>
        <v>H</v>
      </c>
      <c r="I15" s="49" t="str">
        <f>Rules!Q11</f>
        <v>H</v>
      </c>
      <c r="J15" s="49" t="str">
        <f>Rules!R11</f>
        <v>H</v>
      </c>
      <c r="K15" s="49" t="str">
        <f>Rules!S11</f>
        <v>H</v>
      </c>
      <c r="M15" s="177">
        <f>'Strategy Summary'!A17</f>
        <v>3</v>
      </c>
      <c r="N15" s="1">
        <f>'Strategy Summary'!B17</f>
        <v>0.46630621373131109</v>
      </c>
      <c r="O15" s="1">
        <f>'Strategy Summary'!C17</f>
        <v>0.61152120905960938</v>
      </c>
      <c r="P15" s="1">
        <f>'Strategy Summary'!D17</f>
        <v>0.67644275116677477</v>
      </c>
      <c r="Q15" s="1">
        <f>'Strategy Summary'!E17</f>
        <v>0.7091265215880701</v>
      </c>
      <c r="R15" s="1">
        <f>'Strategy Summary'!F17</f>
        <v>0.72678626343691899</v>
      </c>
      <c r="S15" s="1">
        <f>'Strategy Summary'!G17</f>
        <v>0.73673355891792758</v>
      </c>
      <c r="T15" s="1">
        <f>'Strategy Summary'!H17</f>
        <v>0.74247594420369967</v>
      </c>
      <c r="U15" s="1">
        <f>'Strategy Summary'!I17</f>
        <v>0.7458395489176628</v>
      </c>
      <c r="V15" s="1">
        <f>'Strategy Summary'!J17</f>
        <v>0.74782693012935897</v>
      </c>
      <c r="X15" s="179">
        <f>ER!A10</f>
        <v>12</v>
      </c>
      <c r="Y15" s="34">
        <f>ER!B10</f>
        <v>-0.35054034044008009</v>
      </c>
      <c r="Z15" s="34">
        <f>ER!C10</f>
        <v>-0.25338998596663809</v>
      </c>
      <c r="AA15" s="34">
        <f>ER!D10</f>
        <v>-0.2336908997980866</v>
      </c>
      <c r="AB15" s="34">
        <f>ER!E10</f>
        <v>-0.21106310899491437</v>
      </c>
      <c r="AC15" s="34">
        <f>ER!F10</f>
        <v>-0.16719266083547524</v>
      </c>
      <c r="AD15" s="34">
        <f>ER!G10</f>
        <v>-0.1536990158300045</v>
      </c>
      <c r="AE15" s="34">
        <f>ER!H10</f>
        <v>-0.21284771451731424</v>
      </c>
      <c r="AF15" s="34">
        <f>ER!I10</f>
        <v>-0.27157480502428616</v>
      </c>
      <c r="AG15" s="34">
        <f>ER!J10</f>
        <v>-0.3400132806089356</v>
      </c>
      <c r="AH15" s="34">
        <f>ER!K10</f>
        <v>-0.38104299284808768</v>
      </c>
    </row>
    <row r="16" spans="1:34" x14ac:dyDescent="0.2">
      <c r="A16" s="174">
        <f>Rules!I12</f>
        <v>16</v>
      </c>
      <c r="B16" s="49" t="str">
        <f>Rules!J12</f>
        <v>H</v>
      </c>
      <c r="C16" s="49" t="str">
        <f>Rules!K12</f>
        <v>S</v>
      </c>
      <c r="D16" s="49" t="str">
        <f>Rules!L12</f>
        <v>S</v>
      </c>
      <c r="E16" s="49" t="str">
        <f>Rules!M12</f>
        <v>S</v>
      </c>
      <c r="F16" s="49" t="str">
        <f>Rules!N12</f>
        <v>S</v>
      </c>
      <c r="G16" s="49" t="str">
        <f>Rules!O12</f>
        <v>S</v>
      </c>
      <c r="H16" s="49" t="str">
        <f>Rules!P12</f>
        <v>H</v>
      </c>
      <c r="I16" s="49" t="str">
        <f>Rules!Q12</f>
        <v>H</v>
      </c>
      <c r="J16" s="49" t="str">
        <f>Rules!R12</f>
        <v>H</v>
      </c>
      <c r="K16" s="49" t="str">
        <f>Rules!S12</f>
        <v>H</v>
      </c>
      <c r="M16" s="177">
        <f>'Strategy Summary'!A18</f>
        <v>4</v>
      </c>
      <c r="N16" s="1">
        <f>'Strategy Summary'!B18</f>
        <v>0.56380467654443689</v>
      </c>
      <c r="O16" s="1">
        <f>'Strategy Summary'!C18</f>
        <v>0.71545905870222526</v>
      </c>
      <c r="P16" s="1">
        <f>'Strategy Summary'!D18</f>
        <v>0.77855522482532002</v>
      </c>
      <c r="Q16" s="1">
        <f>'Strategy Summary'!E18</f>
        <v>0.80883230335189038</v>
      </c>
      <c r="R16" s="1">
        <f>'Strategy Summary'!F18</f>
        <v>0.82471539632075952</v>
      </c>
      <c r="S16" s="1">
        <f>'Strategy Summary'!G18</f>
        <v>0.83350380203976626</v>
      </c>
      <c r="T16" s="1">
        <f>'Strategy Summary'!H18</f>
        <v>0.83852317032668189</v>
      </c>
      <c r="U16" s="1">
        <f>'Strategy Summary'!I18</f>
        <v>0.84144447777238285</v>
      </c>
      <c r="V16" s="1">
        <f>'Strategy Summary'!J18</f>
        <v>0.84316391605253926</v>
      </c>
      <c r="X16" s="179">
        <f>ER!A11</f>
        <v>13</v>
      </c>
      <c r="Y16" s="34">
        <f>ER!B11</f>
        <v>-0.3969303161229315</v>
      </c>
      <c r="Z16" s="34">
        <f>ER!C11</f>
        <v>-0.29278372720927726</v>
      </c>
      <c r="AA16" s="34">
        <f>ER!D11</f>
        <v>-0.2522502292357135</v>
      </c>
      <c r="AB16" s="34">
        <f>ER!E11</f>
        <v>-0.21106310899491437</v>
      </c>
      <c r="AC16" s="34">
        <f>ER!F11</f>
        <v>-0.16719266083547524</v>
      </c>
      <c r="AD16" s="34">
        <f>ER!G11</f>
        <v>-0.1536990158300045</v>
      </c>
      <c r="AE16" s="34">
        <f>ER!H11</f>
        <v>-0.26907287776607752</v>
      </c>
      <c r="AF16" s="34">
        <f>ER!I11</f>
        <v>-0.32360517609397998</v>
      </c>
      <c r="AG16" s="34">
        <f>ER!J11</f>
        <v>-0.38715518913686875</v>
      </c>
      <c r="AH16" s="34">
        <f>ER!K11</f>
        <v>-0.42525420764465277</v>
      </c>
    </row>
    <row r="17" spans="1:34" x14ac:dyDescent="0.2">
      <c r="A17" s="174" t="str">
        <f>Rules!I13</f>
        <v>17-21</v>
      </c>
      <c r="B17" s="49" t="str">
        <f>Rules!J13</f>
        <v>S</v>
      </c>
      <c r="C17" s="49" t="str">
        <f>Rules!K13</f>
        <v>S</v>
      </c>
      <c r="D17" s="49" t="str">
        <f>Rules!L13</f>
        <v>S</v>
      </c>
      <c r="E17" s="49" t="str">
        <f>Rules!M13</f>
        <v>S</v>
      </c>
      <c r="F17" s="49" t="str">
        <f>Rules!N13</f>
        <v>S</v>
      </c>
      <c r="G17" s="49" t="str">
        <f>Rules!O13</f>
        <v>S</v>
      </c>
      <c r="H17" s="49" t="str">
        <f>Rules!P13</f>
        <v>S</v>
      </c>
      <c r="I17" s="49" t="str">
        <f>Rules!Q13</f>
        <v>S</v>
      </c>
      <c r="J17" s="49" t="str">
        <f>Rules!R13</f>
        <v>S</v>
      </c>
      <c r="K17" s="49" t="str">
        <f>Rules!S13</f>
        <v>S</v>
      </c>
      <c r="M17" s="359" t="s">
        <v>193</v>
      </c>
      <c r="N17" s="360"/>
      <c r="O17" s="360"/>
      <c r="P17" s="360"/>
      <c r="Q17" s="360"/>
      <c r="R17" s="360"/>
      <c r="S17" s="360"/>
      <c r="T17" s="360"/>
      <c r="U17" s="360"/>
      <c r="V17" s="361"/>
      <c r="X17" s="179">
        <f>ER!A12</f>
        <v>14</v>
      </c>
      <c r="Y17" s="34">
        <f>ER!B12</f>
        <v>-0.44000672211415065</v>
      </c>
      <c r="Z17" s="34">
        <f>ER!C12</f>
        <v>-0.29278372720927726</v>
      </c>
      <c r="AA17" s="34">
        <f>ER!D12</f>
        <v>-0.2522502292357135</v>
      </c>
      <c r="AB17" s="34">
        <f>ER!E12</f>
        <v>-0.21106310899491437</v>
      </c>
      <c r="AC17" s="34">
        <f>ER!F12</f>
        <v>-0.16719266083547524</v>
      </c>
      <c r="AD17" s="34">
        <f>ER!G12</f>
        <v>-0.1536990158300045</v>
      </c>
      <c r="AE17" s="34">
        <f>ER!H12</f>
        <v>-0.3212819579256434</v>
      </c>
      <c r="AF17" s="34">
        <f>ER!I12</f>
        <v>-0.37191909208726714</v>
      </c>
      <c r="AG17" s="34">
        <f>ER!J12</f>
        <v>-0.43092981848423528</v>
      </c>
      <c r="AH17" s="34">
        <f>ER!K12</f>
        <v>-0.46630747852717758</v>
      </c>
    </row>
    <row r="18" spans="1:34" x14ac:dyDescent="0.2">
      <c r="A18" s="174" t="str">
        <f>Rules!I14</f>
        <v>Soft</v>
      </c>
      <c r="B18" s="174" t="str">
        <f>Rules!J14</f>
        <v>A</v>
      </c>
      <c r="C18" s="174">
        <f>Rules!K14</f>
        <v>2</v>
      </c>
      <c r="D18" s="174">
        <f>Rules!L14</f>
        <v>3</v>
      </c>
      <c r="E18" s="174">
        <f>Rules!M14</f>
        <v>4</v>
      </c>
      <c r="F18" s="174">
        <f>Rules!N14</f>
        <v>5</v>
      </c>
      <c r="G18" s="174">
        <f>Rules!O14</f>
        <v>6</v>
      </c>
      <c r="H18" s="174">
        <f>Rules!P14</f>
        <v>7</v>
      </c>
      <c r="I18" s="174">
        <f>Rules!Q14</f>
        <v>8</v>
      </c>
      <c r="J18" s="174">
        <f>Rules!R14</f>
        <v>9</v>
      </c>
      <c r="K18" s="174">
        <f>Rules!S14</f>
        <v>10</v>
      </c>
      <c r="M18" s="177" t="s">
        <v>134</v>
      </c>
      <c r="N18" s="177" t="str">
        <f>'Strategy Summary'!B26</f>
        <v>1x2</v>
      </c>
      <c r="O18" s="177" t="str">
        <f>'Strategy Summary'!C26</f>
        <v>1x3</v>
      </c>
      <c r="P18" s="177" t="str">
        <f>'Strategy Summary'!D26</f>
        <v>1x4</v>
      </c>
      <c r="Q18" s="177" t="str">
        <f>'Strategy Summary'!E26</f>
        <v>1x5</v>
      </c>
      <c r="R18" s="177" t="str">
        <f>'Strategy Summary'!F26</f>
        <v>1x6</v>
      </c>
      <c r="S18" s="177" t="str">
        <f>'Strategy Summary'!G26</f>
        <v>1x7</v>
      </c>
      <c r="T18" s="177" t="str">
        <f>'Strategy Summary'!H26</f>
        <v>1x8</v>
      </c>
      <c r="U18" s="177" t="str">
        <f>'Strategy Summary'!I26</f>
        <v>1x9</v>
      </c>
      <c r="V18" s="177" t="str">
        <f>'Strategy Summary'!J26</f>
        <v>1x10</v>
      </c>
      <c r="X18" s="179">
        <f>ER!A13</f>
        <v>15</v>
      </c>
      <c r="Y18" s="34">
        <f>ER!B13</f>
        <v>-0.4800062419631399</v>
      </c>
      <c r="Z18" s="34">
        <f>ER!C13</f>
        <v>-0.29278372720927726</v>
      </c>
      <c r="AA18" s="34">
        <f>ER!D13</f>
        <v>-0.2522502292357135</v>
      </c>
      <c r="AB18" s="34">
        <f>ER!E13</f>
        <v>-0.21106310899491437</v>
      </c>
      <c r="AC18" s="34">
        <f>ER!F13</f>
        <v>-0.16719266083547524</v>
      </c>
      <c r="AD18" s="34">
        <f>ER!G13</f>
        <v>-0.1536990158300045</v>
      </c>
      <c r="AE18" s="34">
        <f>ER!H13</f>
        <v>-0.36976181807381175</v>
      </c>
      <c r="AF18" s="34">
        <f>ER!I13</f>
        <v>-0.41678201408103371</v>
      </c>
      <c r="AG18" s="34">
        <f>ER!J13</f>
        <v>-0.47157768859250415</v>
      </c>
      <c r="AH18" s="34">
        <f>ER!K13</f>
        <v>-0.5044283729180935</v>
      </c>
    </row>
    <row r="19" spans="1:34" x14ac:dyDescent="0.2">
      <c r="A19" s="174">
        <f>Rules!I15</f>
        <v>13</v>
      </c>
      <c r="B19" s="49" t="str">
        <f>Rules!J15</f>
        <v>H</v>
      </c>
      <c r="C19" s="49" t="str">
        <f>Rules!K15</f>
        <v>H</v>
      </c>
      <c r="D19" s="49" t="str">
        <f>Rules!L15</f>
        <v>H</v>
      </c>
      <c r="E19" s="49" t="str">
        <f>Rules!M15</f>
        <v>H</v>
      </c>
      <c r="F19" s="49" t="str">
        <f>Rules!N15</f>
        <v>H</v>
      </c>
      <c r="G19" s="49" t="str">
        <f>Rules!O15</f>
        <v>D</v>
      </c>
      <c r="H19" s="49" t="str">
        <f>Rules!P15</f>
        <v>H</v>
      </c>
      <c r="I19" s="49" t="str">
        <f>Rules!Q15</f>
        <v>H</v>
      </c>
      <c r="J19" s="49" t="str">
        <f>Rules!R15</f>
        <v>H</v>
      </c>
      <c r="K19" s="49" t="str">
        <f>Rules!S15</f>
        <v>H</v>
      </c>
      <c r="M19" s="177">
        <f>'Strategy Summary'!A28</f>
        <v>2</v>
      </c>
      <c r="N19" s="1">
        <f>'Strategy Summary'!B28</f>
        <v>19.763091965302699</v>
      </c>
      <c r="O19" s="1">
        <f>'Strategy Summary'!C28</f>
        <v>27.560313968421401</v>
      </c>
      <c r="P19" s="1">
        <f>'Strategy Summary'!D28</f>
        <v>40.124499275269557</v>
      </c>
      <c r="Q19" s="1">
        <f>'Strategy Summary'!E28</f>
        <v>56.433517001417954</v>
      </c>
      <c r="R19" s="1">
        <f>'Strategy Summary'!F28</f>
        <v>76.3644029252482</v>
      </c>
      <c r="S19" s="1">
        <f>'Strategy Summary'!G28</f>
        <v>99.906541318001857</v>
      </c>
      <c r="T19" s="1">
        <f>'Strategy Summary'!H28</f>
        <v>127.0600790155766</v>
      </c>
      <c r="U19" s="1">
        <f>'Strategy Summary'!I28</f>
        <v>157.81811815888599</v>
      </c>
      <c r="V19" s="1">
        <f>'Strategy Summary'!J28</f>
        <v>192.16644919694235</v>
      </c>
      <c r="X19" s="179">
        <f>ER!A14</f>
        <v>16</v>
      </c>
      <c r="Y19" s="34">
        <f>ER!B14</f>
        <v>-0.51714865325148707</v>
      </c>
      <c r="Z19" s="34">
        <f>ER!C14</f>
        <v>-0.29278372720927726</v>
      </c>
      <c r="AA19" s="34">
        <f>ER!D14</f>
        <v>-0.2522502292357135</v>
      </c>
      <c r="AB19" s="34">
        <f>ER!E14</f>
        <v>-0.21106310899491437</v>
      </c>
      <c r="AC19" s="34">
        <f>ER!F14</f>
        <v>-0.16719266083547524</v>
      </c>
      <c r="AD19" s="34">
        <f>ER!G14</f>
        <v>-0.1536990158300045</v>
      </c>
      <c r="AE19" s="34">
        <f>ER!H14</f>
        <v>-0.41477883106853947</v>
      </c>
      <c r="AF19" s="34">
        <f>ER!I14</f>
        <v>-0.45844044164667419</v>
      </c>
      <c r="AG19" s="34">
        <f>ER!J14</f>
        <v>-0.50932213940732529</v>
      </c>
      <c r="AH19" s="34">
        <f>ER!K14</f>
        <v>-0.53982634628108683</v>
      </c>
    </row>
    <row r="20" spans="1:34" x14ac:dyDescent="0.2">
      <c r="A20" s="174">
        <f>Rules!I16</f>
        <v>14</v>
      </c>
      <c r="B20" s="49" t="str">
        <f>Rules!J16</f>
        <v>H</v>
      </c>
      <c r="C20" s="49" t="str">
        <f>Rules!K16</f>
        <v>H</v>
      </c>
      <c r="D20" s="49" t="str">
        <f>Rules!L16</f>
        <v>H</v>
      </c>
      <c r="E20" s="49" t="str">
        <f>Rules!M16</f>
        <v>H</v>
      </c>
      <c r="F20" s="49" t="str">
        <f>Rules!N16</f>
        <v>D</v>
      </c>
      <c r="G20" s="49" t="str">
        <f>Rules!O16</f>
        <v>D</v>
      </c>
      <c r="H20" s="49" t="str">
        <f>Rules!P16</f>
        <v>H</v>
      </c>
      <c r="I20" s="49" t="str">
        <f>Rules!Q16</f>
        <v>H</v>
      </c>
      <c r="J20" s="49" t="str">
        <f>Rules!R16</f>
        <v>H</v>
      </c>
      <c r="K20" s="49" t="str">
        <f>Rules!S16</f>
        <v>H</v>
      </c>
      <c r="M20" s="177">
        <f>'Strategy Summary'!A29</f>
        <v>3</v>
      </c>
      <c r="N20" s="1">
        <f>'Strategy Summary'!B29</f>
        <v>30.023189886264088</v>
      </c>
      <c r="O20" s="1">
        <f>'Strategy Summary'!C29</f>
        <v>63.775384111327512</v>
      </c>
      <c r="P20" s="1">
        <f>'Strategy Summary'!D29</f>
        <v>124.17902306604816</v>
      </c>
      <c r="Q20" s="1">
        <f>'Strategy Summary'!E29</f>
        <v>218.57876596249932</v>
      </c>
      <c r="R20" s="1">
        <f>'Strategy Summary'!F29</f>
        <v>354.98744676314726</v>
      </c>
      <c r="S20" s="1">
        <f>'Strategy Summary'!G29</f>
        <v>541.57978168665011</v>
      </c>
      <c r="T20" s="1">
        <f>'Strategy Summary'!H29</f>
        <v>786.5574697188822</v>
      </c>
      <c r="U20" s="1">
        <f>'Strategy Summary'!I29</f>
        <v>1098.0914074461527</v>
      </c>
      <c r="V20" s="1">
        <f>'Strategy Summary'!J29</f>
        <v>1484.3006520345455</v>
      </c>
      <c r="X20" s="179">
        <f>ER!A15</f>
        <v>17</v>
      </c>
      <c r="Y20" s="34">
        <f>ER!B15</f>
        <v>-0.47803347499473703</v>
      </c>
      <c r="Z20" s="34">
        <f>ER!C15</f>
        <v>-0.15297458768154204</v>
      </c>
      <c r="AA20" s="34">
        <f>ER!D15</f>
        <v>-0.11721624142457365</v>
      </c>
      <c r="AB20" s="34">
        <f>ER!E15</f>
        <v>-8.0573373145316152E-2</v>
      </c>
      <c r="AC20" s="34">
        <f>ER!F15</f>
        <v>-4.4941375564924446E-2</v>
      </c>
      <c r="AD20" s="34">
        <f>ER!G15</f>
        <v>1.1739160673341853E-2</v>
      </c>
      <c r="AE20" s="34">
        <f>ER!H15</f>
        <v>-0.10680898948269468</v>
      </c>
      <c r="AF20" s="34">
        <f>ER!I15</f>
        <v>-0.38195097104844711</v>
      </c>
      <c r="AG20" s="34">
        <f>ER!J15</f>
        <v>-0.42315423964521737</v>
      </c>
      <c r="AH20" s="34">
        <f>ER!K15</f>
        <v>-0.41972063392881986</v>
      </c>
    </row>
    <row r="21" spans="1:34" x14ac:dyDescent="0.2">
      <c r="A21" s="174">
        <f>Rules!I17</f>
        <v>15</v>
      </c>
      <c r="B21" s="49" t="str">
        <f>Rules!J17</f>
        <v>H</v>
      </c>
      <c r="C21" s="49" t="str">
        <f>Rules!K17</f>
        <v>H</v>
      </c>
      <c r="D21" s="49" t="str">
        <f>Rules!L17</f>
        <v>H</v>
      </c>
      <c r="E21" s="49" t="str">
        <f>Rules!M17</f>
        <v>H</v>
      </c>
      <c r="F21" s="49" t="str">
        <f>Rules!N17</f>
        <v>D</v>
      </c>
      <c r="G21" s="49" t="str">
        <f>Rules!O17</f>
        <v>D</v>
      </c>
      <c r="H21" s="49" t="str">
        <f>Rules!P17</f>
        <v>H</v>
      </c>
      <c r="I21" s="49" t="str">
        <f>Rules!Q17</f>
        <v>H</v>
      </c>
      <c r="J21" s="49" t="str">
        <f>Rules!R17</f>
        <v>H</v>
      </c>
      <c r="K21" s="49" t="str">
        <f>Rules!S17</f>
        <v>H</v>
      </c>
      <c r="M21" s="177">
        <f>'Strategy Summary'!A30</f>
        <v>4</v>
      </c>
      <c r="N21" s="1">
        <f>'Strategy Summary'!B30</f>
        <v>53.209916923481771</v>
      </c>
      <c r="O21" s="1">
        <f>'Strategy Summary'!C30</f>
        <v>167.72448198177628</v>
      </c>
      <c r="P21" s="1">
        <f>'Strategy Summary'!D30</f>
        <v>436.70633650462474</v>
      </c>
      <c r="Q21" s="1">
        <f>'Strategy Summary'!E30</f>
        <v>964.35317527204825</v>
      </c>
      <c r="R21" s="1">
        <f>'Strategy Summary'!F30</f>
        <v>1884.2863937459429</v>
      </c>
      <c r="S21" s="1">
        <f>'Strategy Summary'!G30</f>
        <v>3359.3128107487778</v>
      </c>
      <c r="T21" s="1">
        <f>'Strategy Summary'!H30</f>
        <v>5581.2411220273252</v>
      </c>
      <c r="U21" s="1">
        <f>'Strategy Summary'!I30</f>
        <v>8770.6321628464557</v>
      </c>
      <c r="V21" s="1">
        <f>'Strategy Summary'!J30</f>
        <v>13176.560083374954</v>
      </c>
      <c r="X21" s="179">
        <f>ER!A16</f>
        <v>18</v>
      </c>
      <c r="Y21" s="34">
        <f>ER!B16</f>
        <v>-0.10019887561319057</v>
      </c>
      <c r="Z21" s="34">
        <f>ER!C16</f>
        <v>0.12174190222088771</v>
      </c>
      <c r="AA21" s="34">
        <f>ER!D16</f>
        <v>0.14830007284131119</v>
      </c>
      <c r="AB21" s="34">
        <f>ER!E16</f>
        <v>0.17585443719748528</v>
      </c>
      <c r="AC21" s="34">
        <f>ER!F16</f>
        <v>0.19956119497617719</v>
      </c>
      <c r="AD21" s="34">
        <f>ER!G16</f>
        <v>0.28344391604689856</v>
      </c>
      <c r="AE21" s="34">
        <f>ER!H16</f>
        <v>0.3995541673365518</v>
      </c>
      <c r="AF21" s="34">
        <f>ER!I16</f>
        <v>0.10595134861912359</v>
      </c>
      <c r="AG21" s="34">
        <f>ER!J16</f>
        <v>-0.18316335667343331</v>
      </c>
      <c r="AH21" s="34">
        <f>ER!K16</f>
        <v>-0.17830123379648949</v>
      </c>
    </row>
    <row r="22" spans="1:34" x14ac:dyDescent="0.2">
      <c r="A22" s="174">
        <f>Rules!I18</f>
        <v>16</v>
      </c>
      <c r="B22" s="49" t="str">
        <f>Rules!J18</f>
        <v>H</v>
      </c>
      <c r="C22" s="49" t="str">
        <f>Rules!K18</f>
        <v>H</v>
      </c>
      <c r="D22" s="49" t="str">
        <f>Rules!L18</f>
        <v>H</v>
      </c>
      <c r="E22" s="49" t="str">
        <f>Rules!M18</f>
        <v>D</v>
      </c>
      <c r="F22" s="49" t="str">
        <f>Rules!N18</f>
        <v>D</v>
      </c>
      <c r="G22" s="49" t="str">
        <f>Rules!O18</f>
        <v>D</v>
      </c>
      <c r="H22" s="49" t="str">
        <f>Rules!P18</f>
        <v>H</v>
      </c>
      <c r="I22" s="49" t="str">
        <f>Rules!Q18</f>
        <v>H</v>
      </c>
      <c r="J22" s="49" t="str">
        <f>Rules!R18</f>
        <v>H</v>
      </c>
      <c r="K22" s="49" t="str">
        <f>Rules!S18</f>
        <v>H</v>
      </c>
      <c r="M22" s="359" t="s">
        <v>194</v>
      </c>
      <c r="N22" s="360"/>
      <c r="O22" s="360"/>
      <c r="P22" s="360"/>
      <c r="Q22" s="360"/>
      <c r="R22" s="360"/>
      <c r="S22" s="360"/>
      <c r="T22" s="360"/>
      <c r="U22" s="360"/>
      <c r="V22" s="361"/>
      <c r="X22" s="179">
        <f>ER!A17</f>
        <v>19</v>
      </c>
      <c r="Y22" s="34">
        <f>ER!B17</f>
        <v>0.27763572376835594</v>
      </c>
      <c r="Z22" s="34">
        <f>ER!C17</f>
        <v>0.38630468602058993</v>
      </c>
      <c r="AA22" s="34">
        <f>ER!D17</f>
        <v>0.4043629365977599</v>
      </c>
      <c r="AB22" s="34">
        <f>ER!E17</f>
        <v>0.42317892482749653</v>
      </c>
      <c r="AC22" s="34">
        <f>ER!F17</f>
        <v>0.43951210416088371</v>
      </c>
      <c r="AD22" s="34">
        <f>ER!G17</f>
        <v>0.49597707378731914</v>
      </c>
      <c r="AE22" s="34">
        <f>ER!H17</f>
        <v>0.6159764957534315</v>
      </c>
      <c r="AF22" s="34">
        <f>ER!I17</f>
        <v>0.59385366828669439</v>
      </c>
      <c r="AG22" s="34">
        <f>ER!J17</f>
        <v>0.28759675706758148</v>
      </c>
      <c r="AH22" s="34">
        <f>ER!K17</f>
        <v>6.3118166335840831E-2</v>
      </c>
    </row>
    <row r="23" spans="1:34" x14ac:dyDescent="0.2">
      <c r="A23" s="174">
        <f>Rules!I19</f>
        <v>17</v>
      </c>
      <c r="B23" s="49" t="str">
        <f>Rules!J19</f>
        <v>H</v>
      </c>
      <c r="C23" s="49" t="str">
        <f>Rules!K19</f>
        <v>H</v>
      </c>
      <c r="D23" s="49" t="str">
        <f>Rules!L19</f>
        <v>D</v>
      </c>
      <c r="E23" s="49" t="str">
        <f>Rules!M19</f>
        <v>D</v>
      </c>
      <c r="F23" s="49" t="str">
        <f>Rules!N19</f>
        <v>D</v>
      </c>
      <c r="G23" s="49" t="str">
        <f>Rules!O19</f>
        <v>D</v>
      </c>
      <c r="H23" s="49" t="str">
        <f>Rules!P19</f>
        <v>H</v>
      </c>
      <c r="I23" s="49" t="str">
        <f>Rules!Q19</f>
        <v>H</v>
      </c>
      <c r="J23" s="49" t="str">
        <f>Rules!R19</f>
        <v>H</v>
      </c>
      <c r="K23" s="49" t="str">
        <f>Rules!S19</f>
        <v>H</v>
      </c>
      <c r="M23" s="177" t="s">
        <v>134</v>
      </c>
      <c r="N23" s="177" t="str">
        <f>'Strategy Summary'!B50</f>
        <v>1x2</v>
      </c>
      <c r="O23" s="177" t="str">
        <f>'Strategy Summary'!C50</f>
        <v>1x3</v>
      </c>
      <c r="P23" s="177" t="str">
        <f>'Strategy Summary'!D50</f>
        <v>1x4</v>
      </c>
      <c r="Q23" s="177" t="str">
        <f>'Strategy Summary'!E50</f>
        <v>1x5</v>
      </c>
      <c r="R23" s="177" t="str">
        <f>'Strategy Summary'!F50</f>
        <v>1x6</v>
      </c>
      <c r="S23" s="177" t="str">
        <f>'Strategy Summary'!G50</f>
        <v>1x7</v>
      </c>
      <c r="T23" s="177" t="str">
        <f>'Strategy Summary'!H50</f>
        <v>1x8</v>
      </c>
      <c r="U23" s="177" t="str">
        <f>'Strategy Summary'!I50</f>
        <v>1x9</v>
      </c>
      <c r="V23" s="177" t="str">
        <f>'Strategy Summary'!J50</f>
        <v>1x10</v>
      </c>
      <c r="X23" s="179" t="str">
        <f>ER!A18</f>
        <v>Soft</v>
      </c>
      <c r="Y23" s="179" t="str">
        <f>ER!B18</f>
        <v>Ace</v>
      </c>
      <c r="Z23" s="179">
        <f>ER!C18</f>
        <v>2</v>
      </c>
      <c r="AA23" s="179">
        <f>ER!D18</f>
        <v>3</v>
      </c>
      <c r="AB23" s="179">
        <f>ER!E18</f>
        <v>4</v>
      </c>
      <c r="AC23" s="179">
        <f>ER!F18</f>
        <v>5</v>
      </c>
      <c r="AD23" s="179">
        <f>ER!G18</f>
        <v>6</v>
      </c>
      <c r="AE23" s="179">
        <f>ER!H18</f>
        <v>7</v>
      </c>
      <c r="AF23" s="179">
        <f>ER!I18</f>
        <v>8</v>
      </c>
      <c r="AG23" s="179">
        <f>ER!J18</f>
        <v>9</v>
      </c>
      <c r="AH23" s="179">
        <f>ER!K18</f>
        <v>10</v>
      </c>
    </row>
    <row r="24" spans="1:34" x14ac:dyDescent="0.2">
      <c r="A24" s="174">
        <f>Rules!I20</f>
        <v>18</v>
      </c>
      <c r="B24" s="49" t="str">
        <f>Rules!J20</f>
        <v>H</v>
      </c>
      <c r="C24" s="49" t="str">
        <f>Rules!K20</f>
        <v>S</v>
      </c>
      <c r="D24" s="49" t="str">
        <f>Rules!L20</f>
        <v>D</v>
      </c>
      <c r="E24" s="49" t="str">
        <f>Rules!M20</f>
        <v>D</v>
      </c>
      <c r="F24" s="49" t="str">
        <f>Rules!N20</f>
        <v>D</v>
      </c>
      <c r="G24" s="49" t="str">
        <f>Rules!O20</f>
        <v>D</v>
      </c>
      <c r="H24" s="49" t="str">
        <f>Rules!P20</f>
        <v>S</v>
      </c>
      <c r="I24" s="49" t="str">
        <f>Rules!Q20</f>
        <v>S</v>
      </c>
      <c r="J24" s="49" t="str">
        <f>Rules!R20</f>
        <v>H</v>
      </c>
      <c r="K24" s="49" t="str">
        <f>Rules!S20</f>
        <v>H</v>
      </c>
      <c r="M24" s="177">
        <v>1</v>
      </c>
      <c r="N24" s="1">
        <f>'Strategy Summary (2)'!B27</f>
        <v>-135.48273602052737</v>
      </c>
      <c r="O24" s="1">
        <f>'Strategy Summary (2)'!C27</f>
        <v>76.15772018181427</v>
      </c>
      <c r="P24" s="1">
        <f>'Strategy Summary (2)'!D27</f>
        <v>76.813491867394845</v>
      </c>
      <c r="Q24" s="1">
        <f>'Strategy Summary (2)'!E27</f>
        <v>94.760689648460783</v>
      </c>
      <c r="R24" s="1">
        <f>'Strategy Summary (2)'!F27</f>
        <v>120.50730115270072</v>
      </c>
      <c r="S24" s="1">
        <f>'Strategy Summary (2)'!G27</f>
        <v>152.55994945022891</v>
      </c>
      <c r="T24" s="1">
        <f>'Strategy Summary (2)'!H27</f>
        <v>190.49219037799236</v>
      </c>
      <c r="U24" s="1">
        <f>'Strategy Summary (2)'!I27</f>
        <v>234.117655396218</v>
      </c>
      <c r="V24" s="1">
        <f>'Strategy Summary (2)'!J27</f>
        <v>283.31520886919731</v>
      </c>
      <c r="X24" s="179">
        <f>ER!A19</f>
        <v>13</v>
      </c>
      <c r="Y24" s="34">
        <f>ER!B19</f>
        <v>-5.7308046666810254E-2</v>
      </c>
      <c r="Z24" s="34">
        <f>ER!C19</f>
        <v>4.6636132695309578E-2</v>
      </c>
      <c r="AA24" s="34">
        <f>ER!D19</f>
        <v>7.4118813392744051E-2</v>
      </c>
      <c r="AB24" s="34">
        <f>ER!E19</f>
        <v>0.10247714687203523</v>
      </c>
      <c r="AC24" s="34">
        <f>ER!F19</f>
        <v>0.13336273848321728</v>
      </c>
      <c r="AD24" s="34">
        <f>ER!G19</f>
        <v>0.17974820582791512</v>
      </c>
      <c r="AE24" s="34">
        <f>ER!H19</f>
        <v>0.12238569517899196</v>
      </c>
      <c r="AF24" s="34">
        <f>ER!I19</f>
        <v>5.4057070196311299E-2</v>
      </c>
      <c r="AG24" s="34">
        <f>ER!J19</f>
        <v>-3.7694688127479885E-2</v>
      </c>
      <c r="AH24" s="34">
        <f>ER!K19</f>
        <v>-0.10485135840627779</v>
      </c>
    </row>
    <row r="25" spans="1:34" x14ac:dyDescent="0.2">
      <c r="A25" s="174">
        <f>Rules!I21</f>
        <v>19</v>
      </c>
      <c r="B25" s="49" t="str">
        <f>Rules!J21</f>
        <v>S</v>
      </c>
      <c r="C25" s="49" t="str">
        <f>Rules!K21</f>
        <v>S</v>
      </c>
      <c r="D25" s="49" t="str">
        <f>Rules!L21</f>
        <v>S</v>
      </c>
      <c r="E25" s="49" t="str">
        <f>Rules!M21</f>
        <v>S</v>
      </c>
      <c r="F25" s="49" t="str">
        <f>Rules!N21</f>
        <v>S</v>
      </c>
      <c r="G25" s="49" t="str">
        <f>Rules!O21</f>
        <v>S</v>
      </c>
      <c r="H25" s="49" t="str">
        <f>Rules!P21</f>
        <v>S</v>
      </c>
      <c r="I25" s="49" t="str">
        <f>Rules!Q21</f>
        <v>S</v>
      </c>
      <c r="J25" s="49" t="str">
        <f>Rules!R21</f>
        <v>S</v>
      </c>
      <c r="K25" s="49" t="str">
        <f>Rules!S21</f>
        <v>S</v>
      </c>
      <c r="M25" s="177">
        <v>2</v>
      </c>
      <c r="N25" s="1">
        <f>'Strategy Summary (2)'!B28</f>
        <v>32.938486608837835</v>
      </c>
      <c r="O25" s="1">
        <f>'Strategy Summary (2)'!C28</f>
        <v>62.010706428948147</v>
      </c>
      <c r="P25" s="1">
        <f>'Strategy Summary (2)'!D28</f>
        <v>112.34859797075475</v>
      </c>
      <c r="Q25" s="1">
        <f>'Strategy Summary (2)'!E28</f>
        <v>188.11172333805985</v>
      </c>
      <c r="R25" s="1">
        <f>'Strategy Summary (2)'!F28</f>
        <v>294.54841128310017</v>
      </c>
      <c r="S25" s="1">
        <f>'Strategy Summary (2)'!G28</f>
        <v>437.09111826625809</v>
      </c>
      <c r="T25" s="1">
        <f>'Strategy Summary (2)'!H28</f>
        <v>621.18260852059677</v>
      </c>
      <c r="U25" s="1">
        <f>'Strategy Summary (2)'!I28</f>
        <v>852.21783805798441</v>
      </c>
      <c r="V25" s="1">
        <f>'Strategy Summary (2)'!J28</f>
        <v>1135.5290179819322</v>
      </c>
      <c r="X25" s="179">
        <f>ER!A20</f>
        <v>14</v>
      </c>
      <c r="Y25" s="34">
        <f>ER!B20</f>
        <v>-9.3874324768310105E-2</v>
      </c>
      <c r="Z25" s="34">
        <f>ER!C20</f>
        <v>2.2391856987839083E-2</v>
      </c>
      <c r="AA25" s="34">
        <f>ER!D20</f>
        <v>5.0806738919282814E-2</v>
      </c>
      <c r="AB25" s="34">
        <f>ER!E20</f>
        <v>8.0081414310110233E-2</v>
      </c>
      <c r="AC25" s="34">
        <f>ER!F20</f>
        <v>0.12595448524867925</v>
      </c>
      <c r="AD25" s="34">
        <f>ER!G20</f>
        <v>0.17974820582791512</v>
      </c>
      <c r="AE25" s="34">
        <f>ER!H20</f>
        <v>7.9507488494468148E-2</v>
      </c>
      <c r="AF25" s="34">
        <f>ER!I20</f>
        <v>1.3277219463208444E-2</v>
      </c>
      <c r="AG25" s="34">
        <f>ER!J20</f>
        <v>-7.516318944168382E-2</v>
      </c>
      <c r="AH25" s="34">
        <f>ER!K20</f>
        <v>-0.13946678217545452</v>
      </c>
    </row>
    <row r="26" spans="1:34" x14ac:dyDescent="0.2">
      <c r="A26" s="174" t="str">
        <f>Rules!I22</f>
        <v>Pair</v>
      </c>
      <c r="B26" s="174" t="str">
        <f>Rules!J22</f>
        <v>A</v>
      </c>
      <c r="C26" s="174">
        <f>Rules!K22</f>
        <v>2</v>
      </c>
      <c r="D26" s="174">
        <f>Rules!L22</f>
        <v>3</v>
      </c>
      <c r="E26" s="174">
        <f>Rules!M22</f>
        <v>4</v>
      </c>
      <c r="F26" s="174">
        <f>Rules!N22</f>
        <v>5</v>
      </c>
      <c r="G26" s="174">
        <f>Rules!O22</f>
        <v>6</v>
      </c>
      <c r="H26" s="174">
        <f>Rules!P22</f>
        <v>7</v>
      </c>
      <c r="I26" s="174">
        <f>Rules!Q22</f>
        <v>8</v>
      </c>
      <c r="J26" s="174">
        <f>Rules!R22</f>
        <v>9</v>
      </c>
      <c r="K26" s="174">
        <f>Rules!S22</f>
        <v>10</v>
      </c>
      <c r="M26" s="177">
        <v>3</v>
      </c>
      <c r="N26" s="1">
        <f>'Strategy Summary (2)'!B29</f>
        <v>53.612839082614443</v>
      </c>
      <c r="O26" s="1">
        <f>'Strategy Summary (2)'!C29</f>
        <v>152.07976211162713</v>
      </c>
      <c r="P26" s="1">
        <f>'Strategy Summary (2)'!D29</f>
        <v>363.66713897914104</v>
      </c>
      <c r="Q26" s="1">
        <f>'Strategy Summary (2)'!E29</f>
        <v>754.44928896733643</v>
      </c>
      <c r="R26" s="1">
        <f>'Strategy Summary (2)'!F29</f>
        <v>1407.5665040259676</v>
      </c>
      <c r="S26" s="1">
        <f>'Strategy Summary (2)'!G29</f>
        <v>2422.8569180718559</v>
      </c>
      <c r="T26" s="1">
        <f>'Strategy Summary (2)'!H29</f>
        <v>3916.6252088056672</v>
      </c>
      <c r="U26" s="1">
        <f>'Strategy Summary (2)'!I29</f>
        <v>6021.4023331387934</v>
      </c>
      <c r="V26" s="1">
        <f>'Strategy Summary (2)'!J29</f>
        <v>8885.7457952878867</v>
      </c>
      <c r="X26" s="179">
        <f>ER!A21</f>
        <v>15</v>
      </c>
      <c r="Y26" s="34">
        <f>ER!B21</f>
        <v>-0.13002650167843849</v>
      </c>
      <c r="Z26" s="34">
        <f>ER!C21</f>
        <v>-1.2068474052636583E-4</v>
      </c>
      <c r="AA26" s="34">
        <f>ER!D21</f>
        <v>2.9159812622497363E-2</v>
      </c>
      <c r="AB26" s="34">
        <f>ER!E21</f>
        <v>5.9285376931179926E-2</v>
      </c>
      <c r="AC26" s="34">
        <f>ER!F21</f>
        <v>0.12595448524867925</v>
      </c>
      <c r="AD26" s="34">
        <f>ER!G21</f>
        <v>0.17974820582791512</v>
      </c>
      <c r="AE26" s="34">
        <f>ER!H21</f>
        <v>3.7028282279269235E-2</v>
      </c>
      <c r="AF26" s="34">
        <f>ER!I21</f>
        <v>-2.7054780502901672E-2</v>
      </c>
      <c r="AG26" s="34">
        <f>ER!J21</f>
        <v>-0.11218876868994289</v>
      </c>
      <c r="AH26" s="34">
        <f>ER!K21</f>
        <v>-0.17370423031226784</v>
      </c>
    </row>
    <row r="27" spans="1:34" x14ac:dyDescent="0.2">
      <c r="A27" s="174" t="str">
        <f>Rules!I23</f>
        <v>A</v>
      </c>
      <c r="B27" s="49" t="str">
        <f>Rules!J23</f>
        <v>P</v>
      </c>
      <c r="C27" s="49" t="str">
        <f>Rules!K23</f>
        <v>P</v>
      </c>
      <c r="D27" s="49" t="str">
        <f>Rules!L23</f>
        <v>P</v>
      </c>
      <c r="E27" s="49" t="str">
        <f>Rules!M23</f>
        <v>P</v>
      </c>
      <c r="F27" s="49" t="str">
        <f>Rules!N23</f>
        <v>P</v>
      </c>
      <c r="G27" s="49" t="str">
        <f>Rules!O23</f>
        <v>P</v>
      </c>
      <c r="H27" s="49" t="str">
        <f>Rules!P23</f>
        <v>P</v>
      </c>
      <c r="I27" s="49" t="str">
        <f>Rules!Q23</f>
        <v>P</v>
      </c>
      <c r="J27" s="49" t="str">
        <f>Rules!R23</f>
        <v>P</v>
      </c>
      <c r="K27" s="49" t="str">
        <f>Rules!S23</f>
        <v>P</v>
      </c>
      <c r="M27" s="359" t="s">
        <v>195</v>
      </c>
      <c r="N27" s="360"/>
      <c r="O27" s="360"/>
      <c r="P27" s="360"/>
      <c r="Q27" s="360"/>
      <c r="R27" s="360"/>
      <c r="S27" s="360"/>
      <c r="T27" s="360"/>
      <c r="U27" s="360"/>
      <c r="V27" s="361"/>
      <c r="X27" s="179">
        <f>ER!A22</f>
        <v>16</v>
      </c>
      <c r="Y27" s="34">
        <f>ER!B22</f>
        <v>-0.16563717206687348</v>
      </c>
      <c r="Z27" s="34">
        <f>ER!C22</f>
        <v>-2.1025187774008566E-2</v>
      </c>
      <c r="AA27" s="34">
        <f>ER!D22</f>
        <v>9.0590953469108244E-3</v>
      </c>
      <c r="AB27" s="34">
        <f>ER!E22</f>
        <v>5.8426518743744951E-2</v>
      </c>
      <c r="AC27" s="34">
        <f>ER!F22</f>
        <v>0.12595448524867925</v>
      </c>
      <c r="AD27" s="34">
        <f>ER!G22</f>
        <v>0.17974820582791512</v>
      </c>
      <c r="AE27" s="34">
        <f>ER!H22</f>
        <v>-4.8901571730158942E-3</v>
      </c>
      <c r="AF27" s="34">
        <f>ER!I22</f>
        <v>-6.6794847920094103E-2</v>
      </c>
      <c r="AG27" s="34">
        <f>ER!J22</f>
        <v>-0.14864353463007471</v>
      </c>
      <c r="AH27" s="34">
        <f>ER!K22</f>
        <v>-0.20744109003068206</v>
      </c>
    </row>
    <row r="28" spans="1:34" x14ac:dyDescent="0.2">
      <c r="A28" s="174">
        <f>Rules!I24</f>
        <v>2</v>
      </c>
      <c r="B28" s="49" t="str">
        <f>Rules!J24</f>
        <v>H</v>
      </c>
      <c r="C28" s="49" t="str">
        <f>Rules!K24</f>
        <v>H</v>
      </c>
      <c r="D28" s="49" t="str">
        <f>Rules!L24</f>
        <v>H</v>
      </c>
      <c r="E28" s="49" t="str">
        <f>Rules!M24</f>
        <v>P</v>
      </c>
      <c r="F28" s="49" t="str">
        <f>Rules!N24</f>
        <v>P</v>
      </c>
      <c r="G28" s="49" t="str">
        <f>Rules!O24</f>
        <v>P</v>
      </c>
      <c r="H28" s="49" t="str">
        <f>Rules!P24</f>
        <v>P</v>
      </c>
      <c r="I28" s="49" t="str">
        <f>Rules!Q24</f>
        <v>H</v>
      </c>
      <c r="J28" s="49" t="str">
        <f>Rules!R24</f>
        <v>H</v>
      </c>
      <c r="K28" s="49" t="str">
        <f>Rules!S24</f>
        <v>H</v>
      </c>
      <c r="M28" s="177" t="s">
        <v>134</v>
      </c>
      <c r="N28" s="177" t="str">
        <f>'Strategy Summary'!B62</f>
        <v>1x2</v>
      </c>
      <c r="O28" s="177" t="str">
        <f>'Strategy Summary'!C62</f>
        <v>1x3</v>
      </c>
      <c r="P28" s="177" t="str">
        <f>'Strategy Summary'!D62</f>
        <v>1x4</v>
      </c>
      <c r="Q28" s="177" t="str">
        <f>'Strategy Summary'!E62</f>
        <v>1x5</v>
      </c>
      <c r="R28" s="177" t="str">
        <f>'Strategy Summary'!F62</f>
        <v>1x6</v>
      </c>
      <c r="S28" s="177" t="str">
        <f>'Strategy Summary'!G62</f>
        <v>1x7</v>
      </c>
      <c r="T28" s="177" t="str">
        <f>'Strategy Summary'!H62</f>
        <v>1x8</v>
      </c>
      <c r="U28" s="177" t="str">
        <f>'Strategy Summary'!I62</f>
        <v>1x9</v>
      </c>
      <c r="V28" s="177" t="str">
        <f>'Strategy Summary'!J62</f>
        <v>1x10</v>
      </c>
      <c r="X28" s="179">
        <f>ER!A23</f>
        <v>17</v>
      </c>
      <c r="Y28" s="34">
        <f>ER!B23</f>
        <v>-0.17956936979241733</v>
      </c>
      <c r="Z28" s="34">
        <f>ER!C23</f>
        <v>-4.9104358288912882E-4</v>
      </c>
      <c r="AA28" s="34">
        <f>ER!D23</f>
        <v>5.5095284479298338E-2</v>
      </c>
      <c r="AB28" s="34">
        <f>ER!E23</f>
        <v>0.11865255067432869</v>
      </c>
      <c r="AC28" s="34">
        <f>ER!F23</f>
        <v>0.18237815537354879</v>
      </c>
      <c r="AD28" s="34">
        <f>ER!G23</f>
        <v>0.2561042872909981</v>
      </c>
      <c r="AE28" s="34">
        <f>ER!H23</f>
        <v>5.3823463716116654E-2</v>
      </c>
      <c r="AF28" s="34">
        <f>ER!I23</f>
        <v>-7.2915398729642075E-2</v>
      </c>
      <c r="AG28" s="34">
        <f>ER!J23</f>
        <v>-0.1497868921821332</v>
      </c>
      <c r="AH28" s="34">
        <f>ER!K23</f>
        <v>-0.19686697623363469</v>
      </c>
    </row>
    <row r="29" spans="1:34" x14ac:dyDescent="0.2">
      <c r="A29" s="174">
        <f>Rules!I25</f>
        <v>3</v>
      </c>
      <c r="B29" s="49" t="str">
        <f>Rules!J25</f>
        <v>H</v>
      </c>
      <c r="C29" s="49" t="str">
        <f>Rules!K25</f>
        <v>H</v>
      </c>
      <c r="D29" s="49" t="str">
        <f>Rules!L25</f>
        <v>H</v>
      </c>
      <c r="E29" s="49" t="str">
        <f>Rules!M25</f>
        <v>P</v>
      </c>
      <c r="F29" s="49" t="str">
        <f>Rules!N25</f>
        <v>P</v>
      </c>
      <c r="G29" s="49" t="str">
        <f>Rules!O25</f>
        <v>P</v>
      </c>
      <c r="H29" s="49" t="str">
        <f>Rules!P25</f>
        <v>P</v>
      </c>
      <c r="I29" s="49" t="str">
        <f>Rules!Q25</f>
        <v>H</v>
      </c>
      <c r="J29" s="49" t="str">
        <f>Rules!R25</f>
        <v>H</v>
      </c>
      <c r="K29" s="49" t="str">
        <f>Rules!S25</f>
        <v>H</v>
      </c>
      <c r="M29" s="177">
        <f>'Strategy Summary'!A63</f>
        <v>2</v>
      </c>
      <c r="N29" s="1">
        <f>'Strategy Summary'!B63</f>
        <v>-3.7275674444812489E-3</v>
      </c>
      <c r="O29" s="1">
        <f>'Strategy Summary'!C63</f>
        <v>1.0775849328642678E-2</v>
      </c>
      <c r="P29" s="1">
        <f>'Strategy Summary'!D63</f>
        <v>1.7191811293431305E-2</v>
      </c>
      <c r="Q29" s="1">
        <f>'Strategy Summary'!E63</f>
        <v>1.9209258764431761E-2</v>
      </c>
      <c r="R29" s="1">
        <f>'Strategy Summary'!F63</f>
        <v>1.9288980477798718E-2</v>
      </c>
      <c r="S29" s="1">
        <f>'Strategy Summary'!G63</f>
        <v>1.8564783840221529E-2</v>
      </c>
      <c r="T29" s="1">
        <f>'Strategy Summary'!H63</f>
        <v>1.7546201103596747E-2</v>
      </c>
      <c r="U29" s="1">
        <f>'Strategy Summary'!I63</f>
        <v>1.6461947461561287E-2</v>
      </c>
      <c r="V29" s="1">
        <f>'Strategy Summary'!J63</f>
        <v>1.5412038300376235E-2</v>
      </c>
      <c r="X29" s="179">
        <f>ER!A24</f>
        <v>18</v>
      </c>
      <c r="Y29" s="34">
        <f>ER!B24</f>
        <v>-9.2935491769284034E-2</v>
      </c>
      <c r="Z29" s="34">
        <f>ER!C24</f>
        <v>0.12174190222088771</v>
      </c>
      <c r="AA29" s="34">
        <f>ER!D24</f>
        <v>0.17764127567893753</v>
      </c>
      <c r="AB29" s="34">
        <f>ER!E24</f>
        <v>0.23700384775562167</v>
      </c>
      <c r="AC29" s="34">
        <f>ER!F24</f>
        <v>0.29522549562328804</v>
      </c>
      <c r="AD29" s="34">
        <f>ER!G24</f>
        <v>0.38150648207879345</v>
      </c>
      <c r="AE29" s="34">
        <f>ER!H24</f>
        <v>0.3995541673365518</v>
      </c>
      <c r="AF29" s="34">
        <f>ER!I24</f>
        <v>0.10595134861912359</v>
      </c>
      <c r="AG29" s="34">
        <f>ER!J24</f>
        <v>-0.10074430758041522</v>
      </c>
      <c r="AH29" s="34">
        <f>ER!K24</f>
        <v>-0.14380812317405353</v>
      </c>
    </row>
    <row r="30" spans="1:34" x14ac:dyDescent="0.2">
      <c r="A30" s="174">
        <f>Rules!I26</f>
        <v>4</v>
      </c>
      <c r="B30" s="49" t="str">
        <f>Rules!J26</f>
        <v>H</v>
      </c>
      <c r="C30" s="49" t="str">
        <f>Rules!K26</f>
        <v>H</v>
      </c>
      <c r="D30" s="49" t="str">
        <f>Rules!L26</f>
        <v>H</v>
      </c>
      <c r="E30" s="49" t="str">
        <f>Rules!M26</f>
        <v>H</v>
      </c>
      <c r="F30" s="49" t="str">
        <f>Rules!N26</f>
        <v>H</v>
      </c>
      <c r="G30" s="49" t="str">
        <f>Rules!O26</f>
        <v>H</v>
      </c>
      <c r="H30" s="49" t="str">
        <f>Rules!P26</f>
        <v>H</v>
      </c>
      <c r="I30" s="49" t="str">
        <f>Rules!Q26</f>
        <v>H</v>
      </c>
      <c r="J30" s="49" t="str">
        <f>Rules!R26</f>
        <v>H</v>
      </c>
      <c r="K30" s="49" t="str">
        <f>Rules!S26</f>
        <v>H</v>
      </c>
      <c r="M30" s="177">
        <f>'Strategy Summary'!A64</f>
        <v>3</v>
      </c>
      <c r="N30" s="1">
        <f>'Strategy Summary'!B64</f>
        <v>-3.7069207546567636E-3</v>
      </c>
      <c r="O30" s="1">
        <f>'Strategy Summary'!C64</f>
        <v>6.783563876462605E-3</v>
      </c>
      <c r="P30" s="1">
        <f>'Strategy Summary'!D64</f>
        <v>7.9147715066398075E-3</v>
      </c>
      <c r="Q30" s="1">
        <f>'Strategy Summary'!E64</f>
        <v>6.9749345476300059E-3</v>
      </c>
      <c r="R30" s="1">
        <f>'Strategy Summary'!F64</f>
        <v>5.7911082805597296E-3</v>
      </c>
      <c r="S30" s="1">
        <f>'Strategy Summary'!G64</f>
        <v>4.7580579497721364E-3</v>
      </c>
      <c r="T30" s="1">
        <f>'Strategy Summary'!H64</f>
        <v>3.9273788430415346E-3</v>
      </c>
      <c r="U30" s="1">
        <f>'Strategy Summary'!I64</f>
        <v>3.2729958889505151E-3</v>
      </c>
      <c r="V30" s="1">
        <f>'Strategy Summary'!J64</f>
        <v>2.7576990939116612E-3</v>
      </c>
      <c r="X30" s="179">
        <f>ER!A25</f>
        <v>19</v>
      </c>
      <c r="Y30" s="34">
        <f>ER!B25</f>
        <v>0.27763572376835594</v>
      </c>
      <c r="Z30" s="34">
        <f>ER!C25</f>
        <v>0.38630468602058993</v>
      </c>
      <c r="AA30" s="34">
        <f>ER!D25</f>
        <v>0.4043629365977599</v>
      </c>
      <c r="AB30" s="34">
        <f>ER!E25</f>
        <v>0.42317892482749653</v>
      </c>
      <c r="AC30" s="34">
        <f>ER!F25</f>
        <v>0.43951210416088371</v>
      </c>
      <c r="AD30" s="34">
        <f>ER!G25</f>
        <v>0.49597707378731914</v>
      </c>
      <c r="AE30" s="34">
        <f>ER!H25</f>
        <v>0.6159764957534315</v>
      </c>
      <c r="AF30" s="34">
        <f>ER!I25</f>
        <v>0.59385366828669439</v>
      </c>
      <c r="AG30" s="34">
        <f>ER!J25</f>
        <v>0.28759675706758148</v>
      </c>
      <c r="AH30" s="34">
        <f>ER!K25</f>
        <v>6.3118166335840831E-2</v>
      </c>
    </row>
    <row r="31" spans="1:34" x14ac:dyDescent="0.2">
      <c r="A31" s="174">
        <f>Rules!I27</f>
        <v>5</v>
      </c>
      <c r="B31" s="49" t="str">
        <f>Rules!J27</f>
        <v>H</v>
      </c>
      <c r="C31" s="49" t="str">
        <f>Rules!K27</f>
        <v>D</v>
      </c>
      <c r="D31" s="49" t="str">
        <f>Rules!L27</f>
        <v>D</v>
      </c>
      <c r="E31" s="49" t="str">
        <f>Rules!M27</f>
        <v>D</v>
      </c>
      <c r="F31" s="49" t="str">
        <f>Rules!N27</f>
        <v>D</v>
      </c>
      <c r="G31" s="49" t="str">
        <f>Rules!O27</f>
        <v>D</v>
      </c>
      <c r="H31" s="49" t="str">
        <f>Rules!P27</f>
        <v>D</v>
      </c>
      <c r="I31" s="49" t="str">
        <f>Rules!Q27</f>
        <v>D</v>
      </c>
      <c r="J31" s="49" t="str">
        <f>Rules!R27</f>
        <v>D</v>
      </c>
      <c r="K31" s="49" t="str">
        <f>Rules!S27</f>
        <v>H</v>
      </c>
      <c r="M31" s="177">
        <f>'Strategy Summary'!A65</f>
        <v>4</v>
      </c>
      <c r="N31" s="1">
        <f>'Strategy Summary'!B65</f>
        <v>-2.8086020754824613E-3</v>
      </c>
      <c r="O31" s="1">
        <f>'Strategy Summary'!C65</f>
        <v>3.3380673809323205E-3</v>
      </c>
      <c r="P31" s="1">
        <f>'Strategy Summary'!D65</f>
        <v>2.8469240555476691E-3</v>
      </c>
      <c r="Q31" s="1">
        <f>'Strategy Summary'!E65</f>
        <v>1.9733793043461671E-3</v>
      </c>
      <c r="R31" s="1">
        <f>'Strategy Summary'!F65</f>
        <v>1.3513064982832888E-3</v>
      </c>
      <c r="S31" s="1">
        <f>'Strategy Summary'!G65</f>
        <v>9.4577072335432996E-4</v>
      </c>
      <c r="T31" s="1">
        <f>'Strategy Summary'!H65</f>
        <v>6.8057250169949949E-4</v>
      </c>
      <c r="U31" s="1">
        <f>'Strategy Summary'!I65</f>
        <v>5.0307020363699528E-4</v>
      </c>
      <c r="V31" s="1">
        <f>'Strategy Summary'!J65</f>
        <v>3.8100208526715355E-4</v>
      </c>
      <c r="X31" s="179">
        <f>ER!A26</f>
        <v>20</v>
      </c>
      <c r="Y31" s="34">
        <f>ER!B26</f>
        <v>0.65547032314990239</v>
      </c>
      <c r="Z31" s="34">
        <f>ER!C26</f>
        <v>0.63998657521683877</v>
      </c>
      <c r="AA31" s="34">
        <f>ER!D26</f>
        <v>0.65027209425148136</v>
      </c>
      <c r="AB31" s="34">
        <f>ER!E26</f>
        <v>0.66104996194807186</v>
      </c>
      <c r="AC31" s="34">
        <f>ER!F26</f>
        <v>0.67035969063279999</v>
      </c>
      <c r="AD31" s="34">
        <f>ER!G26</f>
        <v>0.70395857017134467</v>
      </c>
      <c r="AE31" s="34">
        <f>ER!H26</f>
        <v>0.77322722653717491</v>
      </c>
      <c r="AF31" s="34">
        <f>ER!I26</f>
        <v>0.79181515955189841</v>
      </c>
      <c r="AG31" s="34">
        <f>ER!J26</f>
        <v>0.75835687080859626</v>
      </c>
      <c r="AH31" s="34">
        <f>ER!K26</f>
        <v>0.55453756646817121</v>
      </c>
    </row>
    <row r="32" spans="1:34" x14ac:dyDescent="0.2">
      <c r="A32" s="174">
        <f>Rules!I28</f>
        <v>6</v>
      </c>
      <c r="B32" s="49" t="str">
        <f>Rules!J28</f>
        <v>H</v>
      </c>
      <c r="C32" s="49" t="str">
        <f>Rules!K28</f>
        <v>H</v>
      </c>
      <c r="D32" s="49" t="str">
        <f>Rules!L28</f>
        <v>P</v>
      </c>
      <c r="E32" s="49" t="str">
        <f>Rules!M28</f>
        <v>P</v>
      </c>
      <c r="F32" s="49" t="str">
        <f>Rules!N28</f>
        <v>P</v>
      </c>
      <c r="G32" s="49" t="str">
        <f>Rules!O28</f>
        <v>P</v>
      </c>
      <c r="H32" s="49" t="str">
        <f>Rules!P28</f>
        <v>H</v>
      </c>
      <c r="I32" s="49" t="str">
        <f>Rules!Q28</f>
        <v>H</v>
      </c>
      <c r="J32" s="49" t="str">
        <f>Rules!R28</f>
        <v>H</v>
      </c>
      <c r="K32" s="49" t="str">
        <f>Rules!S28</f>
        <v>H</v>
      </c>
      <c r="M32" s="359" t="s">
        <v>196</v>
      </c>
      <c r="N32" s="360"/>
      <c r="O32" s="360"/>
      <c r="P32" s="360"/>
      <c r="Q32" s="360"/>
      <c r="R32" s="360"/>
      <c r="S32" s="360"/>
      <c r="T32" s="360"/>
      <c r="U32" s="360"/>
      <c r="V32" s="361"/>
      <c r="X32" s="179">
        <f>ER!A27</f>
        <v>21</v>
      </c>
      <c r="Y32" s="34">
        <f>ER!B27</f>
        <v>1.5</v>
      </c>
      <c r="Z32" s="34">
        <f>ER!C27</f>
        <v>1.5</v>
      </c>
      <c r="AA32" s="34">
        <f>ER!D27</f>
        <v>1.5</v>
      </c>
      <c r="AB32" s="34">
        <f>ER!E27</f>
        <v>1.5</v>
      </c>
      <c r="AC32" s="34">
        <f>ER!F27</f>
        <v>1.5</v>
      </c>
      <c r="AD32" s="34">
        <f>ER!G27</f>
        <v>1.5</v>
      </c>
      <c r="AE32" s="34">
        <f>ER!H27</f>
        <v>1.5</v>
      </c>
      <c r="AF32" s="34">
        <f>ER!I27</f>
        <v>1.5</v>
      </c>
      <c r="AG32" s="34">
        <f>ER!J27</f>
        <v>1.5</v>
      </c>
      <c r="AH32" s="34">
        <f>ER!K27</f>
        <v>1.5</v>
      </c>
    </row>
    <row r="33" spans="1:34" x14ac:dyDescent="0.2">
      <c r="A33" s="174">
        <f>Rules!I29</f>
        <v>7</v>
      </c>
      <c r="B33" s="49" t="str">
        <f>Rules!J29</f>
        <v>H</v>
      </c>
      <c r="C33" s="49" t="str">
        <f>Rules!K29</f>
        <v>P</v>
      </c>
      <c r="D33" s="49" t="str">
        <f>Rules!L29</f>
        <v>P</v>
      </c>
      <c r="E33" s="49" t="str">
        <f>Rules!M29</f>
        <v>P</v>
      </c>
      <c r="F33" s="49" t="str">
        <f>Rules!N29</f>
        <v>P</v>
      </c>
      <c r="G33" s="49" t="str">
        <f>Rules!O29</f>
        <v>P</v>
      </c>
      <c r="H33" s="49" t="str">
        <f>Rules!P29</f>
        <v>P</v>
      </c>
      <c r="I33" s="49" t="str">
        <f>Rules!Q29</f>
        <v>H</v>
      </c>
      <c r="J33" s="49" t="str">
        <f>Rules!R29</f>
        <v>H</v>
      </c>
      <c r="K33" s="49" t="str">
        <f>Rules!S29</f>
        <v>H</v>
      </c>
      <c r="M33" s="177" t="s">
        <v>134</v>
      </c>
      <c r="N33" s="177" t="str">
        <f>N23</f>
        <v>1x2</v>
      </c>
      <c r="O33" s="177" t="str">
        <f t="shared" ref="O33:V33" si="0">O23</f>
        <v>1x3</v>
      </c>
      <c r="P33" s="177" t="str">
        <f t="shared" si="0"/>
        <v>1x4</v>
      </c>
      <c r="Q33" s="177" t="str">
        <f t="shared" si="0"/>
        <v>1x5</v>
      </c>
      <c r="R33" s="177" t="str">
        <f t="shared" si="0"/>
        <v>1x6</v>
      </c>
      <c r="S33" s="177" t="str">
        <f t="shared" si="0"/>
        <v>1x7</v>
      </c>
      <c r="T33" s="177" t="str">
        <f t="shared" si="0"/>
        <v>1x8</v>
      </c>
      <c r="U33" s="177" t="str">
        <f t="shared" si="0"/>
        <v>1x9</v>
      </c>
      <c r="V33" s="177" t="str">
        <f t="shared" si="0"/>
        <v>1x10</v>
      </c>
      <c r="X33" s="179" t="str">
        <f>ER!A28</f>
        <v>Pair</v>
      </c>
      <c r="Y33" s="179" t="str">
        <f>ER!B28</f>
        <v>Ace</v>
      </c>
      <c r="Z33" s="179">
        <f>ER!C28</f>
        <v>2</v>
      </c>
      <c r="AA33" s="179">
        <f>ER!D28</f>
        <v>3</v>
      </c>
      <c r="AB33" s="179">
        <f>ER!E28</f>
        <v>4</v>
      </c>
      <c r="AC33" s="179">
        <f>ER!F28</f>
        <v>5</v>
      </c>
      <c r="AD33" s="179">
        <f>ER!G28</f>
        <v>6</v>
      </c>
      <c r="AE33" s="179">
        <f>ER!H28</f>
        <v>7</v>
      </c>
      <c r="AF33" s="179">
        <f>ER!I28</f>
        <v>8</v>
      </c>
      <c r="AG33" s="179">
        <f>ER!J28</f>
        <v>9</v>
      </c>
      <c r="AH33" s="179">
        <f>ER!K28</f>
        <v>10</v>
      </c>
    </row>
    <row r="34" spans="1:34" x14ac:dyDescent="0.2">
      <c r="A34" s="174">
        <f>Rules!I30</f>
        <v>8</v>
      </c>
      <c r="B34" s="49" t="str">
        <f>Rules!J30</f>
        <v>P</v>
      </c>
      <c r="C34" s="49" t="str">
        <f>Rules!K30</f>
        <v>P</v>
      </c>
      <c r="D34" s="49" t="str">
        <f>Rules!L30</f>
        <v>P</v>
      </c>
      <c r="E34" s="49" t="str">
        <f>Rules!M30</f>
        <v>P</v>
      </c>
      <c r="F34" s="49" t="str">
        <f>Rules!N30</f>
        <v>P</v>
      </c>
      <c r="G34" s="49" t="str">
        <f>Rules!O30</f>
        <v>P</v>
      </c>
      <c r="H34" s="49" t="str">
        <f>Rules!P30</f>
        <v>P</v>
      </c>
      <c r="I34" s="49" t="str">
        <f>Rules!Q30</f>
        <v>P</v>
      </c>
      <c r="J34" s="49" t="str">
        <f>Rules!R30</f>
        <v>P</v>
      </c>
      <c r="K34" s="49" t="str">
        <f>Rules!S30</f>
        <v>P</v>
      </c>
      <c r="M34" s="177">
        <v>1</v>
      </c>
      <c r="N34" s="1">
        <f>'Strategy Summary (2)'!B63</f>
        <v>2.6992534206719755E-4</v>
      </c>
      <c r="O34" s="1">
        <f>'Strategy Summary (2)'!C63</f>
        <v>2.006535823781362E-3</v>
      </c>
      <c r="P34" s="1">
        <f>'Strategy Summary (2)'!D63</f>
        <v>4.7203889781954203E-3</v>
      </c>
      <c r="Q34" s="1">
        <f>'Strategy Summary (2)'!E63</f>
        <v>6.0889699433687335E-3</v>
      </c>
      <c r="R34" s="1">
        <f>'Strategy Summary (2)'!F63</f>
        <v>6.5542124403615886E-3</v>
      </c>
      <c r="S34" s="1">
        <f>'Strategy Summary (2)'!G63</f>
        <v>6.5475572777139871E-3</v>
      </c>
      <c r="T34" s="1">
        <f>'Strategy Summary (2)'!H63</f>
        <v>6.3195004749005924E-3</v>
      </c>
      <c r="U34" s="1">
        <f>'Strategy Summary (2)'!I63</f>
        <v>6.0013145246795617E-3</v>
      </c>
      <c r="V34" s="1">
        <f>'Strategy Summary (2)'!J63</f>
        <v>5.6586544409754289E-3</v>
      </c>
      <c r="X34" s="179" t="str">
        <f>ER!A29</f>
        <v>Ace</v>
      </c>
      <c r="Y34" s="34">
        <f>ER!B29</f>
        <v>0.10906077977909699</v>
      </c>
      <c r="Z34" s="34">
        <f>ER!C29</f>
        <v>0.47064092333946894</v>
      </c>
      <c r="AA34" s="34">
        <f>ER!D29</f>
        <v>0.51779525312221664</v>
      </c>
      <c r="AB34" s="34">
        <f>ER!E29</f>
        <v>0.56604055041797596</v>
      </c>
      <c r="AC34" s="34">
        <f>ER!F29</f>
        <v>0.61469901790902803</v>
      </c>
      <c r="AD34" s="34">
        <f>ER!G29</f>
        <v>0.66738009490756944</v>
      </c>
      <c r="AE34" s="34">
        <f>ER!H29</f>
        <v>0.46288894886429088</v>
      </c>
      <c r="AF34" s="34">
        <f>ER!I29</f>
        <v>0.35069259087031512</v>
      </c>
      <c r="AG34" s="34">
        <f>ER!J29</f>
        <v>0.22778342315245487</v>
      </c>
      <c r="AH34" s="34">
        <f>ER!K29</f>
        <v>0.17968872741114625</v>
      </c>
    </row>
    <row r="35" spans="1:34" x14ac:dyDescent="0.2">
      <c r="A35" s="174">
        <f>Rules!I31</f>
        <v>9</v>
      </c>
      <c r="B35" s="49" t="str">
        <f>Rules!J31</f>
        <v>S</v>
      </c>
      <c r="C35" s="49" t="str">
        <f>Rules!K31</f>
        <v>P</v>
      </c>
      <c r="D35" s="49" t="str">
        <f>Rules!L31</f>
        <v>P</v>
      </c>
      <c r="E35" s="49" t="str">
        <f>Rules!M31</f>
        <v>P</v>
      </c>
      <c r="F35" s="49" t="str">
        <f>Rules!N31</f>
        <v>P</v>
      </c>
      <c r="G35" s="49" t="str">
        <f>Rules!O31</f>
        <v>P</v>
      </c>
      <c r="H35" s="49" t="str">
        <f>Rules!P31</f>
        <v>S</v>
      </c>
      <c r="I35" s="49" t="str">
        <f>Rules!Q31</f>
        <v>P</v>
      </c>
      <c r="J35" s="49" t="str">
        <f>Rules!R31</f>
        <v>P</v>
      </c>
      <c r="K35" s="49" t="str">
        <f>Rules!S31</f>
        <v>S</v>
      </c>
      <c r="M35" s="177">
        <v>2</v>
      </c>
      <c r="N35" s="1">
        <f>'Strategy Summary (2)'!B64</f>
        <v>-2.2365404666887492E-3</v>
      </c>
      <c r="O35" s="1">
        <f>'Strategy Summary (2)'!C64</f>
        <v>4.789266368285635E-3</v>
      </c>
      <c r="P35" s="1">
        <f>'Strategy Summary (2)'!D64</f>
        <v>6.1399326047968947E-3</v>
      </c>
      <c r="Q35" s="1">
        <f>'Strategy Summary (2)'!E64</f>
        <v>5.7627776293295288E-3</v>
      </c>
      <c r="R35" s="1">
        <f>'Strategy Summary (2)'!F64</f>
        <v>5.0008467905404089E-3</v>
      </c>
      <c r="S35" s="1">
        <f>'Strategy Summary (2)'!G64</f>
        <v>4.243379163479207E-3</v>
      </c>
      <c r="T35" s="1">
        <f>'Strategy Summary (2)'!H64</f>
        <v>3.5889956802811524E-3</v>
      </c>
      <c r="U35" s="1">
        <f>'Strategy Summary (2)'!I64</f>
        <v>3.048508789178016E-3</v>
      </c>
      <c r="V35" s="1">
        <f>'Strategy Summary (2)'!J64</f>
        <v>2.6081910969867473E-3</v>
      </c>
      <c r="X35" s="179">
        <f>ER!A30</f>
        <v>2</v>
      </c>
      <c r="Y35" s="34">
        <f>ER!B30</f>
        <v>-0.25307699440390863</v>
      </c>
      <c r="Z35" s="34">
        <f>ER!C30</f>
        <v>-0.11491332761892134</v>
      </c>
      <c r="AA35" s="34">
        <f>ER!D30</f>
        <v>-8.2613314299744361E-2</v>
      </c>
      <c r="AB35" s="34">
        <f>ER!E30</f>
        <v>-4.4200824271668777E-2</v>
      </c>
      <c r="AC35" s="34">
        <f>ER!F30</f>
        <v>2.7460064569567143E-2</v>
      </c>
      <c r="AD35" s="34">
        <f>ER!G30</f>
        <v>7.7766823892602463E-2</v>
      </c>
      <c r="AE35" s="34">
        <f>ER!H30</f>
        <v>-5.4514042751724494E-2</v>
      </c>
      <c r="AF35" s="34">
        <f>ER!I30</f>
        <v>-0.15933415266020512</v>
      </c>
      <c r="AG35" s="34">
        <f>ER!J30</f>
        <v>-0.24066617915336547</v>
      </c>
      <c r="AH35" s="34">
        <f>ER!K30</f>
        <v>-0.28919791448567511</v>
      </c>
    </row>
    <row r="36" spans="1:34" x14ac:dyDescent="0.2">
      <c r="A36" s="174">
        <f>Rules!I32</f>
        <v>10</v>
      </c>
      <c r="B36" s="49" t="str">
        <f>Rules!J32</f>
        <v>S</v>
      </c>
      <c r="C36" s="49" t="str">
        <f>Rules!K32</f>
        <v>S</v>
      </c>
      <c r="D36" s="49" t="str">
        <f>Rules!L32</f>
        <v>S</v>
      </c>
      <c r="E36" s="49" t="str">
        <f>Rules!M32</f>
        <v>S</v>
      </c>
      <c r="F36" s="49" t="str">
        <f>Rules!N32</f>
        <v>S</v>
      </c>
      <c r="G36" s="49" t="str">
        <f>Rules!O32</f>
        <v>S</v>
      </c>
      <c r="H36" s="49" t="str">
        <f>Rules!P32</f>
        <v>S</v>
      </c>
      <c r="I36" s="49" t="str">
        <f>Rules!Q32</f>
        <v>S</v>
      </c>
      <c r="J36" s="49" t="str">
        <f>Rules!R32</f>
        <v>S</v>
      </c>
      <c r="K36" s="49" t="str">
        <f>Rules!S32</f>
        <v>S</v>
      </c>
      <c r="M36" s="177">
        <v>3</v>
      </c>
      <c r="N36" s="1">
        <f>'Strategy Summary (2)'!B65</f>
        <v>-2.0758756226077874E-3</v>
      </c>
      <c r="O36" s="1">
        <f>'Strategy Summary (2)'!C65</f>
        <v>2.8447203352907698E-3</v>
      </c>
      <c r="P36" s="1">
        <f>'Strategy Summary (2)'!D65</f>
        <v>2.7026049047062756E-3</v>
      </c>
      <c r="Q36" s="1">
        <f>'Strategy Summary (2)'!E65</f>
        <v>2.020775429687198E-3</v>
      </c>
      <c r="R36" s="1">
        <f>'Strategy Summary (2)'!F65</f>
        <v>1.4605141118127179E-3</v>
      </c>
      <c r="S36" s="1">
        <f>'Strategy Summary (2)'!G65</f>
        <v>1.063565894654948E-3</v>
      </c>
      <c r="T36" s="1">
        <f>'Strategy Summary (2)'!H65</f>
        <v>7.8871707164245388E-4</v>
      </c>
      <c r="U36" s="1">
        <f>'Strategy Summary (2)'!I65</f>
        <v>5.9687900980861098E-4</v>
      </c>
      <c r="V36" s="1">
        <f>'Strategy Summary (2)'!J65</f>
        <v>4.6065402471662063E-4</v>
      </c>
      <c r="X36" s="179">
        <f>ER!A31</f>
        <v>3</v>
      </c>
      <c r="Y36" s="34">
        <f>ER!B31</f>
        <v>-0.30414663097569933</v>
      </c>
      <c r="Z36" s="34">
        <f>ER!C31</f>
        <v>-0.14075911746001987</v>
      </c>
      <c r="AA36" s="34">
        <f>ER!D31</f>
        <v>-0.10729107800860836</v>
      </c>
      <c r="AB36" s="34">
        <f>ER!E31</f>
        <v>-7.2522581417810678E-2</v>
      </c>
      <c r="AC36" s="34">
        <f>ER!F31</f>
        <v>3.3991424279375615E-4</v>
      </c>
      <c r="AD36" s="34">
        <f>ER!G31</f>
        <v>4.8942606413118719E-2</v>
      </c>
      <c r="AE36" s="34">
        <f>ER!H31</f>
        <v>-0.11487517708071333</v>
      </c>
      <c r="AF36" s="34">
        <f>ER!I31</f>
        <v>-0.21724188132078476</v>
      </c>
      <c r="AG36" s="34">
        <f>ER!J31</f>
        <v>-0.29264070019772598</v>
      </c>
      <c r="AH36" s="34">
        <f>ER!K31</f>
        <v>-0.33774944037840804</v>
      </c>
    </row>
    <row r="37" spans="1:34" x14ac:dyDescent="0.2">
      <c r="A37" s="300" t="str">
        <f>Summary!B32</f>
        <v>EV = -0.00690236639114027</v>
      </c>
      <c r="B37" s="300"/>
      <c r="C37" s="300"/>
      <c r="D37" s="300"/>
      <c r="E37" s="300"/>
      <c r="F37" s="300"/>
      <c r="G37" s="300"/>
      <c r="H37" s="300"/>
      <c r="I37" s="300"/>
      <c r="J37" s="300"/>
      <c r="K37" s="300"/>
      <c r="M37" s="359" t="s">
        <v>197</v>
      </c>
      <c r="N37" s="360"/>
      <c r="O37" s="360"/>
      <c r="P37" s="360"/>
      <c r="Q37" s="360"/>
      <c r="R37" s="360"/>
      <c r="S37" s="360"/>
      <c r="T37" s="360"/>
      <c r="U37" s="360"/>
      <c r="V37" s="361"/>
      <c r="X37" s="179">
        <f>ER!A32</f>
        <v>4</v>
      </c>
      <c r="Y37" s="34">
        <f>ER!B32</f>
        <v>-0.1970288105741636</v>
      </c>
      <c r="Z37" s="34">
        <f>ER!C32</f>
        <v>-2.1798188008805668E-2</v>
      </c>
      <c r="AA37" s="34">
        <f>ER!D32</f>
        <v>8.0052625306546825E-3</v>
      </c>
      <c r="AB37" s="34">
        <f>ER!E32</f>
        <v>3.8784473277208811E-2</v>
      </c>
      <c r="AC37" s="34">
        <f>ER!F32</f>
        <v>7.0804635983033826E-2</v>
      </c>
      <c r="AD37" s="34">
        <f>ER!G32</f>
        <v>0.11496015009622321</v>
      </c>
      <c r="AE37" s="34">
        <f>ER!H32</f>
        <v>8.2207439363742862E-2</v>
      </c>
      <c r="AF37" s="34">
        <f>ER!I32</f>
        <v>-5.9898275658656304E-2</v>
      </c>
      <c r="AG37" s="34">
        <f>ER!J32</f>
        <v>-0.21018633199821757</v>
      </c>
      <c r="AH37" s="34">
        <f>ER!K32</f>
        <v>-0.24937508055334259</v>
      </c>
    </row>
    <row r="38" spans="1:34" x14ac:dyDescent="0.2">
      <c r="A38" s="300" t="str">
        <f>Summary!B33</f>
        <v>EV = -0.690236639114027 %</v>
      </c>
      <c r="B38" s="300"/>
      <c r="C38" s="300"/>
      <c r="D38" s="300"/>
      <c r="E38" s="300"/>
      <c r="F38" s="300"/>
      <c r="G38" s="300"/>
      <c r="H38" s="300"/>
      <c r="I38" s="300"/>
      <c r="J38" s="300"/>
      <c r="K38" s="300"/>
      <c r="M38" s="177" t="s">
        <v>134</v>
      </c>
      <c r="N38" s="177" t="str">
        <f>N28</f>
        <v>1x2</v>
      </c>
      <c r="O38" s="177" t="str">
        <f t="shared" ref="O38:V38" si="1">O28</f>
        <v>1x3</v>
      </c>
      <c r="P38" s="177" t="str">
        <f t="shared" si="1"/>
        <v>1x4</v>
      </c>
      <c r="Q38" s="177" t="str">
        <f t="shared" si="1"/>
        <v>1x5</v>
      </c>
      <c r="R38" s="177" t="str">
        <f t="shared" si="1"/>
        <v>1x6</v>
      </c>
      <c r="S38" s="177" t="str">
        <f t="shared" si="1"/>
        <v>1x7</v>
      </c>
      <c r="T38" s="177" t="str">
        <f t="shared" si="1"/>
        <v>1x8</v>
      </c>
      <c r="U38" s="177" t="str">
        <f t="shared" si="1"/>
        <v>1x9</v>
      </c>
      <c r="V38" s="177" t="str">
        <f t="shared" si="1"/>
        <v>1x10</v>
      </c>
      <c r="X38" s="179">
        <f>ER!A33</f>
        <v>5</v>
      </c>
      <c r="Y38" s="34">
        <f>ER!B33</f>
        <v>8.1449707945275923E-2</v>
      </c>
      <c r="Z38" s="34">
        <f>ER!C33</f>
        <v>0.3589394124422991</v>
      </c>
      <c r="AA38" s="34">
        <f>ER!D33</f>
        <v>0.40932067017593915</v>
      </c>
      <c r="AB38" s="34">
        <f>ER!E33</f>
        <v>0.460940243794354</v>
      </c>
      <c r="AC38" s="34">
        <f>ER!F33</f>
        <v>0.51251710900326775</v>
      </c>
      <c r="AD38" s="34">
        <f>ER!G33</f>
        <v>0.57559016859776857</v>
      </c>
      <c r="AE38" s="34">
        <f>ER!H33</f>
        <v>0.39241245528243773</v>
      </c>
      <c r="AF38" s="34">
        <f>ER!I33</f>
        <v>0.28663571688628381</v>
      </c>
      <c r="AG38" s="34">
        <f>ER!J33</f>
        <v>0.1443283683807712</v>
      </c>
      <c r="AH38" s="34">
        <f>ER!K33</f>
        <v>2.5308523040868145E-2</v>
      </c>
    </row>
    <row r="39" spans="1:34" x14ac:dyDescent="0.2">
      <c r="A39" s="304" t="str">
        <f>Summary!B34</f>
        <v>H = Hit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M39" s="177">
        <v>2</v>
      </c>
      <c r="N39" s="1">
        <f>N9*N19</f>
        <v>-1.4559125619704116</v>
      </c>
      <c r="O39" s="1">
        <f t="shared" ref="O39:V39" si="2">O9*O19</f>
        <v>8.1850216378857024</v>
      </c>
      <c r="P39" s="1">
        <f t="shared" si="2"/>
        <v>27.678393987488953</v>
      </c>
      <c r="Q39" s="1">
        <f t="shared" si="2"/>
        <v>61.176530124550297</v>
      </c>
      <c r="R39" s="1">
        <f t="shared" si="2"/>
        <v>112.48411467218001</v>
      </c>
      <c r="S39" s="1">
        <f t="shared" si="2"/>
        <v>185.30099251093083</v>
      </c>
      <c r="T39" s="1">
        <f t="shared" si="2"/>
        <v>283.2704971890272</v>
      </c>
      <c r="U39" s="1">
        <f t="shared" si="2"/>
        <v>410.01045614537657</v>
      </c>
      <c r="V39" s="1">
        <f t="shared" si="2"/>
        <v>569.13489031771974</v>
      </c>
      <c r="X39" s="179">
        <f>ER!A34</f>
        <v>6</v>
      </c>
      <c r="Y39" s="34">
        <f>ER!B34</f>
        <v>-0.35054034044008009</v>
      </c>
      <c r="Z39" s="34">
        <f>ER!C34</f>
        <v>-0.25338998596663809</v>
      </c>
      <c r="AA39" s="34">
        <f>ER!D34</f>
        <v>-0.21458215601721672</v>
      </c>
      <c r="AB39" s="34">
        <f>ER!E34</f>
        <v>-0.14583428385277461</v>
      </c>
      <c r="AC39" s="34">
        <f>ER!F34</f>
        <v>-6.9831946660204355E-2</v>
      </c>
      <c r="AD39" s="34">
        <f>ER!G34</f>
        <v>-2.6011671059748588E-2</v>
      </c>
      <c r="AE39" s="34">
        <f>ER!H34</f>
        <v>-0.21284771451731424</v>
      </c>
      <c r="AF39" s="34">
        <f>ER!I34</f>
        <v>-0.27157480502428616</v>
      </c>
      <c r="AG39" s="34">
        <f>ER!J34</f>
        <v>-0.3400132806089356</v>
      </c>
      <c r="AH39" s="34">
        <f>ER!K34</f>
        <v>-0.38104299284808768</v>
      </c>
    </row>
    <row r="40" spans="1:34" x14ac:dyDescent="0.2">
      <c r="A40" s="305" t="str">
        <f>Summary!B35</f>
        <v>D = Double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M40" s="177">
        <v>3</v>
      </c>
      <c r="N40" s="1">
        <f t="shared" ref="N40:V40" si="3">N10*N20</f>
        <v>-3.3413884569063481</v>
      </c>
      <c r="O40" s="1">
        <f t="shared" si="3"/>
        <v>27.590786767128041</v>
      </c>
      <c r="P40" s="1">
        <f t="shared" si="3"/>
        <v>122.04917816087205</v>
      </c>
      <c r="Q40" s="1">
        <f t="shared" si="3"/>
        <v>333.23919448784568</v>
      </c>
      <c r="R40" s="1">
        <f t="shared" si="3"/>
        <v>729.77280699086566</v>
      </c>
      <c r="S40" s="1">
        <f t="shared" si="3"/>
        <v>1395.579601125321</v>
      </c>
      <c r="T40" s="1">
        <f t="shared" si="3"/>
        <v>2429.761888830471</v>
      </c>
      <c r="U40" s="1">
        <f t="shared" si="3"/>
        <v>3946.5939539744973</v>
      </c>
      <c r="V40" s="1">
        <f t="shared" si="3"/>
        <v>6075.6204171132413</v>
      </c>
      <c r="X40" s="179">
        <f>ER!A35</f>
        <v>7</v>
      </c>
      <c r="Y40" s="34">
        <f>ER!B35</f>
        <v>-0.44000672211415065</v>
      </c>
      <c r="Z40" s="34">
        <f>ER!C35</f>
        <v>-0.21836685573323267</v>
      </c>
      <c r="AA40" s="34">
        <f>ER!D35</f>
        <v>-0.15316596380892722</v>
      </c>
      <c r="AB40" s="34">
        <f>ER!E35</f>
        <v>-8.6043588008683752E-2</v>
      </c>
      <c r="AC40" s="34">
        <f>ER!F35</f>
        <v>-1.4542721805881769E-2</v>
      </c>
      <c r="AD40" s="34">
        <f>ER!G35</f>
        <v>5.8370684707721728E-2</v>
      </c>
      <c r="AE40" s="34">
        <f>ER!H35</f>
        <v>-0.13761559916085553</v>
      </c>
      <c r="AF40" s="34">
        <f>ER!I35</f>
        <v>-0.37191909208726714</v>
      </c>
      <c r="AG40" s="34">
        <f>ER!J35</f>
        <v>-0.43092981848423528</v>
      </c>
      <c r="AH40" s="34">
        <f>ER!K35</f>
        <v>-0.46630747852717758</v>
      </c>
    </row>
    <row r="41" spans="1:34" x14ac:dyDescent="0.2">
      <c r="A41" s="301" t="str">
        <f>Summary!B36</f>
        <v>S = Stand</v>
      </c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M41" s="177">
        <v>4</v>
      </c>
      <c r="N41" s="1">
        <f t="shared" ref="N41:V41" si="4">N11*N21</f>
        <v>-7.9519817407418145</v>
      </c>
      <c r="O41" s="1">
        <f t="shared" si="4"/>
        <v>93.90484872233489</v>
      </c>
      <c r="P41" s="1">
        <f t="shared" si="4"/>
        <v>542.94378855472871</v>
      </c>
      <c r="Q41" s="1">
        <f t="shared" si="4"/>
        <v>1835.1974573904497</v>
      </c>
      <c r="R41" s="1">
        <f t="shared" si="4"/>
        <v>4797.8613065971203</v>
      </c>
      <c r="S41" s="1">
        <f t="shared" si="4"/>
        <v>10673.006119248061</v>
      </c>
      <c r="T41" s="1">
        <f t="shared" si="4"/>
        <v>21200.005246776458</v>
      </c>
      <c r="U41" s="1">
        <f t="shared" si="4"/>
        <v>38698.16657735363</v>
      </c>
      <c r="V41" s="1">
        <f t="shared" si="4"/>
        <v>66150.243323033515</v>
      </c>
      <c r="X41" s="179">
        <f>ER!A36</f>
        <v>8</v>
      </c>
      <c r="Y41" s="34">
        <f>ER!B36</f>
        <v>-0.39405762114832721</v>
      </c>
      <c r="Z41" s="34">
        <f>ER!C36</f>
        <v>-4.3596376017611335E-2</v>
      </c>
      <c r="AA41" s="34">
        <f>ER!D36</f>
        <v>1.6010525061309365E-2</v>
      </c>
      <c r="AB41" s="34">
        <f>ER!E36</f>
        <v>7.7568946554417623E-2</v>
      </c>
      <c r="AC41" s="34">
        <f>ER!F36</f>
        <v>0.14160927196606765</v>
      </c>
      <c r="AD41" s="34">
        <f>ER!G36</f>
        <v>0.22992030019244641</v>
      </c>
      <c r="AE41" s="34">
        <f>ER!H36</f>
        <v>0.16441487872748572</v>
      </c>
      <c r="AF41" s="34">
        <f>ER!I36</f>
        <v>-0.11979655131731261</v>
      </c>
      <c r="AG41" s="34">
        <f>ER!J36</f>
        <v>-0.42037266399643514</v>
      </c>
      <c r="AH41" s="34">
        <f>ER!K36</f>
        <v>-0.49875016110668519</v>
      </c>
    </row>
    <row r="42" spans="1:34" x14ac:dyDescent="0.2">
      <c r="A42" s="302" t="str">
        <f>Summary!B37</f>
        <v>P = Split</v>
      </c>
      <c r="B42" s="302"/>
      <c r="C42" s="302"/>
      <c r="D42" s="302"/>
      <c r="E42" s="302"/>
      <c r="F42" s="302"/>
      <c r="G42" s="302"/>
      <c r="H42" s="302"/>
      <c r="I42" s="302"/>
      <c r="J42" s="302"/>
      <c r="K42" s="302"/>
      <c r="M42" s="359" t="s">
        <v>198</v>
      </c>
      <c r="N42" s="360"/>
      <c r="O42" s="360"/>
      <c r="P42" s="360"/>
      <c r="Q42" s="360"/>
      <c r="R42" s="360"/>
      <c r="S42" s="360"/>
      <c r="T42" s="360"/>
      <c r="U42" s="360"/>
      <c r="V42" s="361"/>
      <c r="X42" s="179">
        <f>ER!A37</f>
        <v>9</v>
      </c>
      <c r="Y42" s="34">
        <f>ER!B37</f>
        <v>-0.10019887561319057</v>
      </c>
      <c r="Z42" s="34">
        <f>ER!C37</f>
        <v>0.14889207515268105</v>
      </c>
      <c r="AA42" s="34">
        <f>ER!D37</f>
        <v>0.20252940347775347</v>
      </c>
      <c r="AB42" s="34">
        <f>ER!E37</f>
        <v>0.25796176239148355</v>
      </c>
      <c r="AC42" s="34">
        <f>ER!F37</f>
        <v>0.31606371253303472</v>
      </c>
      <c r="AD42" s="34">
        <f>ER!G37</f>
        <v>0.39203767851455756</v>
      </c>
      <c r="AE42" s="34">
        <f>ER!H37</f>
        <v>0.3995541673365518</v>
      </c>
      <c r="AF42" s="34">
        <f>ER!I37</f>
        <v>0.19675243487078503</v>
      </c>
      <c r="AG42" s="34">
        <f>ER!J37</f>
        <v>-0.10435610692530334</v>
      </c>
      <c r="AH42" s="34">
        <f>ER!K37</f>
        <v>-0.17830123379648949</v>
      </c>
    </row>
    <row r="43" spans="1:34" x14ac:dyDescent="0.2">
      <c r="A43" s="300" t="str">
        <f>Summary!B38</f>
        <v>R = Surrender</v>
      </c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M43" s="177" t="s">
        <v>134</v>
      </c>
      <c r="N43" s="177" t="str">
        <f>N33</f>
        <v>1x2</v>
      </c>
      <c r="O43" s="177" t="str">
        <f t="shared" ref="O43:V43" si="5">O33</f>
        <v>1x3</v>
      </c>
      <c r="P43" s="177" t="str">
        <f t="shared" si="5"/>
        <v>1x4</v>
      </c>
      <c r="Q43" s="177" t="str">
        <f t="shared" si="5"/>
        <v>1x5</v>
      </c>
      <c r="R43" s="177" t="str">
        <f t="shared" si="5"/>
        <v>1x6</v>
      </c>
      <c r="S43" s="177" t="str">
        <f t="shared" si="5"/>
        <v>1x7</v>
      </c>
      <c r="T43" s="177" t="str">
        <f t="shared" si="5"/>
        <v>1x8</v>
      </c>
      <c r="U43" s="177" t="str">
        <f t="shared" si="5"/>
        <v>1x9</v>
      </c>
      <c r="V43" s="177" t="str">
        <f t="shared" si="5"/>
        <v>1x10</v>
      </c>
      <c r="X43" s="179">
        <f>ER!A38</f>
        <v>10</v>
      </c>
      <c r="Y43" s="34">
        <f>ER!B38</f>
        <v>0.65547032314990239</v>
      </c>
      <c r="Z43" s="34">
        <f>ER!C38</f>
        <v>0.63998657521683877</v>
      </c>
      <c r="AA43" s="34">
        <f>ER!D38</f>
        <v>0.65027209425148136</v>
      </c>
      <c r="AB43" s="34">
        <f>ER!E38</f>
        <v>0.66104996194807186</v>
      </c>
      <c r="AC43" s="34">
        <f>ER!F38</f>
        <v>0.67035969063279999</v>
      </c>
      <c r="AD43" s="34">
        <f>ER!G38</f>
        <v>0.70395857017134467</v>
      </c>
      <c r="AE43" s="34">
        <f>ER!H38</f>
        <v>0.77322722653717491</v>
      </c>
      <c r="AF43" s="34">
        <f>ER!I38</f>
        <v>0.79181515955189841</v>
      </c>
      <c r="AG43" s="34">
        <f>ER!J38</f>
        <v>0.75835687080859626</v>
      </c>
      <c r="AH43" s="34">
        <f>ER!K38</f>
        <v>0.55453756646817121</v>
      </c>
    </row>
    <row r="44" spans="1:34" x14ac:dyDescent="0.2">
      <c r="M44" s="177">
        <v>1</v>
      </c>
      <c r="N44" s="1">
        <f>N8*N24</f>
        <v>4.9546339860511548</v>
      </c>
      <c r="O44" s="1">
        <f t="shared" ref="O44:V44" si="6">O8*O24</f>
        <v>11.637904453686987</v>
      </c>
      <c r="P44" s="1">
        <f t="shared" si="6"/>
        <v>27.851770248031666</v>
      </c>
      <c r="Q44" s="1">
        <f t="shared" si="6"/>
        <v>54.676443278672899</v>
      </c>
      <c r="R44" s="1">
        <f t="shared" si="6"/>
        <v>95.180336183256927</v>
      </c>
      <c r="S44" s="1">
        <f t="shared" si="6"/>
        <v>152.39137182137964</v>
      </c>
      <c r="T44" s="1">
        <f t="shared" si="6"/>
        <v>229.31744903598408</v>
      </c>
      <c r="U44" s="1">
        <f t="shared" si="6"/>
        <v>328.93850992219598</v>
      </c>
      <c r="V44" s="1">
        <f t="shared" si="6"/>
        <v>454.20608821433893</v>
      </c>
    </row>
    <row r="45" spans="1:34" x14ac:dyDescent="0.2">
      <c r="M45" s="177">
        <v>2</v>
      </c>
      <c r="N45" s="1">
        <f t="shared" ref="N45:V45" si="7">N9*N25</f>
        <v>-2.426520936617353</v>
      </c>
      <c r="O45" s="1">
        <f t="shared" si="7"/>
        <v>18.416298685242829</v>
      </c>
      <c r="P45" s="1">
        <f t="shared" si="7"/>
        <v>77.49950316496907</v>
      </c>
      <c r="Q45" s="1">
        <f t="shared" si="7"/>
        <v>203.92176708183433</v>
      </c>
      <c r="R45" s="1">
        <f t="shared" si="7"/>
        <v>433.86729944983711</v>
      </c>
      <c r="S45" s="1">
        <f t="shared" si="7"/>
        <v>810.69184223532227</v>
      </c>
      <c r="T45" s="1">
        <f t="shared" si="7"/>
        <v>1384.8779862574663</v>
      </c>
      <c r="U45" s="1">
        <f t="shared" si="7"/>
        <v>2214.0564631850334</v>
      </c>
      <c r="V45" s="1">
        <f t="shared" si="7"/>
        <v>3363.0698064228891</v>
      </c>
    </row>
    <row r="46" spans="1:34" x14ac:dyDescent="0.2">
      <c r="M46" s="177">
        <v>3</v>
      </c>
      <c r="N46" s="1">
        <f t="shared" ref="N46:V46" si="8">N10*N26</f>
        <v>-5.9667651016184786</v>
      </c>
      <c r="O46" s="1">
        <f t="shared" si="8"/>
        <v>65.793414598536089</v>
      </c>
      <c r="P46" s="1">
        <f t="shared" si="8"/>
        <v>357.42973604255383</v>
      </c>
      <c r="Q46" s="1">
        <f t="shared" si="8"/>
        <v>1150.2127035548222</v>
      </c>
      <c r="R46" s="1">
        <f t="shared" si="8"/>
        <v>2893.6340370219209</v>
      </c>
      <c r="S46" s="1">
        <f t="shared" si="8"/>
        <v>6243.3824260869624</v>
      </c>
      <c r="T46" s="1">
        <f t="shared" si="8"/>
        <v>12098.882829998305</v>
      </c>
      <c r="U46" s="1">
        <f t="shared" si="8"/>
        <v>21641.213000365649</v>
      </c>
      <c r="V46" s="1">
        <f t="shared" si="8"/>
        <v>36371.619524069807</v>
      </c>
    </row>
  </sheetData>
  <sheetProtection sheet="1" objects="1" scenarios="1"/>
  <mergeCells count="41">
    <mergeCell ref="M37:V37"/>
    <mergeCell ref="M17:V17"/>
    <mergeCell ref="P4:Q4"/>
    <mergeCell ref="A43:K43"/>
    <mergeCell ref="A37:K37"/>
    <mergeCell ref="A38:K38"/>
    <mergeCell ref="A39:K39"/>
    <mergeCell ref="A40:K40"/>
    <mergeCell ref="A42:K42"/>
    <mergeCell ref="A41:K41"/>
    <mergeCell ref="M42:V42"/>
    <mergeCell ref="X6:AH6"/>
    <mergeCell ref="M6:V6"/>
    <mergeCell ref="M12:V12"/>
    <mergeCell ref="A3:D3"/>
    <mergeCell ref="E3:G3"/>
    <mergeCell ref="H3:L3"/>
    <mergeCell ref="M3:N3"/>
    <mergeCell ref="O3:Q3"/>
    <mergeCell ref="R3:S3"/>
    <mergeCell ref="A4:D4"/>
    <mergeCell ref="E4:H4"/>
    <mergeCell ref="I4:K4"/>
    <mergeCell ref="R4:T4"/>
    <mergeCell ref="AG3:AH3"/>
    <mergeCell ref="A1:S1"/>
    <mergeCell ref="T1:AH1"/>
    <mergeCell ref="AG4:AH4"/>
    <mergeCell ref="M32:V32"/>
    <mergeCell ref="M22:V22"/>
    <mergeCell ref="M27:V27"/>
    <mergeCell ref="T3:U3"/>
    <mergeCell ref="W3:AA3"/>
    <mergeCell ref="AB3:AC3"/>
    <mergeCell ref="AD3:AF3"/>
    <mergeCell ref="V4:Y4"/>
    <mergeCell ref="AB4:AC4"/>
    <mergeCell ref="AD4:AE4"/>
    <mergeCell ref="L4:M4"/>
    <mergeCell ref="N4:O4"/>
    <mergeCell ref="A6:K6"/>
  </mergeCells>
  <phoneticPr fontId="16" type="noConversion"/>
  <conditionalFormatting sqref="B7:K7 M7:M11">
    <cfRule type="containsText" dxfId="148" priority="355" operator="containsText" text="S">
      <formula>NOT(ISERROR(SEARCH("S",B7)))</formula>
    </cfRule>
    <cfRule type="containsText" dxfId="147" priority="356" operator="containsText" text="H">
      <formula>NOT(ISERROR(SEARCH("H",B7)))</formula>
    </cfRule>
  </conditionalFormatting>
  <conditionalFormatting sqref="B7:K7 M7:M11">
    <cfRule type="containsText" dxfId="146" priority="354" operator="containsText" text="D">
      <formula>NOT(ISERROR(SEARCH("D",B7)))</formula>
    </cfRule>
  </conditionalFormatting>
  <conditionalFormatting sqref="B7:K7 M7:M11">
    <cfRule type="containsText" dxfId="145" priority="353" operator="containsText" text="R">
      <formula>NOT(ISERROR(SEARCH("R",B7)))</formula>
    </cfRule>
  </conditionalFormatting>
  <conditionalFormatting sqref="B7:K7 M7:M11">
    <cfRule type="containsText" dxfId="144" priority="352" operator="containsText" text="P">
      <formula>NOT(ISERROR(SEARCH("P",B7)))</formula>
    </cfRule>
  </conditionalFormatting>
  <conditionalFormatting sqref="B8:K17 B19:K25 B27:K36">
    <cfRule type="containsText" dxfId="143" priority="345" operator="containsText" text="S">
      <formula>NOT(ISERROR(SEARCH("S",B8)))</formula>
    </cfRule>
    <cfRule type="containsText" dxfId="142" priority="346" operator="containsText" text="H">
      <formula>NOT(ISERROR(SEARCH("H",B8)))</formula>
    </cfRule>
  </conditionalFormatting>
  <conditionalFormatting sqref="B8:K17 B19:K25 B27:K36">
    <cfRule type="containsText" dxfId="141" priority="344" operator="containsText" text="D">
      <formula>NOT(ISERROR(SEARCH("D",B8)))</formula>
    </cfRule>
  </conditionalFormatting>
  <conditionalFormatting sqref="B8:K17 B19:K25 B27:K36">
    <cfRule type="containsText" dxfId="140" priority="343" operator="containsText" text="R">
      <formula>NOT(ISERROR(SEARCH("R",B8)))</formula>
    </cfRule>
  </conditionalFormatting>
  <conditionalFormatting sqref="B8:K17 B19:K25 B27:K36">
    <cfRule type="containsText" dxfId="139" priority="342" operator="containsText" text="P">
      <formula>NOT(ISERROR(SEARCH("P",B8)))</formula>
    </cfRule>
  </conditionalFormatting>
  <conditionalFormatting sqref="Y8:AH22">
    <cfRule type="colorScale" priority="278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138" priority="280" operator="containsText" text="R">
      <formula>NOT(ISERROR(SEARCH("R",Y8)))</formula>
    </cfRule>
    <cfRule type="containsText" dxfId="137" priority="281" operator="containsText" text="D">
      <formula>NOT(ISERROR(SEARCH("D",Y8)))</formula>
    </cfRule>
    <cfRule type="containsText" dxfId="136" priority="282" operator="containsText" text="S">
      <formula>NOT(ISERROR(SEARCH("S",Y8)))</formula>
    </cfRule>
    <cfRule type="containsText" dxfId="135" priority="283" operator="containsText" text="H">
      <formula>NOT(ISERROR(SEARCH("H",Y8)))</formula>
    </cfRule>
  </conditionalFormatting>
  <conditionalFormatting sqref="Y8:AH22">
    <cfRule type="containsText" dxfId="134" priority="279" operator="containsText" text="P">
      <formula>NOT(ISERROR(SEARCH("P",Y8)))</formula>
    </cfRule>
  </conditionalFormatting>
  <conditionalFormatting sqref="Y24:AH32">
    <cfRule type="colorScale" priority="250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133" priority="252" operator="containsText" text="R">
      <formula>NOT(ISERROR(SEARCH("R",Y24)))</formula>
    </cfRule>
    <cfRule type="containsText" dxfId="132" priority="253" operator="containsText" text="D">
      <formula>NOT(ISERROR(SEARCH("D",Y24)))</formula>
    </cfRule>
    <cfRule type="containsText" dxfId="131" priority="254" operator="containsText" text="S">
      <formula>NOT(ISERROR(SEARCH("S",Y24)))</formula>
    </cfRule>
    <cfRule type="containsText" dxfId="130" priority="255" operator="containsText" text="H">
      <formula>NOT(ISERROR(SEARCH("H",Y24)))</formula>
    </cfRule>
  </conditionalFormatting>
  <conditionalFormatting sqref="Y24:AH32">
    <cfRule type="containsText" dxfId="129" priority="251" operator="containsText" text="P">
      <formula>NOT(ISERROR(SEARCH("P",Y24)))</formula>
    </cfRule>
  </conditionalFormatting>
  <conditionalFormatting sqref="Y34:AH43">
    <cfRule type="colorScale" priority="244">
      <colorScale>
        <cfvo type="num" val="MIN($Y$8:$AH$22,$Y$24:$AH$32,$Y$34:$AH$43)"/>
        <cfvo type="num" val="AVERAGE($Y$8:$AH$22,$Y$24:$AH$32,$Y$34:$AH$43)"/>
        <cfvo type="num" val="MAX($Y$8:$AH$22,$Y$24:$AH$32,$Y$34:$AH$43)"/>
        <color rgb="FFFF0000"/>
        <color rgb="FFFFFF00"/>
        <color rgb="FF00B050"/>
      </colorScale>
    </cfRule>
    <cfRule type="containsText" dxfId="128" priority="246" operator="containsText" text="R">
      <formula>NOT(ISERROR(SEARCH("R",Y34)))</formula>
    </cfRule>
    <cfRule type="containsText" dxfId="127" priority="247" operator="containsText" text="D">
      <formula>NOT(ISERROR(SEARCH("D",Y34)))</formula>
    </cfRule>
    <cfRule type="containsText" dxfId="126" priority="248" operator="containsText" text="S">
      <formula>NOT(ISERROR(SEARCH("S",Y34)))</formula>
    </cfRule>
    <cfRule type="containsText" dxfId="125" priority="249" operator="containsText" text="H">
      <formula>NOT(ISERROR(SEARCH("H",Y34)))</formula>
    </cfRule>
  </conditionalFormatting>
  <conditionalFormatting sqref="Y34:AH43">
    <cfRule type="containsText" dxfId="124" priority="245" operator="containsText" text="P">
      <formula>NOT(ISERROR(SEARCH("P",Y34)))</formula>
    </cfRule>
  </conditionalFormatting>
  <conditionalFormatting sqref="N7:V7">
    <cfRule type="containsText" dxfId="123" priority="190" operator="containsText" text="S">
      <formula>NOT(ISERROR(SEARCH("S",N7)))</formula>
    </cfRule>
    <cfRule type="containsText" dxfId="122" priority="191" operator="containsText" text="H">
      <formula>NOT(ISERROR(SEARCH("H",N7)))</formula>
    </cfRule>
  </conditionalFormatting>
  <conditionalFormatting sqref="N7:V7">
    <cfRule type="containsText" dxfId="121" priority="189" operator="containsText" text="D">
      <formula>NOT(ISERROR(SEARCH("D",N7)))</formula>
    </cfRule>
  </conditionalFormatting>
  <conditionalFormatting sqref="N7:V7">
    <cfRule type="containsText" dxfId="120" priority="188" operator="containsText" text="R">
      <formula>NOT(ISERROR(SEARCH("R",N7)))</formula>
    </cfRule>
  </conditionalFormatting>
  <conditionalFormatting sqref="N7:V7">
    <cfRule type="containsText" dxfId="119" priority="187" operator="containsText" text="P">
      <formula>NOT(ISERROR(SEARCH("P",N7)))</formula>
    </cfRule>
  </conditionalFormatting>
  <conditionalFormatting sqref="N8:V11">
    <cfRule type="colorScale" priority="18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13:M16">
    <cfRule type="containsText" dxfId="118" priority="184" operator="containsText" text="S">
      <formula>NOT(ISERROR(SEARCH("S",M13)))</formula>
    </cfRule>
    <cfRule type="containsText" dxfId="117" priority="185" operator="containsText" text="H">
      <formula>NOT(ISERROR(SEARCH("H",M13)))</formula>
    </cfRule>
  </conditionalFormatting>
  <conditionalFormatting sqref="M13:M16">
    <cfRule type="containsText" dxfId="116" priority="183" operator="containsText" text="D">
      <formula>NOT(ISERROR(SEARCH("D",M13)))</formula>
    </cfRule>
  </conditionalFormatting>
  <conditionalFormatting sqref="M13:M16">
    <cfRule type="containsText" dxfId="115" priority="182" operator="containsText" text="R">
      <formula>NOT(ISERROR(SEARCH("R",M13)))</formula>
    </cfRule>
  </conditionalFormatting>
  <conditionalFormatting sqref="M13:M16">
    <cfRule type="containsText" dxfId="114" priority="181" operator="containsText" text="P">
      <formula>NOT(ISERROR(SEARCH("P",M13)))</formula>
    </cfRule>
  </conditionalFormatting>
  <conditionalFormatting sqref="N13:V13">
    <cfRule type="containsText" dxfId="113" priority="179" operator="containsText" text="S">
      <formula>NOT(ISERROR(SEARCH("S",N13)))</formula>
    </cfRule>
    <cfRule type="containsText" dxfId="112" priority="180" operator="containsText" text="H">
      <formula>NOT(ISERROR(SEARCH("H",N13)))</formula>
    </cfRule>
  </conditionalFormatting>
  <conditionalFormatting sqref="N13:V13">
    <cfRule type="containsText" dxfId="111" priority="178" operator="containsText" text="D">
      <formula>NOT(ISERROR(SEARCH("D",N13)))</formula>
    </cfRule>
  </conditionalFormatting>
  <conditionalFormatting sqref="N13:V13">
    <cfRule type="containsText" dxfId="110" priority="177" operator="containsText" text="R">
      <formula>NOT(ISERROR(SEARCH("R",N13)))</formula>
    </cfRule>
  </conditionalFormatting>
  <conditionalFormatting sqref="N13:V13">
    <cfRule type="containsText" dxfId="109" priority="176" operator="containsText" text="P">
      <formula>NOT(ISERROR(SEARCH("P",N13)))</formula>
    </cfRule>
  </conditionalFormatting>
  <conditionalFormatting sqref="N14:V16">
    <cfRule type="colorScale" priority="175">
      <colorScale>
        <cfvo type="num" val="0"/>
        <cfvo type="percentile" val="50"/>
        <cfvo type="max"/>
        <color rgb="FFFF0000"/>
        <color rgb="FFFFEB84"/>
        <color rgb="FF00B050"/>
      </colorScale>
    </cfRule>
  </conditionalFormatting>
  <conditionalFormatting sqref="M18:M21">
    <cfRule type="containsText" dxfId="108" priority="173" operator="containsText" text="S">
      <formula>NOT(ISERROR(SEARCH("S",M18)))</formula>
    </cfRule>
    <cfRule type="containsText" dxfId="107" priority="174" operator="containsText" text="H">
      <formula>NOT(ISERROR(SEARCH("H",M18)))</formula>
    </cfRule>
  </conditionalFormatting>
  <conditionalFormatting sqref="M18:M21">
    <cfRule type="containsText" dxfId="106" priority="172" operator="containsText" text="D">
      <formula>NOT(ISERROR(SEARCH("D",M18)))</formula>
    </cfRule>
  </conditionalFormatting>
  <conditionalFormatting sqref="M18:M21">
    <cfRule type="containsText" dxfId="105" priority="171" operator="containsText" text="R">
      <formula>NOT(ISERROR(SEARCH("R",M18)))</formula>
    </cfRule>
  </conditionalFormatting>
  <conditionalFormatting sqref="M18:M21">
    <cfRule type="containsText" dxfId="104" priority="170" operator="containsText" text="P">
      <formula>NOT(ISERROR(SEARCH("P",M18)))</formula>
    </cfRule>
  </conditionalFormatting>
  <conditionalFormatting sqref="N18:V18">
    <cfRule type="containsText" dxfId="103" priority="168" operator="containsText" text="S">
      <formula>NOT(ISERROR(SEARCH("S",N18)))</formula>
    </cfRule>
    <cfRule type="containsText" dxfId="102" priority="169" operator="containsText" text="H">
      <formula>NOT(ISERROR(SEARCH("H",N18)))</formula>
    </cfRule>
  </conditionalFormatting>
  <conditionalFormatting sqref="N18:V18">
    <cfRule type="containsText" dxfId="101" priority="167" operator="containsText" text="D">
      <formula>NOT(ISERROR(SEARCH("D",N18)))</formula>
    </cfRule>
  </conditionalFormatting>
  <conditionalFormatting sqref="N18:V18">
    <cfRule type="containsText" dxfId="100" priority="166" operator="containsText" text="R">
      <formula>NOT(ISERROR(SEARCH("R",N18)))</formula>
    </cfRule>
  </conditionalFormatting>
  <conditionalFormatting sqref="N18:V18">
    <cfRule type="containsText" dxfId="99" priority="165" operator="containsText" text="P">
      <formula>NOT(ISERROR(SEARCH("P",N18)))</formula>
    </cfRule>
  </conditionalFormatting>
  <conditionalFormatting sqref="N19:V21">
    <cfRule type="colorScale" priority="164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M28:M31">
    <cfRule type="containsText" dxfId="98" priority="162" operator="containsText" text="S">
      <formula>NOT(ISERROR(SEARCH("S",M28)))</formula>
    </cfRule>
    <cfRule type="containsText" dxfId="97" priority="163" operator="containsText" text="H">
      <formula>NOT(ISERROR(SEARCH("H",M28)))</formula>
    </cfRule>
  </conditionalFormatting>
  <conditionalFormatting sqref="M28:M31">
    <cfRule type="containsText" dxfId="96" priority="161" operator="containsText" text="D">
      <formula>NOT(ISERROR(SEARCH("D",M28)))</formula>
    </cfRule>
  </conditionalFormatting>
  <conditionalFormatting sqref="M28:M31">
    <cfRule type="containsText" dxfId="95" priority="160" operator="containsText" text="R">
      <formula>NOT(ISERROR(SEARCH("R",M28)))</formula>
    </cfRule>
  </conditionalFormatting>
  <conditionalFormatting sqref="M28:M31">
    <cfRule type="containsText" dxfId="94" priority="159" operator="containsText" text="P">
      <formula>NOT(ISERROR(SEARCH("P",M28)))</formula>
    </cfRule>
  </conditionalFormatting>
  <conditionalFormatting sqref="N28:V28">
    <cfRule type="containsText" dxfId="93" priority="157" operator="containsText" text="S">
      <formula>NOT(ISERROR(SEARCH("S",N28)))</formula>
    </cfRule>
    <cfRule type="containsText" dxfId="92" priority="158" operator="containsText" text="H">
      <formula>NOT(ISERROR(SEARCH("H",N28)))</formula>
    </cfRule>
  </conditionalFormatting>
  <conditionalFormatting sqref="N28:V28">
    <cfRule type="containsText" dxfId="91" priority="156" operator="containsText" text="D">
      <formula>NOT(ISERROR(SEARCH("D",N28)))</formula>
    </cfRule>
  </conditionalFormatting>
  <conditionalFormatting sqref="N28:V28">
    <cfRule type="containsText" dxfId="90" priority="155" operator="containsText" text="R">
      <formula>NOT(ISERROR(SEARCH("R",N28)))</formula>
    </cfRule>
  </conditionalFormatting>
  <conditionalFormatting sqref="N28:V28">
    <cfRule type="containsText" dxfId="89" priority="154" operator="containsText" text="P">
      <formula>NOT(ISERROR(SEARCH("P",N28)))</formula>
    </cfRule>
  </conditionalFormatting>
  <conditionalFormatting sqref="N29:V31">
    <cfRule type="colorScale" priority="147">
      <colorScale>
        <cfvo type="num" val="0"/>
        <cfvo type="num" val="0"/>
        <cfvo type="max"/>
        <color rgb="FFFF0000"/>
        <color rgb="FFFFEB84"/>
        <color rgb="FF00B050"/>
      </colorScale>
    </cfRule>
    <cfRule type="cellIs" dxfId="88" priority="153" operator="equal">
      <formula>MAX($N$29:$V$31)</formula>
    </cfRule>
  </conditionalFormatting>
  <conditionalFormatting sqref="M33:M36">
    <cfRule type="containsText" dxfId="87" priority="140" operator="containsText" text="S">
      <formula>NOT(ISERROR(SEARCH("S",M33)))</formula>
    </cfRule>
    <cfRule type="containsText" dxfId="86" priority="141" operator="containsText" text="H">
      <formula>NOT(ISERROR(SEARCH("H",M33)))</formula>
    </cfRule>
  </conditionalFormatting>
  <conditionalFormatting sqref="M33:M36">
    <cfRule type="containsText" dxfId="85" priority="139" operator="containsText" text="D">
      <formula>NOT(ISERROR(SEARCH("D",M33)))</formula>
    </cfRule>
  </conditionalFormatting>
  <conditionalFormatting sqref="M33:M36">
    <cfRule type="containsText" dxfId="84" priority="138" operator="containsText" text="R">
      <formula>NOT(ISERROR(SEARCH("R",M33)))</formula>
    </cfRule>
  </conditionalFormatting>
  <conditionalFormatting sqref="M33:M36">
    <cfRule type="containsText" dxfId="83" priority="137" operator="containsText" text="P">
      <formula>NOT(ISERROR(SEARCH("P",M33)))</formula>
    </cfRule>
  </conditionalFormatting>
  <conditionalFormatting sqref="M23:M26">
    <cfRule type="containsText" dxfId="82" priority="128" operator="containsText" text="S">
      <formula>NOT(ISERROR(SEARCH("S",M23)))</formula>
    </cfRule>
    <cfRule type="containsText" dxfId="81" priority="129" operator="containsText" text="H">
      <formula>NOT(ISERROR(SEARCH("H",M23)))</formula>
    </cfRule>
  </conditionalFormatting>
  <conditionalFormatting sqref="M23:M26">
    <cfRule type="containsText" dxfId="80" priority="127" operator="containsText" text="D">
      <formula>NOT(ISERROR(SEARCH("D",M23)))</formula>
    </cfRule>
  </conditionalFormatting>
  <conditionalFormatting sqref="M23:M26">
    <cfRule type="containsText" dxfId="79" priority="126" operator="containsText" text="R">
      <formula>NOT(ISERROR(SEARCH("R",M23)))</formula>
    </cfRule>
  </conditionalFormatting>
  <conditionalFormatting sqref="M23:M26">
    <cfRule type="containsText" dxfId="78" priority="125" operator="containsText" text="P">
      <formula>NOT(ISERROR(SEARCH("P",M23)))</formula>
    </cfRule>
  </conditionalFormatting>
  <conditionalFormatting sqref="N24:V26">
    <cfRule type="colorScale" priority="119">
      <colorScale>
        <cfvo type="num" val="0"/>
        <cfvo type="percentile" val="50"/>
        <cfvo type="num" val="100"/>
        <color rgb="FF00B050"/>
        <color theme="9" tint="0.39997558519241921"/>
        <color rgb="FFFF0000"/>
      </colorScale>
    </cfRule>
  </conditionalFormatting>
  <conditionalFormatting sqref="N23:V23">
    <cfRule type="containsText" dxfId="77" priority="117" operator="containsText" text="S">
      <formula>NOT(ISERROR(SEARCH("S",N23)))</formula>
    </cfRule>
    <cfRule type="containsText" dxfId="76" priority="118" operator="containsText" text="H">
      <formula>NOT(ISERROR(SEARCH("H",N23)))</formula>
    </cfRule>
  </conditionalFormatting>
  <conditionalFormatting sqref="N23:V23">
    <cfRule type="containsText" dxfId="75" priority="116" operator="containsText" text="D">
      <formula>NOT(ISERROR(SEARCH("D",N23)))</formula>
    </cfRule>
  </conditionalFormatting>
  <conditionalFormatting sqref="N23:V23">
    <cfRule type="containsText" dxfId="74" priority="115" operator="containsText" text="R">
      <formula>NOT(ISERROR(SEARCH("R",N23)))</formula>
    </cfRule>
  </conditionalFormatting>
  <conditionalFormatting sqref="N23:V23">
    <cfRule type="containsText" dxfId="73" priority="114" operator="containsText" text="P">
      <formula>NOT(ISERROR(SEARCH("P",N23)))</formula>
    </cfRule>
  </conditionalFormatting>
  <conditionalFormatting sqref="N33:V33">
    <cfRule type="containsText" dxfId="72" priority="107" operator="containsText" text="S">
      <formula>NOT(ISERROR(SEARCH("S",N33)))</formula>
    </cfRule>
    <cfRule type="containsText" dxfId="71" priority="108" operator="containsText" text="H">
      <formula>NOT(ISERROR(SEARCH("H",N33)))</formula>
    </cfRule>
  </conditionalFormatting>
  <conditionalFormatting sqref="N33:V33">
    <cfRule type="containsText" dxfId="70" priority="106" operator="containsText" text="D">
      <formula>NOT(ISERROR(SEARCH("D",N33)))</formula>
    </cfRule>
  </conditionalFormatting>
  <conditionalFormatting sqref="N33:V33">
    <cfRule type="containsText" dxfId="69" priority="105" operator="containsText" text="R">
      <formula>NOT(ISERROR(SEARCH("R",N33)))</formula>
    </cfRule>
  </conditionalFormatting>
  <conditionalFormatting sqref="N33:V33">
    <cfRule type="containsText" dxfId="68" priority="104" operator="containsText" text="P">
      <formula>NOT(ISERROR(SEARCH("P",N33)))</formula>
    </cfRule>
  </conditionalFormatting>
  <conditionalFormatting sqref="N34:V36">
    <cfRule type="cellIs" dxfId="67" priority="41" operator="equal">
      <formula>MAX($N$34:$V$36)</formula>
    </cfRule>
    <cfRule type="colorScale" priority="42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38:M41">
    <cfRule type="containsText" dxfId="66" priority="39" operator="containsText" text="S">
      <formula>NOT(ISERROR(SEARCH("S",M38)))</formula>
    </cfRule>
    <cfRule type="containsText" dxfId="65" priority="40" operator="containsText" text="H">
      <formula>NOT(ISERROR(SEARCH("H",M38)))</formula>
    </cfRule>
  </conditionalFormatting>
  <conditionalFormatting sqref="M38:M41">
    <cfRule type="containsText" dxfId="64" priority="38" operator="containsText" text="D">
      <formula>NOT(ISERROR(SEARCH("D",M38)))</formula>
    </cfRule>
  </conditionalFormatting>
  <conditionalFormatting sqref="M38:M41">
    <cfRule type="containsText" dxfId="63" priority="37" operator="containsText" text="R">
      <formula>NOT(ISERROR(SEARCH("R",M38)))</formula>
    </cfRule>
  </conditionalFormatting>
  <conditionalFormatting sqref="M38:M41">
    <cfRule type="containsText" dxfId="62" priority="36" operator="containsText" text="P">
      <formula>NOT(ISERROR(SEARCH("P",M38)))</formula>
    </cfRule>
  </conditionalFormatting>
  <conditionalFormatting sqref="N39:V41">
    <cfRule type="colorScale" priority="1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M43:M46">
    <cfRule type="containsText" dxfId="61" priority="27" operator="containsText" text="S">
      <formula>NOT(ISERROR(SEARCH("S",M43)))</formula>
    </cfRule>
    <cfRule type="containsText" dxfId="60" priority="28" operator="containsText" text="H">
      <formula>NOT(ISERROR(SEARCH("H",M43)))</formula>
    </cfRule>
  </conditionalFormatting>
  <conditionalFormatting sqref="M43:M46">
    <cfRule type="containsText" dxfId="59" priority="26" operator="containsText" text="D">
      <formula>NOT(ISERROR(SEARCH("D",M43)))</formula>
    </cfRule>
  </conditionalFormatting>
  <conditionalFormatting sqref="M43:M46">
    <cfRule type="containsText" dxfId="58" priority="25" operator="containsText" text="R">
      <formula>NOT(ISERROR(SEARCH("R",M43)))</formula>
    </cfRule>
  </conditionalFormatting>
  <conditionalFormatting sqref="M43:M46">
    <cfRule type="containsText" dxfId="57" priority="24" operator="containsText" text="P">
      <formula>NOT(ISERROR(SEARCH("P",M43)))</formula>
    </cfRule>
  </conditionalFormatting>
  <conditionalFormatting sqref="N43:V43">
    <cfRule type="containsText" dxfId="56" priority="22" operator="containsText" text="S">
      <formula>NOT(ISERROR(SEARCH("S",N43)))</formula>
    </cfRule>
    <cfRule type="containsText" dxfId="55" priority="23" operator="containsText" text="H">
      <formula>NOT(ISERROR(SEARCH("H",N43)))</formula>
    </cfRule>
  </conditionalFormatting>
  <conditionalFormatting sqref="N43:V43">
    <cfRule type="containsText" dxfId="54" priority="21" operator="containsText" text="D">
      <formula>NOT(ISERROR(SEARCH("D",N43)))</formula>
    </cfRule>
  </conditionalFormatting>
  <conditionalFormatting sqref="N43:V43">
    <cfRule type="containsText" dxfId="53" priority="20" operator="containsText" text="R">
      <formula>NOT(ISERROR(SEARCH("R",N43)))</formula>
    </cfRule>
  </conditionalFormatting>
  <conditionalFormatting sqref="N43:V43">
    <cfRule type="containsText" dxfId="52" priority="19" operator="containsText" text="P">
      <formula>NOT(ISERROR(SEARCH("P",N43)))</formula>
    </cfRule>
  </conditionalFormatting>
  <conditionalFormatting sqref="N44:V46">
    <cfRule type="colorScale" priority="6">
      <colorScale>
        <cfvo type="num" val="0"/>
        <cfvo type="num" val="0"/>
        <cfvo type="max"/>
        <color rgb="FFFF0000"/>
        <color rgb="FFFFEB84"/>
        <color rgb="FF00B050"/>
      </colorScale>
    </cfRule>
  </conditionalFormatting>
  <conditionalFormatting sqref="N38:V38">
    <cfRule type="containsText" dxfId="51" priority="15" operator="containsText" text="S">
      <formula>NOT(ISERROR(SEARCH("S",N38)))</formula>
    </cfRule>
    <cfRule type="containsText" dxfId="50" priority="16" operator="containsText" text="H">
      <formula>NOT(ISERROR(SEARCH("H",N38)))</formula>
    </cfRule>
  </conditionalFormatting>
  <conditionalFormatting sqref="N38:V38">
    <cfRule type="containsText" dxfId="49" priority="14" operator="containsText" text="D">
      <formula>NOT(ISERROR(SEARCH("D",N38)))</formula>
    </cfRule>
  </conditionalFormatting>
  <conditionalFormatting sqref="N38:V38">
    <cfRule type="containsText" dxfId="48" priority="13" operator="containsText" text="R">
      <formula>NOT(ISERROR(SEARCH("R",N38)))</formula>
    </cfRule>
  </conditionalFormatting>
  <conditionalFormatting sqref="N38:V38">
    <cfRule type="containsText" dxfId="47" priority="12" operator="containsText" text="P">
      <formula>NOT(ISERROR(SEARCH("P",N38)))</formula>
    </cfRule>
  </conditionalFormatting>
  <pageMargins left="0.25" right="0.25" top="0.75" bottom="0.75" header="0.3" footer="0.3"/>
  <pageSetup paperSize="9" scale="66" orientation="landscape" r:id="rId1"/>
  <headerFooter>
    <oddHeader xml:space="preserve">&amp;C&amp;"System Font,Bold"&amp;22&amp;K000000Atipat's Blackjack Strategy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54"/>
  <sheetViews>
    <sheetView workbookViewId="0">
      <selection activeCell="K9" sqref="K9"/>
    </sheetView>
  </sheetViews>
  <sheetFormatPr baseColWidth="10" defaultColWidth="8.83203125" defaultRowHeight="16" x14ac:dyDescent="0.2"/>
  <cols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MAX(Hit!B2,Stand!B2)</f>
        <v>-0.20335368314889377</v>
      </c>
      <c r="C2">
        <f>MAX(Hit!C2,Stand!C2)</f>
        <v>-7.5884358318949102E-2</v>
      </c>
      <c r="D2">
        <f>MAX(Hit!D2,Stand!D2)</f>
        <v>-4.9750706146412048E-2</v>
      </c>
      <c r="E2">
        <f>MAX(Hit!E2,Stand!E2)</f>
        <v>-2.2100412135834389E-2</v>
      </c>
      <c r="F2">
        <f>MAX(Hit!F2,Stand!F2)</f>
        <v>1.3730032284783571E-2</v>
      </c>
      <c r="G2">
        <f>MAX(Hit!G2,Stand!G2)</f>
        <v>3.8883411946301231E-2</v>
      </c>
      <c r="H2">
        <f>MAX(Hit!H2,Stand!H2)</f>
        <v>-2.7257021375862247E-2</v>
      </c>
      <c r="I2">
        <f>MAX(Hit!I2,Stand!I2)</f>
        <v>-0.10316172777512726</v>
      </c>
      <c r="J2">
        <f>MAX(Hit!J2,Stand!J2)</f>
        <v>-0.19004714305350842</v>
      </c>
      <c r="K2">
        <f>MAX(Hit!K2,Stand!K2)</f>
        <v>-0.24199803315764098</v>
      </c>
      <c r="N2" s="31">
        <v>2</v>
      </c>
      <c r="O2" s="31" t="str">
        <f>IF(B2=Stand!B2,"S","H")</f>
        <v>H</v>
      </c>
      <c r="P2" s="31" t="str">
        <f>IF(C2=Stand!C2,"S","H")</f>
        <v>H</v>
      </c>
      <c r="Q2" s="31" t="str">
        <f>IF(D2=Stand!D2,"S","H")</f>
        <v>H</v>
      </c>
      <c r="R2" s="31" t="str">
        <f>IF(E2=Stand!E2,"S","H")</f>
        <v>H</v>
      </c>
      <c r="S2" s="31" t="str">
        <f>IF(F2=Stand!F2,"S","H")</f>
        <v>H</v>
      </c>
      <c r="T2" s="31" t="str">
        <f>IF(G2=Stand!G2,"S","H")</f>
        <v>H</v>
      </c>
      <c r="U2" s="31" t="str">
        <f>IF(H2=Stand!H2,"S","H")</f>
        <v>H</v>
      </c>
      <c r="V2" s="31" t="str">
        <f>IF(I2=Stand!I2,"S","H")</f>
        <v>H</v>
      </c>
      <c r="W2" s="31" t="str">
        <f>IF(J2=Stand!J2,"S","H")</f>
        <v>H</v>
      </c>
      <c r="X2" s="31" t="str">
        <f>IF(K2=Stand!K2,"S","H")</f>
        <v>H</v>
      </c>
    </row>
    <row r="3" spans="1:24" x14ac:dyDescent="0.2">
      <c r="A3">
        <v>3</v>
      </c>
      <c r="B3">
        <f>MAX(Hit!B3,Stand!B3)</f>
        <v>-0.22793749290805351</v>
      </c>
      <c r="C3">
        <f>MAX(Hit!C3,Stand!C3)</f>
        <v>-0.10052250439785246</v>
      </c>
      <c r="D3">
        <f>MAX(Hit!D3,Stand!D3)</f>
        <v>-6.8875858278897514E-2</v>
      </c>
      <c r="E3">
        <f>MAX(Hit!E3,Stand!E3)</f>
        <v>-3.6261290708905339E-2</v>
      </c>
      <c r="F3">
        <f>MAX(Hit!F3,Stand!F3)</f>
        <v>1.6995712139687808E-4</v>
      </c>
      <c r="G3">
        <f>MAX(Hit!G3,Stand!G3)</f>
        <v>2.447130320655936E-2</v>
      </c>
      <c r="H3">
        <f>MAX(Hit!H3,Stand!H3)</f>
        <v>-5.7437588540356667E-2</v>
      </c>
      <c r="I3">
        <f>MAX(Hit!I3,Stand!I3)</f>
        <v>-0.13094188065020101</v>
      </c>
      <c r="J3">
        <f>MAX(Hit!J3,Stand!J3)</f>
        <v>-0.21507662281362433</v>
      </c>
      <c r="K3">
        <f>MAX(Hit!K3,Stand!K3)</f>
        <v>-0.26532921479747562</v>
      </c>
      <c r="N3" s="31">
        <v>3</v>
      </c>
      <c r="O3" s="31" t="str">
        <f>IF(B3=Stand!B3,"S","H")</f>
        <v>H</v>
      </c>
      <c r="P3" s="31" t="str">
        <f>IF(C3=Stand!C3,"S","H")</f>
        <v>H</v>
      </c>
      <c r="Q3" s="31" t="str">
        <f>IF(D3=Stand!D3,"S","H")</f>
        <v>H</v>
      </c>
      <c r="R3" s="31" t="str">
        <f>IF(E3=Stand!E3,"S","H")</f>
        <v>H</v>
      </c>
      <c r="S3" s="31" t="str">
        <f>IF(F3=Stand!F3,"S","H")</f>
        <v>H</v>
      </c>
      <c r="T3" s="31" t="str">
        <f>IF(G3=Stand!G3,"S","H")</f>
        <v>H</v>
      </c>
      <c r="U3" s="31" t="str">
        <f>IF(H3=Stand!H3,"S","H")</f>
        <v>H</v>
      </c>
      <c r="V3" s="31" t="str">
        <f>IF(I3=Stand!I3,"S","H")</f>
        <v>H</v>
      </c>
      <c r="W3" s="31" t="str">
        <f>IF(J3=Stand!J3,"S","H")</f>
        <v>H</v>
      </c>
      <c r="X3" s="31" t="str">
        <f>IF(K3=Stand!K3,"S","H")</f>
        <v>H</v>
      </c>
    </row>
    <row r="4" spans="1:24" x14ac:dyDescent="0.2">
      <c r="A4">
        <v>4</v>
      </c>
      <c r="B4">
        <f>MAX(Hit!B4,Stand!B4)</f>
        <v>-0.25307699440390863</v>
      </c>
      <c r="C4">
        <f>MAX(Hit!C4,Stand!C4)</f>
        <v>-0.11491332761892134</v>
      </c>
      <c r="D4">
        <f>MAX(Hit!D4,Stand!D4)</f>
        <v>-8.2613314299744361E-2</v>
      </c>
      <c r="E4">
        <f>MAX(Hit!E4,Stand!E4)</f>
        <v>-4.9367420106916922E-2</v>
      </c>
      <c r="F4">
        <f>MAX(Hit!F4,Stand!F4)</f>
        <v>-1.2379926519926384E-2</v>
      </c>
      <c r="G4">
        <f>MAX(Hit!G4,Stand!G4)</f>
        <v>1.1130417280979797E-2</v>
      </c>
      <c r="H4">
        <f>MAX(Hit!H4,Stand!H4)</f>
        <v>-8.8279201058463722E-2</v>
      </c>
      <c r="I4">
        <f>MAX(Hit!I4,Stand!I4)</f>
        <v>-0.15933415266020512</v>
      </c>
      <c r="J4">
        <f>MAX(Hit!J4,Stand!J4)</f>
        <v>-0.24066617915336547</v>
      </c>
      <c r="K4">
        <f>MAX(Hit!K4,Stand!K4)</f>
        <v>-0.28919791448567511</v>
      </c>
      <c r="N4" s="31">
        <v>4</v>
      </c>
      <c r="O4" s="31" t="str">
        <f>IF(B4=Stand!B4,"S","H")</f>
        <v>H</v>
      </c>
      <c r="P4" s="31" t="str">
        <f>IF(C4=Stand!C4,"S","H")</f>
        <v>H</v>
      </c>
      <c r="Q4" s="31" t="str">
        <f>IF(D4=Stand!D4,"S","H")</f>
        <v>H</v>
      </c>
      <c r="R4" s="31" t="str">
        <f>IF(E4=Stand!E4,"S","H")</f>
        <v>H</v>
      </c>
      <c r="S4" s="31" t="str">
        <f>IF(F4=Stand!F4,"S","H")</f>
        <v>H</v>
      </c>
      <c r="T4" s="31" t="str">
        <f>IF(G4=Stand!G4,"S","H")</f>
        <v>H</v>
      </c>
      <c r="U4" s="31" t="str">
        <f>IF(H4=Stand!H4,"S","H")</f>
        <v>H</v>
      </c>
      <c r="V4" s="31" t="str">
        <f>IF(I4=Stand!I4,"S","H")</f>
        <v>H</v>
      </c>
      <c r="W4" s="31" t="str">
        <f>IF(J4=Stand!J4,"S","H")</f>
        <v>H</v>
      </c>
      <c r="X4" s="31" t="str">
        <f>IF(K4=Stand!K4,"S","H")</f>
        <v>H</v>
      </c>
    </row>
    <row r="5" spans="1:24" x14ac:dyDescent="0.2">
      <c r="A5">
        <v>5</v>
      </c>
      <c r="B5">
        <f>MAX(Hit!B5,Stand!B5)</f>
        <v>-0.27857459755181968</v>
      </c>
      <c r="C5">
        <f>MAX(Hit!C5,Stand!C5)</f>
        <v>-0.12821556706374745</v>
      </c>
      <c r="D5">
        <f>MAX(Hit!D5,Stand!D5)</f>
        <v>-9.5310227261489883E-2</v>
      </c>
      <c r="E5">
        <f>MAX(Hit!E5,Stand!E5)</f>
        <v>-6.1479464199694238E-2</v>
      </c>
      <c r="F5">
        <f>MAX(Hit!F5,Stand!F5)</f>
        <v>-2.397897039185962E-2</v>
      </c>
      <c r="G5">
        <f>MAX(Hit!G5,Stand!G5)</f>
        <v>-1.1863378384401623E-3</v>
      </c>
      <c r="H5">
        <f>MAX(Hit!H5,Stand!H5)</f>
        <v>-0.11944744188414852</v>
      </c>
      <c r="I5">
        <f>MAX(Hit!I5,Stand!I5)</f>
        <v>-0.18809330390318524</v>
      </c>
      <c r="J5">
        <f>MAX(Hit!J5,Stand!J5)</f>
        <v>-0.26661505335795899</v>
      </c>
      <c r="K5">
        <f>MAX(Hit!K5,Stand!K5)</f>
        <v>-0.31341164336497107</v>
      </c>
      <c r="N5" s="31">
        <v>5</v>
      </c>
      <c r="O5" s="31" t="str">
        <f>IF(B5=Stand!B5,"S","H")</f>
        <v>H</v>
      </c>
      <c r="P5" s="31" t="str">
        <f>IF(C5=Stand!C5,"S","H")</f>
        <v>H</v>
      </c>
      <c r="Q5" s="31" t="str">
        <f>IF(D5=Stand!D5,"S","H")</f>
        <v>H</v>
      </c>
      <c r="R5" s="31" t="str">
        <f>IF(E5=Stand!E5,"S","H")</f>
        <v>H</v>
      </c>
      <c r="S5" s="31" t="str">
        <f>IF(F5=Stand!F5,"S","H")</f>
        <v>H</v>
      </c>
      <c r="T5" s="31" t="str">
        <f>IF(G5=Stand!G5,"S","H")</f>
        <v>H</v>
      </c>
      <c r="U5" s="31" t="str">
        <f>IF(H5=Stand!H5,"S","H")</f>
        <v>H</v>
      </c>
      <c r="V5" s="31" t="str">
        <f>IF(I5=Stand!I5,"S","H")</f>
        <v>H</v>
      </c>
      <c r="W5" s="31" t="str">
        <f>IF(J5=Stand!J5,"S","H")</f>
        <v>H</v>
      </c>
      <c r="X5" s="31" t="str">
        <f>IF(K5=Stand!K5,"S","H")</f>
        <v>H</v>
      </c>
    </row>
    <row r="6" spans="1:24" x14ac:dyDescent="0.2">
      <c r="A6">
        <v>6</v>
      </c>
      <c r="B6">
        <f>MAX(Hit!B6,Stand!B6)</f>
        <v>-0.30414663097569933</v>
      </c>
      <c r="C6">
        <f>MAX(Hit!C6,Stand!C6)</f>
        <v>-0.14075911746001987</v>
      </c>
      <c r="D6">
        <f>MAX(Hit!D6,Stand!D6)</f>
        <v>-0.10729107800860836</v>
      </c>
      <c r="E6">
        <f>MAX(Hit!E6,Stand!E6)</f>
        <v>-7.2917141926387305E-2</v>
      </c>
      <c r="F6">
        <f>MAX(Hit!F6,Stand!F6)</f>
        <v>-3.4915973330102178E-2</v>
      </c>
      <c r="G6">
        <f>MAX(Hit!G6,Stand!G6)</f>
        <v>-1.3005835529874294E-2</v>
      </c>
      <c r="H6">
        <f>MAX(Hit!H6,Stand!H6)</f>
        <v>-0.15193270723669944</v>
      </c>
      <c r="I6">
        <f>MAX(Hit!I6,Stand!I6)</f>
        <v>-0.21724188132078476</v>
      </c>
      <c r="J6">
        <f>MAX(Hit!J6,Stand!J6)</f>
        <v>-0.29264070019772598</v>
      </c>
      <c r="K6">
        <f>MAX(Hit!K6,Stand!K6)</f>
        <v>-0.33774944037840804</v>
      </c>
      <c r="N6" s="31">
        <v>6</v>
      </c>
      <c r="O6" s="31" t="str">
        <f>IF(B6=Stand!B6,"S","H")</f>
        <v>H</v>
      </c>
      <c r="P6" s="31" t="str">
        <f>IF(C6=Stand!C6,"S","H")</f>
        <v>H</v>
      </c>
      <c r="Q6" s="31" t="str">
        <f>IF(D6=Stand!D6,"S","H")</f>
        <v>H</v>
      </c>
      <c r="R6" s="31" t="str">
        <f>IF(E6=Stand!E6,"S","H")</f>
        <v>H</v>
      </c>
      <c r="S6" s="31" t="str">
        <f>IF(F6=Stand!F6,"S","H")</f>
        <v>H</v>
      </c>
      <c r="T6" s="31" t="str">
        <f>IF(G6=Stand!G6,"S","H")</f>
        <v>H</v>
      </c>
      <c r="U6" s="31" t="str">
        <f>IF(H6=Stand!H6,"S","H")</f>
        <v>H</v>
      </c>
      <c r="V6" s="31" t="str">
        <f>IF(I6=Stand!I6,"S","H")</f>
        <v>H</v>
      </c>
      <c r="W6" s="31" t="str">
        <f>IF(J6=Stand!J6,"S","H")</f>
        <v>H</v>
      </c>
      <c r="X6" s="31" t="str">
        <f>IF(K6=Stand!K6,"S","H")</f>
        <v>H</v>
      </c>
    </row>
    <row r="7" spans="1:24" x14ac:dyDescent="0.2">
      <c r="A7">
        <v>7</v>
      </c>
      <c r="B7">
        <f>MAX(Hit!B7,Stand!B7)</f>
        <v>-0.31007165033163697</v>
      </c>
      <c r="C7">
        <f>MAX(Hit!C7,Stand!C7)</f>
        <v>-0.10918342786661633</v>
      </c>
      <c r="D7">
        <f>MAX(Hit!D7,Stand!D7)</f>
        <v>-7.658298190446361E-2</v>
      </c>
      <c r="E7">
        <f>MAX(Hit!E7,Stand!E7)</f>
        <v>-4.3021794004341876E-2</v>
      </c>
      <c r="F7">
        <f>MAX(Hit!F7,Stand!F7)</f>
        <v>-7.2713609029408845E-3</v>
      </c>
      <c r="G7">
        <f>MAX(Hit!G7,Stand!G7)</f>
        <v>2.9185342353860864E-2</v>
      </c>
      <c r="H7">
        <f>MAX(Hit!H7,Stand!H7)</f>
        <v>-6.8807799580427764E-2</v>
      </c>
      <c r="I7">
        <f>MAX(Hit!I7,Stand!I7)</f>
        <v>-0.21060476872434969</v>
      </c>
      <c r="J7">
        <f>MAX(Hit!J7,Stand!J7)</f>
        <v>-0.28536544048687656</v>
      </c>
      <c r="K7">
        <f>MAX(Hit!K7,Stand!K7)</f>
        <v>-0.31905479139833842</v>
      </c>
      <c r="N7" s="31">
        <v>7</v>
      </c>
      <c r="O7" s="31" t="str">
        <f>IF(B7=Stand!B7,"S","H")</f>
        <v>H</v>
      </c>
      <c r="P7" s="31" t="str">
        <f>IF(C7=Stand!C7,"S","H")</f>
        <v>H</v>
      </c>
      <c r="Q7" s="31" t="str">
        <f>IF(D7=Stand!D7,"S","H")</f>
        <v>H</v>
      </c>
      <c r="R7" s="31" t="str">
        <f>IF(E7=Stand!E7,"S","H")</f>
        <v>H</v>
      </c>
      <c r="S7" s="31" t="str">
        <f>IF(F7=Stand!F7,"S","H")</f>
        <v>H</v>
      </c>
      <c r="T7" s="31" t="str">
        <f>IF(G7=Stand!G7,"S","H")</f>
        <v>H</v>
      </c>
      <c r="U7" s="31" t="str">
        <f>IF(H7=Stand!H7,"S","H")</f>
        <v>H</v>
      </c>
      <c r="V7" s="31" t="str">
        <f>IF(I7=Stand!I7,"S","H")</f>
        <v>H</v>
      </c>
      <c r="W7" s="31" t="str">
        <f>IF(J7=Stand!J7,"S","H")</f>
        <v>H</v>
      </c>
      <c r="X7" s="31" t="str">
        <f>IF(K7=Stand!K7,"S","H")</f>
        <v>H</v>
      </c>
    </row>
    <row r="8" spans="1:24" x14ac:dyDescent="0.2">
      <c r="A8">
        <v>8</v>
      </c>
      <c r="B8">
        <f>MAX(Hit!B8,Stand!B8)</f>
        <v>-0.1970288105741636</v>
      </c>
      <c r="C8">
        <f>MAX(Hit!C8,Stand!C8)</f>
        <v>-2.1798188008805668E-2</v>
      </c>
      <c r="D8">
        <f>MAX(Hit!D8,Stand!D8)</f>
        <v>8.0052625306546825E-3</v>
      </c>
      <c r="E8">
        <f>MAX(Hit!E8,Stand!E8)</f>
        <v>3.8784473277208811E-2</v>
      </c>
      <c r="F8">
        <f>MAX(Hit!F8,Stand!F8)</f>
        <v>7.0804635983033826E-2</v>
      </c>
      <c r="G8">
        <f>MAX(Hit!G8,Stand!G8)</f>
        <v>0.11496015009622321</v>
      </c>
      <c r="H8">
        <f>MAX(Hit!H8,Stand!H8)</f>
        <v>8.2207439363742862E-2</v>
      </c>
      <c r="I8">
        <f>MAX(Hit!I8,Stand!I8)</f>
        <v>-5.9898275658656304E-2</v>
      </c>
      <c r="J8">
        <f>MAX(Hit!J8,Stand!J8)</f>
        <v>-0.21018633199821757</v>
      </c>
      <c r="K8">
        <f>MAX(Hit!K8,Stand!K8)</f>
        <v>-0.24937508055334259</v>
      </c>
      <c r="N8" s="31">
        <v>8</v>
      </c>
      <c r="O8" s="31" t="str">
        <f>IF(B8=Stand!B8,"S","H")</f>
        <v>H</v>
      </c>
      <c r="P8" s="31" t="str">
        <f>IF(C8=Stand!C8,"S","H")</f>
        <v>H</v>
      </c>
      <c r="Q8" s="31" t="str">
        <f>IF(D8=Stand!D8,"S","H")</f>
        <v>H</v>
      </c>
      <c r="R8" s="31" t="str">
        <f>IF(E8=Stand!E8,"S","H")</f>
        <v>H</v>
      </c>
      <c r="S8" s="31" t="str">
        <f>IF(F8=Stand!F8,"S","H")</f>
        <v>H</v>
      </c>
      <c r="T8" s="31" t="str">
        <f>IF(G8=Stand!G8,"S","H")</f>
        <v>H</v>
      </c>
      <c r="U8" s="31" t="str">
        <f>IF(H8=Stand!H8,"S","H")</f>
        <v>H</v>
      </c>
      <c r="V8" s="31" t="str">
        <f>IF(I8=Stand!I8,"S","H")</f>
        <v>H</v>
      </c>
      <c r="W8" s="31" t="str">
        <f>IF(J8=Stand!J8,"S","H")</f>
        <v>H</v>
      </c>
      <c r="X8" s="31" t="str">
        <f>IF(K8=Stand!K8,"S","H")</f>
        <v>H</v>
      </c>
    </row>
    <row r="9" spans="1:24" x14ac:dyDescent="0.2">
      <c r="A9">
        <v>9</v>
      </c>
      <c r="B9">
        <f>MAX(Hit!B9,Stand!B9)</f>
        <v>-6.5680778778066204E-2</v>
      </c>
      <c r="C9">
        <f>MAX(Hit!C9,Stand!C9)</f>
        <v>7.4446037576340524E-2</v>
      </c>
      <c r="D9">
        <f>MAX(Hit!D9,Stand!D9)</f>
        <v>0.10126470173887674</v>
      </c>
      <c r="E9">
        <f>MAX(Hit!E9,Stand!E9)</f>
        <v>0.12898088119574178</v>
      </c>
      <c r="F9">
        <f>MAX(Hit!F9,Stand!F9)</f>
        <v>0.15803185626651736</v>
      </c>
      <c r="G9">
        <f>MAX(Hit!G9,Stand!G9)</f>
        <v>0.19601883925727878</v>
      </c>
      <c r="H9">
        <f>MAX(Hit!H9,Stand!H9)</f>
        <v>0.17186785993695267</v>
      </c>
      <c r="I9">
        <f>MAX(Hit!I9,Stand!I9)</f>
        <v>9.8376217435392516E-2</v>
      </c>
      <c r="J9">
        <f>MAX(Hit!J9,Stand!J9)</f>
        <v>-5.2178053462651669E-2</v>
      </c>
      <c r="K9">
        <f>MAX(Hit!K9,Stand!K9)</f>
        <v>-0.15295298487455075</v>
      </c>
      <c r="N9" s="31">
        <v>9</v>
      </c>
      <c r="O9" s="31" t="str">
        <f>IF(B9=Stand!B9,"S","H")</f>
        <v>H</v>
      </c>
      <c r="P9" s="31" t="str">
        <f>IF(C9=Stand!C9,"S","H")</f>
        <v>H</v>
      </c>
      <c r="Q9" s="31" t="str">
        <f>IF(D9=Stand!D9,"S","H")</f>
        <v>H</v>
      </c>
      <c r="R9" s="31" t="str">
        <f>IF(E9=Stand!E9,"S","H")</f>
        <v>H</v>
      </c>
      <c r="S9" s="31" t="str">
        <f>IF(F9=Stand!F9,"S","H")</f>
        <v>H</v>
      </c>
      <c r="T9" s="31" t="str">
        <f>IF(G9=Stand!G9,"S","H")</f>
        <v>H</v>
      </c>
      <c r="U9" s="31" t="str">
        <f>IF(H9=Stand!H9,"S","H")</f>
        <v>H</v>
      </c>
      <c r="V9" s="31" t="str">
        <f>IF(I9=Stand!I9,"S","H")</f>
        <v>H</v>
      </c>
      <c r="W9" s="31" t="str">
        <f>IF(J9=Stand!J9,"S","H")</f>
        <v>H</v>
      </c>
      <c r="X9" s="31" t="str">
        <f>IF(K9=Stand!K9,"S","H")</f>
        <v>H</v>
      </c>
    </row>
    <row r="10" spans="1:24" x14ac:dyDescent="0.2">
      <c r="A10">
        <v>10</v>
      </c>
      <c r="B10">
        <f>MAX(Hit!B10,Stand!B10)</f>
        <v>8.1449707945275923E-2</v>
      </c>
      <c r="C10">
        <f>MAX(Hit!C10,Stand!C10)</f>
        <v>0.18249999400904487</v>
      </c>
      <c r="D10">
        <f>MAX(Hit!D10,Stand!D10)</f>
        <v>0.20608797581394089</v>
      </c>
      <c r="E10">
        <f>MAX(Hit!E10,Stand!E10)</f>
        <v>0.230470121897177</v>
      </c>
      <c r="F10">
        <f>MAX(Hit!F10,Stand!F10)</f>
        <v>0.25625855450163387</v>
      </c>
      <c r="G10">
        <f>MAX(Hit!G10,Stand!G10)</f>
        <v>0.28779508429888429</v>
      </c>
      <c r="H10">
        <f>MAX(Hit!H10,Stand!H10)</f>
        <v>0.25690874433608657</v>
      </c>
      <c r="I10">
        <f>MAX(Hit!I10,Stand!I10)</f>
        <v>0.19795370833197609</v>
      </c>
      <c r="J10">
        <f>MAX(Hit!J10,Stand!J10)</f>
        <v>0.1165295910692839</v>
      </c>
      <c r="K10">
        <f>MAX(Hit!K10,Stand!K10)</f>
        <v>2.5308523040868145E-2</v>
      </c>
      <c r="N10" s="31">
        <v>10</v>
      </c>
      <c r="O10" s="31" t="str">
        <f>IF(B10=Stand!B10,"S","H")</f>
        <v>H</v>
      </c>
      <c r="P10" s="31" t="str">
        <f>IF(C10=Stand!C10,"S","H")</f>
        <v>H</v>
      </c>
      <c r="Q10" s="31" t="str">
        <f>IF(D10=Stand!D10,"S","H")</f>
        <v>H</v>
      </c>
      <c r="R10" s="31" t="str">
        <f>IF(E10=Stand!E10,"S","H")</f>
        <v>H</v>
      </c>
      <c r="S10" s="31" t="str">
        <f>IF(F10=Stand!F10,"S","H")</f>
        <v>H</v>
      </c>
      <c r="T10" s="31" t="str">
        <f>IF(G10=Stand!G10,"S","H")</f>
        <v>H</v>
      </c>
      <c r="U10" s="31" t="str">
        <f>IF(H10=Stand!H10,"S","H")</f>
        <v>H</v>
      </c>
      <c r="V10" s="31" t="str">
        <f>IF(I10=Stand!I10,"S","H")</f>
        <v>H</v>
      </c>
      <c r="W10" s="31" t="str">
        <f>IF(J10=Stand!J10,"S","H")</f>
        <v>H</v>
      </c>
      <c r="X10" s="31" t="str">
        <f>IF(K10=Stand!K10,"S","H")</f>
        <v>H</v>
      </c>
    </row>
    <row r="11" spans="1:24" x14ac:dyDescent="0.2">
      <c r="A11">
        <v>11</v>
      </c>
      <c r="B11">
        <f>MAX(Hit!B11,Stand!B11)</f>
        <v>0.14300128216153027</v>
      </c>
      <c r="C11">
        <f>MAX(Hit!C11,Stand!C11)</f>
        <v>0.2383507494576298</v>
      </c>
      <c r="D11">
        <f>MAX(Hit!D11,Stand!D11)</f>
        <v>0.26032526728707961</v>
      </c>
      <c r="E11">
        <f>MAX(Hit!E11,Stand!E11)</f>
        <v>0.28302027520898798</v>
      </c>
      <c r="F11">
        <f>MAX(Hit!F11,Stand!F11)</f>
        <v>0.30734950895451402</v>
      </c>
      <c r="G11">
        <f>MAX(Hit!G11,Stand!G11)</f>
        <v>0.33369004745378472</v>
      </c>
      <c r="H11">
        <f>MAX(Hit!H11,Stand!H11)</f>
        <v>0.29214699112701309</v>
      </c>
      <c r="I11">
        <f>MAX(Hit!I11,Stand!I11)</f>
        <v>0.22998214532399169</v>
      </c>
      <c r="J11">
        <f>MAX(Hit!J11,Stand!J11)</f>
        <v>0.15825711845512572</v>
      </c>
      <c r="K11">
        <f>MAX(Hit!K11,Stand!K11)</f>
        <v>0.11948223076371363</v>
      </c>
      <c r="N11" s="31">
        <v>11</v>
      </c>
      <c r="O11" s="31" t="str">
        <f>IF(B11=Stand!B11,"S","H")</f>
        <v>H</v>
      </c>
      <c r="P11" s="31" t="str">
        <f>IF(C11=Stand!C11,"S","H")</f>
        <v>H</v>
      </c>
      <c r="Q11" s="31" t="str">
        <f>IF(D11=Stand!D11,"S","H")</f>
        <v>H</v>
      </c>
      <c r="R11" s="31" t="str">
        <f>IF(E11=Stand!E11,"S","H")</f>
        <v>H</v>
      </c>
      <c r="S11" s="31" t="str">
        <f>IF(F11=Stand!F11,"S","H")</f>
        <v>H</v>
      </c>
      <c r="T11" s="31" t="str">
        <f>IF(G11=Stand!G11,"S","H")</f>
        <v>H</v>
      </c>
      <c r="U11" s="31" t="str">
        <f>IF(H11=Stand!H11,"S","H")</f>
        <v>H</v>
      </c>
      <c r="V11" s="31" t="str">
        <f>IF(I11=Stand!I11,"S","H")</f>
        <v>H</v>
      </c>
      <c r="W11" s="31" t="str">
        <f>IF(J11=Stand!J11,"S","H")</f>
        <v>H</v>
      </c>
      <c r="X11" s="31" t="str">
        <f>IF(K11=Stand!K11,"S","H")</f>
        <v>H</v>
      </c>
    </row>
    <row r="12" spans="1:24" x14ac:dyDescent="0.2">
      <c r="A12">
        <v>12</v>
      </c>
      <c r="B12">
        <f>MAX(Hit!B12,Stand!B12)</f>
        <v>-0.35054034044008009</v>
      </c>
      <c r="C12">
        <f>MAX(Hit!C12,Stand!C12)</f>
        <v>-0.25338998596663809</v>
      </c>
      <c r="D12">
        <f>MAX(Hit!D12,Stand!D12)</f>
        <v>-0.2336908997980866</v>
      </c>
      <c r="E12">
        <f>MAX(Hit!E12,Stand!E12)</f>
        <v>-0.21106310899491437</v>
      </c>
      <c r="F12">
        <f>MAX(Hit!F12,Stand!F12)</f>
        <v>-0.16719266083547524</v>
      </c>
      <c r="G12">
        <f>MAX(Hit!G12,Stand!G12)</f>
        <v>-0.1536990158300045</v>
      </c>
      <c r="H12">
        <f>MAX(Hit!H12,Stand!H12)</f>
        <v>-0.21284771451731424</v>
      </c>
      <c r="I12">
        <f>MAX(Hit!I12,Stand!I12)</f>
        <v>-0.27157480502428616</v>
      </c>
      <c r="J12">
        <f>MAX(Hit!J12,Stand!J12)</f>
        <v>-0.3400132806089356</v>
      </c>
      <c r="K12">
        <f>MAX(Hit!K12,Stand!K12)</f>
        <v>-0.38104299284808768</v>
      </c>
      <c r="N12" s="31">
        <v>12</v>
      </c>
      <c r="O12" s="31" t="str">
        <f>IF(B12=Stand!B12,"S","H")</f>
        <v>H</v>
      </c>
      <c r="P12" s="31" t="str">
        <f>IF(C12=Stand!C12,"S","H")</f>
        <v>H</v>
      </c>
      <c r="Q12" s="31" t="str">
        <f>IF(D12=Stand!D12,"S","H")</f>
        <v>H</v>
      </c>
      <c r="R12" s="31" t="str">
        <f>IF(E12=Stand!E12,"S","H")</f>
        <v>S</v>
      </c>
      <c r="S12" s="31" t="str">
        <f>IF(F12=Stand!F12,"S","H")</f>
        <v>S</v>
      </c>
      <c r="T12" s="31" t="str">
        <f>IF(G12=Stand!G12,"S","H")</f>
        <v>S</v>
      </c>
      <c r="U12" s="31" t="str">
        <f>IF(H12=Stand!H12,"S","H")</f>
        <v>H</v>
      </c>
      <c r="V12" s="31" t="str">
        <f>IF(I12=Stand!I12,"S","H")</f>
        <v>H</v>
      </c>
      <c r="W12" s="31" t="str">
        <f>IF(J12=Stand!J12,"S","H")</f>
        <v>H</v>
      </c>
      <c r="X12" s="31" t="str">
        <f>IF(K12=Stand!K12,"S","H")</f>
        <v>H</v>
      </c>
    </row>
    <row r="13" spans="1:24" x14ac:dyDescent="0.2">
      <c r="A13">
        <v>13</v>
      </c>
      <c r="B13">
        <f>MAX(Hit!B13,Stand!B13)</f>
        <v>-0.3969303161229315</v>
      </c>
      <c r="C13">
        <f>MAX(Hit!C13,Stand!C13)</f>
        <v>-0.29278372720927726</v>
      </c>
      <c r="D13">
        <f>MAX(Hit!D13,Stand!D13)</f>
        <v>-0.2522502292357135</v>
      </c>
      <c r="E13">
        <f>MAX(Hit!E13,Stand!E13)</f>
        <v>-0.21106310899491437</v>
      </c>
      <c r="F13">
        <f>MAX(Hit!F13,Stand!F13)</f>
        <v>-0.16719266083547524</v>
      </c>
      <c r="G13">
        <f>MAX(Hit!G13,Stand!G13)</f>
        <v>-0.1536990158300045</v>
      </c>
      <c r="H13">
        <f>MAX(Hit!H13,Stand!H13)</f>
        <v>-0.26907287776607752</v>
      </c>
      <c r="I13">
        <f>MAX(Hit!I13,Stand!I13)</f>
        <v>-0.32360517609397998</v>
      </c>
      <c r="J13">
        <f>MAX(Hit!J13,Stand!J13)</f>
        <v>-0.38715518913686875</v>
      </c>
      <c r="K13">
        <f>MAX(Hit!K13,Stand!K13)</f>
        <v>-0.42525420764465277</v>
      </c>
      <c r="N13" s="31">
        <v>13</v>
      </c>
      <c r="O13" s="31" t="str">
        <f>IF(B13=Stand!B13,"S","H")</f>
        <v>H</v>
      </c>
      <c r="P13" s="31" t="str">
        <f>IF(C13=Stand!C13,"S","H")</f>
        <v>S</v>
      </c>
      <c r="Q13" s="31" t="str">
        <f>IF(D13=Stand!D13,"S","H")</f>
        <v>S</v>
      </c>
      <c r="R13" s="31" t="str">
        <f>IF(E13=Stand!E13,"S","H")</f>
        <v>S</v>
      </c>
      <c r="S13" s="31" t="str">
        <f>IF(F13=Stand!F13,"S","H")</f>
        <v>S</v>
      </c>
      <c r="T13" s="31" t="str">
        <f>IF(G13=Stand!G13,"S","H")</f>
        <v>S</v>
      </c>
      <c r="U13" s="31" t="str">
        <f>IF(H13=Stand!H13,"S","H")</f>
        <v>H</v>
      </c>
      <c r="V13" s="31" t="str">
        <f>IF(I13=Stand!I13,"S","H")</f>
        <v>H</v>
      </c>
      <c r="W13" s="31" t="str">
        <f>IF(J13=Stand!J13,"S","H")</f>
        <v>H</v>
      </c>
      <c r="X13" s="31" t="str">
        <f>IF(K13=Stand!K13,"S","H")</f>
        <v>H</v>
      </c>
    </row>
    <row r="14" spans="1:24" x14ac:dyDescent="0.2">
      <c r="A14">
        <v>14</v>
      </c>
      <c r="B14">
        <f>MAX(Hit!B14,Stand!B14)</f>
        <v>-0.44000672211415065</v>
      </c>
      <c r="C14">
        <f>MAX(Hit!C14,Stand!C14)</f>
        <v>-0.29278372720927726</v>
      </c>
      <c r="D14">
        <f>MAX(Hit!D14,Stand!D14)</f>
        <v>-0.2522502292357135</v>
      </c>
      <c r="E14">
        <f>MAX(Hit!E14,Stand!E14)</f>
        <v>-0.21106310899491437</v>
      </c>
      <c r="F14">
        <f>MAX(Hit!F14,Stand!F14)</f>
        <v>-0.16719266083547524</v>
      </c>
      <c r="G14">
        <f>MAX(Hit!G14,Stand!G14)</f>
        <v>-0.1536990158300045</v>
      </c>
      <c r="H14">
        <f>MAX(Hit!H14,Stand!H14)</f>
        <v>-0.3212819579256434</v>
      </c>
      <c r="I14">
        <f>MAX(Hit!I14,Stand!I14)</f>
        <v>-0.37191909208726714</v>
      </c>
      <c r="J14">
        <f>MAX(Hit!J14,Stand!J14)</f>
        <v>-0.43092981848423528</v>
      </c>
      <c r="K14">
        <f>MAX(Hit!K14,Stand!K14)</f>
        <v>-0.46630747852717758</v>
      </c>
      <c r="N14" s="31">
        <v>14</v>
      </c>
      <c r="O14" s="31" t="str">
        <f>IF(B14=Stand!B14,"S","H")</f>
        <v>H</v>
      </c>
      <c r="P14" s="31" t="str">
        <f>IF(C14=Stand!C14,"S","H")</f>
        <v>S</v>
      </c>
      <c r="Q14" s="31" t="str">
        <f>IF(D14=Stand!D14,"S","H")</f>
        <v>S</v>
      </c>
      <c r="R14" s="31" t="str">
        <f>IF(E14=Stand!E14,"S","H")</f>
        <v>S</v>
      </c>
      <c r="S14" s="31" t="str">
        <f>IF(F14=Stand!F14,"S","H")</f>
        <v>S</v>
      </c>
      <c r="T14" s="31" t="str">
        <f>IF(G14=Stand!G14,"S","H")</f>
        <v>S</v>
      </c>
      <c r="U14" s="31" t="str">
        <f>IF(H14=Stand!H14,"S","H")</f>
        <v>H</v>
      </c>
      <c r="V14" s="31" t="str">
        <f>IF(I14=Stand!I14,"S","H")</f>
        <v>H</v>
      </c>
      <c r="W14" s="31" t="str">
        <f>IF(J14=Stand!J14,"S","H")</f>
        <v>H</v>
      </c>
      <c r="X14" s="31" t="str">
        <f>IF(K14=Stand!K14,"S","H")</f>
        <v>H</v>
      </c>
    </row>
    <row r="15" spans="1:24" x14ac:dyDescent="0.2">
      <c r="A15">
        <v>15</v>
      </c>
      <c r="B15">
        <f>MAX(Hit!B15,Stand!B15)</f>
        <v>-0.4800062419631399</v>
      </c>
      <c r="C15">
        <f>MAX(Hit!C15,Stand!C15)</f>
        <v>-0.29278372720927726</v>
      </c>
      <c r="D15">
        <f>MAX(Hit!D15,Stand!D15)</f>
        <v>-0.2522502292357135</v>
      </c>
      <c r="E15">
        <f>MAX(Hit!E15,Stand!E15)</f>
        <v>-0.21106310899491437</v>
      </c>
      <c r="F15">
        <f>MAX(Hit!F15,Stand!F15)</f>
        <v>-0.16719266083547524</v>
      </c>
      <c r="G15">
        <f>MAX(Hit!G15,Stand!G15)</f>
        <v>-0.1536990158300045</v>
      </c>
      <c r="H15">
        <f>MAX(Hit!H15,Stand!H15)</f>
        <v>-0.36976181807381175</v>
      </c>
      <c r="I15">
        <f>MAX(Hit!I15,Stand!I15)</f>
        <v>-0.41678201408103371</v>
      </c>
      <c r="J15">
        <f>MAX(Hit!J15,Stand!J15)</f>
        <v>-0.47157768859250415</v>
      </c>
      <c r="K15">
        <f>MAX(Hit!K15,Stand!K15)</f>
        <v>-0.5044283729180935</v>
      </c>
      <c r="N15" s="31">
        <v>15</v>
      </c>
      <c r="O15" s="31" t="str">
        <f>IF(B15=Stand!B15,"S","H")</f>
        <v>H</v>
      </c>
      <c r="P15" s="31" t="str">
        <f>IF(C15=Stand!C15,"S","H")</f>
        <v>S</v>
      </c>
      <c r="Q15" s="31" t="str">
        <f>IF(D15=Stand!D15,"S","H")</f>
        <v>S</v>
      </c>
      <c r="R15" s="31" t="str">
        <f>IF(E15=Stand!E15,"S","H")</f>
        <v>S</v>
      </c>
      <c r="S15" s="31" t="str">
        <f>IF(F15=Stand!F15,"S","H")</f>
        <v>S</v>
      </c>
      <c r="T15" s="31" t="str">
        <f>IF(G15=Stand!G15,"S","H")</f>
        <v>S</v>
      </c>
      <c r="U15" s="31" t="str">
        <f>IF(H15=Stand!H15,"S","H")</f>
        <v>H</v>
      </c>
      <c r="V15" s="31" t="str">
        <f>IF(I15=Stand!I15,"S","H")</f>
        <v>H</v>
      </c>
      <c r="W15" s="31" t="str">
        <f>IF(J15=Stand!J15,"S","H")</f>
        <v>H</v>
      </c>
      <c r="X15" s="31" t="str">
        <f>IF(K15=Stand!K15,"S","H")</f>
        <v>H</v>
      </c>
    </row>
    <row r="16" spans="1:24" x14ac:dyDescent="0.2">
      <c r="A16">
        <v>16</v>
      </c>
      <c r="B16">
        <f>MAX(Hit!B16,Stand!B16)</f>
        <v>-0.51714865325148707</v>
      </c>
      <c r="C16">
        <f>MAX(Hit!C16,Stand!C16)</f>
        <v>-0.29278372720927726</v>
      </c>
      <c r="D16">
        <f>MAX(Hit!D16,Stand!D16)</f>
        <v>-0.2522502292357135</v>
      </c>
      <c r="E16">
        <f>MAX(Hit!E16,Stand!E16)</f>
        <v>-0.21106310899491437</v>
      </c>
      <c r="F16">
        <f>MAX(Hit!F16,Stand!F16)</f>
        <v>-0.16719266083547524</v>
      </c>
      <c r="G16">
        <f>MAX(Hit!G16,Stand!G16)</f>
        <v>-0.1536990158300045</v>
      </c>
      <c r="H16">
        <f>MAX(Hit!H16,Stand!H16)</f>
        <v>-0.41477883106853947</v>
      </c>
      <c r="I16">
        <f>MAX(Hit!I16,Stand!I16)</f>
        <v>-0.45844044164667419</v>
      </c>
      <c r="J16">
        <f>MAX(Hit!J16,Stand!J16)</f>
        <v>-0.50932213940732529</v>
      </c>
      <c r="K16">
        <f>MAX(Hit!K16,Stand!K16)</f>
        <v>-0.53982634628108683</v>
      </c>
      <c r="N16" s="31">
        <v>16</v>
      </c>
      <c r="O16" s="31" t="str">
        <f>IF(B16=Stand!B16,"S","H")</f>
        <v>H</v>
      </c>
      <c r="P16" s="31" t="str">
        <f>IF(C16=Stand!C16,"S","H")</f>
        <v>S</v>
      </c>
      <c r="Q16" s="31" t="str">
        <f>IF(D16=Stand!D16,"S","H")</f>
        <v>S</v>
      </c>
      <c r="R16" s="31" t="str">
        <f>IF(E16=Stand!E16,"S","H")</f>
        <v>S</v>
      </c>
      <c r="S16" s="31" t="str">
        <f>IF(F16=Stand!F16,"S","H")</f>
        <v>S</v>
      </c>
      <c r="T16" s="31" t="str">
        <f>IF(G16=Stand!G16,"S","H")</f>
        <v>S</v>
      </c>
      <c r="U16" s="31" t="str">
        <f>IF(H16=Stand!H16,"S","H")</f>
        <v>H</v>
      </c>
      <c r="V16" s="31" t="str">
        <f>IF(I16=Stand!I16,"S","H")</f>
        <v>H</v>
      </c>
      <c r="W16" s="31" t="str">
        <f>IF(J16=Stand!J16,"S","H")</f>
        <v>H</v>
      </c>
      <c r="X16" s="31" t="str">
        <f>IF(K16=Stand!K16,"S","H")</f>
        <v>H</v>
      </c>
    </row>
    <row r="17" spans="1:24" x14ac:dyDescent="0.2">
      <c r="A17">
        <v>17</v>
      </c>
      <c r="B17">
        <f>MAX(Hit!B17,Stand!B17)</f>
        <v>-0.47803347499473703</v>
      </c>
      <c r="C17">
        <f>MAX(Hit!C17,Stand!C17)</f>
        <v>-0.15297458768154204</v>
      </c>
      <c r="D17">
        <f>MAX(Hit!D17,Stand!D17)</f>
        <v>-0.11721624142457365</v>
      </c>
      <c r="E17">
        <f>MAX(Hit!E17,Stand!E17)</f>
        <v>-8.0573373145316152E-2</v>
      </c>
      <c r="F17">
        <f>MAX(Hit!F17,Stand!F17)</f>
        <v>-4.4941375564924446E-2</v>
      </c>
      <c r="G17">
        <f>MAX(Hit!G17,Stand!G17)</f>
        <v>1.1739160673341853E-2</v>
      </c>
      <c r="H17">
        <f>MAX(Hit!H17,Stand!H17)</f>
        <v>-0.10680898948269468</v>
      </c>
      <c r="I17">
        <f>MAX(Hit!I17,Stand!I17)</f>
        <v>-0.38195097104844711</v>
      </c>
      <c r="J17">
        <f>MAX(Hit!J17,Stand!J17)</f>
        <v>-0.42315423964521737</v>
      </c>
      <c r="K17">
        <f>MAX(Hit!K17,Stand!K17)</f>
        <v>-0.41972063392881986</v>
      </c>
      <c r="N17" s="31">
        <v>17</v>
      </c>
      <c r="O17" s="31" t="str">
        <f>IF(B17=Stand!B17,"S","H")</f>
        <v>S</v>
      </c>
      <c r="P17" s="31" t="str">
        <f>IF(C17=Stand!C17,"S","H")</f>
        <v>S</v>
      </c>
      <c r="Q17" s="31" t="str">
        <f>IF(D17=Stand!D17,"S","H")</f>
        <v>S</v>
      </c>
      <c r="R17" s="31" t="str">
        <f>IF(E17=Stand!E17,"S","H")</f>
        <v>S</v>
      </c>
      <c r="S17" s="31" t="str">
        <f>IF(F17=Stand!F17,"S","H")</f>
        <v>S</v>
      </c>
      <c r="T17" s="31" t="str">
        <f>IF(G17=Stand!G17,"S","H")</f>
        <v>S</v>
      </c>
      <c r="U17" s="31" t="str">
        <f>IF(H17=Stand!H17,"S","H")</f>
        <v>S</v>
      </c>
      <c r="V17" s="31" t="str">
        <f>IF(I17=Stand!I17,"S","H")</f>
        <v>S</v>
      </c>
      <c r="W17" s="31" t="str">
        <f>IF(J17=Stand!J17,"S","H")</f>
        <v>S</v>
      </c>
      <c r="X17" s="31" t="str">
        <f>IF(K17=Stand!K17,"S","H")</f>
        <v>S</v>
      </c>
    </row>
    <row r="18" spans="1:24" x14ac:dyDescent="0.2">
      <c r="A18">
        <v>18</v>
      </c>
      <c r="B18">
        <f>MAX(Hit!B18,Stand!B18)</f>
        <v>-0.10019887561319057</v>
      </c>
      <c r="C18">
        <f>MAX(Hit!C18,Stand!C18)</f>
        <v>0.12174190222088771</v>
      </c>
      <c r="D18">
        <f>MAX(Hit!D18,Stand!D18)</f>
        <v>0.14830007284131119</v>
      </c>
      <c r="E18">
        <f>MAX(Hit!E18,Stand!E18)</f>
        <v>0.17585443719748528</v>
      </c>
      <c r="F18">
        <f>MAX(Hit!F18,Stand!F18)</f>
        <v>0.19956119497617719</v>
      </c>
      <c r="G18">
        <f>MAX(Hit!G18,Stand!G18)</f>
        <v>0.28344391604689856</v>
      </c>
      <c r="H18">
        <f>MAX(Hit!H18,Stand!H18)</f>
        <v>0.3995541673365518</v>
      </c>
      <c r="I18">
        <f>MAX(Hit!I18,Stand!I18)</f>
        <v>0.10595134861912359</v>
      </c>
      <c r="J18">
        <f>MAX(Hit!J18,Stand!J18)</f>
        <v>-0.18316335667343331</v>
      </c>
      <c r="K18">
        <f>MAX(Hit!K18,Stand!K18)</f>
        <v>-0.17830123379648949</v>
      </c>
      <c r="N18" s="31">
        <v>18</v>
      </c>
      <c r="O18" s="31" t="str">
        <f>IF(B18=Stand!B18,"S","H")</f>
        <v>S</v>
      </c>
      <c r="P18" s="31" t="str">
        <f>IF(C18=Stand!C18,"S","H")</f>
        <v>S</v>
      </c>
      <c r="Q18" s="31" t="str">
        <f>IF(D18=Stand!D18,"S","H")</f>
        <v>S</v>
      </c>
      <c r="R18" s="31" t="str">
        <f>IF(E18=Stand!E18,"S","H")</f>
        <v>S</v>
      </c>
      <c r="S18" s="31" t="str">
        <f>IF(F18=Stand!F18,"S","H")</f>
        <v>S</v>
      </c>
      <c r="T18" s="31" t="str">
        <f>IF(G18=Stand!G18,"S","H")</f>
        <v>S</v>
      </c>
      <c r="U18" s="31" t="str">
        <f>IF(H18=Stand!H18,"S","H")</f>
        <v>S</v>
      </c>
      <c r="V18" s="31" t="str">
        <f>IF(I18=Stand!I18,"S","H")</f>
        <v>S</v>
      </c>
      <c r="W18" s="31" t="str">
        <f>IF(J18=Stand!J18,"S","H")</f>
        <v>S</v>
      </c>
      <c r="X18" s="31" t="str">
        <f>IF(K18=Stand!K18,"S","H")</f>
        <v>S</v>
      </c>
    </row>
    <row r="19" spans="1:24" x14ac:dyDescent="0.2">
      <c r="A19">
        <v>19</v>
      </c>
      <c r="B19">
        <f>MAX(Hit!B19,Stand!B19)</f>
        <v>0.27763572376835594</v>
      </c>
      <c r="C19">
        <f>MAX(Hit!C19,Stand!C19)</f>
        <v>0.38630468602058993</v>
      </c>
      <c r="D19">
        <f>MAX(Hit!D19,Stand!D19)</f>
        <v>0.4043629365977599</v>
      </c>
      <c r="E19">
        <f>MAX(Hit!E19,Stand!E19)</f>
        <v>0.42317892482749653</v>
      </c>
      <c r="F19">
        <f>MAX(Hit!F19,Stand!F19)</f>
        <v>0.43951210416088371</v>
      </c>
      <c r="G19">
        <f>MAX(Hit!G19,Stand!G19)</f>
        <v>0.49597707378731914</v>
      </c>
      <c r="H19">
        <f>MAX(Hit!H19,Stand!H19)</f>
        <v>0.6159764957534315</v>
      </c>
      <c r="I19">
        <f>MAX(Hit!I19,Stand!I19)</f>
        <v>0.59385366828669439</v>
      </c>
      <c r="J19">
        <f>MAX(Hit!J19,Stand!J19)</f>
        <v>0.28759675706758148</v>
      </c>
      <c r="K19">
        <f>MAX(Hit!K19,Stand!K19)</f>
        <v>6.3118166335840831E-2</v>
      </c>
      <c r="N19" s="31">
        <v>19</v>
      </c>
      <c r="O19" s="31" t="str">
        <f>IF(B19=Stand!B19,"S","H")</f>
        <v>S</v>
      </c>
      <c r="P19" s="31" t="str">
        <f>IF(C19=Stand!C19,"S","H")</f>
        <v>S</v>
      </c>
      <c r="Q19" s="31" t="str">
        <f>IF(D19=Stand!D19,"S","H")</f>
        <v>S</v>
      </c>
      <c r="R19" s="31" t="str">
        <f>IF(E19=Stand!E19,"S","H")</f>
        <v>S</v>
      </c>
      <c r="S19" s="31" t="str">
        <f>IF(F19=Stand!F19,"S","H")</f>
        <v>S</v>
      </c>
      <c r="T19" s="31" t="str">
        <f>IF(G19=Stand!G19,"S","H")</f>
        <v>S</v>
      </c>
      <c r="U19" s="31" t="str">
        <f>IF(H19=Stand!H19,"S","H")</f>
        <v>S</v>
      </c>
      <c r="V19" s="31" t="str">
        <f>IF(I19=Stand!I19,"S","H")</f>
        <v>S</v>
      </c>
      <c r="W19" s="31" t="str">
        <f>IF(J19=Stand!J19,"S","H")</f>
        <v>S</v>
      </c>
      <c r="X19" s="31" t="str">
        <f>IF(K19=Stand!K19,"S","H")</f>
        <v>S</v>
      </c>
    </row>
    <row r="20" spans="1:24" x14ac:dyDescent="0.2">
      <c r="A20">
        <v>20</v>
      </c>
      <c r="B20">
        <f>MAX(Hit!B20,Stand!B20)</f>
        <v>0.65547032314990239</v>
      </c>
      <c r="C20">
        <f>MAX(Hit!C20,Stand!C20)</f>
        <v>0.63998657521683877</v>
      </c>
      <c r="D20">
        <f>MAX(Hit!D20,Stand!D20)</f>
        <v>0.65027209425148136</v>
      </c>
      <c r="E20">
        <f>MAX(Hit!E20,Stand!E20)</f>
        <v>0.66104996194807186</v>
      </c>
      <c r="F20">
        <f>MAX(Hit!F20,Stand!F20)</f>
        <v>0.67035969063279999</v>
      </c>
      <c r="G20">
        <f>MAX(Hit!G20,Stand!G20)</f>
        <v>0.70395857017134467</v>
      </c>
      <c r="H20">
        <f>MAX(Hit!H20,Stand!H20)</f>
        <v>0.77322722653717491</v>
      </c>
      <c r="I20">
        <f>MAX(Hit!I20,Stand!I20)</f>
        <v>0.79181515955189841</v>
      </c>
      <c r="J20">
        <f>MAX(Hit!J20,Stand!J20)</f>
        <v>0.75835687080859626</v>
      </c>
      <c r="K20">
        <f>MAX(Hit!K20,Stand!K20)</f>
        <v>0.55453756646817121</v>
      </c>
      <c r="N20" s="31">
        <v>20</v>
      </c>
      <c r="O20" s="31" t="str">
        <f>IF(B20=Stand!B20,"S","H")</f>
        <v>S</v>
      </c>
      <c r="P20" s="31" t="str">
        <f>IF(C20=Stand!C20,"S","H")</f>
        <v>S</v>
      </c>
      <c r="Q20" s="31" t="str">
        <f>IF(D20=Stand!D20,"S","H")</f>
        <v>S</v>
      </c>
      <c r="R20" s="31" t="str">
        <f>IF(E20=Stand!E20,"S","H")</f>
        <v>S</v>
      </c>
      <c r="S20" s="31" t="str">
        <f>IF(F20=Stand!F20,"S","H")</f>
        <v>S</v>
      </c>
      <c r="T20" s="31" t="str">
        <f>IF(G20=Stand!G20,"S","H")</f>
        <v>S</v>
      </c>
      <c r="U20" s="31" t="str">
        <f>IF(H20=Stand!H20,"S","H")</f>
        <v>S</v>
      </c>
      <c r="V20" s="31" t="str">
        <f>IF(I20=Stand!I20,"S","H")</f>
        <v>S</v>
      </c>
      <c r="W20" s="31" t="str">
        <f>IF(J20=Stand!J20,"S","H")</f>
        <v>S</v>
      </c>
      <c r="X20" s="31" t="str">
        <f>IF(K20=Stand!K20,"S","H")</f>
        <v>S</v>
      </c>
    </row>
    <row r="21" spans="1:24" x14ac:dyDescent="0.2">
      <c r="A21">
        <v>21</v>
      </c>
      <c r="B21">
        <f>MAX(Hit!B21,Stand!B21)</f>
        <v>0.92219381142033785</v>
      </c>
      <c r="C21">
        <f>MAX(Hit!C21,Stand!C21)</f>
        <v>0.88200651549403997</v>
      </c>
      <c r="D21">
        <f>MAX(Hit!D21,Stand!D21)</f>
        <v>0.88530035730174927</v>
      </c>
      <c r="E21">
        <f>MAX(Hit!E21,Stand!E21)</f>
        <v>0.88876729296591961</v>
      </c>
      <c r="F21">
        <f>MAX(Hit!F21,Stand!F21)</f>
        <v>0.89175382659528035</v>
      </c>
      <c r="G21">
        <f>MAX(Hit!G21,Stand!G21)</f>
        <v>0.90283674384257995</v>
      </c>
      <c r="H21">
        <f>MAX(Hit!H21,Stand!H21)</f>
        <v>0.92592629596452325</v>
      </c>
      <c r="I21">
        <f>MAX(Hit!I21,Stand!I21)</f>
        <v>0.93060505318396614</v>
      </c>
      <c r="J21">
        <f>MAX(Hit!J21,Stand!J21)</f>
        <v>0.93917615614724415</v>
      </c>
      <c r="K21">
        <f>MAX(Hit!K21,Stand!K21)</f>
        <v>0.96262363326716827</v>
      </c>
      <c r="N21" s="31">
        <v>21</v>
      </c>
      <c r="O21" s="31" t="str">
        <f>IF(B21=Stand!B21,"S","H")</f>
        <v>S</v>
      </c>
      <c r="P21" s="31" t="str">
        <f>IF(C21=Stand!C21,"S","H")</f>
        <v>S</v>
      </c>
      <c r="Q21" s="31" t="str">
        <f>IF(D21=Stand!D21,"S","H")</f>
        <v>S</v>
      </c>
      <c r="R21" s="31" t="str">
        <f>IF(E21=Stand!E21,"S","H")</f>
        <v>S</v>
      </c>
      <c r="S21" s="31" t="str">
        <f>IF(F21=Stand!F21,"S","H")</f>
        <v>S</v>
      </c>
      <c r="T21" s="31" t="str">
        <f>IF(G21=Stand!G21,"S","H")</f>
        <v>S</v>
      </c>
      <c r="U21" s="31" t="str">
        <f>IF(H21=Stand!H21,"S","H")</f>
        <v>S</v>
      </c>
      <c r="V21" s="31" t="str">
        <f>IF(I21=Stand!I21,"S","H")</f>
        <v>S</v>
      </c>
      <c r="W21" s="31" t="str">
        <f>IF(J21=Stand!J21,"S","H")</f>
        <v>S</v>
      </c>
      <c r="X21" s="31" t="str">
        <f>IF(K21=Stand!K21,"S","H")</f>
        <v>S</v>
      </c>
    </row>
    <row r="22" spans="1:24" x14ac:dyDescent="0.2">
      <c r="A22">
        <v>22</v>
      </c>
      <c r="B22">
        <f>MAX(Hit!B22,Stand!B22)</f>
        <v>-1</v>
      </c>
      <c r="C22">
        <f>MAX(Hit!C22,Stand!C22)</f>
        <v>-1</v>
      </c>
      <c r="D22">
        <f>MAX(Hit!D22,Stand!D22)</f>
        <v>-1</v>
      </c>
      <c r="E22">
        <f>MAX(Hit!E22,Stand!E22)</f>
        <v>-1</v>
      </c>
      <c r="F22">
        <f>MAX(Hit!F22,Stand!F22)</f>
        <v>-1</v>
      </c>
      <c r="G22">
        <f>MAX(Hit!G22,Stand!G22)</f>
        <v>-1</v>
      </c>
      <c r="H22">
        <f>MAX(Hit!H22,Stand!H22)</f>
        <v>-1</v>
      </c>
      <c r="I22">
        <f>MAX(Hit!I22,Stand!I22)</f>
        <v>-1</v>
      </c>
      <c r="J22">
        <f>MAX(Hit!J22,Stand!J22)</f>
        <v>-1</v>
      </c>
      <c r="K22">
        <f>MAX(Hit!K22,Stand!K22)</f>
        <v>-1</v>
      </c>
      <c r="N22" s="31">
        <v>22</v>
      </c>
      <c r="O22" s="31" t="str">
        <f>IF(B22=Stand!B22,"S","H")</f>
        <v>S</v>
      </c>
      <c r="P22" s="31" t="str">
        <f>IF(C22=Stand!C22,"S","H")</f>
        <v>S</v>
      </c>
      <c r="Q22" s="31" t="str">
        <f>IF(D22=Stand!D22,"S","H")</f>
        <v>S</v>
      </c>
      <c r="R22" s="31" t="str">
        <f>IF(E22=Stand!E22,"S","H")</f>
        <v>S</v>
      </c>
      <c r="S22" s="31" t="str">
        <f>IF(F22=Stand!F22,"S","H")</f>
        <v>S</v>
      </c>
      <c r="T22" s="31" t="str">
        <f>IF(G22=Stand!G22,"S","H")</f>
        <v>S</v>
      </c>
      <c r="U22" s="31" t="str">
        <f>IF(H22=Stand!H22,"S","H")</f>
        <v>S</v>
      </c>
      <c r="V22" s="31" t="str">
        <f>IF(I22=Stand!I22,"S","H")</f>
        <v>S</v>
      </c>
      <c r="W22" s="31" t="str">
        <f>IF(J22=Stand!J22,"S","H")</f>
        <v>S</v>
      </c>
      <c r="X22" s="31" t="str">
        <f>IF(K22=Stand!K22,"S","H")</f>
        <v>S</v>
      </c>
    </row>
    <row r="23" spans="1:24" x14ac:dyDescent="0.2">
      <c r="A23">
        <v>23</v>
      </c>
      <c r="B23">
        <f>MAX(Hit!B23,Stand!B23)</f>
        <v>-1</v>
      </c>
      <c r="C23">
        <f>MAX(Hit!C23,Stand!C23)</f>
        <v>-1</v>
      </c>
      <c r="D23">
        <f>MAX(Hit!D23,Stand!D23)</f>
        <v>-1</v>
      </c>
      <c r="E23">
        <f>MAX(Hit!E23,Stand!E23)</f>
        <v>-1</v>
      </c>
      <c r="F23">
        <f>MAX(Hit!F23,Stand!F23)</f>
        <v>-1</v>
      </c>
      <c r="G23">
        <f>MAX(Hit!G23,Stand!G23)</f>
        <v>-1</v>
      </c>
      <c r="H23">
        <f>MAX(Hit!H23,Stand!H23)</f>
        <v>-1</v>
      </c>
      <c r="I23">
        <f>MAX(Hit!I23,Stand!I23)</f>
        <v>-1</v>
      </c>
      <c r="J23">
        <f>MAX(Hit!J23,Stand!J23)</f>
        <v>-1</v>
      </c>
      <c r="K23">
        <f>MAX(Hit!K23,Stand!K23)</f>
        <v>-1</v>
      </c>
      <c r="N23" s="31">
        <v>23</v>
      </c>
      <c r="O23" s="31" t="str">
        <f>IF(B23=Stand!B23,"S","H")</f>
        <v>S</v>
      </c>
      <c r="P23" s="31" t="str">
        <f>IF(C23=Stand!C23,"S","H")</f>
        <v>S</v>
      </c>
      <c r="Q23" s="31" t="str">
        <f>IF(D23=Stand!D23,"S","H")</f>
        <v>S</v>
      </c>
      <c r="R23" s="31" t="str">
        <f>IF(E23=Stand!E23,"S","H")</f>
        <v>S</v>
      </c>
      <c r="S23" s="31" t="str">
        <f>IF(F23=Stand!F23,"S","H")</f>
        <v>S</v>
      </c>
      <c r="T23" s="31" t="str">
        <f>IF(G23=Stand!G23,"S","H")</f>
        <v>S</v>
      </c>
      <c r="U23" s="31" t="str">
        <f>IF(H23=Stand!H23,"S","H")</f>
        <v>S</v>
      </c>
      <c r="V23" s="31" t="str">
        <f>IF(I23=Stand!I23,"S","H")</f>
        <v>S</v>
      </c>
      <c r="W23" s="31" t="str">
        <f>IF(J23=Stand!J23,"S","H")</f>
        <v>S</v>
      </c>
      <c r="X23" s="31" t="str">
        <f>IF(K23=Stand!K23,"S","H")</f>
        <v>S</v>
      </c>
    </row>
    <row r="24" spans="1:24" x14ac:dyDescent="0.2">
      <c r="A24">
        <v>24</v>
      </c>
      <c r="B24">
        <f>MAX(Hit!B24,Stand!B24)</f>
        <v>-1</v>
      </c>
      <c r="C24">
        <f>MAX(Hit!C24,Stand!C24)</f>
        <v>-1</v>
      </c>
      <c r="D24">
        <f>MAX(Hit!D24,Stand!D24)</f>
        <v>-1</v>
      </c>
      <c r="E24">
        <f>MAX(Hit!E24,Stand!E24)</f>
        <v>-1</v>
      </c>
      <c r="F24">
        <f>MAX(Hit!F24,Stand!F24)</f>
        <v>-1</v>
      </c>
      <c r="G24">
        <f>MAX(Hit!G24,Stand!G24)</f>
        <v>-1</v>
      </c>
      <c r="H24">
        <f>MAX(Hit!H24,Stand!H24)</f>
        <v>-1</v>
      </c>
      <c r="I24">
        <f>MAX(Hit!I24,Stand!I24)</f>
        <v>-1</v>
      </c>
      <c r="J24">
        <f>MAX(Hit!J24,Stand!J24)</f>
        <v>-1</v>
      </c>
      <c r="K24">
        <f>MAX(Hit!K24,Stand!K24)</f>
        <v>-1</v>
      </c>
      <c r="N24" s="31">
        <v>24</v>
      </c>
      <c r="O24" s="31" t="str">
        <f>IF(B24=Stand!B24,"S","H")</f>
        <v>S</v>
      </c>
      <c r="P24" s="31" t="str">
        <f>IF(C24=Stand!C24,"S","H")</f>
        <v>S</v>
      </c>
      <c r="Q24" s="31" t="str">
        <f>IF(D24=Stand!D24,"S","H")</f>
        <v>S</v>
      </c>
      <c r="R24" s="31" t="str">
        <f>IF(E24=Stand!E24,"S","H")</f>
        <v>S</v>
      </c>
      <c r="S24" s="31" t="str">
        <f>IF(F24=Stand!F24,"S","H")</f>
        <v>S</v>
      </c>
      <c r="T24" s="31" t="str">
        <f>IF(G24=Stand!G24,"S","H")</f>
        <v>S</v>
      </c>
      <c r="U24" s="31" t="str">
        <f>IF(H24=Stand!H24,"S","H")</f>
        <v>S</v>
      </c>
      <c r="V24" s="31" t="str">
        <f>IF(I24=Stand!I24,"S","H")</f>
        <v>S</v>
      </c>
      <c r="W24" s="31" t="str">
        <f>IF(J24=Stand!J24,"S","H")</f>
        <v>S</v>
      </c>
      <c r="X24" s="31" t="str">
        <f>IF(K24=Stand!K24,"S","H")</f>
        <v>S</v>
      </c>
    </row>
    <row r="25" spans="1:24" x14ac:dyDescent="0.2">
      <c r="A25">
        <v>25</v>
      </c>
      <c r="B25">
        <f>MAX(Hit!B25,Stand!B25)</f>
        <v>-1</v>
      </c>
      <c r="C25">
        <f>MAX(Hit!C25,Stand!C25)</f>
        <v>-1</v>
      </c>
      <c r="D25">
        <f>MAX(Hit!D25,Stand!D25)</f>
        <v>-1</v>
      </c>
      <c r="E25">
        <f>MAX(Hit!E25,Stand!E25)</f>
        <v>-1</v>
      </c>
      <c r="F25">
        <f>MAX(Hit!F25,Stand!F25)</f>
        <v>-1</v>
      </c>
      <c r="G25">
        <f>MAX(Hit!G25,Stand!G25)</f>
        <v>-1</v>
      </c>
      <c r="H25">
        <f>MAX(Hit!H25,Stand!H25)</f>
        <v>-1</v>
      </c>
      <c r="I25">
        <f>MAX(Hit!I25,Stand!I25)</f>
        <v>-1</v>
      </c>
      <c r="J25">
        <f>MAX(Hit!J25,Stand!J25)</f>
        <v>-1</v>
      </c>
      <c r="K25">
        <f>MAX(Hit!K25,Stand!K25)</f>
        <v>-1</v>
      </c>
      <c r="N25" s="31">
        <v>25</v>
      </c>
      <c r="O25" s="31" t="str">
        <f>IF(B25=Stand!B25,"S","H")</f>
        <v>S</v>
      </c>
      <c r="P25" s="31" t="str">
        <f>IF(C25=Stand!C25,"S","H")</f>
        <v>S</v>
      </c>
      <c r="Q25" s="31" t="str">
        <f>IF(D25=Stand!D25,"S","H")</f>
        <v>S</v>
      </c>
      <c r="R25" s="31" t="str">
        <f>IF(E25=Stand!E25,"S","H")</f>
        <v>S</v>
      </c>
      <c r="S25" s="31" t="str">
        <f>IF(F25=Stand!F25,"S","H")</f>
        <v>S</v>
      </c>
      <c r="T25" s="31" t="str">
        <f>IF(G25=Stand!G25,"S","H")</f>
        <v>S</v>
      </c>
      <c r="U25" s="31" t="str">
        <f>IF(H25=Stand!H25,"S","H")</f>
        <v>S</v>
      </c>
      <c r="V25" s="31" t="str">
        <f>IF(I25=Stand!I25,"S","H")</f>
        <v>S</v>
      </c>
      <c r="W25" s="31" t="str">
        <f>IF(J25=Stand!J25,"S","H")</f>
        <v>S</v>
      </c>
      <c r="X25" s="31" t="str">
        <f>IF(K25=Stand!K25,"S","H")</f>
        <v>S</v>
      </c>
    </row>
    <row r="26" spans="1:24" x14ac:dyDescent="0.2">
      <c r="A26">
        <v>26</v>
      </c>
      <c r="B26">
        <f>MAX(Hit!B26,Stand!B26)</f>
        <v>-1</v>
      </c>
      <c r="C26">
        <f>MAX(Hit!C26,Stand!C26)</f>
        <v>-1</v>
      </c>
      <c r="D26">
        <f>MAX(Hit!D26,Stand!D26)</f>
        <v>-1</v>
      </c>
      <c r="E26">
        <f>MAX(Hit!E26,Stand!E26)</f>
        <v>-1</v>
      </c>
      <c r="F26">
        <f>MAX(Hit!F26,Stand!F26)</f>
        <v>-1</v>
      </c>
      <c r="G26">
        <f>MAX(Hit!G26,Stand!G26)</f>
        <v>-1</v>
      </c>
      <c r="H26">
        <f>MAX(Hit!H26,Stand!H26)</f>
        <v>-1</v>
      </c>
      <c r="I26">
        <f>MAX(Hit!I26,Stand!I26)</f>
        <v>-1</v>
      </c>
      <c r="J26">
        <f>MAX(Hit!J26,Stand!J26)</f>
        <v>-1</v>
      </c>
      <c r="K26">
        <f>MAX(Hit!K26,Stand!K26)</f>
        <v>-1</v>
      </c>
      <c r="N26" s="31">
        <v>26</v>
      </c>
      <c r="O26" s="31" t="str">
        <f>IF(B26=Stand!B26,"S","H")</f>
        <v>S</v>
      </c>
      <c r="P26" s="31" t="str">
        <f>IF(C26=Stand!C26,"S","H")</f>
        <v>S</v>
      </c>
      <c r="Q26" s="31" t="str">
        <f>IF(D26=Stand!D26,"S","H")</f>
        <v>S</v>
      </c>
      <c r="R26" s="31" t="str">
        <f>IF(E26=Stand!E26,"S","H")</f>
        <v>S</v>
      </c>
      <c r="S26" s="31" t="str">
        <f>IF(F26=Stand!F26,"S","H")</f>
        <v>S</v>
      </c>
      <c r="T26" s="31" t="str">
        <f>IF(G26=Stand!G26,"S","H")</f>
        <v>S</v>
      </c>
      <c r="U26" s="31" t="str">
        <f>IF(H26=Stand!H26,"S","H")</f>
        <v>S</v>
      </c>
      <c r="V26" s="31" t="str">
        <f>IF(I26=Stand!I26,"S","H")</f>
        <v>S</v>
      </c>
      <c r="W26" s="31" t="str">
        <f>IF(J26=Stand!J26,"S","H")</f>
        <v>S</v>
      </c>
      <c r="X26" s="31" t="str">
        <f>IF(K26=Stand!K26,"S","H")</f>
        <v>S</v>
      </c>
    </row>
    <row r="27" spans="1:24" x14ac:dyDescent="0.2">
      <c r="A27">
        <v>27</v>
      </c>
      <c r="B27">
        <f>MAX(Hit!B27,Stand!B27)</f>
        <v>-1</v>
      </c>
      <c r="C27">
        <f>MAX(Hit!C27,Stand!C27)</f>
        <v>-1</v>
      </c>
      <c r="D27">
        <f>MAX(Hit!D27,Stand!D27)</f>
        <v>-1</v>
      </c>
      <c r="E27">
        <f>MAX(Hit!E27,Stand!E27)</f>
        <v>-1</v>
      </c>
      <c r="F27">
        <f>MAX(Hit!F27,Stand!F27)</f>
        <v>-1</v>
      </c>
      <c r="G27">
        <f>MAX(Hit!G27,Stand!G27)</f>
        <v>-1</v>
      </c>
      <c r="H27">
        <f>MAX(Hit!H27,Stand!H27)</f>
        <v>-1</v>
      </c>
      <c r="I27">
        <f>MAX(Hit!I27,Stand!I27)</f>
        <v>-1</v>
      </c>
      <c r="J27">
        <f>MAX(Hit!J27,Stand!J27)</f>
        <v>-1</v>
      </c>
      <c r="K27">
        <f>MAX(Hit!K27,Stand!K27)</f>
        <v>-1</v>
      </c>
      <c r="N27" s="31">
        <v>27</v>
      </c>
      <c r="O27" s="31" t="str">
        <f>IF(B27=Stand!B27,"S","H")</f>
        <v>S</v>
      </c>
      <c r="P27" s="31" t="str">
        <f>IF(C27=Stand!C27,"S","H")</f>
        <v>S</v>
      </c>
      <c r="Q27" s="31" t="str">
        <f>IF(D27=Stand!D27,"S","H")</f>
        <v>S</v>
      </c>
      <c r="R27" s="31" t="str">
        <f>IF(E27=Stand!E27,"S","H")</f>
        <v>S</v>
      </c>
      <c r="S27" s="31" t="str">
        <f>IF(F27=Stand!F27,"S","H")</f>
        <v>S</v>
      </c>
      <c r="T27" s="31" t="str">
        <f>IF(G27=Stand!G27,"S","H")</f>
        <v>S</v>
      </c>
      <c r="U27" s="31" t="str">
        <f>IF(H27=Stand!H27,"S","H")</f>
        <v>S</v>
      </c>
      <c r="V27" s="31" t="str">
        <f>IF(I27=Stand!I27,"S","H")</f>
        <v>S</v>
      </c>
      <c r="W27" s="31" t="str">
        <f>IF(J27=Stand!J27,"S","H")</f>
        <v>S</v>
      </c>
      <c r="X27" s="31" t="str">
        <f>IF(K27=Stand!K27,"S","H")</f>
        <v>S</v>
      </c>
    </row>
    <row r="28" spans="1:24" x14ac:dyDescent="0.2">
      <c r="A28">
        <v>28</v>
      </c>
      <c r="B28">
        <f>MAX(Hit!B28,Stand!B28)</f>
        <v>-1</v>
      </c>
      <c r="C28">
        <f>MAX(Hit!C28,Stand!C28)</f>
        <v>-1</v>
      </c>
      <c r="D28">
        <f>MAX(Hit!D28,Stand!D28)</f>
        <v>-1</v>
      </c>
      <c r="E28">
        <f>MAX(Hit!E28,Stand!E28)</f>
        <v>-1</v>
      </c>
      <c r="F28">
        <f>MAX(Hit!F28,Stand!F28)</f>
        <v>-1</v>
      </c>
      <c r="G28">
        <f>MAX(Hit!G28,Stand!G28)</f>
        <v>-1</v>
      </c>
      <c r="H28">
        <f>MAX(Hit!H28,Stand!H28)</f>
        <v>-1</v>
      </c>
      <c r="I28">
        <f>MAX(Hit!I28,Stand!I28)</f>
        <v>-1</v>
      </c>
      <c r="J28">
        <f>MAX(Hit!J28,Stand!J28)</f>
        <v>-1</v>
      </c>
      <c r="K28">
        <f>MAX(Hit!K28,Stand!K28)</f>
        <v>-1</v>
      </c>
      <c r="N28" s="31">
        <v>28</v>
      </c>
      <c r="O28" s="31" t="str">
        <f>IF(B28=Stand!B28,"S","H")</f>
        <v>S</v>
      </c>
      <c r="P28" s="31" t="str">
        <f>IF(C28=Stand!C28,"S","H")</f>
        <v>S</v>
      </c>
      <c r="Q28" s="31" t="str">
        <f>IF(D28=Stand!D28,"S","H")</f>
        <v>S</v>
      </c>
      <c r="R28" s="31" t="str">
        <f>IF(E28=Stand!E28,"S","H")</f>
        <v>S</v>
      </c>
      <c r="S28" s="31" t="str">
        <f>IF(F28=Stand!F28,"S","H")</f>
        <v>S</v>
      </c>
      <c r="T28" s="31" t="str">
        <f>IF(G28=Stand!G28,"S","H")</f>
        <v>S</v>
      </c>
      <c r="U28" s="31" t="str">
        <f>IF(H28=Stand!H28,"S","H")</f>
        <v>S</v>
      </c>
      <c r="V28" s="31" t="str">
        <f>IF(I28=Stand!I28,"S","H")</f>
        <v>S</v>
      </c>
      <c r="W28" s="31" t="str">
        <f>IF(J28=Stand!J28,"S","H")</f>
        <v>S</v>
      </c>
      <c r="X28" s="31" t="str">
        <f>IF(K28=Stand!K28,"S","H")</f>
        <v>S</v>
      </c>
    </row>
    <row r="29" spans="1:24" x14ac:dyDescent="0.2">
      <c r="A29">
        <v>29</v>
      </c>
      <c r="B29">
        <f>MAX(Hit!B29,Stand!B29)</f>
        <v>-1</v>
      </c>
      <c r="C29">
        <f>MAX(Hit!C29,Stand!C29)</f>
        <v>-1</v>
      </c>
      <c r="D29">
        <f>MAX(Hit!D29,Stand!D29)</f>
        <v>-1</v>
      </c>
      <c r="E29">
        <f>MAX(Hit!E29,Stand!E29)</f>
        <v>-1</v>
      </c>
      <c r="F29">
        <f>MAX(Hit!F29,Stand!F29)</f>
        <v>-1</v>
      </c>
      <c r="G29">
        <f>MAX(Hit!G29,Stand!G29)</f>
        <v>-1</v>
      </c>
      <c r="H29">
        <f>MAX(Hit!H29,Stand!H29)</f>
        <v>-1</v>
      </c>
      <c r="I29">
        <f>MAX(Hit!I29,Stand!I29)</f>
        <v>-1</v>
      </c>
      <c r="J29">
        <f>MAX(Hit!J29,Stand!J29)</f>
        <v>-1</v>
      </c>
      <c r="K29">
        <f>MAX(Hit!K29,Stand!K29)</f>
        <v>-1</v>
      </c>
      <c r="N29" s="31">
        <v>29</v>
      </c>
      <c r="O29" s="31" t="str">
        <f>IF(B29=Stand!B29,"S","H")</f>
        <v>S</v>
      </c>
      <c r="P29" s="31" t="str">
        <f>IF(C29=Stand!C29,"S","H")</f>
        <v>S</v>
      </c>
      <c r="Q29" s="31" t="str">
        <f>IF(D29=Stand!D29,"S","H")</f>
        <v>S</v>
      </c>
      <c r="R29" s="31" t="str">
        <f>IF(E29=Stand!E29,"S","H")</f>
        <v>S</v>
      </c>
      <c r="S29" s="31" t="str">
        <f>IF(F29=Stand!F29,"S","H")</f>
        <v>S</v>
      </c>
      <c r="T29" s="31" t="str">
        <f>IF(G29=Stand!G29,"S","H")</f>
        <v>S</v>
      </c>
      <c r="U29" s="31" t="str">
        <f>IF(H29=Stand!H29,"S","H")</f>
        <v>S</v>
      </c>
      <c r="V29" s="31" t="str">
        <f>IF(I29=Stand!I29,"S","H")</f>
        <v>S</v>
      </c>
      <c r="W29" s="31" t="str">
        <f>IF(J29=Stand!J29,"S","H")</f>
        <v>S</v>
      </c>
      <c r="X29" s="31" t="str">
        <f>IF(K29=Stand!K29,"S","H")</f>
        <v>S</v>
      </c>
    </row>
    <row r="30" spans="1:24" x14ac:dyDescent="0.2">
      <c r="A30">
        <v>30</v>
      </c>
      <c r="B30">
        <f>MAX(Hit!B30,Stand!B30)</f>
        <v>-1</v>
      </c>
      <c r="C30">
        <f>MAX(Hit!C30,Stand!C30)</f>
        <v>-1</v>
      </c>
      <c r="D30">
        <f>MAX(Hit!D30,Stand!D30)</f>
        <v>-1</v>
      </c>
      <c r="E30">
        <f>MAX(Hit!E30,Stand!E30)</f>
        <v>-1</v>
      </c>
      <c r="F30">
        <f>MAX(Hit!F30,Stand!F30)</f>
        <v>-1</v>
      </c>
      <c r="G30">
        <f>MAX(Hit!G30,Stand!G30)</f>
        <v>-1</v>
      </c>
      <c r="H30">
        <f>MAX(Hit!H30,Stand!H30)</f>
        <v>-1</v>
      </c>
      <c r="I30">
        <f>MAX(Hit!I30,Stand!I30)</f>
        <v>-1</v>
      </c>
      <c r="J30">
        <f>MAX(Hit!J30,Stand!J30)</f>
        <v>-1</v>
      </c>
      <c r="K30">
        <f>MAX(Hit!K30,Stand!K30)</f>
        <v>-1</v>
      </c>
      <c r="N30" s="31">
        <v>30</v>
      </c>
      <c r="O30" s="31" t="str">
        <f>IF(B30=Stand!B30,"S","H")</f>
        <v>S</v>
      </c>
      <c r="P30" s="31" t="str">
        <f>IF(C30=Stand!C30,"S","H")</f>
        <v>S</v>
      </c>
      <c r="Q30" s="31" t="str">
        <f>IF(D30=Stand!D30,"S","H")</f>
        <v>S</v>
      </c>
      <c r="R30" s="31" t="str">
        <f>IF(E30=Stand!E30,"S","H")</f>
        <v>S</v>
      </c>
      <c r="S30" s="31" t="str">
        <f>IF(F30=Stand!F30,"S","H")</f>
        <v>S</v>
      </c>
      <c r="T30" s="31" t="str">
        <f>IF(G30=Stand!G30,"S","H")</f>
        <v>S</v>
      </c>
      <c r="U30" s="31" t="str">
        <f>IF(H30=Stand!H30,"S","H")</f>
        <v>S</v>
      </c>
      <c r="V30" s="31" t="str">
        <f>IF(I30=Stand!I30,"S","H")</f>
        <v>S</v>
      </c>
      <c r="W30" s="31" t="str">
        <f>IF(J30=Stand!J30,"S","H")</f>
        <v>S</v>
      </c>
      <c r="X30" s="31" t="str">
        <f>IF(K30=Stand!K30,"S","H")</f>
        <v>S</v>
      </c>
    </row>
    <row r="31" spans="1:24" x14ac:dyDescent="0.2">
      <c r="A31">
        <v>31</v>
      </c>
      <c r="B31">
        <f>MAX(Hit!B31,Stand!B31)</f>
        <v>-1</v>
      </c>
      <c r="C31">
        <f>MAX(Hit!C31,Stand!C31)</f>
        <v>-1</v>
      </c>
      <c r="D31">
        <f>MAX(Hit!D31,Stand!D31)</f>
        <v>-1</v>
      </c>
      <c r="E31">
        <f>MAX(Hit!E31,Stand!E31)</f>
        <v>-1</v>
      </c>
      <c r="F31">
        <f>MAX(Hit!F31,Stand!F31)</f>
        <v>-1</v>
      </c>
      <c r="G31">
        <f>MAX(Hit!G31,Stand!G31)</f>
        <v>-1</v>
      </c>
      <c r="H31">
        <f>MAX(Hit!H31,Stand!H31)</f>
        <v>-1</v>
      </c>
      <c r="I31">
        <f>MAX(Hit!I31,Stand!I31)</f>
        <v>-1</v>
      </c>
      <c r="J31">
        <f>MAX(Hit!J31,Stand!J31)</f>
        <v>-1</v>
      </c>
      <c r="K31">
        <f>MAX(Hit!K31,Stand!K31)</f>
        <v>-1</v>
      </c>
      <c r="N31" s="31">
        <v>31</v>
      </c>
      <c r="O31" s="31" t="str">
        <f>IF(B31=Stand!B31,"S","H")</f>
        <v>S</v>
      </c>
      <c r="P31" s="31" t="str">
        <f>IF(C31=Stand!C31,"S","H")</f>
        <v>S</v>
      </c>
      <c r="Q31" s="31" t="str">
        <f>IF(D31=Stand!D31,"S","H")</f>
        <v>S</v>
      </c>
      <c r="R31" s="31" t="str">
        <f>IF(E31=Stand!E31,"S","H")</f>
        <v>S</v>
      </c>
      <c r="S31" s="31" t="str">
        <f>IF(F31=Stand!F31,"S","H")</f>
        <v>S</v>
      </c>
      <c r="T31" s="31" t="str">
        <f>IF(G31=Stand!G31,"S","H")</f>
        <v>S</v>
      </c>
      <c r="U31" s="31" t="str">
        <f>IF(H31=Stand!H31,"S","H")</f>
        <v>S</v>
      </c>
      <c r="V31" s="31" t="str">
        <f>IF(I31=Stand!I31,"S","H")</f>
        <v>S</v>
      </c>
      <c r="W31" s="31" t="str">
        <f>IF(J31=Stand!J31,"S","H")</f>
        <v>S</v>
      </c>
      <c r="X31" s="31" t="str">
        <f>IF(K31=Stand!K31,"S","H")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MAX(Hit!B34,Stand!B34)</f>
        <v>0.29861942370404337</v>
      </c>
      <c r="C34">
        <f>MAX(Hit!C34,Stand!C34)</f>
        <v>0.3696374242362967</v>
      </c>
      <c r="D34">
        <f>MAX(Hit!D34,Stand!D34)</f>
        <v>0.38767410174512951</v>
      </c>
      <c r="E34">
        <f>MAX(Hit!E34,Stand!E34)</f>
        <v>0.40637639293641487</v>
      </c>
      <c r="F34">
        <f>MAX(Hit!F34,Stand!F34)</f>
        <v>0.42575273133176267</v>
      </c>
      <c r="G34">
        <f>MAX(Hit!G34,Stand!G34)</f>
        <v>0.45589668319225651</v>
      </c>
      <c r="H34">
        <f>MAX(Hit!H34,Stand!H34)</f>
        <v>0.45736852128859351</v>
      </c>
      <c r="I34">
        <f>MAX(Hit!I34,Stand!I34)</f>
        <v>0.40074805174057648</v>
      </c>
      <c r="J34">
        <f>MAX(Hit!J34,Stand!J34)</f>
        <v>0.32142328174266549</v>
      </c>
      <c r="K34">
        <f>MAX(Hit!K34,Stand!K34)</f>
        <v>0.26400071601402691</v>
      </c>
      <c r="N34" s="31">
        <v>11</v>
      </c>
      <c r="O34" s="31" t="str">
        <f>IF(B34=Stand!B34,"S","H")</f>
        <v>H</v>
      </c>
      <c r="P34" s="31" t="str">
        <f>IF(C34=Stand!C34,"S","H")</f>
        <v>H</v>
      </c>
      <c r="Q34" s="31" t="str">
        <f>IF(D34=Stand!D34,"S","H")</f>
        <v>H</v>
      </c>
      <c r="R34" s="31" t="str">
        <f>IF(E34=Stand!E34,"S","H")</f>
        <v>H</v>
      </c>
      <c r="S34" s="31" t="str">
        <f>IF(F34=Stand!F34,"S","H")</f>
        <v>H</v>
      </c>
      <c r="T34" s="31" t="str">
        <f>IF(G34=Stand!G34,"S","H")</f>
        <v>H</v>
      </c>
      <c r="U34" s="31" t="str">
        <f>IF(H34=Stand!H34,"S","H")</f>
        <v>H</v>
      </c>
      <c r="V34" s="31" t="str">
        <f>IF(I34=Stand!I34,"S","H")</f>
        <v>H</v>
      </c>
      <c r="W34" s="31" t="str">
        <f>IF(J34=Stand!J34,"S","H")</f>
        <v>H</v>
      </c>
      <c r="X34" s="31" t="str">
        <f>IF(K34=Stand!K34,"S","H")</f>
        <v>H</v>
      </c>
    </row>
    <row r="35" spans="1:24" x14ac:dyDescent="0.2">
      <c r="A35">
        <v>12</v>
      </c>
      <c r="B35">
        <f>MAX(Hit!B35,Stand!B35)</f>
        <v>-2.0477877704912145E-2</v>
      </c>
      <c r="C35">
        <f>MAX(Hit!C35,Stand!C35)</f>
        <v>8.1836216051656044E-2</v>
      </c>
      <c r="D35">
        <f>MAX(Hit!D35,Stand!D35)</f>
        <v>0.10350704654207775</v>
      </c>
      <c r="E35">
        <f>MAX(Hit!E35,Stand!E35)</f>
        <v>0.12659562809256977</v>
      </c>
      <c r="F35">
        <f>MAX(Hit!F35,Stand!F35)</f>
        <v>0.15648238458465519</v>
      </c>
      <c r="G35">
        <f>MAX(Hit!G35,Stand!G35)</f>
        <v>0.18595361333225549</v>
      </c>
      <c r="H35">
        <f>MAX(Hit!H35,Stand!H35)</f>
        <v>0.16547293077063496</v>
      </c>
      <c r="I35">
        <f>MAX(Hit!I35,Stand!I35)</f>
        <v>9.5115020927032265E-2</v>
      </c>
      <c r="J35">
        <f>MAX(Hit!J35,Stand!J35)</f>
        <v>6.5790841226914386E-5</v>
      </c>
      <c r="K35">
        <f>MAX(Hit!K35,Stand!K35)</f>
        <v>-7.0002397357964694E-2</v>
      </c>
      <c r="N35" s="31">
        <v>12</v>
      </c>
      <c r="O35" s="31" t="str">
        <f>IF(B35=Stand!B35,"S","H")</f>
        <v>H</v>
      </c>
      <c r="P35" s="31" t="str">
        <f>IF(C35=Stand!C35,"S","H")</f>
        <v>H</v>
      </c>
      <c r="Q35" s="31" t="str">
        <f>IF(D35=Stand!D35,"S","H")</f>
        <v>H</v>
      </c>
      <c r="R35" s="31" t="str">
        <f>IF(E35=Stand!E35,"S","H")</f>
        <v>H</v>
      </c>
      <c r="S35" s="31" t="str">
        <f>IF(F35=Stand!F35,"S","H")</f>
        <v>H</v>
      </c>
      <c r="T35" s="31" t="str">
        <f>IF(G35=Stand!G35,"S","H")</f>
        <v>H</v>
      </c>
      <c r="U35" s="31" t="str">
        <f>IF(H35=Stand!H35,"S","H")</f>
        <v>H</v>
      </c>
      <c r="V35" s="31" t="str">
        <f>IF(I35=Stand!I35,"S","H")</f>
        <v>H</v>
      </c>
      <c r="W35" s="31" t="str">
        <f>IF(J35=Stand!J35,"S","H")</f>
        <v>H</v>
      </c>
      <c r="X35" s="31" t="str">
        <f>IF(K35=Stand!K35,"S","H")</f>
        <v>H</v>
      </c>
    </row>
    <row r="36" spans="1:24" x14ac:dyDescent="0.2">
      <c r="A36">
        <v>13</v>
      </c>
      <c r="B36">
        <f>MAX(Hit!B36,Stand!B36)</f>
        <v>-5.7308046666810254E-2</v>
      </c>
      <c r="C36">
        <f>MAX(Hit!C36,Stand!C36)</f>
        <v>4.6636132695309578E-2</v>
      </c>
      <c r="D36">
        <f>MAX(Hit!D36,Stand!D36)</f>
        <v>7.4118813392744051E-2</v>
      </c>
      <c r="E36">
        <f>MAX(Hit!E36,Stand!E36)</f>
        <v>0.10247714687203523</v>
      </c>
      <c r="F36">
        <f>MAX(Hit!F36,Stand!F36)</f>
        <v>0.13336273848321728</v>
      </c>
      <c r="G36">
        <f>MAX(Hit!G36,Stand!G36)</f>
        <v>0.16169271124923693</v>
      </c>
      <c r="H36">
        <f>MAX(Hit!H36,Stand!H36)</f>
        <v>0.12238569517899196</v>
      </c>
      <c r="I36">
        <f>MAX(Hit!I36,Stand!I36)</f>
        <v>5.4057070196311299E-2</v>
      </c>
      <c r="J36">
        <f>MAX(Hit!J36,Stand!J36)</f>
        <v>-3.7694688127479885E-2</v>
      </c>
      <c r="K36">
        <f>MAX(Hit!K36,Stand!K36)</f>
        <v>-0.10485135840627779</v>
      </c>
      <c r="N36" s="31">
        <v>13</v>
      </c>
      <c r="O36" s="31" t="str">
        <f>IF(B36=Stand!B36,"S","H")</f>
        <v>H</v>
      </c>
      <c r="P36" s="31" t="str">
        <f>IF(C36=Stand!C36,"S","H")</f>
        <v>H</v>
      </c>
      <c r="Q36" s="31" t="str">
        <f>IF(D36=Stand!D36,"S","H")</f>
        <v>H</v>
      </c>
      <c r="R36" s="31" t="str">
        <f>IF(E36=Stand!E36,"S","H")</f>
        <v>H</v>
      </c>
      <c r="S36" s="31" t="str">
        <f>IF(F36=Stand!F36,"S","H")</f>
        <v>H</v>
      </c>
      <c r="T36" s="31" t="str">
        <f>IF(G36=Stand!G36,"S","H")</f>
        <v>H</v>
      </c>
      <c r="U36" s="31" t="str">
        <f>IF(H36=Stand!H36,"S","H")</f>
        <v>H</v>
      </c>
      <c r="V36" s="31" t="str">
        <f>IF(I36=Stand!I36,"S","H")</f>
        <v>H</v>
      </c>
      <c r="W36" s="31" t="str">
        <f>IF(J36=Stand!J36,"S","H")</f>
        <v>H</v>
      </c>
      <c r="X36" s="31" t="str">
        <f>IF(K36=Stand!K36,"S","H")</f>
        <v>H</v>
      </c>
    </row>
    <row r="37" spans="1:24" x14ac:dyDescent="0.2">
      <c r="A37">
        <v>14</v>
      </c>
      <c r="B37">
        <f>MAX(Hit!B37,Stand!B37)</f>
        <v>-9.3874324768310105E-2</v>
      </c>
      <c r="C37">
        <f>MAX(Hit!C37,Stand!C37)</f>
        <v>2.2391856987839083E-2</v>
      </c>
      <c r="D37">
        <f>MAX(Hit!D37,Stand!D37)</f>
        <v>5.0806738919282814E-2</v>
      </c>
      <c r="E37">
        <f>MAX(Hit!E37,Stand!E37)</f>
        <v>8.0081414310110233E-2</v>
      </c>
      <c r="F37">
        <f>MAX(Hit!F37,Stand!F37)</f>
        <v>0.11189449567473925</v>
      </c>
      <c r="G37">
        <f>MAX(Hit!G37,Stand!G37)</f>
        <v>0.1391647307435768</v>
      </c>
      <c r="H37">
        <f>MAX(Hit!H37,Stand!H37)</f>
        <v>7.9507488494468148E-2</v>
      </c>
      <c r="I37">
        <f>MAX(Hit!I37,Stand!I37)</f>
        <v>1.3277219463208444E-2</v>
      </c>
      <c r="J37">
        <f>MAX(Hit!J37,Stand!J37)</f>
        <v>-7.516318944168382E-2</v>
      </c>
      <c r="K37">
        <f>MAX(Hit!K37,Stand!K37)</f>
        <v>-0.13946678217545452</v>
      </c>
      <c r="N37" s="31">
        <v>14</v>
      </c>
      <c r="O37" s="31" t="str">
        <f>IF(B37=Stand!B37,"S","H")</f>
        <v>H</v>
      </c>
      <c r="P37" s="31" t="str">
        <f>IF(C37=Stand!C37,"S","H")</f>
        <v>H</v>
      </c>
      <c r="Q37" s="31" t="str">
        <f>IF(D37=Stand!D37,"S","H")</f>
        <v>H</v>
      </c>
      <c r="R37" s="31" t="str">
        <f>IF(E37=Stand!E37,"S","H")</f>
        <v>H</v>
      </c>
      <c r="S37" s="31" t="str">
        <f>IF(F37=Stand!F37,"S","H")</f>
        <v>H</v>
      </c>
      <c r="T37" s="31" t="str">
        <f>IF(G37=Stand!G37,"S","H")</f>
        <v>H</v>
      </c>
      <c r="U37" s="31" t="str">
        <f>IF(H37=Stand!H37,"S","H")</f>
        <v>H</v>
      </c>
      <c r="V37" s="31" t="str">
        <f>IF(I37=Stand!I37,"S","H")</f>
        <v>H</v>
      </c>
      <c r="W37" s="31" t="str">
        <f>IF(J37=Stand!J37,"S","H")</f>
        <v>H</v>
      </c>
      <c r="X37" s="31" t="str">
        <f>IF(K37=Stand!K37,"S","H")</f>
        <v>H</v>
      </c>
    </row>
    <row r="38" spans="1:24" x14ac:dyDescent="0.2">
      <c r="A38">
        <v>15</v>
      </c>
      <c r="B38">
        <f>MAX(Hit!B38,Stand!B38)</f>
        <v>-0.13002650167843849</v>
      </c>
      <c r="C38">
        <f>MAX(Hit!C38,Stand!C38)</f>
        <v>-1.2068474052636583E-4</v>
      </c>
      <c r="D38">
        <f>MAX(Hit!D38,Stand!D38)</f>
        <v>2.9159812622497363E-2</v>
      </c>
      <c r="E38">
        <f>MAX(Hit!E38,Stand!E38)</f>
        <v>5.9285376931179926E-2</v>
      </c>
      <c r="F38">
        <f>MAX(Hit!F38,Stand!F38)</f>
        <v>9.1959698781152482E-2</v>
      </c>
      <c r="G38">
        <f>MAX(Hit!G38,Stand!G38)</f>
        <v>0.11824589170260671</v>
      </c>
      <c r="H38">
        <f>MAX(Hit!H38,Stand!H38)</f>
        <v>3.7028282279269235E-2</v>
      </c>
      <c r="I38">
        <f>MAX(Hit!I38,Stand!I38)</f>
        <v>-2.7054780502901672E-2</v>
      </c>
      <c r="J38">
        <f>MAX(Hit!J38,Stand!J38)</f>
        <v>-0.11218876868994289</v>
      </c>
      <c r="K38">
        <f>MAX(Hit!K38,Stand!K38)</f>
        <v>-0.17370423031226784</v>
      </c>
      <c r="N38" s="31">
        <v>15</v>
      </c>
      <c r="O38" s="31" t="str">
        <f>IF(B38=Stand!B38,"S","H")</f>
        <v>H</v>
      </c>
      <c r="P38" s="31" t="str">
        <f>IF(C38=Stand!C38,"S","H")</f>
        <v>H</v>
      </c>
      <c r="Q38" s="31" t="str">
        <f>IF(D38=Stand!D38,"S","H")</f>
        <v>H</v>
      </c>
      <c r="R38" s="31" t="str">
        <f>IF(E38=Stand!E38,"S","H")</f>
        <v>H</v>
      </c>
      <c r="S38" s="31" t="str">
        <f>IF(F38=Stand!F38,"S","H")</f>
        <v>H</v>
      </c>
      <c r="T38" s="31" t="str">
        <f>IF(G38=Stand!G38,"S","H")</f>
        <v>H</v>
      </c>
      <c r="U38" s="31" t="str">
        <f>IF(H38=Stand!H38,"S","H")</f>
        <v>H</v>
      </c>
      <c r="V38" s="31" t="str">
        <f>IF(I38=Stand!I38,"S","H")</f>
        <v>H</v>
      </c>
      <c r="W38" s="31" t="str">
        <f>IF(J38=Stand!J38,"S","H")</f>
        <v>H</v>
      </c>
      <c r="X38" s="31" t="str">
        <f>IF(K38=Stand!K38,"S","H")</f>
        <v>H</v>
      </c>
    </row>
    <row r="39" spans="1:24" x14ac:dyDescent="0.2">
      <c r="A39">
        <v>16</v>
      </c>
      <c r="B39">
        <f>MAX(Hit!B39,Stand!B39)</f>
        <v>-0.16563717206687348</v>
      </c>
      <c r="C39">
        <f>MAX(Hit!C39,Stand!C39)</f>
        <v>-2.1025187774008566E-2</v>
      </c>
      <c r="D39">
        <f>MAX(Hit!D39,Stand!D39)</f>
        <v>9.0590953469108244E-3</v>
      </c>
      <c r="E39">
        <f>MAX(Hit!E39,Stand!E39)</f>
        <v>3.9974770793601705E-2</v>
      </c>
      <c r="F39">
        <f>MAX(Hit!F39,Stand!F39)</f>
        <v>7.3448815951393354E-2</v>
      </c>
      <c r="G39">
        <f>MAX(Hit!G39,Stand!G39)</f>
        <v>9.8821255450277368E-2</v>
      </c>
      <c r="H39">
        <f>MAX(Hit!H39,Stand!H39)</f>
        <v>-4.8901571730158942E-3</v>
      </c>
      <c r="I39">
        <f>MAX(Hit!I39,Stand!I39)</f>
        <v>-6.6794847920094103E-2</v>
      </c>
      <c r="J39">
        <f>MAX(Hit!J39,Stand!J39)</f>
        <v>-0.14864353463007471</v>
      </c>
      <c r="K39">
        <f>MAX(Hit!K39,Stand!K39)</f>
        <v>-0.20744109003068206</v>
      </c>
      <c r="N39" s="31">
        <v>16</v>
      </c>
      <c r="O39" s="31" t="str">
        <f>IF(B39=Stand!B39,"S","H")</f>
        <v>H</v>
      </c>
      <c r="P39" s="31" t="str">
        <f>IF(C39=Stand!C39,"S","H")</f>
        <v>H</v>
      </c>
      <c r="Q39" s="31" t="str">
        <f>IF(D39=Stand!D39,"S","H")</f>
        <v>H</v>
      </c>
      <c r="R39" s="31" t="str">
        <f>IF(E39=Stand!E39,"S","H")</f>
        <v>H</v>
      </c>
      <c r="S39" s="31" t="str">
        <f>IF(F39=Stand!F39,"S","H")</f>
        <v>H</v>
      </c>
      <c r="T39" s="31" t="str">
        <f>IF(G39=Stand!G39,"S","H")</f>
        <v>H</v>
      </c>
      <c r="U39" s="31" t="str">
        <f>IF(H39=Stand!H39,"S","H")</f>
        <v>H</v>
      </c>
      <c r="V39" s="31" t="str">
        <f>IF(I39=Stand!I39,"S","H")</f>
        <v>H</v>
      </c>
      <c r="W39" s="31" t="str">
        <f>IF(J39=Stand!J39,"S","H")</f>
        <v>H</v>
      </c>
      <c r="X39" s="31" t="str">
        <f>IF(K39=Stand!K39,"S","H")</f>
        <v>H</v>
      </c>
    </row>
    <row r="40" spans="1:24" x14ac:dyDescent="0.2">
      <c r="A40">
        <v>17</v>
      </c>
      <c r="B40">
        <f>MAX(Hit!B40,Stand!B40)</f>
        <v>-0.17956936979241733</v>
      </c>
      <c r="C40">
        <f>MAX(Hit!C40,Stand!C40)</f>
        <v>-4.9104358288912882E-4</v>
      </c>
      <c r="D40">
        <f>MAX(Hit!D40,Stand!D40)</f>
        <v>2.8975282965620488E-2</v>
      </c>
      <c r="E40">
        <f>MAX(Hit!E40,Stand!E40)</f>
        <v>5.9326275337164343E-2</v>
      </c>
      <c r="F40">
        <f>MAX(Hit!F40,Stand!F40)</f>
        <v>9.1189077686774395E-2</v>
      </c>
      <c r="G40">
        <f>MAX(Hit!G40,Stand!G40)</f>
        <v>0.12805214364549905</v>
      </c>
      <c r="H40">
        <f>MAX(Hit!H40,Stand!H40)</f>
        <v>5.3823463716116654E-2</v>
      </c>
      <c r="I40">
        <f>MAX(Hit!I40,Stand!I40)</f>
        <v>-7.2915398729642075E-2</v>
      </c>
      <c r="J40">
        <f>MAX(Hit!J40,Stand!J40)</f>
        <v>-0.1497868921821332</v>
      </c>
      <c r="K40">
        <f>MAX(Hit!K40,Stand!K40)</f>
        <v>-0.19686697623363469</v>
      </c>
      <c r="N40" s="31">
        <v>17</v>
      </c>
      <c r="O40" s="31" t="str">
        <f>IF(B40=Stand!B40,"S","H")</f>
        <v>H</v>
      </c>
      <c r="P40" s="31" t="str">
        <f>IF(C40=Stand!C40,"S","H")</f>
        <v>H</v>
      </c>
      <c r="Q40" s="31" t="str">
        <f>IF(D40=Stand!D40,"S","H")</f>
        <v>H</v>
      </c>
      <c r="R40" s="31" t="str">
        <f>IF(E40=Stand!E40,"S","H")</f>
        <v>H</v>
      </c>
      <c r="S40" s="31" t="str">
        <f>IF(F40=Stand!F40,"S","H")</f>
        <v>H</v>
      </c>
      <c r="T40" s="31" t="str">
        <f>IF(G40=Stand!G40,"S","H")</f>
        <v>H</v>
      </c>
      <c r="U40" s="31" t="str">
        <f>IF(H40=Stand!H40,"S","H")</f>
        <v>H</v>
      </c>
      <c r="V40" s="31" t="str">
        <f>IF(I40=Stand!I40,"S","H")</f>
        <v>H</v>
      </c>
      <c r="W40" s="31" t="str">
        <f>IF(J40=Stand!J40,"S","H")</f>
        <v>H</v>
      </c>
      <c r="X40" s="31" t="str">
        <f>IF(K40=Stand!K40,"S","H")</f>
        <v>H</v>
      </c>
    </row>
    <row r="41" spans="1:24" x14ac:dyDescent="0.2">
      <c r="A41">
        <v>18</v>
      </c>
      <c r="B41">
        <f>MAX(Hit!B41,Stand!B41)</f>
        <v>-9.2935491769284034E-2</v>
      </c>
      <c r="C41">
        <f>MAX(Hit!C41,Stand!C41)</f>
        <v>0.12174190222088771</v>
      </c>
      <c r="D41">
        <f>MAX(Hit!D41,Stand!D41)</f>
        <v>0.14830007284131119</v>
      </c>
      <c r="E41">
        <f>MAX(Hit!E41,Stand!E41)</f>
        <v>0.17585443719748528</v>
      </c>
      <c r="F41">
        <f>MAX(Hit!F41,Stand!F41)</f>
        <v>0.19956119497617719</v>
      </c>
      <c r="G41">
        <f>MAX(Hit!G41,Stand!G41)</f>
        <v>0.28344391604689856</v>
      </c>
      <c r="H41">
        <f>MAX(Hit!H41,Stand!H41)</f>
        <v>0.3995541673365518</v>
      </c>
      <c r="I41">
        <f>MAX(Hit!I41,Stand!I41)</f>
        <v>0.10595134861912359</v>
      </c>
      <c r="J41">
        <f>MAX(Hit!J41,Stand!J41)</f>
        <v>-0.10074430758041522</v>
      </c>
      <c r="K41">
        <f>MAX(Hit!K41,Stand!K41)</f>
        <v>-0.14380812317405353</v>
      </c>
      <c r="N41" s="31">
        <v>18</v>
      </c>
      <c r="O41" s="31" t="str">
        <f>IF(B41=Stand!B41,"S","H")</f>
        <v>H</v>
      </c>
      <c r="P41" s="31" t="str">
        <f>IF(C41=Stand!C41,"S","H")</f>
        <v>S</v>
      </c>
      <c r="Q41" s="31" t="str">
        <f>IF(D41=Stand!D41,"S","H")</f>
        <v>S</v>
      </c>
      <c r="R41" s="31" t="str">
        <f>IF(E41=Stand!E41,"S","H")</f>
        <v>S</v>
      </c>
      <c r="S41" s="31" t="str">
        <f>IF(F41=Stand!F41,"S","H")</f>
        <v>S</v>
      </c>
      <c r="T41" s="31" t="str">
        <f>IF(G41=Stand!G41,"S","H")</f>
        <v>S</v>
      </c>
      <c r="U41" s="31" t="str">
        <f>IF(H41=Stand!H41,"S","H")</f>
        <v>S</v>
      </c>
      <c r="V41" s="31" t="str">
        <f>IF(I41=Stand!I41,"S","H")</f>
        <v>S</v>
      </c>
      <c r="W41" s="31" t="str">
        <f>IF(J41=Stand!J41,"S","H")</f>
        <v>H</v>
      </c>
      <c r="X41" s="31" t="str">
        <f>IF(K41=Stand!K41,"S","H")</f>
        <v>H</v>
      </c>
    </row>
    <row r="42" spans="1:24" x14ac:dyDescent="0.2">
      <c r="A42">
        <v>19</v>
      </c>
      <c r="B42">
        <f>MAX(Hit!B42,Stand!B42)</f>
        <v>0.27763572376835594</v>
      </c>
      <c r="C42">
        <f>MAX(Hit!C42,Stand!C42)</f>
        <v>0.38630468602058993</v>
      </c>
      <c r="D42">
        <f>MAX(Hit!D42,Stand!D42)</f>
        <v>0.4043629365977599</v>
      </c>
      <c r="E42">
        <f>MAX(Hit!E42,Stand!E42)</f>
        <v>0.42317892482749653</v>
      </c>
      <c r="F42">
        <f>MAX(Hit!F42,Stand!F42)</f>
        <v>0.43951210416088371</v>
      </c>
      <c r="G42">
        <f>MAX(Hit!G42,Stand!G42)</f>
        <v>0.49597707378731914</v>
      </c>
      <c r="H42">
        <f>MAX(Hit!H42,Stand!H42)</f>
        <v>0.6159764957534315</v>
      </c>
      <c r="I42">
        <f>MAX(Hit!I42,Stand!I42)</f>
        <v>0.59385366828669439</v>
      </c>
      <c r="J42">
        <f>MAX(Hit!J42,Stand!J42)</f>
        <v>0.28759675706758148</v>
      </c>
      <c r="K42">
        <f>MAX(Hit!K42,Stand!K42)</f>
        <v>6.3118166335840831E-2</v>
      </c>
      <c r="N42" s="31">
        <v>19</v>
      </c>
      <c r="O42" s="31" t="str">
        <f>IF(B42=Stand!B42,"S","H")</f>
        <v>S</v>
      </c>
      <c r="P42" s="31" t="str">
        <f>IF(C42=Stand!C42,"S","H")</f>
        <v>S</v>
      </c>
      <c r="Q42" s="31" t="str">
        <f>IF(D42=Stand!D42,"S","H")</f>
        <v>S</v>
      </c>
      <c r="R42" s="31" t="str">
        <f>IF(E42=Stand!E42,"S","H")</f>
        <v>S</v>
      </c>
      <c r="S42" s="31" t="str">
        <f>IF(F42=Stand!F42,"S","H")</f>
        <v>S</v>
      </c>
      <c r="T42" s="31" t="str">
        <f>IF(G42=Stand!G42,"S","H")</f>
        <v>S</v>
      </c>
      <c r="U42" s="31" t="str">
        <f>IF(H42=Stand!H42,"S","H")</f>
        <v>S</v>
      </c>
      <c r="V42" s="31" t="str">
        <f>IF(I42=Stand!I42,"S","H")</f>
        <v>S</v>
      </c>
      <c r="W42" s="31" t="str">
        <f>IF(J42=Stand!J42,"S","H")</f>
        <v>S</v>
      </c>
      <c r="X42" s="31" t="str">
        <f>IF(K42=Stand!K42,"S","H")</f>
        <v>S</v>
      </c>
    </row>
    <row r="43" spans="1:24" x14ac:dyDescent="0.2">
      <c r="A43">
        <v>20</v>
      </c>
      <c r="B43">
        <f>MAX(Hit!B43,Stand!B43)</f>
        <v>0.65547032314990239</v>
      </c>
      <c r="C43">
        <f>MAX(Hit!C43,Stand!C43)</f>
        <v>0.63998657521683877</v>
      </c>
      <c r="D43">
        <f>MAX(Hit!D43,Stand!D43)</f>
        <v>0.65027209425148136</v>
      </c>
      <c r="E43">
        <f>MAX(Hit!E43,Stand!E43)</f>
        <v>0.66104996194807186</v>
      </c>
      <c r="F43">
        <f>MAX(Hit!F43,Stand!F43)</f>
        <v>0.67035969063279999</v>
      </c>
      <c r="G43">
        <f>MAX(Hit!G43,Stand!G43)</f>
        <v>0.70395857017134467</v>
      </c>
      <c r="H43">
        <f>MAX(Hit!H43,Stand!H43)</f>
        <v>0.77322722653717491</v>
      </c>
      <c r="I43">
        <f>MAX(Hit!I43,Stand!I43)</f>
        <v>0.79181515955189841</v>
      </c>
      <c r="J43">
        <f>MAX(Hit!J43,Stand!J43)</f>
        <v>0.75835687080859626</v>
      </c>
      <c r="K43">
        <f>MAX(Hit!K43,Stand!K43)</f>
        <v>0.55453756646817121</v>
      </c>
      <c r="N43" s="31">
        <v>20</v>
      </c>
      <c r="O43" s="31" t="str">
        <f>IF(B43=Stand!B43,"S","H")</f>
        <v>S</v>
      </c>
      <c r="P43" s="31" t="str">
        <f>IF(C43=Stand!C43,"S","H")</f>
        <v>S</v>
      </c>
      <c r="Q43" s="31" t="str">
        <f>IF(D43=Stand!D43,"S","H")</f>
        <v>S</v>
      </c>
      <c r="R43" s="31" t="str">
        <f>IF(E43=Stand!E43,"S","H")</f>
        <v>S</v>
      </c>
      <c r="S43" s="31" t="str">
        <f>IF(F43=Stand!F43,"S","H")</f>
        <v>S</v>
      </c>
      <c r="T43" s="31" t="str">
        <f>IF(G43=Stand!G43,"S","H")</f>
        <v>S</v>
      </c>
      <c r="U43" s="31" t="str">
        <f>IF(H43=Stand!H43,"S","H")</f>
        <v>S</v>
      </c>
      <c r="V43" s="31" t="str">
        <f>IF(I43=Stand!I43,"S","H")</f>
        <v>S</v>
      </c>
      <c r="W43" s="31" t="str">
        <f>IF(J43=Stand!J43,"S","H")</f>
        <v>S</v>
      </c>
      <c r="X43" s="31" t="str">
        <f>IF(K43=Stand!K43,"S","H")</f>
        <v>S</v>
      </c>
    </row>
    <row r="44" spans="1:24" x14ac:dyDescent="0.2">
      <c r="A44">
        <v>21</v>
      </c>
      <c r="B44">
        <f>MAX(Hit!B44,Stand!B44)</f>
        <v>0.92219381142033785</v>
      </c>
      <c r="C44">
        <f>MAX(Hit!C44,Stand!C44)</f>
        <v>0.88200651549403997</v>
      </c>
      <c r="D44">
        <f>MAX(Hit!D44,Stand!D44)</f>
        <v>0.88530035730174927</v>
      </c>
      <c r="E44">
        <f>MAX(Hit!E44,Stand!E44)</f>
        <v>0.88876729296591961</v>
      </c>
      <c r="F44">
        <f>MAX(Hit!F44,Stand!F44)</f>
        <v>0.89175382659528035</v>
      </c>
      <c r="G44">
        <f>MAX(Hit!G44,Stand!G44)</f>
        <v>0.90283674384257995</v>
      </c>
      <c r="H44">
        <f>MAX(Hit!H44,Stand!H44)</f>
        <v>0.92592629596452325</v>
      </c>
      <c r="I44">
        <f>MAX(Hit!I44,Stand!I44)</f>
        <v>0.93060505318396614</v>
      </c>
      <c r="J44">
        <f>MAX(Hit!J44,Stand!J44)</f>
        <v>0.93917615614724415</v>
      </c>
      <c r="K44">
        <f>MAX(Hit!K44,Stand!K44)</f>
        <v>0.96262363326716827</v>
      </c>
      <c r="N44" s="31">
        <v>21</v>
      </c>
      <c r="O44" s="31" t="str">
        <f>IF(B44=Stand!B44,"S","H")</f>
        <v>S</v>
      </c>
      <c r="P44" s="31" t="str">
        <f>IF(C44=Stand!C44,"S","H")</f>
        <v>S</v>
      </c>
      <c r="Q44" s="31" t="str">
        <f>IF(D44=Stand!D44,"S","H")</f>
        <v>S</v>
      </c>
      <c r="R44" s="31" t="str">
        <f>IF(E44=Stand!E44,"S","H")</f>
        <v>S</v>
      </c>
      <c r="S44" s="31" t="str">
        <f>IF(F44=Stand!F44,"S","H")</f>
        <v>S</v>
      </c>
      <c r="T44" s="31" t="str">
        <f>IF(G44=Stand!G44,"S","H")</f>
        <v>S</v>
      </c>
      <c r="U44" s="31" t="str">
        <f>IF(H44=Stand!H44,"S","H")</f>
        <v>S</v>
      </c>
      <c r="V44" s="31" t="str">
        <f>IF(I44=Stand!I44,"S","H")</f>
        <v>S</v>
      </c>
      <c r="W44" s="31" t="str">
        <f>IF(J44=Stand!J44,"S","H")</f>
        <v>S</v>
      </c>
      <c r="X44" s="31" t="str">
        <f>IF(K44=Stand!K44,"S","H")</f>
        <v>S</v>
      </c>
    </row>
    <row r="45" spans="1:24" x14ac:dyDescent="0.2">
      <c r="A45">
        <v>22</v>
      </c>
      <c r="B45">
        <f>MAX(Hit!B45,Stand!B45)</f>
        <v>-0.35054034044008009</v>
      </c>
      <c r="C45">
        <f>MAX(Hit!C45,Stand!C45)</f>
        <v>-0.25338998596663809</v>
      </c>
      <c r="D45">
        <f>MAX(Hit!D45,Stand!D45)</f>
        <v>-0.2336908997980866</v>
      </c>
      <c r="E45">
        <f>MAX(Hit!E45,Stand!E45)</f>
        <v>-0.21106310899491437</v>
      </c>
      <c r="F45">
        <f>MAX(Hit!F45,Stand!F45)</f>
        <v>-0.16719266083547524</v>
      </c>
      <c r="G45">
        <f>MAX(Hit!G45,Stand!G45)</f>
        <v>-0.1536990158300045</v>
      </c>
      <c r="H45">
        <f>MAX(Hit!H45,Stand!H45)</f>
        <v>-0.21284771451731424</v>
      </c>
      <c r="I45">
        <f>MAX(Hit!I45,Stand!I45)</f>
        <v>-0.27157480502428616</v>
      </c>
      <c r="J45">
        <f>MAX(Hit!J45,Stand!J45)</f>
        <v>-0.3400132806089356</v>
      </c>
      <c r="K45">
        <f>MAX(Hit!K45,Stand!K45)</f>
        <v>-0.38104299284808768</v>
      </c>
      <c r="N45" s="31">
        <v>22</v>
      </c>
      <c r="O45" s="31" t="str">
        <f>IF(B45=Stand!B45,"S","H")</f>
        <v>H</v>
      </c>
      <c r="P45" s="31" t="str">
        <f>IF(C45=Stand!C45,"S","H")</f>
        <v>H</v>
      </c>
      <c r="Q45" s="31" t="str">
        <f>IF(D45=Stand!D45,"S","H")</f>
        <v>H</v>
      </c>
      <c r="R45" s="31" t="str">
        <f>IF(E45=Stand!E45,"S","H")</f>
        <v>S</v>
      </c>
      <c r="S45" s="31" t="str">
        <f>IF(F45=Stand!F45,"S","H")</f>
        <v>S</v>
      </c>
      <c r="T45" s="31" t="str">
        <f>IF(G45=Stand!G45,"S","H")</f>
        <v>S</v>
      </c>
      <c r="U45" s="31" t="str">
        <f>IF(H45=Stand!H45,"S","H")</f>
        <v>H</v>
      </c>
      <c r="V45" s="31" t="str">
        <f>IF(I45=Stand!I45,"S","H")</f>
        <v>H</v>
      </c>
      <c r="W45" s="31" t="str">
        <f>IF(J45=Stand!J45,"S","H")</f>
        <v>H</v>
      </c>
      <c r="X45" s="31" t="str">
        <f>IF(K45=Stand!K45,"S","H")</f>
        <v>H</v>
      </c>
    </row>
    <row r="46" spans="1:24" x14ac:dyDescent="0.2">
      <c r="A46">
        <v>23</v>
      </c>
      <c r="B46">
        <f>MAX(Hit!B46,Stand!B46)</f>
        <v>-0.3969303161229315</v>
      </c>
      <c r="C46">
        <f>MAX(Hit!C46,Stand!C46)</f>
        <v>-0.29278372720927726</v>
      </c>
      <c r="D46">
        <f>MAX(Hit!D46,Stand!D46)</f>
        <v>-0.2522502292357135</v>
      </c>
      <c r="E46">
        <f>MAX(Hit!E46,Stand!E46)</f>
        <v>-0.21106310899491437</v>
      </c>
      <c r="F46">
        <f>MAX(Hit!F46,Stand!F46)</f>
        <v>-0.16719266083547524</v>
      </c>
      <c r="G46">
        <f>MAX(Hit!G46,Stand!G46)</f>
        <v>-0.1536990158300045</v>
      </c>
      <c r="H46">
        <f>MAX(Hit!H46,Stand!H46)</f>
        <v>-0.26907287776607752</v>
      </c>
      <c r="I46">
        <f>MAX(Hit!I46,Stand!I46)</f>
        <v>-0.32360517609397998</v>
      </c>
      <c r="J46">
        <f>MAX(Hit!J46,Stand!J46)</f>
        <v>-0.38715518913686875</v>
      </c>
      <c r="K46">
        <f>MAX(Hit!K46,Stand!K46)</f>
        <v>-0.42525420764465277</v>
      </c>
      <c r="N46" s="31">
        <v>23</v>
      </c>
      <c r="O46" s="31" t="str">
        <f>IF(B46=Stand!B46,"S","H")</f>
        <v>H</v>
      </c>
      <c r="P46" s="31" t="str">
        <f>IF(C46=Stand!C46,"S","H")</f>
        <v>S</v>
      </c>
      <c r="Q46" s="31" t="str">
        <f>IF(D46=Stand!D46,"S","H")</f>
        <v>S</v>
      </c>
      <c r="R46" s="31" t="str">
        <f>IF(E46=Stand!E46,"S","H")</f>
        <v>S</v>
      </c>
      <c r="S46" s="31" t="str">
        <f>IF(F46=Stand!F46,"S","H")</f>
        <v>S</v>
      </c>
      <c r="T46" s="31" t="str">
        <f>IF(G46=Stand!G46,"S","H")</f>
        <v>S</v>
      </c>
      <c r="U46" s="31" t="str">
        <f>IF(H46=Stand!H46,"S","H")</f>
        <v>H</v>
      </c>
      <c r="V46" s="31" t="str">
        <f>IF(I46=Stand!I46,"S","H")</f>
        <v>H</v>
      </c>
      <c r="W46" s="31" t="str">
        <f>IF(J46=Stand!J46,"S","H")</f>
        <v>H</v>
      </c>
      <c r="X46" s="31" t="str">
        <f>IF(K46=Stand!K46,"S","H")</f>
        <v>H</v>
      </c>
    </row>
    <row r="47" spans="1:24" x14ac:dyDescent="0.2">
      <c r="A47">
        <v>24</v>
      </c>
      <c r="B47">
        <f>MAX(Hit!B47,Stand!B47)</f>
        <v>-0.44000672211415065</v>
      </c>
      <c r="C47">
        <f>MAX(Hit!C47,Stand!C47)</f>
        <v>-0.29278372720927726</v>
      </c>
      <c r="D47">
        <f>MAX(Hit!D47,Stand!D47)</f>
        <v>-0.2522502292357135</v>
      </c>
      <c r="E47">
        <f>MAX(Hit!E47,Stand!E47)</f>
        <v>-0.21106310899491437</v>
      </c>
      <c r="F47">
        <f>MAX(Hit!F47,Stand!F47)</f>
        <v>-0.16719266083547524</v>
      </c>
      <c r="G47">
        <f>MAX(Hit!G47,Stand!G47)</f>
        <v>-0.1536990158300045</v>
      </c>
      <c r="H47">
        <f>MAX(Hit!H47,Stand!H47)</f>
        <v>-0.3212819579256434</v>
      </c>
      <c r="I47">
        <f>MAX(Hit!I47,Stand!I47)</f>
        <v>-0.37191909208726714</v>
      </c>
      <c r="J47">
        <f>MAX(Hit!J47,Stand!J47)</f>
        <v>-0.43092981848423528</v>
      </c>
      <c r="K47">
        <f>MAX(Hit!K47,Stand!K47)</f>
        <v>-0.46630747852717758</v>
      </c>
      <c r="N47" s="31">
        <v>24</v>
      </c>
      <c r="O47" s="31" t="str">
        <f>IF(B47=Stand!B47,"S","H")</f>
        <v>H</v>
      </c>
      <c r="P47" s="31" t="str">
        <f>IF(C47=Stand!C47,"S","H")</f>
        <v>S</v>
      </c>
      <c r="Q47" s="31" t="str">
        <f>IF(D47=Stand!D47,"S","H")</f>
        <v>S</v>
      </c>
      <c r="R47" s="31" t="str">
        <f>IF(E47=Stand!E47,"S","H")</f>
        <v>S</v>
      </c>
      <c r="S47" s="31" t="str">
        <f>IF(F47=Stand!F47,"S","H")</f>
        <v>S</v>
      </c>
      <c r="T47" s="31" t="str">
        <f>IF(G47=Stand!G47,"S","H")</f>
        <v>S</v>
      </c>
      <c r="U47" s="31" t="str">
        <f>IF(H47=Stand!H47,"S","H")</f>
        <v>H</v>
      </c>
      <c r="V47" s="31" t="str">
        <f>IF(I47=Stand!I47,"S","H")</f>
        <v>H</v>
      </c>
      <c r="W47" s="31" t="str">
        <f>IF(J47=Stand!J47,"S","H")</f>
        <v>H</v>
      </c>
      <c r="X47" s="31" t="str">
        <f>IF(K47=Stand!K47,"S","H")</f>
        <v>H</v>
      </c>
    </row>
    <row r="48" spans="1:24" x14ac:dyDescent="0.2">
      <c r="A48">
        <v>25</v>
      </c>
      <c r="B48">
        <f>MAX(Hit!B48,Stand!B48)</f>
        <v>-0.4800062419631399</v>
      </c>
      <c r="C48">
        <f>MAX(Hit!C48,Stand!C48)</f>
        <v>-0.29278372720927726</v>
      </c>
      <c r="D48">
        <f>MAX(Hit!D48,Stand!D48)</f>
        <v>-0.2522502292357135</v>
      </c>
      <c r="E48">
        <f>MAX(Hit!E48,Stand!E48)</f>
        <v>-0.21106310899491437</v>
      </c>
      <c r="F48">
        <f>MAX(Hit!F48,Stand!F48)</f>
        <v>-0.16719266083547524</v>
      </c>
      <c r="G48">
        <f>MAX(Hit!G48,Stand!G48)</f>
        <v>-0.1536990158300045</v>
      </c>
      <c r="H48">
        <f>MAX(Hit!H48,Stand!H48)</f>
        <v>-0.36976181807381175</v>
      </c>
      <c r="I48">
        <f>MAX(Hit!I48,Stand!I48)</f>
        <v>-0.41678201408103371</v>
      </c>
      <c r="J48">
        <f>MAX(Hit!J48,Stand!J48)</f>
        <v>-0.47157768859250415</v>
      </c>
      <c r="K48">
        <f>MAX(Hit!K48,Stand!K48)</f>
        <v>-0.5044283729180935</v>
      </c>
      <c r="N48" s="31">
        <v>25</v>
      </c>
      <c r="O48" s="31" t="str">
        <f>IF(B48=Stand!B48,"S","H")</f>
        <v>H</v>
      </c>
      <c r="P48" s="31" t="str">
        <f>IF(C48=Stand!C48,"S","H")</f>
        <v>S</v>
      </c>
      <c r="Q48" s="31" t="str">
        <f>IF(D48=Stand!D48,"S","H")</f>
        <v>S</v>
      </c>
      <c r="R48" s="31" t="str">
        <f>IF(E48=Stand!E48,"S","H")</f>
        <v>S</v>
      </c>
      <c r="S48" s="31" t="str">
        <f>IF(F48=Stand!F48,"S","H")</f>
        <v>S</v>
      </c>
      <c r="T48" s="31" t="str">
        <f>IF(G48=Stand!G48,"S","H")</f>
        <v>S</v>
      </c>
      <c r="U48" s="31" t="str">
        <f>IF(H48=Stand!H48,"S","H")</f>
        <v>H</v>
      </c>
      <c r="V48" s="31" t="str">
        <f>IF(I48=Stand!I48,"S","H")</f>
        <v>H</v>
      </c>
      <c r="W48" s="31" t="str">
        <f>IF(J48=Stand!J48,"S","H")</f>
        <v>H</v>
      </c>
      <c r="X48" s="31" t="str">
        <f>IF(K48=Stand!K48,"S","H")</f>
        <v>H</v>
      </c>
    </row>
    <row r="49" spans="1:24" x14ac:dyDescent="0.2">
      <c r="A49">
        <v>26</v>
      </c>
      <c r="B49">
        <f>MAX(Hit!B49,Stand!B49)</f>
        <v>-0.51714865325148707</v>
      </c>
      <c r="C49">
        <f>MAX(Hit!C49,Stand!C49)</f>
        <v>-0.29278372720927726</v>
      </c>
      <c r="D49">
        <f>MAX(Hit!D49,Stand!D49)</f>
        <v>-0.2522502292357135</v>
      </c>
      <c r="E49">
        <f>MAX(Hit!E49,Stand!E49)</f>
        <v>-0.21106310899491437</v>
      </c>
      <c r="F49">
        <f>MAX(Hit!F49,Stand!F49)</f>
        <v>-0.16719266083547524</v>
      </c>
      <c r="G49">
        <f>MAX(Hit!G49,Stand!G49)</f>
        <v>-0.1536990158300045</v>
      </c>
      <c r="H49">
        <f>MAX(Hit!H49,Stand!H49)</f>
        <v>-0.41477883106853947</v>
      </c>
      <c r="I49">
        <f>MAX(Hit!I49,Stand!I49)</f>
        <v>-0.45844044164667419</v>
      </c>
      <c r="J49">
        <f>MAX(Hit!J49,Stand!J49)</f>
        <v>-0.50932213940732529</v>
      </c>
      <c r="K49">
        <f>MAX(Hit!K49,Stand!K49)</f>
        <v>-0.53982634628108683</v>
      </c>
      <c r="N49" s="31">
        <v>26</v>
      </c>
      <c r="O49" s="31" t="str">
        <f>IF(B49=Stand!B49,"S","H")</f>
        <v>H</v>
      </c>
      <c r="P49" s="31" t="str">
        <f>IF(C49=Stand!C49,"S","H")</f>
        <v>S</v>
      </c>
      <c r="Q49" s="31" t="str">
        <f>IF(D49=Stand!D49,"S","H")</f>
        <v>S</v>
      </c>
      <c r="R49" s="31" t="str">
        <f>IF(E49=Stand!E49,"S","H")</f>
        <v>S</v>
      </c>
      <c r="S49" s="31" t="str">
        <f>IF(F49=Stand!F49,"S","H")</f>
        <v>S</v>
      </c>
      <c r="T49" s="31" t="str">
        <f>IF(G49=Stand!G49,"S","H")</f>
        <v>S</v>
      </c>
      <c r="U49" s="31" t="str">
        <f>IF(H49=Stand!H49,"S","H")</f>
        <v>H</v>
      </c>
      <c r="V49" s="31" t="str">
        <f>IF(I49=Stand!I49,"S","H")</f>
        <v>H</v>
      </c>
      <c r="W49" s="31" t="str">
        <f>IF(J49=Stand!J49,"S","H")</f>
        <v>H</v>
      </c>
      <c r="X49" s="31" t="str">
        <f>IF(K49=Stand!K49,"S","H")</f>
        <v>H</v>
      </c>
    </row>
    <row r="50" spans="1:24" x14ac:dyDescent="0.2">
      <c r="A50">
        <v>27</v>
      </c>
      <c r="B50">
        <f>MAX(Hit!B50,Stand!B50)</f>
        <v>-0.47803347499473703</v>
      </c>
      <c r="C50">
        <f>MAX(Hit!C50,Stand!C50)</f>
        <v>-0.15297458768154204</v>
      </c>
      <c r="D50">
        <f>MAX(Hit!D50,Stand!D50)</f>
        <v>-0.11721624142457365</v>
      </c>
      <c r="E50">
        <f>MAX(Hit!E50,Stand!E50)</f>
        <v>-8.0573373145316152E-2</v>
      </c>
      <c r="F50">
        <f>MAX(Hit!F50,Stand!F50)</f>
        <v>-4.4941375564924446E-2</v>
      </c>
      <c r="G50">
        <f>MAX(Hit!G50,Stand!G50)</f>
        <v>1.1739160673341853E-2</v>
      </c>
      <c r="H50">
        <f>MAX(Hit!H50,Stand!H50)</f>
        <v>-0.10680898948269468</v>
      </c>
      <c r="I50">
        <f>MAX(Hit!I50,Stand!I50)</f>
        <v>-0.38195097104844711</v>
      </c>
      <c r="J50">
        <f>MAX(Hit!J50,Stand!J50)</f>
        <v>-0.42315423964521737</v>
      </c>
      <c r="K50">
        <f>MAX(Hit!K50,Stand!K50)</f>
        <v>-0.41972063392881986</v>
      </c>
      <c r="N50" s="31">
        <v>27</v>
      </c>
      <c r="O50" s="31" t="str">
        <f>IF(B50=Stand!B50,"S","H")</f>
        <v>S</v>
      </c>
      <c r="P50" s="31" t="str">
        <f>IF(C50=Stand!C50,"S","H")</f>
        <v>S</v>
      </c>
      <c r="Q50" s="31" t="str">
        <f>IF(D50=Stand!D50,"S","H")</f>
        <v>S</v>
      </c>
      <c r="R50" s="31" t="str">
        <f>IF(E50=Stand!E50,"S","H")</f>
        <v>S</v>
      </c>
      <c r="S50" s="31" t="str">
        <f>IF(F50=Stand!F50,"S","H")</f>
        <v>S</v>
      </c>
      <c r="T50" s="31" t="str">
        <f>IF(G50=Stand!G50,"S","H")</f>
        <v>S</v>
      </c>
      <c r="U50" s="31" t="str">
        <f>IF(H50=Stand!H50,"S","H")</f>
        <v>S</v>
      </c>
      <c r="V50" s="31" t="str">
        <f>IF(I50=Stand!I50,"S","H")</f>
        <v>S</v>
      </c>
      <c r="W50" s="31" t="str">
        <f>IF(J50=Stand!J50,"S","H")</f>
        <v>S</v>
      </c>
      <c r="X50" s="31" t="str">
        <f>IF(K50=Stand!K50,"S","H")</f>
        <v>S</v>
      </c>
    </row>
    <row r="51" spans="1:24" x14ac:dyDescent="0.2">
      <c r="A51">
        <v>28</v>
      </c>
      <c r="B51">
        <f>MAX(Hit!B51,Stand!B51)</f>
        <v>-0.10019887561319057</v>
      </c>
      <c r="C51">
        <f>MAX(Hit!C51,Stand!C51)</f>
        <v>0.12174190222088771</v>
      </c>
      <c r="D51">
        <f>MAX(Hit!D51,Stand!D51)</f>
        <v>0.14830007284131119</v>
      </c>
      <c r="E51">
        <f>MAX(Hit!E51,Stand!E51)</f>
        <v>0.17585443719748528</v>
      </c>
      <c r="F51">
        <f>MAX(Hit!F51,Stand!F51)</f>
        <v>0.19956119497617719</v>
      </c>
      <c r="G51">
        <f>MAX(Hit!G51,Stand!G51)</f>
        <v>0.28344391604689856</v>
      </c>
      <c r="H51">
        <f>MAX(Hit!H51,Stand!H51)</f>
        <v>0.3995541673365518</v>
      </c>
      <c r="I51">
        <f>MAX(Hit!I51,Stand!I51)</f>
        <v>0.10595134861912359</v>
      </c>
      <c r="J51">
        <f>MAX(Hit!J51,Stand!J51)</f>
        <v>-0.18316335667343331</v>
      </c>
      <c r="K51">
        <f>MAX(Hit!K51,Stand!K51)</f>
        <v>-0.17830123379648949</v>
      </c>
      <c r="N51" s="31">
        <v>28</v>
      </c>
      <c r="O51" s="31" t="str">
        <f>IF(B51=Stand!B51,"S","H")</f>
        <v>S</v>
      </c>
      <c r="P51" s="31" t="str">
        <f>IF(C51=Stand!C51,"S","H")</f>
        <v>S</v>
      </c>
      <c r="Q51" s="31" t="str">
        <f>IF(D51=Stand!D51,"S","H")</f>
        <v>S</v>
      </c>
      <c r="R51" s="31" t="str">
        <f>IF(E51=Stand!E51,"S","H")</f>
        <v>S</v>
      </c>
      <c r="S51" s="31" t="str">
        <f>IF(F51=Stand!F51,"S","H")</f>
        <v>S</v>
      </c>
      <c r="T51" s="31" t="str">
        <f>IF(G51=Stand!G51,"S","H")</f>
        <v>S</v>
      </c>
      <c r="U51" s="31" t="str">
        <f>IF(H51=Stand!H51,"S","H")</f>
        <v>S</v>
      </c>
      <c r="V51" s="31" t="str">
        <f>IF(I51=Stand!I51,"S","H")</f>
        <v>S</v>
      </c>
      <c r="W51" s="31" t="str">
        <f>IF(J51=Stand!J51,"S","H")</f>
        <v>S</v>
      </c>
      <c r="X51" s="31" t="str">
        <f>IF(K51=Stand!K51,"S","H")</f>
        <v>S</v>
      </c>
    </row>
    <row r="52" spans="1:24" x14ac:dyDescent="0.2">
      <c r="A52">
        <v>29</v>
      </c>
      <c r="B52">
        <f>MAX(Hit!B52,Stand!B52)</f>
        <v>0.27763572376835594</v>
      </c>
      <c r="C52">
        <f>MAX(Hit!C52,Stand!C52)</f>
        <v>0.38630468602058993</v>
      </c>
      <c r="D52">
        <f>MAX(Hit!D52,Stand!D52)</f>
        <v>0.4043629365977599</v>
      </c>
      <c r="E52">
        <f>MAX(Hit!E52,Stand!E52)</f>
        <v>0.42317892482749653</v>
      </c>
      <c r="F52">
        <f>MAX(Hit!F52,Stand!F52)</f>
        <v>0.43951210416088371</v>
      </c>
      <c r="G52">
        <f>MAX(Hit!G52,Stand!G52)</f>
        <v>0.49597707378731914</v>
      </c>
      <c r="H52">
        <f>MAX(Hit!H52,Stand!H52)</f>
        <v>0.6159764957534315</v>
      </c>
      <c r="I52">
        <f>MAX(Hit!I52,Stand!I52)</f>
        <v>0.59385366828669439</v>
      </c>
      <c r="J52">
        <f>MAX(Hit!J52,Stand!J52)</f>
        <v>0.28759675706758148</v>
      </c>
      <c r="K52">
        <f>MAX(Hit!K52,Stand!K52)</f>
        <v>6.3118166335840831E-2</v>
      </c>
      <c r="N52" s="31">
        <v>29</v>
      </c>
      <c r="O52" s="31" t="str">
        <f>IF(B52=Stand!B52,"S","H")</f>
        <v>S</v>
      </c>
      <c r="P52" s="31" t="str">
        <f>IF(C52=Stand!C52,"S","H")</f>
        <v>S</v>
      </c>
      <c r="Q52" s="31" t="str">
        <f>IF(D52=Stand!D52,"S","H")</f>
        <v>S</v>
      </c>
      <c r="R52" s="31" t="str">
        <f>IF(E52=Stand!E52,"S","H")</f>
        <v>S</v>
      </c>
      <c r="S52" s="31" t="str">
        <f>IF(F52=Stand!F52,"S","H")</f>
        <v>S</v>
      </c>
      <c r="T52" s="31" t="str">
        <f>IF(G52=Stand!G52,"S","H")</f>
        <v>S</v>
      </c>
      <c r="U52" s="31" t="str">
        <f>IF(H52=Stand!H52,"S","H")</f>
        <v>S</v>
      </c>
      <c r="V52" s="31" t="str">
        <f>IF(I52=Stand!I52,"S","H")</f>
        <v>S</v>
      </c>
      <c r="W52" s="31" t="str">
        <f>IF(J52=Stand!J52,"S","H")</f>
        <v>S</v>
      </c>
      <c r="X52" s="31" t="str">
        <f>IF(K52=Stand!K52,"S","H")</f>
        <v>S</v>
      </c>
    </row>
    <row r="53" spans="1:24" x14ac:dyDescent="0.2">
      <c r="A53">
        <v>30</v>
      </c>
      <c r="B53">
        <f>MAX(Hit!B53,Stand!B53)</f>
        <v>0.65547032314990239</v>
      </c>
      <c r="C53">
        <f>MAX(Hit!C53,Stand!C53)</f>
        <v>0.63998657521683877</v>
      </c>
      <c r="D53">
        <f>MAX(Hit!D53,Stand!D53)</f>
        <v>0.65027209425148136</v>
      </c>
      <c r="E53">
        <f>MAX(Hit!E53,Stand!E53)</f>
        <v>0.66104996194807186</v>
      </c>
      <c r="F53">
        <f>MAX(Hit!F53,Stand!F53)</f>
        <v>0.67035969063279999</v>
      </c>
      <c r="G53">
        <f>MAX(Hit!G53,Stand!G53)</f>
        <v>0.70395857017134467</v>
      </c>
      <c r="H53">
        <f>MAX(Hit!H53,Stand!H53)</f>
        <v>0.77322722653717491</v>
      </c>
      <c r="I53">
        <f>MAX(Hit!I53,Stand!I53)</f>
        <v>0.79181515955189841</v>
      </c>
      <c r="J53">
        <f>MAX(Hit!J53,Stand!J53)</f>
        <v>0.75835687080859626</v>
      </c>
      <c r="K53">
        <f>MAX(Hit!K53,Stand!K53)</f>
        <v>0.55453756646817121</v>
      </c>
      <c r="N53" s="31">
        <v>30</v>
      </c>
      <c r="O53" s="31" t="str">
        <f>IF(B53=Stand!B53,"S","H")</f>
        <v>S</v>
      </c>
      <c r="P53" s="31" t="str">
        <f>IF(C53=Stand!C53,"S","H")</f>
        <v>S</v>
      </c>
      <c r="Q53" s="31" t="str">
        <f>IF(D53=Stand!D53,"S","H")</f>
        <v>S</v>
      </c>
      <c r="R53" s="31" t="str">
        <f>IF(E53=Stand!E53,"S","H")</f>
        <v>S</v>
      </c>
      <c r="S53" s="31" t="str">
        <f>IF(F53=Stand!F53,"S","H")</f>
        <v>S</v>
      </c>
      <c r="T53" s="31" t="str">
        <f>IF(G53=Stand!G53,"S","H")</f>
        <v>S</v>
      </c>
      <c r="U53" s="31" t="str">
        <f>IF(H53=Stand!H53,"S","H")</f>
        <v>S</v>
      </c>
      <c r="V53" s="31" t="str">
        <f>IF(I53=Stand!I53,"S","H")</f>
        <v>S</v>
      </c>
      <c r="W53" s="31" t="str">
        <f>IF(J53=Stand!J53,"S","H")</f>
        <v>S</v>
      </c>
      <c r="X53" s="31" t="str">
        <f>IF(K53=Stand!K53,"S","H")</f>
        <v>S</v>
      </c>
    </row>
    <row r="54" spans="1:24" x14ac:dyDescent="0.2">
      <c r="A54">
        <v>31</v>
      </c>
      <c r="B54">
        <f>MAX(Hit!B54,Stand!B54)</f>
        <v>0.92219381142033785</v>
      </c>
      <c r="C54">
        <f>MAX(Hit!C54,Stand!C54)</f>
        <v>0.88200651549403997</v>
      </c>
      <c r="D54">
        <f>MAX(Hit!D54,Stand!D54)</f>
        <v>0.88530035730174927</v>
      </c>
      <c r="E54">
        <f>MAX(Hit!E54,Stand!E54)</f>
        <v>0.88876729296591961</v>
      </c>
      <c r="F54">
        <f>MAX(Hit!F54,Stand!F54)</f>
        <v>0.89175382659528035</v>
      </c>
      <c r="G54">
        <f>MAX(Hit!G54,Stand!G54)</f>
        <v>0.90283674384257995</v>
      </c>
      <c r="H54">
        <f>MAX(Hit!H54,Stand!H54)</f>
        <v>0.92592629596452325</v>
      </c>
      <c r="I54">
        <f>MAX(Hit!I54,Stand!I54)</f>
        <v>0.93060505318396614</v>
      </c>
      <c r="J54">
        <f>MAX(Hit!J54,Stand!J54)</f>
        <v>0.93917615614724415</v>
      </c>
      <c r="K54">
        <f>MAX(Hit!K54,Stand!K54)</f>
        <v>0.96262363326716827</v>
      </c>
      <c r="N54" s="31">
        <v>31</v>
      </c>
      <c r="O54" s="31" t="str">
        <f>IF(B54=Stand!B54,"S","H")</f>
        <v>S</v>
      </c>
      <c r="P54" s="31" t="str">
        <f>IF(C54=Stand!C54,"S","H")</f>
        <v>S</v>
      </c>
      <c r="Q54" s="31" t="str">
        <f>IF(D54=Stand!D54,"S","H")</f>
        <v>S</v>
      </c>
      <c r="R54" s="31" t="str">
        <f>IF(E54=Stand!E54,"S","H")</f>
        <v>S</v>
      </c>
      <c r="S54" s="31" t="str">
        <f>IF(F54=Stand!F54,"S","H")</f>
        <v>S</v>
      </c>
      <c r="T54" s="31" t="str">
        <f>IF(G54=Stand!G54,"S","H")</f>
        <v>S</v>
      </c>
      <c r="U54" s="31" t="str">
        <f>IF(H54=Stand!H54,"S","H")</f>
        <v>S</v>
      </c>
      <c r="V54" s="31" t="str">
        <f>IF(I54=Stand!I54,"S","H")</f>
        <v>S</v>
      </c>
      <c r="W54" s="31" t="str">
        <f>IF(J54=Stand!J54,"S","H")</f>
        <v>S</v>
      </c>
      <c r="X54" s="31" t="str">
        <f>IF(K54=Stand!K54,"S","H")</f>
        <v>S</v>
      </c>
    </row>
  </sheetData>
  <sheetProtection sheet="1" objects="1" scenarios="1"/>
  <phoneticPr fontId="16" type="noConversion"/>
  <conditionalFormatting sqref="O2:X31">
    <cfRule type="containsText" dxfId="871" priority="5" operator="containsText" text="S">
      <formula>NOT(ISERROR(SEARCH("S",O2)))</formula>
    </cfRule>
    <cfRule type="containsText" dxfId="870" priority="6" operator="containsText" text="H">
      <formula>NOT(ISERROR(SEARCH("H",O2)))</formula>
    </cfRule>
  </conditionalFormatting>
  <conditionalFormatting sqref="O35:X54">
    <cfRule type="containsText" dxfId="869" priority="3" operator="containsText" text="S">
      <formula>NOT(ISERROR(SEARCH("S",O35)))</formula>
    </cfRule>
    <cfRule type="containsText" dxfId="868" priority="4" operator="containsText" text="H">
      <formula>NOT(ISERROR(SEARCH("H",O35)))</formula>
    </cfRule>
  </conditionalFormatting>
  <conditionalFormatting sqref="O34:X34">
    <cfRule type="containsText" dxfId="867" priority="1" operator="containsText" text="S">
      <formula>NOT(ISERROR(SEARCH("S",O34)))</formula>
    </cfRule>
    <cfRule type="containsText" dxfId="866" priority="2" operator="containsText" text="H">
      <formula>NOT(ISERROR(SEARCH("H",O34)))</formula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f>IF(Rules!$B$6=Rules!$E$6,2*(SUM(Stand!B4:B11)+Rules!$B$5*Stand!B12+Stand!B36)/(9+Rules!$B$5),HS!B2)</f>
        <v>-1.3339015493710207</v>
      </c>
      <c r="C2">
        <f>IF(Rules!$B$6=Rules!$E$6,2*(SUM(Stand!C4:C11)+Rules!$B$5*Stand!C12+Stand!C36)/(9+Rules!$B$5),HS!C2)</f>
        <v>-0.58556745441855451</v>
      </c>
      <c r="D2">
        <f>IF(Rules!$B$6=Rules!$E$6,2*(SUM(Stand!D4:D11)+Rules!$B$5*Stand!D12+Stand!D36)/(9+Rules!$B$5),HS!D2)</f>
        <v>-0.5045004584714271</v>
      </c>
      <c r="E2">
        <f>IF(Rules!$B$6=Rules!$E$6,2*(SUM(Stand!E4:E11)+Rules!$B$5*Stand!E12+Stand!E36)/(9+Rules!$B$5),HS!E2)</f>
        <v>-0.42212621798982874</v>
      </c>
      <c r="F2">
        <f>IF(Rules!$B$6=Rules!$E$6,2*(SUM(Stand!F4:F11)+Rules!$B$5*Stand!F12+Stand!F36)/(9+Rules!$B$5),HS!F2)</f>
        <v>-0.33438532167095047</v>
      </c>
      <c r="G2">
        <f>IF(Rules!$B$6=Rules!$E$6,2*(SUM(Stand!G4:G11)+Rules!$B$5*Stand!G12+Stand!G36)/(9+Rules!$B$5),HS!G2)</f>
        <v>-0.30739803166000895</v>
      </c>
      <c r="H2">
        <f>IF(Rules!$B$6=Rules!$E$6,2*(SUM(Stand!H4:H11)+Rules!$B$5*Stand!H12+Stand!H36)/(9+Rules!$B$5),HS!H2)</f>
        <v>-0.95075036655386636</v>
      </c>
      <c r="I2">
        <f>IF(Rules!$B$6=Rules!$E$6,2*(SUM(Stand!I4:I11)+Rules!$B$5*Stand!I12+Stand!I36)/(9+Rules!$B$5),HS!I2)</f>
        <v>-1.0210350309952343</v>
      </c>
      <c r="J2">
        <f>IF(Rules!$B$6=Rules!$E$6,2*(SUM(Stand!J4:J11)+Rules!$B$5*Stand!J12+Stand!J36)/(9+Rules!$B$5),HS!J2)</f>
        <v>-1.0862993622622188</v>
      </c>
      <c r="K2">
        <f>IF(Rules!$B$6=Rules!$E$6,2*(SUM(Stand!K4:K11)+Rules!$B$5*Stand!K12+Stand!K36)/(9+Rules!$B$5),HS!K2)</f>
        <v>-1.0808606679899702</v>
      </c>
    </row>
    <row r="3" spans="1:11" x14ac:dyDescent="0.2">
      <c r="A3">
        <v>3</v>
      </c>
      <c r="B3">
        <f>IF(Rules!$B$6=Rules!$E$6,2*(SUM(Stand!B5:B12)+Rules!$B$5*Stand!B13+Stand!B37)/(9+Rules!$B$5),HS!B3)</f>
        <v>-1.3339015493710207</v>
      </c>
      <c r="C3">
        <f>IF(Rules!$B$6=Rules!$E$6,2*(SUM(Stand!C5:C12)+Rules!$B$5*Stand!C13+Stand!C37)/(9+Rules!$B$5),HS!C3)</f>
        <v>-0.58556745441855451</v>
      </c>
      <c r="D3">
        <f>IF(Rules!$B$6=Rules!$E$6,2*(SUM(Stand!D5:D12)+Rules!$B$5*Stand!D13+Stand!D37)/(9+Rules!$B$5),HS!D3)</f>
        <v>-0.5045004584714271</v>
      </c>
      <c r="E3">
        <f>IF(Rules!$B$6=Rules!$E$6,2*(SUM(Stand!E5:E12)+Rules!$B$5*Stand!E13+Stand!E37)/(9+Rules!$B$5),HS!E3)</f>
        <v>-0.42212621798982874</v>
      </c>
      <c r="F3">
        <f>IF(Rules!$B$6=Rules!$E$6,2*(SUM(Stand!F5:F12)+Rules!$B$5*Stand!F13+Stand!F37)/(9+Rules!$B$5),HS!F3)</f>
        <v>-0.33438532167095047</v>
      </c>
      <c r="G3">
        <f>IF(Rules!$B$6=Rules!$E$6,2*(SUM(Stand!G5:G12)+Rules!$B$5*Stand!G13+Stand!G37)/(9+Rules!$B$5),HS!G3)</f>
        <v>-0.30739803166000895</v>
      </c>
      <c r="H3">
        <f>IF(Rules!$B$6=Rules!$E$6,2*(SUM(Stand!H5:H12)+Rules!$B$5*Stand!H13+Stand!H37)/(9+Rules!$B$5),HS!H3)</f>
        <v>-0.95075036655386636</v>
      </c>
      <c r="I3">
        <f>IF(Rules!$B$6=Rules!$E$6,2*(SUM(Stand!I5:I12)+Rules!$B$5*Stand!I13+Stand!I37)/(9+Rules!$B$5),HS!I3)</f>
        <v>-1.0210350309952343</v>
      </c>
      <c r="J3">
        <f>IF(Rules!$B$6=Rules!$E$6,2*(SUM(Stand!J5:J12)+Rules!$B$5*Stand!J13+Stand!J37)/(9+Rules!$B$5),HS!J3)</f>
        <v>-1.0862993622622188</v>
      </c>
      <c r="K3">
        <f>IF(Rules!$B$6=Rules!$E$6,2*(SUM(Stand!K5:K12)+Rules!$B$5*Stand!K13+Stand!K37)/(9+Rules!$B$5),HS!K3)</f>
        <v>-1.0808606679899702</v>
      </c>
    </row>
    <row r="4" spans="1:11" x14ac:dyDescent="0.2">
      <c r="A4">
        <v>4</v>
      </c>
      <c r="B4">
        <f>IF(Rules!$B$6=Rules!$E$6,2*(SUM(Stand!B6:B13)+Rules!$B$5*Stand!B14+Stand!B38)/(9+Rules!$B$5),HS!B4)</f>
        <v>-1.3339015493710207</v>
      </c>
      <c r="C4">
        <f>IF(Rules!$B$6=Rules!$E$6,2*(SUM(Stand!C6:C13)+Rules!$B$5*Stand!C14+Stand!C38)/(9+Rules!$B$5),HS!C4)</f>
        <v>-0.58556745441855451</v>
      </c>
      <c r="D4">
        <f>IF(Rules!$B$6=Rules!$E$6,2*(SUM(Stand!D6:D13)+Rules!$B$5*Stand!D14+Stand!D38)/(9+Rules!$B$5),HS!D4)</f>
        <v>-0.5045004584714271</v>
      </c>
      <c r="E4">
        <f>IF(Rules!$B$6=Rules!$E$6,2*(SUM(Stand!E6:E13)+Rules!$B$5*Stand!E14+Stand!E38)/(9+Rules!$B$5),HS!E4)</f>
        <v>-0.42212621798982874</v>
      </c>
      <c r="F4">
        <f>IF(Rules!$B$6=Rules!$E$6,2*(SUM(Stand!F6:F13)+Rules!$B$5*Stand!F14+Stand!F38)/(9+Rules!$B$5),HS!F4)</f>
        <v>-0.33438532167095047</v>
      </c>
      <c r="G4">
        <f>IF(Rules!$B$6=Rules!$E$6,2*(SUM(Stand!G6:G13)+Rules!$B$5*Stand!G14+Stand!G38)/(9+Rules!$B$5),HS!G4)</f>
        <v>-0.30739803166000895</v>
      </c>
      <c r="H4">
        <f>IF(Rules!$B$6=Rules!$E$6,2*(SUM(Stand!H6:H13)+Rules!$B$5*Stand!H14+Stand!H38)/(9+Rules!$B$5),HS!H4)</f>
        <v>-0.95075036655386636</v>
      </c>
      <c r="I4">
        <f>IF(Rules!$B$6=Rules!$E$6,2*(SUM(Stand!I6:I13)+Rules!$B$5*Stand!I14+Stand!I38)/(9+Rules!$B$5),HS!I4)</f>
        <v>-1.0210350309952343</v>
      </c>
      <c r="J4">
        <f>IF(Rules!$B$6=Rules!$E$6,2*(SUM(Stand!J6:J13)+Rules!$B$5*Stand!J14+Stand!J38)/(9+Rules!$B$5),HS!J4)</f>
        <v>-1.0862993622622188</v>
      </c>
      <c r="K4">
        <f>IF(Rules!$B$6=Rules!$E$6,2*(SUM(Stand!K6:K13)+Rules!$B$5*Stand!K14+Stand!K38)/(9+Rules!$B$5),HS!K4)</f>
        <v>-1.0808606679899702</v>
      </c>
    </row>
    <row r="5" spans="1:11" x14ac:dyDescent="0.2">
      <c r="A5">
        <v>5</v>
      </c>
      <c r="B5">
        <f>IF(Rules!$B$6=Rules!$E$6,2*(SUM(Stand!B7:B14)+Rules!$B$5*Stand!B15+Stand!B39)/(9+Rules!$B$5),HS!B5)</f>
        <v>-1.3339015493710207</v>
      </c>
      <c r="C5">
        <f>IF(Rules!$B$6=Rules!$E$6,2*(SUM(Stand!C7:C14)+Rules!$B$5*Stand!C15+Stand!C39)/(9+Rules!$B$5),HS!C5)</f>
        <v>-0.58556745441855451</v>
      </c>
      <c r="D5">
        <f>IF(Rules!$B$6=Rules!$E$6,2*(SUM(Stand!D7:D14)+Rules!$B$5*Stand!D15+Stand!D39)/(9+Rules!$B$5),HS!D5)</f>
        <v>-0.5045004584714271</v>
      </c>
      <c r="E5">
        <f>IF(Rules!$B$6=Rules!$E$6,2*(SUM(Stand!E7:E14)+Rules!$B$5*Stand!E15+Stand!E39)/(9+Rules!$B$5),HS!E5)</f>
        <v>-0.42212621798982874</v>
      </c>
      <c r="F5">
        <f>IF(Rules!$B$6=Rules!$E$6,2*(SUM(Stand!F7:F14)+Rules!$B$5*Stand!F15+Stand!F39)/(9+Rules!$B$5),HS!F5)</f>
        <v>-0.33438532167095047</v>
      </c>
      <c r="G5">
        <f>IF(Rules!$B$6=Rules!$E$6,2*(SUM(Stand!G7:G14)+Rules!$B$5*Stand!G15+Stand!G39)/(9+Rules!$B$5),HS!G5)</f>
        <v>-0.30739803166000895</v>
      </c>
      <c r="H5">
        <f>IF(Rules!$B$6=Rules!$E$6,2*(SUM(Stand!H7:H14)+Rules!$B$5*Stand!H15+Stand!H39)/(9+Rules!$B$5),HS!H5)</f>
        <v>-0.95075036655386636</v>
      </c>
      <c r="I5">
        <f>IF(Rules!$B$6=Rules!$E$6,2*(SUM(Stand!I7:I14)+Rules!$B$5*Stand!I15+Stand!I39)/(9+Rules!$B$5),HS!I5)</f>
        <v>-1.0210350309952343</v>
      </c>
      <c r="J5">
        <f>IF(Rules!$B$6=Rules!$E$6,2*(SUM(Stand!J7:J14)+Rules!$B$5*Stand!J15+Stand!J39)/(9+Rules!$B$5),HS!J5)</f>
        <v>-1.0862993622622188</v>
      </c>
      <c r="K5">
        <f>IF(Rules!$B$6=Rules!$E$6,2*(SUM(Stand!K7:K14)+Rules!$B$5*Stand!K15+Stand!K39)/(9+Rules!$B$5),HS!K5)</f>
        <v>-1.0808606679899702</v>
      </c>
    </row>
    <row r="6" spans="1:11" x14ac:dyDescent="0.2">
      <c r="A6">
        <v>6</v>
      </c>
      <c r="B6">
        <f>IF(Rules!$B$6=Rules!$E$6,2*(SUM(Stand!B8:B15)+Rules!$B$5*Stand!B16+Stand!B40)/(9+Rules!$B$5),HS!B6)</f>
        <v>-1.3048373494185941</v>
      </c>
      <c r="C6">
        <f>IF(Rules!$B$6=Rules!$E$6,2*(SUM(Stand!C8:C15)+Rules!$B$5*Stand!C16+Stand!C40)/(9+Rules!$B$5),HS!C6)</f>
        <v>-0.56405835602967214</v>
      </c>
      <c r="D6">
        <f>IF(Rules!$B$6=Rules!$E$6,2*(SUM(Stand!D8:D15)+Rules!$B$5*Stand!D16+Stand!D40)/(9+Rules!$B$5),HS!D6)</f>
        <v>-0.4837259988081748</v>
      </c>
      <c r="E6">
        <f>IF(Rules!$B$6=Rules!$E$6,2*(SUM(Stand!E8:E15)+Rules!$B$5*Stand!E16+Stand!E40)/(9+Rules!$B$5),HS!E6)</f>
        <v>-0.40205087401296752</v>
      </c>
      <c r="F6">
        <f>IF(Rules!$B$6=Rules!$E$6,2*(SUM(Stand!F8:F15)+Rules!$B$5*Stand!F16+Stand!F40)/(9+Rules!$B$5),HS!F6)</f>
        <v>-0.31557743162932728</v>
      </c>
      <c r="G6">
        <f>IF(Rules!$B$6=Rules!$E$6,2*(SUM(Stand!G8:G15)+Rules!$B$5*Stand!G16+Stand!G40)/(9+Rules!$B$5),HS!G6)</f>
        <v>-0.281946004505648</v>
      </c>
      <c r="H6">
        <f>IF(Rules!$B$6=Rules!$E$6,2*(SUM(Stand!H8:H15)+Rules!$B$5*Stand!H16+Stand!H40)/(9+Rules!$B$5),HS!H6)</f>
        <v>-0.89404787520090667</v>
      </c>
      <c r="I6">
        <f>IF(Rules!$B$6=Rules!$E$6,2*(SUM(Stand!I8:I15)+Rules!$B$5*Stand!I16+Stand!I40)/(9+Rules!$B$5),HS!I6)</f>
        <v>-1.001255562618439</v>
      </c>
      <c r="J6">
        <f>IF(Rules!$B$6=Rules!$E$6,2*(SUM(Stand!J8:J15)+Rules!$B$5*Stand!J16+Stand!J40)/(9+Rules!$B$5),HS!J6)</f>
        <v>-1.0678385251105431</v>
      </c>
      <c r="K6">
        <f>IF(Rules!$B$6=Rules!$E$6,2*(SUM(Stand!K8:K15)+Rules!$B$5*Stand!K16+Stand!K40)/(9+Rules!$B$5),HS!K6)</f>
        <v>-1.0622899449028678</v>
      </c>
    </row>
    <row r="7" spans="1:11" x14ac:dyDescent="0.2">
      <c r="A7">
        <v>7</v>
      </c>
      <c r="B7">
        <f>IF(Rules!$B$6=Rules!$E$6,2*(SUM(Stand!B9:B16)+Rules!$B$5*Stand!B17+Stand!B41)/(9+Rules!$B$5),HS!B7)</f>
        <v>-1.1304521497040341</v>
      </c>
      <c r="C7">
        <f>IF(Rules!$B$6=Rules!$E$6,2*(SUM(Stand!C9:C16)+Rules!$B$5*Stand!C17+Stand!C41)/(9+Rules!$B$5),HS!C7)</f>
        <v>-0.43575788710453822</v>
      </c>
      <c r="D7">
        <f>IF(Rules!$B$6=Rules!$E$6,2*(SUM(Stand!D9:D16)+Rules!$B$5*Stand!D17+Stand!D41)/(9+Rules!$B$5),HS!D7)</f>
        <v>-0.35977949642195262</v>
      </c>
      <c r="E7">
        <f>IF(Rules!$B$6=Rules!$E$6,2*(SUM(Stand!E9:E16)+Rules!$B$5*Stand!E17+Stand!E41)/(9+Rules!$B$5),HS!E7)</f>
        <v>-0.28229906574509145</v>
      </c>
      <c r="F7">
        <f>IF(Rules!$B$6=Rules!$E$6,2*(SUM(Stand!F9:F16)+Rules!$B$5*Stand!F17+Stand!F41)/(9+Rules!$B$5),HS!F7)</f>
        <v>-0.20273009137958806</v>
      </c>
      <c r="G7">
        <f>IF(Rules!$B$6=Rules!$E$6,2*(SUM(Stand!G9:G16)+Rules!$B$5*Stand!G17+Stand!G41)/(9+Rules!$B$5),HS!G7)</f>
        <v>-0.13833716429227227</v>
      </c>
      <c r="H7">
        <f>IF(Rules!$B$6=Rules!$E$6,2*(SUM(Stand!H9:H16)+Rules!$B$5*Stand!H17+Stand!H41)/(9+Rules!$B$5),HS!H7)</f>
        <v>-0.58933588566302952</v>
      </c>
      <c r="I7">
        <f>IF(Rules!$B$6=Rules!$E$6,2*(SUM(Stand!I9:I16)+Rules!$B$5*Stand!I17+Stand!I41)/(9+Rules!$B$5),HS!I7)</f>
        <v>-0.84707579377778497</v>
      </c>
      <c r="J7">
        <f>IF(Rules!$B$6=Rules!$E$6,2*(SUM(Stand!J9:J16)+Rules!$B$5*Stand!J17+Stand!J41)/(9+Rules!$B$5),HS!J7)</f>
        <v>-0.95707350220048881</v>
      </c>
      <c r="K7">
        <f>IF(Rules!$B$6=Rules!$E$6,2*(SUM(Stand!K9:K16)+Rules!$B$5*Stand!K17+Stand!K41)/(9+Rules!$B$5),HS!K7)</f>
        <v>-0.95086560638025364</v>
      </c>
    </row>
    <row r="8" spans="1:11" x14ac:dyDescent="0.2">
      <c r="A8">
        <v>8</v>
      </c>
      <c r="B8">
        <f>IF(Rules!$B$6=Rules!$E$6,2*(SUM(Stand!B10:B17)+Rules!$B$5*Stand!B18+Stand!B42)/(9+Rules!$B$5),HS!B8)</f>
        <v>-0.81074595022734097</v>
      </c>
      <c r="C8">
        <f>IF(Rules!$B$6=Rules!$E$6,2*(SUM(Stand!C10:C17)+Rules!$B$5*Stand!C18+Stand!C42)/(9+Rules!$B$5),HS!C8)</f>
        <v>-0.20449052049882185</v>
      </c>
      <c r="D8">
        <f>IF(Rules!$B$6=Rules!$E$6,2*(SUM(Stand!D10:D17)+Rules!$B$5*Stand!D18+Stand!D42)/(9+Rules!$B$5),HS!D8)</f>
        <v>-0.13621609509408675</v>
      </c>
      <c r="E8">
        <f>IF(Rules!$B$6=Rules!$E$6,2*(SUM(Stand!E10:E17)+Rules!$B$5*Stand!E18+Stand!E42)/(9+Rules!$B$5),HS!E8)</f>
        <v>-6.6372071152658363E-2</v>
      </c>
      <c r="F8">
        <f>IF(Rules!$B$6=Rules!$E$6,2*(SUM(Stand!F10:F17)+Rules!$B$5*Stand!F18+Stand!F42)/(9+Rules!$B$5),HS!F8)</f>
        <v>3.456443484975604E-3</v>
      </c>
      <c r="G8">
        <f>IF(Rules!$B$6=Rules!$E$6,2*(SUM(Stand!G10:G17)+Rules!$B$5*Stand!G18+Stand!G42)/(9+Rules!$B$5),HS!G8)</f>
        <v>8.7015198128957527E-2</v>
      </c>
      <c r="H8">
        <f>IF(Rules!$B$6=Rules!$E$6,2*(SUM(Stand!H10:H17)+Rules!$B$5*Stand!H18+Stand!H42)/(9+Rules!$B$5),HS!H8)</f>
        <v>-0.18772955497255212</v>
      </c>
      <c r="I8">
        <f>IF(Rules!$B$6=Rules!$E$6,2*(SUM(Stand!I10:I17)+Rules!$B$5*Stand!I18+Stand!I42)/(9+Rules!$B$5),HS!I8)</f>
        <v>-0.45198684873362743</v>
      </c>
      <c r="J8">
        <f>IF(Rules!$B$6=Rules!$E$6,2*(SUM(Stand!J10:J17)+Rules!$B$5*Stand!J18+Stand!J42)/(9+Rules!$B$5),HS!J8)</f>
        <v>-0.7185013349521745</v>
      </c>
      <c r="K8">
        <f>IF(Rules!$B$6=Rules!$E$6,2*(SUM(Stand!K10:K17)+Rules!$B$5*Stand!K18+Stand!K42)/(9+Rules!$B$5),HS!K8)</f>
        <v>-0.7465876524221281</v>
      </c>
    </row>
    <row r="9" spans="1:11" x14ac:dyDescent="0.2">
      <c r="A9">
        <v>9</v>
      </c>
      <c r="B9">
        <f>2*(SUM(Stand!B11:B18)+Rules!$B$5*Stand!B19+Stand!B43)/(9+Rules!$B$5)</f>
        <v>-0.4329113508457943</v>
      </c>
      <c r="C9">
        <f>2*(SUM(Stand!C11:C18)+Rules!$B$5*Stand!C19+Stand!C43)/(9+Rules!$B$5)</f>
        <v>6.1118503166597012E-2</v>
      </c>
      <c r="D9">
        <f>2*(SUM(Stand!D11:D18)+Rules!$B$5*Stand!D19+Stand!D43)/(9+Rules!$B$5)</f>
        <v>0.12081635332999649</v>
      </c>
      <c r="E9">
        <f>2*(SUM(Stand!E11:E18)+Rules!$B$5*Stand!E19+Stand!E43)/(9+Rules!$B$5)</f>
        <v>0.18194893405242166</v>
      </c>
      <c r="F9">
        <f>2*(SUM(Stand!F11:F18)+Rules!$B$5*Stand!F19+Stand!F43)/(9+Rules!$B$5)</f>
        <v>0.24305722487303633</v>
      </c>
      <c r="G9">
        <f>2*(SUM(Stand!G11:G18)+Rules!$B$5*Stand!G19+Stand!G43)/(9+Rules!$B$5)</f>
        <v>0.31705474570166692</v>
      </c>
      <c r="H9">
        <f>2*(SUM(Stand!H11:H18)+Rules!$B$5*Stand!H19+Stand!H43)/(9+Rules!$B$5)</f>
        <v>0.10425035196048602</v>
      </c>
      <c r="I9">
        <f>2*(SUM(Stand!I11:I18)+Rules!$B$5*Stand!I19+Stand!I43)/(9+Rules!$B$5)</f>
        <v>-2.6442289648669331E-2</v>
      </c>
      <c r="J9">
        <f>2*(SUM(Stand!J11:J18)+Rules!$B$5*Stand!J19+Stand!J43)/(9+Rules!$B$5)</f>
        <v>-0.30099565908098225</v>
      </c>
      <c r="K9">
        <f>2*(SUM(Stand!K11:K18)+Rules!$B$5*Stand!K19+Stand!K43)/(9+Rules!$B$5)</f>
        <v>-0.46670671382825923</v>
      </c>
    </row>
    <row r="10" spans="1:11" x14ac:dyDescent="0.2">
      <c r="A10">
        <v>10</v>
      </c>
      <c r="B10">
        <f>2*(SUM(Stand!B12:B19)+Rules!$B$5*Stand!B20+Stand!B44)/(9+Rules!$B$5)</f>
        <v>-1.4042368653411651E-2</v>
      </c>
      <c r="C10">
        <f>2*(SUM(Stand!C12:C19)+Rules!$B$5*Stand!C20+Stand!C44)/(9+Rules!$B$5)</f>
        <v>0.3589394124422991</v>
      </c>
      <c r="D10">
        <f>2*(SUM(Stand!D12:D19)+Rules!$B$5*Stand!D20+Stand!D44)/(9+Rules!$B$5)</f>
        <v>0.40932067017593915</v>
      </c>
      <c r="E10">
        <f>2*(SUM(Stand!E12:E19)+Rules!$B$5*Stand!E20+Stand!E44)/(9+Rules!$B$5)</f>
        <v>0.460940243794354</v>
      </c>
      <c r="F10">
        <f>2*(SUM(Stand!F12:F19)+Rules!$B$5*Stand!F20+Stand!F44)/(9+Rules!$B$5)</f>
        <v>0.51251710900326775</v>
      </c>
      <c r="G10">
        <f>2*(SUM(Stand!G12:G19)+Rules!$B$5*Stand!G20+Stand!G44)/(9+Rules!$B$5)</f>
        <v>0.57559016859776857</v>
      </c>
      <c r="H10">
        <f>2*(SUM(Stand!H12:H19)+Rules!$B$5*Stand!H20+Stand!H44)/(9+Rules!$B$5)</f>
        <v>0.39241245528243773</v>
      </c>
      <c r="I10">
        <f>2*(SUM(Stand!I12:I19)+Rules!$B$5*Stand!I20+Stand!I44)/(9+Rules!$B$5)</f>
        <v>0.28663571688628381</v>
      </c>
      <c r="J10">
        <f>2*(SUM(Stand!J12:J19)+Rules!$B$5*Stand!J20+Stand!J44)/(9+Rules!$B$5)</f>
        <v>0.1443283683807712</v>
      </c>
      <c r="K10">
        <f>2*(SUM(Stand!K12:K19)+Rules!$B$5*Stand!K20+Stand!K44)/(9+Rules!$B$5)</f>
        <v>-8.6586880345447086E-3</v>
      </c>
    </row>
    <row r="11" spans="1:11" x14ac:dyDescent="0.2">
      <c r="A11">
        <v>11</v>
      </c>
      <c r="B11">
        <f>2*(SUM(Stand!B13:B20)+Rules!$B$5*Stand!B21+Stand!B45)/(9+Rules!$B$5)</f>
        <v>0.10906077977909699</v>
      </c>
      <c r="C11">
        <f>2*(SUM(Stand!C13:C20)+Rules!$B$5*Stand!C21+Stand!C45)/(9+Rules!$B$5)</f>
        <v>0.47064092333946889</v>
      </c>
      <c r="D11">
        <f>2*(SUM(Stand!D13:D20)+Rules!$B$5*Stand!D21+Stand!D45)/(9+Rules!$B$5)</f>
        <v>0.51779525312221675</v>
      </c>
      <c r="E11">
        <f>2*(SUM(Stand!E13:E20)+Rules!$B$5*Stand!E21+Stand!E45)/(9+Rules!$B$5)</f>
        <v>0.56604055041797607</v>
      </c>
      <c r="F11">
        <f>2*(SUM(Stand!F13:F20)+Rules!$B$5*Stand!F21+Stand!F45)/(9+Rules!$B$5)</f>
        <v>0.61469901790902803</v>
      </c>
      <c r="G11">
        <f>2*(SUM(Stand!G13:G20)+Rules!$B$5*Stand!G21+Stand!G45)/(9+Rules!$B$5)</f>
        <v>0.66738009490756944</v>
      </c>
      <c r="H11">
        <f>2*(SUM(Stand!H13:H20)+Rules!$B$5*Stand!H21+Stand!H45)/(9+Rules!$B$5)</f>
        <v>0.46288894886429077</v>
      </c>
      <c r="I11">
        <f>2*(SUM(Stand!I13:I20)+Rules!$B$5*Stand!I21+Stand!I45)/(9+Rules!$B$5)</f>
        <v>0.35069259087031501</v>
      </c>
      <c r="J11">
        <f>2*(SUM(Stand!J13:J20)+Rules!$B$5*Stand!J21+Stand!J45)/(9+Rules!$B$5)</f>
        <v>0.22778342315245487</v>
      </c>
      <c r="K11">
        <f>2*(SUM(Stand!K13:K20)+Rules!$B$5*Stand!K21+Stand!K45)/(9+Rules!$B$5)</f>
        <v>0.1796887274111463</v>
      </c>
    </row>
    <row r="12" spans="1:11" x14ac:dyDescent="0.2">
      <c r="A12">
        <v>12</v>
      </c>
      <c r="B12">
        <f>IF(Rules!$B$6=Rules!$E$6,2*(SUM(Stand!B14:B21)+Rules!$B$5*Stand!B22+Stand!B46)/(9+Rules!$B$5),HS!B12)</f>
        <v>-0.82934393707867271</v>
      </c>
      <c r="C12">
        <f>IF(Rules!$B$6=Rules!$E$6,2*(SUM(Stand!C14:C21)+Rules!$B$5*Stand!C22+Stand!C46)/(9+Rules!$B$5),HS!C12)</f>
        <v>-0.50677997193327606</v>
      </c>
      <c r="D12">
        <f>IF(Rules!$B$6=Rules!$E$6,2*(SUM(Stand!D14:D21)+Rules!$B$5*Stand!D22+Stand!D46)/(9+Rules!$B$5),HS!D12)</f>
        <v>-0.46738179959617321</v>
      </c>
      <c r="E12">
        <f>IF(Rules!$B$6=Rules!$E$6,2*(SUM(Stand!E14:E21)+Rules!$B$5*Stand!E22+Stand!E46)/(9+Rules!$B$5),HS!E12)</f>
        <v>-0.4270731064901539</v>
      </c>
      <c r="F12">
        <f>IF(Rules!$B$6=Rules!$E$6,2*(SUM(Stand!F14:F21)+Rules!$B$5*Stand!F22+Stand!F46)/(9+Rules!$B$5),HS!F12)</f>
        <v>-0.38654233885256678</v>
      </c>
      <c r="G12">
        <f>IF(Rules!$B$6=Rules!$E$6,2*(SUM(Stand!G14:G21)+Rules!$B$5*Stand!G22+Stand!G46)/(9+Rules!$B$5),HS!G12)</f>
        <v>-0.34105239981515906</v>
      </c>
      <c r="H12">
        <f>IF(Rules!$B$6=Rules!$E$6,2*(SUM(Stand!H14:H21)+Rules!$B$5*Stand!H22+Stand!H46)/(9+Rules!$B$5),HS!H12)</f>
        <v>-0.50671162107673018</v>
      </c>
      <c r="I12">
        <f>IF(Rules!$B$6=Rules!$E$6,2*(SUM(Stand!I14:I21)+Rules!$B$5*Stand!I22+Stand!I46)/(9+Rules!$B$5),HS!I12)</f>
        <v>-0.61566089283034364</v>
      </c>
      <c r="J12">
        <f>IF(Rules!$B$6=Rules!$E$6,2*(SUM(Stand!J14:J21)+Rules!$B$5*Stand!J22+Stand!J46)/(9+Rules!$B$5),HS!J12)</f>
        <v>-0.73750562104917949</v>
      </c>
      <c r="K12">
        <f>IF(Rules!$B$6=Rules!$E$6,2*(SUM(Stand!K14:K21)+Rules!$B$5*Stand!K22+Stand!K46)/(9+Rules!$B$5),HS!K12)</f>
        <v>-0.79684059040524136</v>
      </c>
    </row>
    <row r="13" spans="1:11" x14ac:dyDescent="0.2">
      <c r="A13">
        <v>13</v>
      </c>
      <c r="B13">
        <f>IF(Rules!$B$6=Rules!$E$6,2*(SUM(Stand!B15:B22)+Rules!$B$5*Stand!B23+Stand!B47)/(9+Rules!$B$5),HS!B13)</f>
        <v>-0.88058227943474798</v>
      </c>
      <c r="C13">
        <f>IF(Rules!$B$6=Rules!$E$6,2*(SUM(Stand!C15:C22)+Rules!$B$5*Stand!C23+Stand!C47)/(9+Rules!$B$5),HS!C13)</f>
        <v>-0.61558247543954125</v>
      </c>
      <c r="D13">
        <f>IF(Rules!$B$6=Rules!$E$6,2*(SUM(Stand!D15:D22)+Rules!$B$5*Stand!D23+Stand!D47)/(9+Rules!$B$5),HS!D13)</f>
        <v>-0.58242022586760189</v>
      </c>
      <c r="E13">
        <f>IF(Rules!$B$6=Rules!$E$6,2*(SUM(Stand!E15:E22)+Rules!$B$5*Stand!E23+Stand!E47)/(9+Rules!$B$5),HS!E13)</f>
        <v>-0.54844801279862854</v>
      </c>
      <c r="F13">
        <f>IF(Rules!$B$6=Rules!$E$6,2*(SUM(Stand!F15:F22)+Rules!$B$5*Stand!F23+Stand!F47)/(9+Rules!$B$5),HS!F13)</f>
        <v>-0.51466654487787822</v>
      </c>
      <c r="G13">
        <f>IF(Rules!$B$6=Rules!$E$6,2*(SUM(Stand!G15:G22)+Rules!$B$5*Stand!G23+Stand!G47)/(9+Rules!$B$5),HS!G13)</f>
        <v>-0.47125255122592757</v>
      </c>
      <c r="H13">
        <f>IF(Rules!$B$6=Rules!$E$6,2*(SUM(Stand!H15:H22)+Rules!$B$5*Stand!H23+Stand!H47)/(9+Rules!$B$5),HS!H13)</f>
        <v>-0.58742313134181745</v>
      </c>
      <c r="I13">
        <f>IF(Rules!$B$6=Rules!$E$6,2*(SUM(Stand!I15:I22)+Rules!$B$5*Stand!I23+Stand!I47)/(9+Rules!$B$5),HS!I13)</f>
        <v>-0.6909658904460948</v>
      </c>
      <c r="J13">
        <f>IF(Rules!$B$6=Rules!$E$6,2*(SUM(Stand!J15:J22)+Rules!$B$5*Stand!J23+Stand!J47)/(9+Rules!$B$5),HS!J13)</f>
        <v>-0.80779028549054732</v>
      </c>
      <c r="K13">
        <f>IF(Rules!$B$6=Rules!$E$6,2*(SUM(Stand!K15:K22)+Rules!$B$5*Stand!K23+Stand!K47)/(9+Rules!$B$5),HS!K13)</f>
        <v>-0.86754361594447438</v>
      </c>
    </row>
    <row r="14" spans="1:11" x14ac:dyDescent="0.2">
      <c r="A14">
        <v>14</v>
      </c>
      <c r="B14">
        <f>IF(Rules!$B$6=Rules!$E$6,2*(SUM(Stand!B16:B23)+Rules!$B$5*Stand!B24+Stand!B48)/(9+Rules!$B$5),HS!B14)</f>
        <v>-0.93182062179082337</v>
      </c>
      <c r="C14">
        <f>IF(Rules!$B$6=Rules!$E$6,2*(SUM(Stand!C16:C23)+Rules!$B$5*Stand!C24+Stand!C48)/(9+Rules!$B$5),HS!C14)</f>
        <v>-0.72438497894580622</v>
      </c>
      <c r="D14">
        <f>IF(Rules!$B$6=Rules!$E$6,2*(SUM(Stand!D16:D23)+Rules!$B$5*Stand!D24+Stand!D48)/(9+Rules!$B$5),HS!D14)</f>
        <v>-0.69745865213903058</v>
      </c>
      <c r="E14">
        <f>IF(Rules!$B$6=Rules!$E$6,2*(SUM(Stand!E16:E23)+Rules!$B$5*Stand!E24+Stand!E48)/(9+Rules!$B$5),HS!E14)</f>
        <v>-0.66982291910710334</v>
      </c>
      <c r="F14">
        <f>IF(Rules!$B$6=Rules!$E$6,2*(SUM(Stand!F16:F23)+Rules!$B$5*Stand!F24+Stand!F48)/(9+Rules!$B$5),HS!F14)</f>
        <v>-0.64279075090318982</v>
      </c>
      <c r="G14">
        <f>IF(Rules!$B$6=Rules!$E$6,2*(SUM(Stand!G16:G23)+Rules!$B$5*Stand!G24+Stand!G48)/(9+Rules!$B$5),HS!G14)</f>
        <v>-0.60145270263669615</v>
      </c>
      <c r="H14">
        <f>IF(Rules!$B$6=Rules!$E$6,2*(SUM(Stand!H16:H23)+Rules!$B$5*Stand!H24+Stand!H48)/(9+Rules!$B$5),HS!H14)</f>
        <v>-0.66813464160690461</v>
      </c>
      <c r="I14">
        <f>IF(Rules!$B$6=Rules!$E$6,2*(SUM(Stand!I16:I23)+Rules!$B$5*Stand!I24+Stand!I48)/(9+Rules!$B$5),HS!I14)</f>
        <v>-0.76627088806184607</v>
      </c>
      <c r="J14">
        <f>IF(Rules!$B$6=Rules!$E$6,2*(SUM(Stand!J16:J23)+Rules!$B$5*Stand!J24+Stand!J48)/(9+Rules!$B$5),HS!J14)</f>
        <v>-0.87807494993191493</v>
      </c>
      <c r="K14">
        <f>IF(Rules!$B$6=Rules!$E$6,2*(SUM(Stand!K16:K23)+Rules!$B$5*Stand!K24+Stand!K48)/(9+Rules!$B$5),HS!K14)</f>
        <v>-0.93824664148370751</v>
      </c>
    </row>
    <row r="15" spans="1:11" x14ac:dyDescent="0.2">
      <c r="A15">
        <v>15</v>
      </c>
      <c r="B15">
        <f>IF(Rules!$B$6=Rules!$E$6,2*(SUM(Stand!B17:B24)+Rules!$B$5*Stand!B25+Stand!B49)/(9+Rules!$B$5),HS!B15)</f>
        <v>-0.98305896414689875</v>
      </c>
      <c r="C15">
        <f>IF(Rules!$B$6=Rules!$E$6,2*(SUM(Stand!C17:C24)+Rules!$B$5*Stand!C25+Stand!C49)/(9+Rules!$B$5),HS!C15)</f>
        <v>-0.83318748245207119</v>
      </c>
      <c r="D15">
        <f>IF(Rules!$B$6=Rules!$E$6,2*(SUM(Stand!D17:D24)+Rules!$B$5*Stand!D25+Stand!D49)/(9+Rules!$B$5),HS!D15)</f>
        <v>-0.81249707841045926</v>
      </c>
      <c r="E15">
        <f>IF(Rules!$B$6=Rules!$E$6,2*(SUM(Stand!E17:E24)+Rules!$B$5*Stand!E25+Stand!E49)/(9+Rules!$B$5),HS!E15)</f>
        <v>-0.79119782541557804</v>
      </c>
      <c r="F15">
        <f>IF(Rules!$B$6=Rules!$E$6,2*(SUM(Stand!F17:F24)+Rules!$B$5*Stand!F25+Stand!F49)/(9+Rules!$B$5),HS!F15)</f>
        <v>-0.77091495692850132</v>
      </c>
      <c r="G15">
        <f>IF(Rules!$B$6=Rules!$E$6,2*(SUM(Stand!G17:G24)+Rules!$B$5*Stand!G25+Stand!G49)/(9+Rules!$B$5),HS!G15)</f>
        <v>-0.73165285404746472</v>
      </c>
      <c r="H15">
        <f>IF(Rules!$B$6=Rules!$E$6,2*(SUM(Stand!H17:H24)+Rules!$B$5*Stand!H25+Stand!H49)/(9+Rules!$B$5),HS!H15)</f>
        <v>-0.74884615187199166</v>
      </c>
      <c r="I15">
        <f>IF(Rules!$B$6=Rules!$E$6,2*(SUM(Stand!I17:I24)+Rules!$B$5*Stand!I25+Stand!I49)/(9+Rules!$B$5),HS!I15)</f>
        <v>-0.84157588567759711</v>
      </c>
      <c r="J15">
        <f>IF(Rules!$B$6=Rules!$E$6,2*(SUM(Stand!J17:J24)+Rules!$B$5*Stand!J25+Stand!J49)/(9+Rules!$B$5),HS!J15)</f>
        <v>-0.94835961437328287</v>
      </c>
      <c r="K15">
        <f>IF(Rules!$B$6=Rules!$E$6,2*(SUM(Stand!K17:K24)+Rules!$B$5*Stand!K25+Stand!K49)/(9+Rules!$B$5),HS!K15)</f>
        <v>-1.0089496670229408</v>
      </c>
    </row>
    <row r="16" spans="1:11" x14ac:dyDescent="0.2">
      <c r="A16">
        <v>16</v>
      </c>
      <c r="B16">
        <f>IF(Rules!$B$6=Rules!$E$6,2*(SUM(Stand!B18:B25)+Rules!$B$5*Stand!B26+Stand!B50)/(9+Rules!$B$5),HS!B16)</f>
        <v>-1.0342973065029741</v>
      </c>
      <c r="C16">
        <f>IF(Rules!$B$6=Rules!$E$6,2*(SUM(Stand!C18:C25)+Rules!$B$5*Stand!C26+Stand!C50)/(9+Rules!$B$5),HS!C16)</f>
        <v>-0.94198998595833627</v>
      </c>
      <c r="D16">
        <f>IF(Rules!$B$6=Rules!$E$6,2*(SUM(Stand!D18:D25)+Rules!$B$5*Stand!D26+Stand!D50)/(9+Rules!$B$5),HS!D16)</f>
        <v>-0.92753550468188806</v>
      </c>
      <c r="E16">
        <f>IF(Rules!$B$6=Rules!$E$6,2*(SUM(Stand!E18:E25)+Rules!$B$5*Stand!E26+Stand!E50)/(9+Rules!$B$5),HS!E16)</f>
        <v>-0.91257273172405273</v>
      </c>
      <c r="F16">
        <f>IF(Rules!$B$6=Rules!$E$6,2*(SUM(Stand!F18:F25)+Rules!$B$5*Stand!F26+Stand!F50)/(9+Rules!$B$5),HS!F16)</f>
        <v>-0.89903916295381292</v>
      </c>
      <c r="G16">
        <f>IF(Rules!$B$6=Rules!$E$6,2*(SUM(Stand!G18:G25)+Rules!$B$5*Stand!G26+Stand!G50)/(9+Rules!$B$5),HS!G16)</f>
        <v>-0.86185300545823318</v>
      </c>
      <c r="H16">
        <f>IF(Rules!$B$6=Rules!$E$6,2*(SUM(Stand!H18:H25)+Rules!$B$5*Stand!H26+Stand!H50)/(9+Rules!$B$5),HS!H16)</f>
        <v>-0.82955766213707893</v>
      </c>
      <c r="I16">
        <f>IF(Rules!$B$6=Rules!$E$6,2*(SUM(Stand!I18:I25)+Rules!$B$5*Stand!I26+Stand!I50)/(9+Rules!$B$5),HS!I16)</f>
        <v>-0.91688088329334838</v>
      </c>
      <c r="J16">
        <f>IF(Rules!$B$6=Rules!$E$6,2*(SUM(Stand!J18:J25)+Rules!$B$5*Stand!J26+Stand!J50)/(9+Rules!$B$5),HS!J16)</f>
        <v>-1.0186442788146506</v>
      </c>
      <c r="K16">
        <f>IF(Rules!$B$6=Rules!$E$6,2*(SUM(Stand!K18:K25)+Rules!$B$5*Stand!K26+Stand!K50)/(9+Rules!$B$5),HS!K16)</f>
        <v>-1.0796526925621737</v>
      </c>
    </row>
    <row r="17" spans="1:11" x14ac:dyDescent="0.2">
      <c r="A17">
        <v>17</v>
      </c>
      <c r="B17">
        <f>IF(Rules!$B$6=Rules!$E$6,2*(SUM(Stand!B19:B26)+Rules!$B$5*Stand!B27+Stand!B51)/(9+Rules!$B$5),HS!B17)</f>
        <v>-1.1145998488114761</v>
      </c>
      <c r="C17">
        <f>IF(Rules!$B$6=Rules!$E$6,2*(SUM(Stand!C19:C26)+Rules!$B$5*Stand!C27+Stand!C51)/(9+Rules!$B$5),HS!C17)</f>
        <v>-1.0723015878534836</v>
      </c>
      <c r="D17">
        <f>IF(Rules!$B$6=Rules!$E$6,2*(SUM(Stand!D19:D26)+Rules!$B$5*Stand!D27+Stand!D51)/(9+Rules!$B$5),HS!D17)</f>
        <v>-1.0633483906165688</v>
      </c>
      <c r="E17">
        <f>IF(Rules!$B$6=Rules!$E$6,2*(SUM(Stand!E19:E26)+Rules!$B$5*Stand!E27+Stand!E51)/(9+Rules!$B$5),HS!E17)</f>
        <v>-1.0540229820093887</v>
      </c>
      <c r="F17">
        <f>IF(Rules!$B$6=Rules!$E$6,2*(SUM(Stand!F19:F26)+Rules!$B$5*Stand!F27+Stand!F51)/(9+Rules!$B$5),HS!F17)</f>
        <v>-1.0459712590207475</v>
      </c>
      <c r="G17">
        <f>IF(Rules!$B$6=Rules!$E$6,2*(SUM(Stand!G19:G26)+Rules!$B$5*Stand!G27+Stand!G51)/(9+Rules!$B$5),HS!G17)</f>
        <v>-1.0175051840233627</v>
      </c>
      <c r="H17">
        <f>IF(Rules!$B$6=Rules!$E$6,2*(SUM(Stand!H19:H26)+Rules!$B$5*Stand!H27+Stand!H51)/(9+Rules!$B$5),HS!H17)</f>
        <v>-0.96697166375512589</v>
      </c>
      <c r="I17">
        <f>IF(Rules!$B$6=Rules!$E$6,2*(SUM(Stand!I19:I26)+Rules!$B$5*Stand!I27+Stand!I51)/(9+Rules!$B$5),HS!I17)</f>
        <v>-1.0119653492858949</v>
      </c>
      <c r="J17">
        <f>IF(Rules!$B$6=Rules!$E$6,2*(SUM(Stand!J19:J26)+Rules!$B$5*Stand!J27+Stand!J51)/(9+Rules!$B$5),HS!J17)</f>
        <v>-1.107389780407694</v>
      </c>
      <c r="K17">
        <f>IF(Rules!$B$6=Rules!$E$6,2*(SUM(Stand!K19:K26)+Rules!$B$5*Stand!K27+Stand!K51)/(9+Rules!$B$5),HS!K17)</f>
        <v>-1.168926441188509</v>
      </c>
    </row>
    <row r="18" spans="1:11" x14ac:dyDescent="0.2">
      <c r="A18">
        <v>18</v>
      </c>
      <c r="B18">
        <f>IF(Rules!$B$6=Rules!$E$6,2*(SUM(Stand!B20:B27)+Rules!$B$5*Stand!B28+Stand!B52)/(9+Rules!$B$5),HS!B18)</f>
        <v>-1.2530307910248315</v>
      </c>
      <c r="C18">
        <f>IF(Rules!$B$6=Rules!$E$6,2*(SUM(Stand!C20:C27)+Rules!$B$5*Stand!C28+Stand!C52)/(9+Rules!$B$5),HS!C18)</f>
        <v>-1.2448772651182354</v>
      </c>
      <c r="D18">
        <f>IF(Rules!$B$6=Rules!$E$6,2*(SUM(Stand!D20:D27)+Rules!$B$5*Stand!D28+Stand!D52)/(9+Rules!$B$5),HS!D18)</f>
        <v>-1.2400099402844629</v>
      </c>
      <c r="E18">
        <f>IF(Rules!$B$6=Rules!$E$6,2*(SUM(Stand!E20:E27)+Rules!$B$5*Stand!E28+Stand!E52)/(9+Rules!$B$5),HS!E18)</f>
        <v>-1.2349236646551558</v>
      </c>
      <c r="F18">
        <f>IF(Rules!$B$6=Rules!$E$6,2*(SUM(Stand!F20:F27)+Rules!$B$5*Stand!F28+Stand!F52)/(9+Rules!$B$5),HS!F18)</f>
        <v>-1.2305191351709284</v>
      </c>
      <c r="G18">
        <f>IF(Rules!$B$6=Rules!$E$6,2*(SUM(Stand!G20:G27)+Rules!$B$5*Stand!G28+Stand!G52)/(9+Rules!$B$5),HS!G18)</f>
        <v>-1.214958094184424</v>
      </c>
      <c r="H18">
        <f>IF(Rules!$B$6=Rules!$E$6,2*(SUM(Stand!H20:H27)+Rules!$B$5*Stand!H28+Stand!H52)/(9+Rules!$B$5),HS!H18)</f>
        <v>-1.1822876894992109</v>
      </c>
      <c r="I18">
        <f>IF(Rules!$B$6=Rules!$E$6,2*(SUM(Stand!I20:I27)+Rules!$B$5*Stand!I28+Stand!I52)/(9+Rules!$B$5),HS!I18)</f>
        <v>-1.1821117106119141</v>
      </c>
      <c r="J18">
        <f>IF(Rules!$B$6=Rules!$E$6,2*(SUM(Stand!J20:J27)+Rules!$B$5*Stand!J28+Stand!J52)/(9+Rules!$B$5),HS!J18)</f>
        <v>-1.2330569563040892</v>
      </c>
      <c r="K18">
        <f>IF(Rules!$B$6=Rules!$E$6,2*(SUM(Stand!K20:K27)+Rules!$B$5*Stand!K28+Stand!K52)/(9+Rules!$B$5),HS!K18)</f>
        <v>-1.2953416359890493</v>
      </c>
    </row>
    <row r="19" spans="1:11" x14ac:dyDescent="0.2">
      <c r="A19">
        <v>19</v>
      </c>
      <c r="B19">
        <f>IF(Rules!$B$6=Rules!$E$6,2*(SUM(Stand!B21:B28)+Rules!$B$5*Stand!B29+Stand!B53)/(9+Rules!$B$5),HS!B19)</f>
        <v>-1.4495901331430399</v>
      </c>
      <c r="C19">
        <f>IF(Rules!$B$6=Rules!$E$6,2*(SUM(Stand!C21:C28)+Rules!$B$5*Stand!C29+Stand!C53)/(9+Rules!$B$5),HS!C19)</f>
        <v>-1.4581549091214032</v>
      </c>
      <c r="D19">
        <f>IF(Rules!$B$6=Rules!$E$6,2*(SUM(Stand!D21:D28)+Rules!$B$5*Stand!D29+Stand!D53)/(9+Rules!$B$5),HS!D19)</f>
        <v>-1.4560657766841187</v>
      </c>
      <c r="E19">
        <f>IF(Rules!$B$6=Rules!$E$6,2*(SUM(Stand!E21:E28)+Rules!$B$5*Stand!E29+Stand!E53)/(9+Rules!$B$5),HS!E19)</f>
        <v>-1.4538742684747705</v>
      </c>
      <c r="F19">
        <f>IF(Rules!$B$6=Rules!$E$6,2*(SUM(Stand!F21:F28)+Rules!$B$5*Stand!F29+Stand!F53)/(9+Rules!$B$5),HS!F19)</f>
        <v>-1.4519825358110645</v>
      </c>
      <c r="G19">
        <f>IF(Rules!$B$6=Rules!$E$6,2*(SUM(Stand!G21:G28)+Rules!$B$5*Stand!G29+Stand!G53)/(9+Rules!$B$5),HS!G19)</f>
        <v>-1.4451084132286267</v>
      </c>
      <c r="H19">
        <f>IF(Rules!$B$6=Rules!$E$6,2*(SUM(Stand!H21:H28)+Rules!$B$5*Stand!H29+Stand!H53)/(9+Rules!$B$5),HS!H19)</f>
        <v>-1.4308994580766619</v>
      </c>
      <c r="I19">
        <f>IF(Rules!$B$6=Rules!$E$6,2*(SUM(Stand!I21:I28)+Rules!$B$5*Stand!I29+Stand!I53)/(9+Rules!$B$5),HS!I19)</f>
        <v>-1.4273199672714054</v>
      </c>
      <c r="J19">
        <f>IF(Rules!$B$6=Rules!$E$6,2*(SUM(Stand!J21:J28)+Rules!$B$5*Stand!J29+Stand!J53)/(9+Rules!$B$5),HS!J19)</f>
        <v>-1.4311487650837169</v>
      </c>
      <c r="K19">
        <f>IF(Rules!$B$6=Rules!$E$6,2*(SUM(Stand!K21:K28)+Rules!$B$5*Stand!K29+Stand!K53)/(9+Rules!$B$5),HS!K19)</f>
        <v>-1.4588982769637939</v>
      </c>
    </row>
    <row r="20" spans="1:11" x14ac:dyDescent="0.2">
      <c r="A20">
        <v>20</v>
      </c>
      <c r="B20">
        <f>IF(Rules!$B$6=Rules!$E$6,2*(SUM(Stand!B22:B29)+Rules!$B$5*Stand!B30+Stand!B54)/(9+Rules!$B$5),HS!B20)</f>
        <v>-1.7042778751661021</v>
      </c>
      <c r="C20">
        <f>IF(Rules!$B$6=Rules!$E$6,2*(SUM(Stand!C22:C29)+Rules!$B$5*Stand!C30+Stand!C54)/(9+Rules!$B$5),HS!C20)</f>
        <v>-1.7104605360778398</v>
      </c>
      <c r="D20">
        <f>IF(Rules!$B$6=Rules!$E$6,2*(SUM(Stand!D22:D29)+Rules!$B$5*Stand!D30+Stand!D54)/(9+Rules!$B$5),HS!D20)</f>
        <v>-1.7099537911843461</v>
      </c>
      <c r="E20">
        <f>IF(Rules!$B$6=Rules!$E$6,2*(SUM(Stand!E22:E29)+Rules!$B$5*Stand!E30+Stand!E54)/(9+Rules!$B$5),HS!E20)</f>
        <v>-1.7094204164667817</v>
      </c>
      <c r="F20">
        <f>IF(Rules!$B$6=Rules!$E$6,2*(SUM(Stand!F22:F29)+Rules!$B$5*Stand!F30+Stand!F54)/(9+Rules!$B$5),HS!F20)</f>
        <v>-1.7089609497545721</v>
      </c>
      <c r="G20">
        <f>IF(Rules!$B$6=Rules!$E$6,2*(SUM(Stand!G22:G29)+Rules!$B$5*Stand!G30+Stand!G54)/(9+Rules!$B$5),HS!G20)</f>
        <v>-1.70725588556268</v>
      </c>
      <c r="H20">
        <f>IF(Rules!$B$6=Rules!$E$6,2*(SUM(Stand!H22:H29)+Rules!$B$5*Stand!H30+Stand!H54)/(9+Rules!$B$5),HS!H20)</f>
        <v>-1.7037036467746889</v>
      </c>
      <c r="I20">
        <f>IF(Rules!$B$6=Rules!$E$6,2*(SUM(Stand!I22:I29)+Rules!$B$5*Stand!I30+Stand!I54)/(9+Rules!$B$5),HS!I20)</f>
        <v>-1.7029838379716975</v>
      </c>
      <c r="J20">
        <f>IF(Rules!$B$6=Rules!$E$6,2*(SUM(Stand!J22:J29)+Rules!$B$5*Stand!J30+Stand!J54)/(9+Rules!$B$5),HS!J20)</f>
        <v>-1.7016652067465778</v>
      </c>
      <c r="K20">
        <f>IF(Rules!$B$6=Rules!$E$6,2*(SUM(Stand!K22:K29)+Rules!$B$5*Stand!K30+Stand!K54)/(9+Rules!$B$5),HS!K20)</f>
        <v>-1.6980579025742819</v>
      </c>
    </row>
    <row r="21" spans="1:11" x14ac:dyDescent="0.2">
      <c r="A21">
        <v>21</v>
      </c>
      <c r="B21">
        <f>IF(Rules!$B$6=Rules!$E$6,2*(SUM(Stand!B23:B30)+Rules!$B$5*Stand!B31+Stand!B55)/(9+Rules!$B$5),HS!B21)</f>
        <v>-1.8461538461538463</v>
      </c>
      <c r="C21">
        <f>IF(Rules!$B$6=Rules!$E$6,2*(SUM(Stand!C23:C30)+Rules!$B$5*Stand!C31+Stand!C55)/(9+Rules!$B$5),HS!C21)</f>
        <v>-1.8461538461538463</v>
      </c>
      <c r="D21">
        <f>IF(Rules!$B$6=Rules!$E$6,2*(SUM(Stand!D23:D30)+Rules!$B$5*Stand!D31+Stand!D55)/(9+Rules!$B$5),HS!D21)</f>
        <v>-1.8461538461538463</v>
      </c>
      <c r="E21">
        <f>IF(Rules!$B$6=Rules!$E$6,2*(SUM(Stand!E23:E30)+Rules!$B$5*Stand!E31+Stand!E55)/(9+Rules!$B$5),HS!E21)</f>
        <v>-1.8461538461538463</v>
      </c>
      <c r="F21">
        <f>IF(Rules!$B$6=Rules!$E$6,2*(SUM(Stand!F23:F30)+Rules!$B$5*Stand!F31+Stand!F55)/(9+Rules!$B$5),HS!F21)</f>
        <v>-1.8461538461538463</v>
      </c>
      <c r="G21">
        <f>IF(Rules!$B$6=Rules!$E$6,2*(SUM(Stand!G23:G30)+Rules!$B$5*Stand!G31+Stand!G55)/(9+Rules!$B$5),HS!G21)</f>
        <v>-1.8461538461538463</v>
      </c>
      <c r="H21">
        <f>IF(Rules!$B$6=Rules!$E$6,2*(SUM(Stand!H23:H30)+Rules!$B$5*Stand!H31+Stand!H55)/(9+Rules!$B$5),HS!H21)</f>
        <v>-1.8461538461538463</v>
      </c>
      <c r="I21">
        <f>IF(Rules!$B$6=Rules!$E$6,2*(SUM(Stand!I23:I30)+Rules!$B$5*Stand!I31+Stand!I55)/(9+Rules!$B$5),HS!I21)</f>
        <v>-1.8461538461538463</v>
      </c>
      <c r="J21">
        <f>IF(Rules!$B$6=Rules!$E$6,2*(SUM(Stand!J23:J30)+Rules!$B$5*Stand!J31+Stand!J55)/(9+Rules!$B$5),HS!J21)</f>
        <v>-1.8461538461538463</v>
      </c>
      <c r="K21">
        <f>IF(Rules!$B$6=Rules!$E$6,2*(SUM(Stand!K23:K30)+Rules!$B$5*Stand!K31+Stand!K55)/(9+Rules!$B$5),HS!K21)</f>
        <v>-1.8461538461538463</v>
      </c>
    </row>
    <row r="22" spans="1:11" x14ac:dyDescent="0.2">
      <c r="A22">
        <v>22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</row>
    <row r="23" spans="1:11" x14ac:dyDescent="0.2">
      <c r="A23">
        <v>23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</row>
    <row r="24" spans="1:11" x14ac:dyDescent="0.2">
      <c r="A24">
        <v>24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</row>
    <row r="25" spans="1:11" x14ac:dyDescent="0.2">
      <c r="A25">
        <v>25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</row>
    <row r="26" spans="1:11" x14ac:dyDescent="0.2">
      <c r="A26">
        <v>26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</row>
    <row r="27" spans="1:11" x14ac:dyDescent="0.2">
      <c r="A27">
        <v>27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</row>
    <row r="28" spans="1:11" x14ac:dyDescent="0.2">
      <c r="A28">
        <v>28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</row>
    <row r="29" spans="1:11" x14ac:dyDescent="0.2">
      <c r="A29">
        <v>29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</row>
    <row r="30" spans="1:11" x14ac:dyDescent="0.2">
      <c r="A30">
        <v>30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</row>
    <row r="31" spans="1:11" x14ac:dyDescent="0.2">
      <c r="A31">
        <v>31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f>IF(Rules!$B$6=Rules!$E$6,2*(SUM(Stand!B35:B43)+Rules!$B$5*Stand!B44)/(9+Rules!$B$5),HS!B34)</f>
        <v>0.10906077977909699</v>
      </c>
      <c r="C34">
        <f>IF(Rules!$B$6=Rules!$E$6,2*(SUM(Stand!C35:C43)+Rules!$B$5*Stand!C44)/(9+Rules!$B$5),HS!C34)</f>
        <v>0.47064092333946894</v>
      </c>
      <c r="D34">
        <f>IF(Rules!$B$6=Rules!$E$6,2*(SUM(Stand!D35:D43)+Rules!$B$5*Stand!D44)/(9+Rules!$B$5),HS!D34)</f>
        <v>0.51779525312221664</v>
      </c>
      <c r="E34">
        <f>IF(Rules!$B$6=Rules!$E$6,2*(SUM(Stand!E35:E43)+Rules!$B$5*Stand!E44)/(9+Rules!$B$5),HS!E34)</f>
        <v>0.56604055041797596</v>
      </c>
      <c r="F34">
        <f>IF(Rules!$B$6=Rules!$E$6,2*(SUM(Stand!F35:F43)+Rules!$B$5*Stand!F44)/(9+Rules!$B$5),HS!F34)</f>
        <v>0.61469901790902803</v>
      </c>
      <c r="G34">
        <f>IF(Rules!$B$6=Rules!$E$6,2*(SUM(Stand!G35:G43)+Rules!$B$5*Stand!G44)/(9+Rules!$B$5),HS!G34)</f>
        <v>0.66738009490756944</v>
      </c>
      <c r="H34">
        <f>IF(Rules!$B$6=Rules!$E$6,2*(SUM(Stand!H35:H43)+Rules!$B$5*Stand!H44)/(9+Rules!$B$5),HS!H34)</f>
        <v>0.46288894886429088</v>
      </c>
      <c r="I34">
        <f>IF(Rules!$B$6=Rules!$E$6,2*(SUM(Stand!I35:I43)+Rules!$B$5*Stand!I44)/(9+Rules!$B$5),HS!I34)</f>
        <v>0.35069259087031512</v>
      </c>
      <c r="J34">
        <f>IF(Rules!$B$6=Rules!$E$6,2*(SUM(Stand!J35:J43)+Rules!$B$5*Stand!J44)/(9+Rules!$B$5),HS!J34)</f>
        <v>0.22778342315245487</v>
      </c>
      <c r="K34">
        <f>IF(Rules!$B$6=Rules!$E$6,2*(SUM(Stand!K35:K43)+Rules!$B$5*Stand!K44)/(9+Rules!$B$5),HS!K34)</f>
        <v>0.17968872741114625</v>
      </c>
    </row>
    <row r="35" spans="1:11" x14ac:dyDescent="0.2">
      <c r="A35">
        <v>12</v>
      </c>
      <c r="B35">
        <f>IF(Rules!$B$6=Rules!$E$6,2*(SUM(Stand!B36:B44)+Rules!$B$5*Stand!B45)/(9+Rules!$B$5),HS!B35)</f>
        <v>-0.6243905676543714</v>
      </c>
      <c r="C35">
        <f>IF(Rules!$B$6=Rules!$E$6,2*(SUM(Stand!C36:C44)+Rules!$B$5*Stand!C45)/(9+Rules!$B$5),HS!C35)</f>
        <v>-7.1569957908215978E-2</v>
      </c>
      <c r="D35">
        <f>IF(Rules!$B$6=Rules!$E$6,2*(SUM(Stand!D36:D44)+Rules!$B$5*Stand!D45)/(9+Rules!$B$5),HS!D35)</f>
        <v>-7.2280945104584455E-3</v>
      </c>
      <c r="E35">
        <f>IF(Rules!$B$6=Rules!$E$6,2*(SUM(Stand!E36:E44)+Rules!$B$5*Stand!E45)/(9+Rules!$B$5),HS!E35)</f>
        <v>5.8426518743744951E-2</v>
      </c>
      <c r="F35">
        <f>IF(Rules!$B$6=Rules!$E$6,2*(SUM(Stand!F36:F44)+Rules!$B$5*Stand!F45)/(9+Rules!$B$5),HS!F35)</f>
        <v>0.12595448524867925</v>
      </c>
      <c r="G35">
        <f>IF(Rules!$B$6=Rules!$E$6,2*(SUM(Stand!G36:G44)+Rules!$B$5*Stand!G45)/(9+Rules!$B$5),HS!G35)</f>
        <v>0.17974820582791512</v>
      </c>
      <c r="H35">
        <f>IF(Rules!$B$6=Rules!$E$6,2*(SUM(Stand!H36:H44)+Rules!$B$5*Stand!H45)/(9+Rules!$B$5),HS!H35)</f>
        <v>-0.1838655800163814</v>
      </c>
      <c r="I35">
        <f>IF(Rules!$B$6=Rules!$E$6,2*(SUM(Stand!I36:I44)+Rules!$B$5*Stand!I45)/(9+Rules!$B$5),HS!I35)</f>
        <v>-0.31444090236733879</v>
      </c>
      <c r="J35">
        <f>IF(Rules!$B$6=Rules!$E$6,2*(SUM(Stand!J36:J44)+Rules!$B$5*Stand!J45)/(9+Rules!$B$5),HS!J35)</f>
        <v>-0.45636696328370829</v>
      </c>
      <c r="K35">
        <f>IF(Rules!$B$6=Rules!$E$6,2*(SUM(Stand!K36:K44)+Rules!$B$5*Stand!K45)/(9+Rules!$B$5),HS!K35)</f>
        <v>-0.51402848824830905</v>
      </c>
    </row>
    <row r="36" spans="1:11" x14ac:dyDescent="0.2">
      <c r="A36">
        <v>13</v>
      </c>
      <c r="B36">
        <f>IF(Rules!$B$6=Rules!$E$6,2*(SUM(Stand!B37:B45)+Rules!$B$5*Stand!B46)/(9+Rules!$B$5),HS!B36)</f>
        <v>-0.6243905676543714</v>
      </c>
      <c r="C36">
        <f>IF(Rules!$B$6=Rules!$E$6,2*(SUM(Stand!C37:C45)+Rules!$B$5*Stand!C46)/(9+Rules!$B$5),HS!C36)</f>
        <v>-7.1569957908215978E-2</v>
      </c>
      <c r="D36">
        <f>IF(Rules!$B$6=Rules!$E$6,2*(SUM(Stand!D37:D45)+Rules!$B$5*Stand!D46)/(9+Rules!$B$5),HS!D36)</f>
        <v>-7.228094510458429E-3</v>
      </c>
      <c r="E36">
        <f>IF(Rules!$B$6=Rules!$E$6,2*(SUM(Stand!E37:E45)+Rules!$B$5*Stand!E46)/(9+Rules!$B$5),HS!E36)</f>
        <v>5.8426518743744923E-2</v>
      </c>
      <c r="F36">
        <f>IF(Rules!$B$6=Rules!$E$6,2*(SUM(Stand!F37:F45)+Rules!$B$5*Stand!F46)/(9+Rules!$B$5),HS!F36)</f>
        <v>0.12595448524867925</v>
      </c>
      <c r="G36">
        <f>IF(Rules!$B$6=Rules!$E$6,2*(SUM(Stand!G37:G45)+Rules!$B$5*Stand!G46)/(9+Rules!$B$5),HS!G36)</f>
        <v>0.17974820582791512</v>
      </c>
      <c r="H36">
        <f>IF(Rules!$B$6=Rules!$E$6,2*(SUM(Stand!H37:H45)+Rules!$B$5*Stand!H46)/(9+Rules!$B$5),HS!H36)</f>
        <v>-0.18386558001638137</v>
      </c>
      <c r="I36">
        <f>IF(Rules!$B$6=Rules!$E$6,2*(SUM(Stand!I37:I45)+Rules!$B$5*Stand!I46)/(9+Rules!$B$5),HS!I36)</f>
        <v>-0.31444090236733879</v>
      </c>
      <c r="J36">
        <f>IF(Rules!$B$6=Rules!$E$6,2*(SUM(Stand!J37:J45)+Rules!$B$5*Stand!J46)/(9+Rules!$B$5),HS!J36)</f>
        <v>-0.45636696328370829</v>
      </c>
      <c r="K36">
        <f>IF(Rules!$B$6=Rules!$E$6,2*(SUM(Stand!K37:K45)+Rules!$B$5*Stand!K46)/(9+Rules!$B$5),HS!K36)</f>
        <v>-0.51402848824830905</v>
      </c>
    </row>
    <row r="37" spans="1:11" x14ac:dyDescent="0.2">
      <c r="A37">
        <v>14</v>
      </c>
      <c r="B37">
        <f>IF(Rules!$B$6=Rules!$E$6,2*(SUM(Stand!B38:B46)+Rules!$B$5*Stand!B47)/(9+Rules!$B$5),HS!B37)</f>
        <v>-0.6243905676543714</v>
      </c>
      <c r="C37">
        <f>IF(Rules!$B$6=Rules!$E$6,2*(SUM(Stand!C38:C46)+Rules!$B$5*Stand!C47)/(9+Rules!$B$5),HS!C37)</f>
        <v>-7.1569957908215978E-2</v>
      </c>
      <c r="D37">
        <f>IF(Rules!$B$6=Rules!$E$6,2*(SUM(Stand!D38:D46)+Rules!$B$5*Stand!D47)/(9+Rules!$B$5),HS!D37)</f>
        <v>-7.228094510458429E-3</v>
      </c>
      <c r="E37">
        <f>IF(Rules!$B$6=Rules!$E$6,2*(SUM(Stand!E38:E46)+Rules!$B$5*Stand!E47)/(9+Rules!$B$5),HS!E37)</f>
        <v>5.8426518743744951E-2</v>
      </c>
      <c r="F37">
        <f>IF(Rules!$B$6=Rules!$E$6,2*(SUM(Stand!F38:F46)+Rules!$B$5*Stand!F47)/(9+Rules!$B$5),HS!F37)</f>
        <v>0.12595448524867925</v>
      </c>
      <c r="G37">
        <f>IF(Rules!$B$6=Rules!$E$6,2*(SUM(Stand!G38:G46)+Rules!$B$5*Stand!G47)/(9+Rules!$B$5),HS!G37)</f>
        <v>0.17974820582791512</v>
      </c>
      <c r="H37">
        <f>IF(Rules!$B$6=Rules!$E$6,2*(SUM(Stand!H38:H46)+Rules!$B$5*Stand!H47)/(9+Rules!$B$5),HS!H37)</f>
        <v>-0.1838655800163814</v>
      </c>
      <c r="I37">
        <f>IF(Rules!$B$6=Rules!$E$6,2*(SUM(Stand!I38:I46)+Rules!$B$5*Stand!I47)/(9+Rules!$B$5),HS!I37)</f>
        <v>-0.31444090236733879</v>
      </c>
      <c r="J37">
        <f>IF(Rules!$B$6=Rules!$E$6,2*(SUM(Stand!J38:J46)+Rules!$B$5*Stand!J47)/(9+Rules!$B$5),HS!J37)</f>
        <v>-0.45636696328370829</v>
      </c>
      <c r="K37">
        <f>IF(Rules!$B$6=Rules!$E$6,2*(SUM(Stand!K38:K46)+Rules!$B$5*Stand!K47)/(9+Rules!$B$5),HS!K37)</f>
        <v>-0.51402848824830905</v>
      </c>
    </row>
    <row r="38" spans="1:11" x14ac:dyDescent="0.2">
      <c r="A38">
        <v>15</v>
      </c>
      <c r="B38">
        <f>IF(Rules!$B$6=Rules!$E$6,2*(SUM(Stand!B39:B47)+Rules!$B$5*Stand!B48)/(9+Rules!$B$5),HS!B38)</f>
        <v>-0.6243905676543714</v>
      </c>
      <c r="C38">
        <f>IF(Rules!$B$6=Rules!$E$6,2*(SUM(Stand!C39:C47)+Rules!$B$5*Stand!C48)/(9+Rules!$B$5),HS!C38)</f>
        <v>-7.1569957908215937E-2</v>
      </c>
      <c r="D38">
        <f>IF(Rules!$B$6=Rules!$E$6,2*(SUM(Stand!D39:D47)+Rules!$B$5*Stand!D48)/(9+Rules!$B$5),HS!D38)</f>
        <v>-7.2280945104584975E-3</v>
      </c>
      <c r="E38">
        <f>IF(Rules!$B$6=Rules!$E$6,2*(SUM(Stand!E39:E47)+Rules!$B$5*Stand!E48)/(9+Rules!$B$5),HS!E38)</f>
        <v>5.8426518743744923E-2</v>
      </c>
      <c r="F38">
        <f>IF(Rules!$B$6=Rules!$E$6,2*(SUM(Stand!F39:F47)+Rules!$B$5*Stand!F48)/(9+Rules!$B$5),HS!F38)</f>
        <v>0.12595448524867925</v>
      </c>
      <c r="G38">
        <f>IF(Rules!$B$6=Rules!$E$6,2*(SUM(Stand!G39:G47)+Rules!$B$5*Stand!G48)/(9+Rules!$B$5),HS!G38)</f>
        <v>0.17974820582791512</v>
      </c>
      <c r="H38">
        <f>IF(Rules!$B$6=Rules!$E$6,2*(SUM(Stand!H39:H47)+Rules!$B$5*Stand!H48)/(9+Rules!$B$5),HS!H38)</f>
        <v>-0.18386558001638142</v>
      </c>
      <c r="I38">
        <f>IF(Rules!$B$6=Rules!$E$6,2*(SUM(Stand!I39:I47)+Rules!$B$5*Stand!I48)/(9+Rules!$B$5),HS!I38)</f>
        <v>-0.31444090236733874</v>
      </c>
      <c r="J38">
        <f>IF(Rules!$B$6=Rules!$E$6,2*(SUM(Stand!J39:J47)+Rules!$B$5*Stand!J48)/(9+Rules!$B$5),HS!J38)</f>
        <v>-0.45636696328370829</v>
      </c>
      <c r="K38">
        <f>IF(Rules!$B$6=Rules!$E$6,2*(SUM(Stand!K39:K47)+Rules!$B$5*Stand!K48)/(9+Rules!$B$5),HS!K38)</f>
        <v>-0.51402848824830905</v>
      </c>
    </row>
    <row r="39" spans="1:11" x14ac:dyDescent="0.2">
      <c r="A39">
        <v>16</v>
      </c>
      <c r="B39">
        <f>IF(Rules!$B$6=Rules!$E$6,2*(SUM(Stand!B40:B48)+Rules!$B$5*Stand!B49)/(9+Rules!$B$5),HS!B39)</f>
        <v>-0.6243905676543714</v>
      </c>
      <c r="C39">
        <f>IF(Rules!$B$6=Rules!$E$6,2*(SUM(Stand!C40:C48)+Rules!$B$5*Stand!C49)/(9+Rules!$B$5),HS!C39)</f>
        <v>-7.1569957908215937E-2</v>
      </c>
      <c r="D39">
        <f>IF(Rules!$B$6=Rules!$E$6,2*(SUM(Stand!D40:D48)+Rules!$B$5*Stand!D49)/(9+Rules!$B$5),HS!D39)</f>
        <v>-7.2280945104584975E-3</v>
      </c>
      <c r="E39">
        <f>IF(Rules!$B$6=Rules!$E$6,2*(SUM(Stand!E40:E48)+Rules!$B$5*Stand!E49)/(9+Rules!$B$5),HS!E39)</f>
        <v>5.8426518743744951E-2</v>
      </c>
      <c r="F39">
        <f>IF(Rules!$B$6=Rules!$E$6,2*(SUM(Stand!F40:F48)+Rules!$B$5*Stand!F49)/(9+Rules!$B$5),HS!F39)</f>
        <v>0.12595448524867925</v>
      </c>
      <c r="G39">
        <f>IF(Rules!$B$6=Rules!$E$6,2*(SUM(Stand!G40:G48)+Rules!$B$5*Stand!G49)/(9+Rules!$B$5),HS!G39)</f>
        <v>0.17974820582791512</v>
      </c>
      <c r="H39">
        <f>IF(Rules!$B$6=Rules!$E$6,2*(SUM(Stand!H40:H48)+Rules!$B$5*Stand!H49)/(9+Rules!$B$5),HS!H39)</f>
        <v>-0.18386558001638142</v>
      </c>
      <c r="I39">
        <f>IF(Rules!$B$6=Rules!$E$6,2*(SUM(Stand!I40:I48)+Rules!$B$5*Stand!I49)/(9+Rules!$B$5),HS!I39)</f>
        <v>-0.31444090236733874</v>
      </c>
      <c r="J39">
        <f>IF(Rules!$B$6=Rules!$E$6,2*(SUM(Stand!J40:J48)+Rules!$B$5*Stand!J49)/(9+Rules!$B$5),HS!J39)</f>
        <v>-0.45636696328370829</v>
      </c>
      <c r="K39">
        <f>IF(Rules!$B$6=Rules!$E$6,2*(SUM(Stand!K40:K48)+Rules!$B$5*Stand!K49)/(9+Rules!$B$5),HS!K39)</f>
        <v>-0.51402848824830905</v>
      </c>
    </row>
    <row r="40" spans="1:11" x14ac:dyDescent="0.2">
      <c r="A40">
        <v>17</v>
      </c>
      <c r="B40">
        <f>IF(Rules!$B$6=Rules!$E$6,2*(SUM(Stand!B41:B49)+Rules!$B$5*Stand!B50)/(9+Rules!$B$5),HS!B40)</f>
        <v>-0.53719796779709139</v>
      </c>
      <c r="C40">
        <f>IF(Rules!$B$6=Rules!$E$6,2*(SUM(Stand!C41:C49)+Rules!$B$5*Stand!C50)/(9+Rules!$B$5),HS!C40)</f>
        <v>-7.0426627415689164E-3</v>
      </c>
      <c r="D40">
        <f>IF(Rules!$B$6=Rules!$E$6,2*(SUM(Stand!D41:D49)+Rules!$B$5*Stand!D50)/(9+Rules!$B$5),HS!D40)</f>
        <v>5.5095284479298338E-2</v>
      </c>
      <c r="E40">
        <f>IF(Rules!$B$6=Rules!$E$6,2*(SUM(Stand!E41:E49)+Rules!$B$5*Stand!E50)/(9+Rules!$B$5),HS!E40)</f>
        <v>0.11865255067432869</v>
      </c>
      <c r="F40">
        <f>IF(Rules!$B$6=Rules!$E$6,2*(SUM(Stand!F41:F49)+Rules!$B$5*Stand!F50)/(9+Rules!$B$5),HS!F40)</f>
        <v>0.18237815537354879</v>
      </c>
      <c r="G40">
        <f>IF(Rules!$B$6=Rules!$E$6,2*(SUM(Stand!G41:G49)+Rules!$B$5*Stand!G50)/(9+Rules!$B$5),HS!G40)</f>
        <v>0.2561042872909981</v>
      </c>
      <c r="H40">
        <f>IF(Rules!$B$6=Rules!$E$6,2*(SUM(Stand!H41:H49)+Rules!$B$5*Stand!H50)/(9+Rules!$B$5),HS!H40)</f>
        <v>-1.3758105957502069E-2</v>
      </c>
      <c r="I40">
        <f>IF(Rules!$B$6=Rules!$E$6,2*(SUM(Stand!I41:I49)+Rules!$B$5*Stand!I50)/(9+Rules!$B$5),HS!I40)</f>
        <v>-0.25510249723695255</v>
      </c>
      <c r="J40">
        <f>IF(Rules!$B$6=Rules!$E$6,2*(SUM(Stand!J41:J49)+Rules!$B$5*Stand!J50)/(9+Rules!$B$5),HS!J40)</f>
        <v>-0.40098445182868125</v>
      </c>
      <c r="K40">
        <f>IF(Rules!$B$6=Rules!$E$6,2*(SUM(Stand!K41:K49)+Rules!$B$5*Stand!K50)/(9+Rules!$B$5),HS!K40)</f>
        <v>-0.45831631898700209</v>
      </c>
    </row>
    <row r="41" spans="1:11" x14ac:dyDescent="0.2">
      <c r="A41">
        <v>18</v>
      </c>
      <c r="B41">
        <f>IF(Rules!$B$6=Rules!$E$6,2*(SUM(Stand!B42:B50)+Rules!$B$5*Stand!B51)/(9+Rules!$B$5),HS!B41)</f>
        <v>-0.36281276808253149</v>
      </c>
      <c r="C41">
        <f>IF(Rules!$B$6=Rules!$E$6,2*(SUM(Stand!C42:C50)+Rules!$B$5*Stand!C51)/(9+Rules!$B$5),HS!C41)</f>
        <v>0.11974956336724479</v>
      </c>
      <c r="D41">
        <f>IF(Rules!$B$6=Rules!$E$6,2*(SUM(Stand!D42:D50)+Rules!$B$5*Stand!D51)/(9+Rules!$B$5),HS!D41)</f>
        <v>0.17764127567893753</v>
      </c>
      <c r="E41">
        <f>IF(Rules!$B$6=Rules!$E$6,2*(SUM(Stand!E42:E50)+Rules!$B$5*Stand!E51)/(9+Rules!$B$5),HS!E41)</f>
        <v>0.23700384775562167</v>
      </c>
      <c r="F41">
        <f>IF(Rules!$B$6=Rules!$E$6,2*(SUM(Stand!F42:F50)+Rules!$B$5*Stand!F51)/(9+Rules!$B$5),HS!F41)</f>
        <v>0.29522549562328804</v>
      </c>
      <c r="G41">
        <f>IF(Rules!$B$6=Rules!$E$6,2*(SUM(Stand!G42:G50)+Rules!$B$5*Stand!G51)/(9+Rules!$B$5),HS!G41)</f>
        <v>0.38150648207879345</v>
      </c>
      <c r="H41">
        <f>IF(Rules!$B$6=Rules!$E$6,2*(SUM(Stand!H42:H50)+Rules!$B$5*Stand!H51)/(9+Rules!$B$5),HS!H41)</f>
        <v>0.21994796642061171</v>
      </c>
      <c r="I41">
        <f>IF(Rules!$B$6=Rules!$E$6,2*(SUM(Stand!I42:I50)+Rules!$B$5*Stand!I51)/(9+Rules!$B$5),HS!I41)</f>
        <v>-2.9916811236535352E-2</v>
      </c>
      <c r="J41">
        <f>IF(Rules!$B$6=Rules!$E$6,2*(SUM(Stand!J42:J50)+Rules!$B$5*Stand!J51)/(9+Rules!$B$5),HS!J41)</f>
        <v>-0.29021942891862701</v>
      </c>
      <c r="K41">
        <f>IF(Rules!$B$6=Rules!$E$6,2*(SUM(Stand!K42:K50)+Rules!$B$5*Stand!K51)/(9+Rules!$B$5),HS!K41)</f>
        <v>-0.34689198046438807</v>
      </c>
    </row>
    <row r="42" spans="1:11" x14ac:dyDescent="0.2">
      <c r="A42">
        <v>19</v>
      </c>
      <c r="B42">
        <f>2*(SUM(Stand!B43:B51)+Rules!$B$5*Stand!B52)/(9+Rules!$B$5)</f>
        <v>-0.18842756836797164</v>
      </c>
      <c r="C42">
        <f>2*(SUM(Stand!C43:C51)+Rules!$B$5*Stand!C52)/(9+Rules!$B$5)</f>
        <v>0.24185546358249196</v>
      </c>
      <c r="D42">
        <f>2*(SUM(Stand!D43:D51)+Rules!$B$5*Stand!D52)/(9+Rules!$B$5)</f>
        <v>0.29582413587422152</v>
      </c>
      <c r="E42">
        <f>2*(SUM(Stand!E43:E51)+Rules!$B$5*Stand!E52)/(9+Rules!$B$5)</f>
        <v>0.35115361127716532</v>
      </c>
      <c r="F42">
        <f>2*(SUM(Stand!F43:F51)+Rules!$B$5*Stand!F52)/(9+Rules!$B$5)</f>
        <v>0.40597206909315264</v>
      </c>
      <c r="G42">
        <f>2*(SUM(Stand!G43:G51)+Rules!$B$5*Stand!G52)/(9+Rules!$B$5)</f>
        <v>0.47959870872821841</v>
      </c>
      <c r="H42">
        <f>2*(SUM(Stand!H43:H51)+Rules!$B$5*Stand!H52)/(9+Rules!$B$5)</f>
        <v>0.31983519492071005</v>
      </c>
      <c r="I42">
        <f>2*(SUM(Stand!I43:I51)+Rules!$B$5*Stand!I52)/(9+Rules!$B$5)</f>
        <v>0.19526887476388194</v>
      </c>
      <c r="J42">
        <f>2*(SUM(Stand!J43:J51)+Rules!$B$5*Stand!J52)/(9+Rules!$B$5)</f>
        <v>-7.294553026892793E-2</v>
      </c>
      <c r="K42">
        <f>2*(SUM(Stand!K43:K51)+Rules!$B$5*Stand!K52)/(9+Rules!$B$5)</f>
        <v>-0.23546764194177403</v>
      </c>
    </row>
    <row r="43" spans="1:11" x14ac:dyDescent="0.2">
      <c r="A43">
        <v>20</v>
      </c>
      <c r="B43">
        <f>2*(SUM(Stand!B44:B52)+Rules!$B$5*Stand!B53)/(9+Rules!$B$5)</f>
        <v>-1.4042368653411618E-2</v>
      </c>
      <c r="C43">
        <f>2*(SUM(Stand!C44:C52)+Rules!$B$5*Stand!C53)/(9+Rules!$B$5)</f>
        <v>0.3589394124422991</v>
      </c>
      <c r="D43">
        <f>2*(SUM(Stand!D44:D52)+Rules!$B$5*Stand!D53)/(9+Rules!$B$5)</f>
        <v>0.40932067017593915</v>
      </c>
      <c r="E43">
        <f>2*(SUM(Stand!E44:E52)+Rules!$B$5*Stand!E53)/(9+Rules!$B$5)</f>
        <v>0.460940243794354</v>
      </c>
      <c r="F43">
        <f>2*(SUM(Stand!F44:F52)+Rules!$B$5*Stand!F53)/(9+Rules!$B$5)</f>
        <v>0.51251710900326775</v>
      </c>
      <c r="G43">
        <f>2*(SUM(Stand!G44:G52)+Rules!$B$5*Stand!G53)/(9+Rules!$B$5)</f>
        <v>0.57559016859776857</v>
      </c>
      <c r="H43">
        <f>2*(SUM(Stand!H44:H52)+Rules!$B$5*Stand!H53)/(9+Rules!$B$5)</f>
        <v>0.39241245528243773</v>
      </c>
      <c r="I43">
        <f>2*(SUM(Stand!I44:I52)+Rules!$B$5*Stand!I53)/(9+Rules!$B$5)</f>
        <v>0.28663571688628375</v>
      </c>
      <c r="J43">
        <f>2*(SUM(Stand!J44:J52)+Rules!$B$5*Stand!J53)/(9+Rules!$B$5)</f>
        <v>0.1443283683807712</v>
      </c>
      <c r="K43">
        <f>2*(SUM(Stand!K44:K52)+Rules!$B$5*Stand!K53)/(9+Rules!$B$5)</f>
        <v>-8.6586880345446409E-3</v>
      </c>
    </row>
    <row r="44" spans="1:11" x14ac:dyDescent="0.2">
      <c r="A44">
        <v>21</v>
      </c>
      <c r="B44">
        <f>2*(SUM(Stand!B45:B53)+Rules!$B$5*Stand!B54)/(9+Rules!$B$5)</f>
        <v>0.10906077977909699</v>
      </c>
      <c r="C44">
        <f>2*(SUM(Stand!C45:C53)+Rules!$B$5*Stand!C54)/(9+Rules!$B$5)</f>
        <v>0.47064092333946894</v>
      </c>
      <c r="D44">
        <f>2*(SUM(Stand!D45:D53)+Rules!$B$5*Stand!D54)/(9+Rules!$B$5)</f>
        <v>0.51779525312221664</v>
      </c>
      <c r="E44">
        <f>2*(SUM(Stand!E45:E53)+Rules!$B$5*Stand!E54)/(9+Rules!$B$5)</f>
        <v>0.56604055041797596</v>
      </c>
      <c r="F44">
        <f>2*(SUM(Stand!F45:F53)+Rules!$B$5*Stand!F54)/(9+Rules!$B$5)</f>
        <v>0.61469901790902803</v>
      </c>
      <c r="G44">
        <f>2*(SUM(Stand!G45:G53)+Rules!$B$5*Stand!G54)/(9+Rules!$B$5)</f>
        <v>0.66738009490756944</v>
      </c>
      <c r="H44">
        <f>2*(SUM(Stand!H45:H53)+Rules!$B$5*Stand!H54)/(9+Rules!$B$5)</f>
        <v>0.46288894886429088</v>
      </c>
      <c r="I44">
        <f>2*(SUM(Stand!I45:I53)+Rules!$B$5*Stand!I54)/(9+Rules!$B$5)</f>
        <v>0.35069259087031512</v>
      </c>
      <c r="J44">
        <f>2*(SUM(Stand!J45:J53)+Rules!$B$5*Stand!J54)/(9+Rules!$B$5)</f>
        <v>0.22778342315245487</v>
      </c>
      <c r="K44">
        <f>2*(SUM(Stand!K45:K53)+Rules!$B$5*Stand!K54)/(9+Rules!$B$5)</f>
        <v>0.17968872741114625</v>
      </c>
    </row>
    <row r="45" spans="1:11" x14ac:dyDescent="0.2">
      <c r="A45">
        <v>22</v>
      </c>
      <c r="B45">
        <f>B12</f>
        <v>-0.82934393707867271</v>
      </c>
      <c r="C45">
        <f t="shared" ref="C45:K45" si="0">C12</f>
        <v>-0.50677997193327606</v>
      </c>
      <c r="D45">
        <f t="shared" si="0"/>
        <v>-0.46738179959617321</v>
      </c>
      <c r="E45">
        <f t="shared" si="0"/>
        <v>-0.4270731064901539</v>
      </c>
      <c r="F45">
        <f t="shared" si="0"/>
        <v>-0.38654233885256678</v>
      </c>
      <c r="G45">
        <f t="shared" si="0"/>
        <v>-0.34105239981515906</v>
      </c>
      <c r="H45">
        <f t="shared" si="0"/>
        <v>-0.50671162107673018</v>
      </c>
      <c r="I45">
        <f t="shared" si="0"/>
        <v>-0.61566089283034364</v>
      </c>
      <c r="J45">
        <f t="shared" si="0"/>
        <v>-0.73750562104917949</v>
      </c>
      <c r="K45">
        <f t="shared" si="0"/>
        <v>-0.79684059040524136</v>
      </c>
    </row>
    <row r="46" spans="1:11" x14ac:dyDescent="0.2">
      <c r="A46">
        <v>23</v>
      </c>
      <c r="B46">
        <f t="shared" ref="B46:K54" si="1">B13</f>
        <v>-0.88058227943474798</v>
      </c>
      <c r="C46">
        <f t="shared" si="1"/>
        <v>-0.61558247543954125</v>
      </c>
      <c r="D46">
        <f t="shared" si="1"/>
        <v>-0.58242022586760189</v>
      </c>
      <c r="E46">
        <f t="shared" si="1"/>
        <v>-0.54844801279862854</v>
      </c>
      <c r="F46">
        <f t="shared" si="1"/>
        <v>-0.51466654487787822</v>
      </c>
      <c r="G46">
        <f t="shared" si="1"/>
        <v>-0.47125255122592757</v>
      </c>
      <c r="H46">
        <f t="shared" si="1"/>
        <v>-0.58742313134181745</v>
      </c>
      <c r="I46">
        <f t="shared" si="1"/>
        <v>-0.6909658904460948</v>
      </c>
      <c r="J46">
        <f t="shared" si="1"/>
        <v>-0.80779028549054732</v>
      </c>
      <c r="K46">
        <f t="shared" si="1"/>
        <v>-0.86754361594447438</v>
      </c>
    </row>
    <row r="47" spans="1:11" x14ac:dyDescent="0.2">
      <c r="A47">
        <v>24</v>
      </c>
      <c r="B47">
        <f t="shared" si="1"/>
        <v>-0.93182062179082337</v>
      </c>
      <c r="C47">
        <f t="shared" si="1"/>
        <v>-0.72438497894580622</v>
      </c>
      <c r="D47">
        <f t="shared" si="1"/>
        <v>-0.69745865213903058</v>
      </c>
      <c r="E47">
        <f t="shared" si="1"/>
        <v>-0.66982291910710334</v>
      </c>
      <c r="F47">
        <f t="shared" si="1"/>
        <v>-0.64279075090318982</v>
      </c>
      <c r="G47">
        <f t="shared" si="1"/>
        <v>-0.60145270263669615</v>
      </c>
      <c r="H47">
        <f t="shared" si="1"/>
        <v>-0.66813464160690461</v>
      </c>
      <c r="I47">
        <f t="shared" si="1"/>
        <v>-0.76627088806184607</v>
      </c>
      <c r="J47">
        <f t="shared" si="1"/>
        <v>-0.87807494993191493</v>
      </c>
      <c r="K47">
        <f t="shared" si="1"/>
        <v>-0.93824664148370751</v>
      </c>
    </row>
    <row r="48" spans="1:11" x14ac:dyDescent="0.2">
      <c r="A48">
        <v>25</v>
      </c>
      <c r="B48">
        <f t="shared" si="1"/>
        <v>-0.98305896414689875</v>
      </c>
      <c r="C48">
        <f t="shared" si="1"/>
        <v>-0.83318748245207119</v>
      </c>
      <c r="D48">
        <f t="shared" si="1"/>
        <v>-0.81249707841045926</v>
      </c>
      <c r="E48">
        <f t="shared" si="1"/>
        <v>-0.79119782541557804</v>
      </c>
      <c r="F48">
        <f t="shared" si="1"/>
        <v>-0.77091495692850132</v>
      </c>
      <c r="G48">
        <f t="shared" si="1"/>
        <v>-0.73165285404746472</v>
      </c>
      <c r="H48">
        <f t="shared" si="1"/>
        <v>-0.74884615187199166</v>
      </c>
      <c r="I48">
        <f t="shared" si="1"/>
        <v>-0.84157588567759711</v>
      </c>
      <c r="J48">
        <f t="shared" si="1"/>
        <v>-0.94835961437328287</v>
      </c>
      <c r="K48">
        <f t="shared" si="1"/>
        <v>-1.0089496670229408</v>
      </c>
    </row>
    <row r="49" spans="1:11" x14ac:dyDescent="0.2">
      <c r="A49">
        <v>26</v>
      </c>
      <c r="B49">
        <f t="shared" si="1"/>
        <v>-1.0342973065029741</v>
      </c>
      <c r="C49">
        <f t="shared" si="1"/>
        <v>-0.94198998595833627</v>
      </c>
      <c r="D49">
        <f t="shared" si="1"/>
        <v>-0.92753550468188806</v>
      </c>
      <c r="E49">
        <f t="shared" si="1"/>
        <v>-0.91257273172405273</v>
      </c>
      <c r="F49">
        <f t="shared" si="1"/>
        <v>-0.89903916295381292</v>
      </c>
      <c r="G49">
        <f t="shared" si="1"/>
        <v>-0.86185300545823318</v>
      </c>
      <c r="H49">
        <f t="shared" si="1"/>
        <v>-0.82955766213707893</v>
      </c>
      <c r="I49">
        <f t="shared" si="1"/>
        <v>-0.91688088329334838</v>
      </c>
      <c r="J49">
        <f t="shared" si="1"/>
        <v>-1.0186442788146506</v>
      </c>
      <c r="K49">
        <f t="shared" si="1"/>
        <v>-1.0796526925621737</v>
      </c>
    </row>
    <row r="50" spans="1:11" x14ac:dyDescent="0.2">
      <c r="A50">
        <v>27</v>
      </c>
      <c r="B50">
        <f t="shared" si="1"/>
        <v>-1.1145998488114761</v>
      </c>
      <c r="C50">
        <f t="shared" si="1"/>
        <v>-1.0723015878534836</v>
      </c>
      <c r="D50">
        <f t="shared" si="1"/>
        <v>-1.0633483906165688</v>
      </c>
      <c r="E50">
        <f t="shared" si="1"/>
        <v>-1.0540229820093887</v>
      </c>
      <c r="F50">
        <f t="shared" si="1"/>
        <v>-1.0459712590207475</v>
      </c>
      <c r="G50">
        <f t="shared" si="1"/>
        <v>-1.0175051840233627</v>
      </c>
      <c r="H50">
        <f t="shared" si="1"/>
        <v>-0.96697166375512589</v>
      </c>
      <c r="I50">
        <f t="shared" si="1"/>
        <v>-1.0119653492858949</v>
      </c>
      <c r="J50">
        <f t="shared" si="1"/>
        <v>-1.107389780407694</v>
      </c>
      <c r="K50">
        <f t="shared" si="1"/>
        <v>-1.168926441188509</v>
      </c>
    </row>
    <row r="51" spans="1:11" x14ac:dyDescent="0.2">
      <c r="A51">
        <v>28</v>
      </c>
      <c r="B51">
        <f t="shared" si="1"/>
        <v>-1.2530307910248315</v>
      </c>
      <c r="C51">
        <f t="shared" si="1"/>
        <v>-1.2448772651182354</v>
      </c>
      <c r="D51">
        <f t="shared" si="1"/>
        <v>-1.2400099402844629</v>
      </c>
      <c r="E51">
        <f t="shared" si="1"/>
        <v>-1.2349236646551558</v>
      </c>
      <c r="F51">
        <f t="shared" si="1"/>
        <v>-1.2305191351709284</v>
      </c>
      <c r="G51">
        <f t="shared" si="1"/>
        <v>-1.214958094184424</v>
      </c>
      <c r="H51">
        <f t="shared" si="1"/>
        <v>-1.1822876894992109</v>
      </c>
      <c r="I51">
        <f t="shared" si="1"/>
        <v>-1.1821117106119141</v>
      </c>
      <c r="J51">
        <f t="shared" si="1"/>
        <v>-1.2330569563040892</v>
      </c>
      <c r="K51">
        <f t="shared" si="1"/>
        <v>-1.2953416359890493</v>
      </c>
    </row>
    <row r="52" spans="1:11" x14ac:dyDescent="0.2">
      <c r="A52">
        <v>29</v>
      </c>
      <c r="B52">
        <f t="shared" si="1"/>
        <v>-1.4495901331430399</v>
      </c>
      <c r="C52">
        <f t="shared" si="1"/>
        <v>-1.4581549091214032</v>
      </c>
      <c r="D52">
        <f t="shared" si="1"/>
        <v>-1.4560657766841187</v>
      </c>
      <c r="E52">
        <f t="shared" si="1"/>
        <v>-1.4538742684747705</v>
      </c>
      <c r="F52">
        <f t="shared" si="1"/>
        <v>-1.4519825358110645</v>
      </c>
      <c r="G52">
        <f t="shared" si="1"/>
        <v>-1.4451084132286267</v>
      </c>
      <c r="H52">
        <f t="shared" si="1"/>
        <v>-1.4308994580766619</v>
      </c>
      <c r="I52">
        <f t="shared" si="1"/>
        <v>-1.4273199672714054</v>
      </c>
      <c r="J52">
        <f t="shared" si="1"/>
        <v>-1.4311487650837169</v>
      </c>
      <c r="K52">
        <f t="shared" si="1"/>
        <v>-1.4588982769637939</v>
      </c>
    </row>
    <row r="53" spans="1:11" x14ac:dyDescent="0.2">
      <c r="A53">
        <v>30</v>
      </c>
      <c r="B53">
        <f t="shared" si="1"/>
        <v>-1.7042778751661021</v>
      </c>
      <c r="C53">
        <f t="shared" si="1"/>
        <v>-1.7104605360778398</v>
      </c>
      <c r="D53">
        <f t="shared" si="1"/>
        <v>-1.7099537911843461</v>
      </c>
      <c r="E53">
        <f t="shared" si="1"/>
        <v>-1.7094204164667817</v>
      </c>
      <c r="F53">
        <f t="shared" si="1"/>
        <v>-1.7089609497545721</v>
      </c>
      <c r="G53">
        <f t="shared" si="1"/>
        <v>-1.70725588556268</v>
      </c>
      <c r="H53">
        <f t="shared" si="1"/>
        <v>-1.7037036467746889</v>
      </c>
      <c r="I53">
        <f t="shared" si="1"/>
        <v>-1.7029838379716975</v>
      </c>
      <c r="J53">
        <f t="shared" si="1"/>
        <v>-1.7016652067465778</v>
      </c>
      <c r="K53">
        <f t="shared" si="1"/>
        <v>-1.6980579025742819</v>
      </c>
    </row>
    <row r="54" spans="1:11" x14ac:dyDescent="0.2">
      <c r="A54">
        <v>31</v>
      </c>
      <c r="B54">
        <f t="shared" si="1"/>
        <v>-1.8461538461538463</v>
      </c>
      <c r="C54">
        <f t="shared" si="1"/>
        <v>-1.8461538461538463</v>
      </c>
      <c r="D54">
        <f t="shared" si="1"/>
        <v>-1.8461538461538463</v>
      </c>
      <c r="E54">
        <f t="shared" si="1"/>
        <v>-1.8461538461538463</v>
      </c>
      <c r="F54">
        <f t="shared" si="1"/>
        <v>-1.8461538461538463</v>
      </c>
      <c r="G54">
        <f t="shared" si="1"/>
        <v>-1.8461538461538463</v>
      </c>
      <c r="H54">
        <f t="shared" si="1"/>
        <v>-1.8461538461538463</v>
      </c>
      <c r="I54">
        <f t="shared" si="1"/>
        <v>-1.8461538461538463</v>
      </c>
      <c r="J54">
        <f t="shared" si="1"/>
        <v>-1.8461538461538463</v>
      </c>
      <c r="K54">
        <f t="shared" si="1"/>
        <v>-1.8461538461538463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54"/>
  <sheetViews>
    <sheetView topLeftCell="A31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MAX(Hit!B2,Stand!B2,Double!B2)</f>
        <v>-0.20335368314889377</v>
      </c>
      <c r="C2">
        <f>MAX(Hit!C2,Stand!C2,Double!C2)</f>
        <v>-7.5884358318949102E-2</v>
      </c>
      <c r="D2">
        <f>MAX(Hit!D2,Stand!D2,Double!D2)</f>
        <v>-4.9750706146412048E-2</v>
      </c>
      <c r="E2">
        <f>MAX(Hit!E2,Stand!E2,Double!E2)</f>
        <v>-2.2100412135834389E-2</v>
      </c>
      <c r="F2">
        <f>MAX(Hit!F2,Stand!F2,Double!F2)</f>
        <v>1.3730032284783571E-2</v>
      </c>
      <c r="G2">
        <f>MAX(Hit!G2,Stand!G2,Double!G2)</f>
        <v>3.8883411946301231E-2</v>
      </c>
      <c r="H2">
        <f>MAX(Hit!H2,Stand!H2,Double!H2)</f>
        <v>-2.7257021375862247E-2</v>
      </c>
      <c r="I2">
        <f>MAX(Hit!I2,Stand!I2,Double!I2)</f>
        <v>-0.10316172777512726</v>
      </c>
      <c r="J2">
        <f>MAX(Hit!J2,Stand!J2,Double!J2)</f>
        <v>-0.19004714305350842</v>
      </c>
      <c r="K2">
        <f>MAX(Hit!K2,Stand!K2,Double!K2)</f>
        <v>-0.24199803315764098</v>
      </c>
      <c r="N2" s="31">
        <v>2</v>
      </c>
      <c r="O2" s="31" t="str">
        <f>IF(B2=HS!B2,HS!O2,"D")</f>
        <v>H</v>
      </c>
      <c r="P2" s="31" t="str">
        <f>IF(C2=HS!C2,HS!P2,"D")</f>
        <v>H</v>
      </c>
      <c r="Q2" s="31" t="str">
        <f>IF(D2=HS!D2,HS!Q2,"D")</f>
        <v>H</v>
      </c>
      <c r="R2" s="31" t="str">
        <f>IF(E2=HS!E2,HS!R2,"D")</f>
        <v>H</v>
      </c>
      <c r="S2" s="31" t="str">
        <f>IF(F2=HS!F2,HS!S2,"D")</f>
        <v>H</v>
      </c>
      <c r="T2" s="31" t="str">
        <f>IF(G2=HS!G2,HS!T2,"D")</f>
        <v>H</v>
      </c>
      <c r="U2" s="31" t="str">
        <f>IF(H2=HS!H2,HS!U2,"D")</f>
        <v>H</v>
      </c>
      <c r="V2" s="31" t="str">
        <f>IF(I2=HS!I2,HS!V2,"D")</f>
        <v>H</v>
      </c>
      <c r="W2" s="31" t="str">
        <f>IF(J2=HS!J2,HS!W2,"D")</f>
        <v>H</v>
      </c>
      <c r="X2" s="31" t="str">
        <f>IF(K2=HS!K2,HS!X2,"D")</f>
        <v>H</v>
      </c>
    </row>
    <row r="3" spans="1:24" x14ac:dyDescent="0.2">
      <c r="A3">
        <v>3</v>
      </c>
      <c r="B3">
        <f>MAX(Hit!B3,Stand!B3,Double!B3)</f>
        <v>-0.22793749290805351</v>
      </c>
      <c r="C3">
        <f>MAX(Hit!C3,Stand!C3,Double!C3)</f>
        <v>-0.10052250439785246</v>
      </c>
      <c r="D3">
        <f>MAX(Hit!D3,Stand!D3,Double!D3)</f>
        <v>-6.8875858278897514E-2</v>
      </c>
      <c r="E3">
        <f>MAX(Hit!E3,Stand!E3,Double!E3)</f>
        <v>-3.6261290708905339E-2</v>
      </c>
      <c r="F3">
        <f>MAX(Hit!F3,Stand!F3,Double!F3)</f>
        <v>1.6995712139687808E-4</v>
      </c>
      <c r="G3">
        <f>MAX(Hit!G3,Stand!G3,Double!G3)</f>
        <v>2.447130320655936E-2</v>
      </c>
      <c r="H3">
        <f>MAX(Hit!H3,Stand!H3,Double!H3)</f>
        <v>-5.7437588540356667E-2</v>
      </c>
      <c r="I3">
        <f>MAX(Hit!I3,Stand!I3,Double!I3)</f>
        <v>-0.13094188065020101</v>
      </c>
      <c r="J3">
        <f>MAX(Hit!J3,Stand!J3,Double!J3)</f>
        <v>-0.21507662281362433</v>
      </c>
      <c r="K3">
        <f>MAX(Hit!K3,Stand!K3,Double!K3)</f>
        <v>-0.26532921479747562</v>
      </c>
      <c r="N3" s="31">
        <v>3</v>
      </c>
      <c r="O3" s="31" t="str">
        <f>IF(B3=HS!B3,HS!O3,"D")</f>
        <v>H</v>
      </c>
      <c r="P3" s="31" t="str">
        <f>IF(C3=HS!C3,HS!P3,"D")</f>
        <v>H</v>
      </c>
      <c r="Q3" s="31" t="str">
        <f>IF(D3=HS!D3,HS!Q3,"D")</f>
        <v>H</v>
      </c>
      <c r="R3" s="31" t="str">
        <f>IF(E3=HS!E3,HS!R3,"D")</f>
        <v>H</v>
      </c>
      <c r="S3" s="31" t="str">
        <f>IF(F3=HS!F3,HS!S3,"D")</f>
        <v>H</v>
      </c>
      <c r="T3" s="31" t="str">
        <f>IF(G3=HS!G3,HS!T3,"D")</f>
        <v>H</v>
      </c>
      <c r="U3" s="31" t="str">
        <f>IF(H3=HS!H3,HS!U3,"D")</f>
        <v>H</v>
      </c>
      <c r="V3" s="31" t="str">
        <f>IF(I3=HS!I3,HS!V3,"D")</f>
        <v>H</v>
      </c>
      <c r="W3" s="31" t="str">
        <f>IF(J3=HS!J3,HS!W3,"D")</f>
        <v>H</v>
      </c>
      <c r="X3" s="31" t="str">
        <f>IF(K3=HS!K3,HS!X3,"D")</f>
        <v>H</v>
      </c>
    </row>
    <row r="4" spans="1:24" x14ac:dyDescent="0.2">
      <c r="A4">
        <v>4</v>
      </c>
      <c r="B4">
        <f>MAX(Hit!B4,Stand!B4,Double!B4)</f>
        <v>-0.25307699440390863</v>
      </c>
      <c r="C4">
        <f>MAX(Hit!C4,Stand!C4,Double!C4)</f>
        <v>-0.11491332761892134</v>
      </c>
      <c r="D4">
        <f>MAX(Hit!D4,Stand!D4,Double!D4)</f>
        <v>-8.2613314299744361E-2</v>
      </c>
      <c r="E4">
        <f>MAX(Hit!E4,Stand!E4,Double!E4)</f>
        <v>-4.9367420106916922E-2</v>
      </c>
      <c r="F4">
        <f>MAX(Hit!F4,Stand!F4,Double!F4)</f>
        <v>-1.2379926519926384E-2</v>
      </c>
      <c r="G4">
        <f>MAX(Hit!G4,Stand!G4,Double!G4)</f>
        <v>1.1130417280979797E-2</v>
      </c>
      <c r="H4">
        <f>MAX(Hit!H4,Stand!H4,Double!H4)</f>
        <v>-8.8279201058463722E-2</v>
      </c>
      <c r="I4">
        <f>MAX(Hit!I4,Stand!I4,Double!I4)</f>
        <v>-0.15933415266020512</v>
      </c>
      <c r="J4">
        <f>MAX(Hit!J4,Stand!J4,Double!J4)</f>
        <v>-0.24066617915336547</v>
      </c>
      <c r="K4">
        <f>MAX(Hit!K4,Stand!K4,Double!K4)</f>
        <v>-0.28919791448567511</v>
      </c>
      <c r="N4" s="31">
        <v>4</v>
      </c>
      <c r="O4" s="31" t="str">
        <f>IF(B4=HS!B4,HS!O4,"D")</f>
        <v>H</v>
      </c>
      <c r="P4" s="31" t="str">
        <f>IF(C4=HS!C4,HS!P4,"D")</f>
        <v>H</v>
      </c>
      <c r="Q4" s="31" t="str">
        <f>IF(D4=HS!D4,HS!Q4,"D")</f>
        <v>H</v>
      </c>
      <c r="R4" s="31" t="str">
        <f>IF(E4=HS!E4,HS!R4,"D")</f>
        <v>H</v>
      </c>
      <c r="S4" s="31" t="str">
        <f>IF(F4=HS!F4,HS!S4,"D")</f>
        <v>H</v>
      </c>
      <c r="T4" s="31" t="str">
        <f>IF(G4=HS!G4,HS!T4,"D")</f>
        <v>H</v>
      </c>
      <c r="U4" s="31" t="str">
        <f>IF(H4=HS!H4,HS!U4,"D")</f>
        <v>H</v>
      </c>
      <c r="V4" s="31" t="str">
        <f>IF(I4=HS!I4,HS!V4,"D")</f>
        <v>H</v>
      </c>
      <c r="W4" s="31" t="str">
        <f>IF(J4=HS!J4,HS!W4,"D")</f>
        <v>H</v>
      </c>
      <c r="X4" s="31" t="str">
        <f>IF(K4=HS!K4,HS!X4,"D")</f>
        <v>H</v>
      </c>
    </row>
    <row r="5" spans="1:24" x14ac:dyDescent="0.2">
      <c r="A5">
        <v>5</v>
      </c>
      <c r="B5">
        <f>MAX(Hit!B5,Stand!B5,Double!B5)</f>
        <v>-0.27857459755181968</v>
      </c>
      <c r="C5">
        <f>MAX(Hit!C5,Stand!C5,Double!C5)</f>
        <v>-0.12821556706374745</v>
      </c>
      <c r="D5">
        <f>MAX(Hit!D5,Stand!D5,Double!D5)</f>
        <v>-9.5310227261489883E-2</v>
      </c>
      <c r="E5">
        <f>MAX(Hit!E5,Stand!E5,Double!E5)</f>
        <v>-6.1479464199694238E-2</v>
      </c>
      <c r="F5">
        <f>MAX(Hit!F5,Stand!F5,Double!F5)</f>
        <v>-2.397897039185962E-2</v>
      </c>
      <c r="G5">
        <f>MAX(Hit!G5,Stand!G5,Double!G5)</f>
        <v>-1.1863378384401623E-3</v>
      </c>
      <c r="H5">
        <f>MAX(Hit!H5,Stand!H5,Double!H5)</f>
        <v>-0.11944744188414852</v>
      </c>
      <c r="I5">
        <f>MAX(Hit!I5,Stand!I5,Double!I5)</f>
        <v>-0.18809330390318524</v>
      </c>
      <c r="J5">
        <f>MAX(Hit!J5,Stand!J5,Double!J5)</f>
        <v>-0.26661505335795899</v>
      </c>
      <c r="K5">
        <f>MAX(Hit!K5,Stand!K5,Double!K5)</f>
        <v>-0.31341164336497107</v>
      </c>
      <c r="N5" s="31">
        <v>5</v>
      </c>
      <c r="O5" s="31" t="str">
        <f>IF(B5=HS!B5,HS!O5,"D")</f>
        <v>H</v>
      </c>
      <c r="P5" s="31" t="str">
        <f>IF(C5=HS!C5,HS!P5,"D")</f>
        <v>H</v>
      </c>
      <c r="Q5" s="31" t="str">
        <f>IF(D5=HS!D5,HS!Q5,"D")</f>
        <v>H</v>
      </c>
      <c r="R5" s="31" t="str">
        <f>IF(E5=HS!E5,HS!R5,"D")</f>
        <v>H</v>
      </c>
      <c r="S5" s="31" t="str">
        <f>IF(F5=HS!F5,HS!S5,"D")</f>
        <v>H</v>
      </c>
      <c r="T5" s="31" t="str">
        <f>IF(G5=HS!G5,HS!T5,"D")</f>
        <v>H</v>
      </c>
      <c r="U5" s="31" t="str">
        <f>IF(H5=HS!H5,HS!U5,"D")</f>
        <v>H</v>
      </c>
      <c r="V5" s="31" t="str">
        <f>IF(I5=HS!I5,HS!V5,"D")</f>
        <v>H</v>
      </c>
      <c r="W5" s="31" t="str">
        <f>IF(J5=HS!J5,HS!W5,"D")</f>
        <v>H</v>
      </c>
      <c r="X5" s="31" t="str">
        <f>IF(K5=HS!K5,HS!X5,"D")</f>
        <v>H</v>
      </c>
    </row>
    <row r="6" spans="1:24" x14ac:dyDescent="0.2">
      <c r="A6">
        <v>6</v>
      </c>
      <c r="B6">
        <f>MAX(Hit!B6,Stand!B6,Double!B6)</f>
        <v>-0.30414663097569933</v>
      </c>
      <c r="C6">
        <f>MAX(Hit!C6,Stand!C6,Double!C6)</f>
        <v>-0.14075911746001987</v>
      </c>
      <c r="D6">
        <f>MAX(Hit!D6,Stand!D6,Double!D6)</f>
        <v>-0.10729107800860836</v>
      </c>
      <c r="E6">
        <f>MAX(Hit!E6,Stand!E6,Double!E6)</f>
        <v>-7.2917141926387305E-2</v>
      </c>
      <c r="F6">
        <f>MAX(Hit!F6,Stand!F6,Double!F6)</f>
        <v>-3.4915973330102178E-2</v>
      </c>
      <c r="G6">
        <f>MAX(Hit!G6,Stand!G6,Double!G6)</f>
        <v>-1.3005835529874294E-2</v>
      </c>
      <c r="H6">
        <f>MAX(Hit!H6,Stand!H6,Double!H6)</f>
        <v>-0.15193270723669944</v>
      </c>
      <c r="I6">
        <f>MAX(Hit!I6,Stand!I6,Double!I6)</f>
        <v>-0.21724188132078476</v>
      </c>
      <c r="J6">
        <f>MAX(Hit!J6,Stand!J6,Double!J6)</f>
        <v>-0.29264070019772598</v>
      </c>
      <c r="K6">
        <f>MAX(Hit!K6,Stand!K6,Double!K6)</f>
        <v>-0.33774944037840804</v>
      </c>
      <c r="N6" s="31">
        <v>6</v>
      </c>
      <c r="O6" s="31" t="str">
        <f>IF(B6=HS!B6,HS!O6,"D")</f>
        <v>H</v>
      </c>
      <c r="P6" s="31" t="str">
        <f>IF(C6=HS!C6,HS!P6,"D")</f>
        <v>H</v>
      </c>
      <c r="Q6" s="31" t="str">
        <f>IF(D6=HS!D6,HS!Q6,"D")</f>
        <v>H</v>
      </c>
      <c r="R6" s="31" t="str">
        <f>IF(E6=HS!E6,HS!R6,"D")</f>
        <v>H</v>
      </c>
      <c r="S6" s="31" t="str">
        <f>IF(F6=HS!F6,HS!S6,"D")</f>
        <v>H</v>
      </c>
      <c r="T6" s="31" t="str">
        <f>IF(G6=HS!G6,HS!T6,"D")</f>
        <v>H</v>
      </c>
      <c r="U6" s="31" t="str">
        <f>IF(H6=HS!H6,HS!U6,"D")</f>
        <v>H</v>
      </c>
      <c r="V6" s="31" t="str">
        <f>IF(I6=HS!I6,HS!V6,"D")</f>
        <v>H</v>
      </c>
      <c r="W6" s="31" t="str">
        <f>IF(J6=HS!J6,HS!W6,"D")</f>
        <v>H</v>
      </c>
      <c r="X6" s="31" t="str">
        <f>IF(K6=HS!K6,HS!X6,"D")</f>
        <v>H</v>
      </c>
    </row>
    <row r="7" spans="1:24" x14ac:dyDescent="0.2">
      <c r="A7">
        <v>7</v>
      </c>
      <c r="B7">
        <f>MAX(Hit!B7,Stand!B7,Double!B7)</f>
        <v>-0.31007165033163697</v>
      </c>
      <c r="C7">
        <f>MAX(Hit!C7,Stand!C7,Double!C7)</f>
        <v>-0.10918342786661633</v>
      </c>
      <c r="D7">
        <f>MAX(Hit!D7,Stand!D7,Double!D7)</f>
        <v>-7.658298190446361E-2</v>
      </c>
      <c r="E7">
        <f>MAX(Hit!E7,Stand!E7,Double!E7)</f>
        <v>-4.3021794004341876E-2</v>
      </c>
      <c r="F7">
        <f>MAX(Hit!F7,Stand!F7,Double!F7)</f>
        <v>-7.2713609029408845E-3</v>
      </c>
      <c r="G7">
        <f>MAX(Hit!G7,Stand!G7,Double!G7)</f>
        <v>2.9185342353860864E-2</v>
      </c>
      <c r="H7">
        <f>MAX(Hit!H7,Stand!H7,Double!H7)</f>
        <v>-6.8807799580427764E-2</v>
      </c>
      <c r="I7">
        <f>MAX(Hit!I7,Stand!I7,Double!I7)</f>
        <v>-0.21060476872434969</v>
      </c>
      <c r="J7">
        <f>MAX(Hit!J7,Stand!J7,Double!J7)</f>
        <v>-0.28536544048687656</v>
      </c>
      <c r="K7">
        <f>MAX(Hit!K7,Stand!K7,Double!K7)</f>
        <v>-0.31905479139833842</v>
      </c>
      <c r="N7" s="31">
        <v>7</v>
      </c>
      <c r="O7" s="31" t="str">
        <f>IF(B7=HS!B7,HS!O7,"D")</f>
        <v>H</v>
      </c>
      <c r="P7" s="31" t="str">
        <f>IF(C7=HS!C7,HS!P7,"D")</f>
        <v>H</v>
      </c>
      <c r="Q7" s="31" t="str">
        <f>IF(D7=HS!D7,HS!Q7,"D")</f>
        <v>H</v>
      </c>
      <c r="R7" s="31" t="str">
        <f>IF(E7=HS!E7,HS!R7,"D")</f>
        <v>H</v>
      </c>
      <c r="S7" s="31" t="str">
        <f>IF(F7=HS!F7,HS!S7,"D")</f>
        <v>H</v>
      </c>
      <c r="T7" s="31" t="str">
        <f>IF(G7=HS!G7,HS!T7,"D")</f>
        <v>H</v>
      </c>
      <c r="U7" s="31" t="str">
        <f>IF(H7=HS!H7,HS!U7,"D")</f>
        <v>H</v>
      </c>
      <c r="V7" s="31" t="str">
        <f>IF(I7=HS!I7,HS!V7,"D")</f>
        <v>H</v>
      </c>
      <c r="W7" s="31" t="str">
        <f>IF(J7=HS!J7,HS!W7,"D")</f>
        <v>H</v>
      </c>
      <c r="X7" s="31" t="str">
        <f>IF(K7=HS!K7,HS!X7,"D")</f>
        <v>H</v>
      </c>
    </row>
    <row r="8" spans="1:24" x14ac:dyDescent="0.2">
      <c r="A8">
        <v>8</v>
      </c>
      <c r="B8">
        <f>MAX(Hit!B8,Stand!B8,Double!B8)</f>
        <v>-0.1970288105741636</v>
      </c>
      <c r="C8">
        <f>MAX(Hit!C8,Stand!C8,Double!C8)</f>
        <v>-2.1798188008805668E-2</v>
      </c>
      <c r="D8">
        <f>MAX(Hit!D8,Stand!D8,Double!D8)</f>
        <v>8.0052625306546825E-3</v>
      </c>
      <c r="E8">
        <f>MAX(Hit!E8,Stand!E8,Double!E8)</f>
        <v>3.8784473277208811E-2</v>
      </c>
      <c r="F8">
        <f>MAX(Hit!F8,Stand!F8,Double!F8)</f>
        <v>7.0804635983033826E-2</v>
      </c>
      <c r="G8">
        <f>MAX(Hit!G8,Stand!G8,Double!G8)</f>
        <v>0.11496015009622321</v>
      </c>
      <c r="H8">
        <f>MAX(Hit!H8,Stand!H8,Double!H8)</f>
        <v>8.2207439363742862E-2</v>
      </c>
      <c r="I8">
        <f>MAX(Hit!I8,Stand!I8,Double!I8)</f>
        <v>-5.9898275658656304E-2</v>
      </c>
      <c r="J8">
        <f>MAX(Hit!J8,Stand!J8,Double!J8)</f>
        <v>-0.21018633199821757</v>
      </c>
      <c r="K8">
        <f>MAX(Hit!K8,Stand!K8,Double!K8)</f>
        <v>-0.24937508055334259</v>
      </c>
      <c r="N8" s="31">
        <v>8</v>
      </c>
      <c r="O8" s="31" t="str">
        <f>IF(B8=HS!B8,HS!O8,"D")</f>
        <v>H</v>
      </c>
      <c r="P8" s="31" t="str">
        <f>IF(C8=HS!C8,HS!P8,"D")</f>
        <v>H</v>
      </c>
      <c r="Q8" s="31" t="str">
        <f>IF(D8=HS!D8,HS!Q8,"D")</f>
        <v>H</v>
      </c>
      <c r="R8" s="31" t="str">
        <f>IF(E8=HS!E8,HS!R8,"D")</f>
        <v>H</v>
      </c>
      <c r="S8" s="31" t="str">
        <f>IF(F8=HS!F8,HS!S8,"D")</f>
        <v>H</v>
      </c>
      <c r="T8" s="31" t="str">
        <f>IF(G8=HS!G8,HS!T8,"D")</f>
        <v>H</v>
      </c>
      <c r="U8" s="31" t="str">
        <f>IF(H8=HS!H8,HS!U8,"D")</f>
        <v>H</v>
      </c>
      <c r="V8" s="31" t="str">
        <f>IF(I8=HS!I8,HS!V8,"D")</f>
        <v>H</v>
      </c>
      <c r="W8" s="31" t="str">
        <f>IF(J8=HS!J8,HS!W8,"D")</f>
        <v>H</v>
      </c>
      <c r="X8" s="31" t="str">
        <f>IF(K8=HS!K8,HS!X8,"D")</f>
        <v>H</v>
      </c>
    </row>
    <row r="9" spans="1:24" x14ac:dyDescent="0.2">
      <c r="A9">
        <v>9</v>
      </c>
      <c r="B9">
        <f>MAX(Hit!B9,Stand!B9,Double!B9)</f>
        <v>-6.5680778778066204E-2</v>
      </c>
      <c r="C9">
        <f>MAX(Hit!C9,Stand!C9,Double!C9)</f>
        <v>7.4446037576340524E-2</v>
      </c>
      <c r="D9">
        <f>MAX(Hit!D9,Stand!D9,Double!D9)</f>
        <v>0.12081635332999649</v>
      </c>
      <c r="E9">
        <f>MAX(Hit!E9,Stand!E9,Double!E9)</f>
        <v>0.18194893405242166</v>
      </c>
      <c r="F9">
        <f>MAX(Hit!F9,Stand!F9,Double!F9)</f>
        <v>0.24305722487303633</v>
      </c>
      <c r="G9">
        <f>MAX(Hit!G9,Stand!G9,Double!G9)</f>
        <v>0.31705474570166692</v>
      </c>
      <c r="H9">
        <f>MAX(Hit!H9,Stand!H9,Double!H9)</f>
        <v>0.17186785993695267</v>
      </c>
      <c r="I9">
        <f>MAX(Hit!I9,Stand!I9,Double!I9)</f>
        <v>9.8376217435392516E-2</v>
      </c>
      <c r="J9">
        <f>MAX(Hit!J9,Stand!J9,Double!J9)</f>
        <v>-5.2178053462651669E-2</v>
      </c>
      <c r="K9">
        <f>MAX(Hit!K9,Stand!K9,Double!K9)</f>
        <v>-0.15295298487455075</v>
      </c>
      <c r="N9" s="31">
        <v>9</v>
      </c>
      <c r="O9" s="31" t="str">
        <f>IF(B9=HS!B9,HS!O9,"D")</f>
        <v>H</v>
      </c>
      <c r="P9" s="31" t="str">
        <f>IF(C9=HS!C9,HS!P9,"D")</f>
        <v>H</v>
      </c>
      <c r="Q9" s="31" t="str">
        <f>IF(D9=HS!D9,HS!Q9,"D")</f>
        <v>D</v>
      </c>
      <c r="R9" s="31" t="str">
        <f>IF(E9=HS!E9,HS!R9,"D")</f>
        <v>D</v>
      </c>
      <c r="S9" s="31" t="str">
        <f>IF(F9=HS!F9,HS!S9,"D")</f>
        <v>D</v>
      </c>
      <c r="T9" s="31" t="str">
        <f>IF(G9=HS!G9,HS!T9,"D")</f>
        <v>D</v>
      </c>
      <c r="U9" s="31" t="str">
        <f>IF(H9=HS!H9,HS!U9,"D")</f>
        <v>H</v>
      </c>
      <c r="V9" s="31" t="str">
        <f>IF(I9=HS!I9,HS!V9,"D")</f>
        <v>H</v>
      </c>
      <c r="W9" s="31" t="str">
        <f>IF(J9=HS!J9,HS!W9,"D")</f>
        <v>H</v>
      </c>
      <c r="X9" s="31" t="str">
        <f>IF(K9=HS!K9,HS!X9,"D")</f>
        <v>H</v>
      </c>
    </row>
    <row r="10" spans="1:24" x14ac:dyDescent="0.2">
      <c r="A10">
        <v>10</v>
      </c>
      <c r="B10">
        <f>MAX(Hit!B10,Stand!B10,Double!B10)</f>
        <v>8.1449707945275923E-2</v>
      </c>
      <c r="C10">
        <f>MAX(Hit!C10,Stand!C10,Double!C10)</f>
        <v>0.3589394124422991</v>
      </c>
      <c r="D10">
        <f>MAX(Hit!D10,Stand!D10,Double!D10)</f>
        <v>0.40932067017593915</v>
      </c>
      <c r="E10">
        <f>MAX(Hit!E10,Stand!E10,Double!E10)</f>
        <v>0.460940243794354</v>
      </c>
      <c r="F10">
        <f>MAX(Hit!F10,Stand!F10,Double!F10)</f>
        <v>0.51251710900326775</v>
      </c>
      <c r="G10">
        <f>MAX(Hit!G10,Stand!G10,Double!G10)</f>
        <v>0.57559016859776857</v>
      </c>
      <c r="H10">
        <f>MAX(Hit!H10,Stand!H10,Double!H10)</f>
        <v>0.39241245528243773</v>
      </c>
      <c r="I10">
        <f>MAX(Hit!I10,Stand!I10,Double!I10)</f>
        <v>0.28663571688628381</v>
      </c>
      <c r="J10">
        <f>MAX(Hit!J10,Stand!J10,Double!J10)</f>
        <v>0.1443283683807712</v>
      </c>
      <c r="K10">
        <f>MAX(Hit!K10,Stand!K10,Double!K10)</f>
        <v>2.5308523040868145E-2</v>
      </c>
      <c r="N10" s="31">
        <v>10</v>
      </c>
      <c r="O10" s="31" t="str">
        <f>IF(B10=HS!B10,HS!O10,"D")</f>
        <v>H</v>
      </c>
      <c r="P10" s="31" t="str">
        <f>IF(C10=HS!C10,HS!P10,"D")</f>
        <v>D</v>
      </c>
      <c r="Q10" s="31" t="str">
        <f>IF(D10=HS!D10,HS!Q10,"D")</f>
        <v>D</v>
      </c>
      <c r="R10" s="31" t="str">
        <f>IF(E10=HS!E10,HS!R10,"D")</f>
        <v>D</v>
      </c>
      <c r="S10" s="31" t="str">
        <f>IF(F10=HS!F10,HS!S10,"D")</f>
        <v>D</v>
      </c>
      <c r="T10" s="31" t="str">
        <f>IF(G10=HS!G10,HS!T10,"D")</f>
        <v>D</v>
      </c>
      <c r="U10" s="31" t="str">
        <f>IF(H10=HS!H10,HS!U10,"D")</f>
        <v>D</v>
      </c>
      <c r="V10" s="31" t="str">
        <f>IF(I10=HS!I10,HS!V10,"D")</f>
        <v>D</v>
      </c>
      <c r="W10" s="31" t="str">
        <f>IF(J10=HS!J10,HS!W10,"D")</f>
        <v>D</v>
      </c>
      <c r="X10" s="31" t="str">
        <f>IF(K10=HS!K10,HS!X10,"D")</f>
        <v>H</v>
      </c>
    </row>
    <row r="11" spans="1:24" x14ac:dyDescent="0.2">
      <c r="A11">
        <v>11</v>
      </c>
      <c r="B11">
        <f>MAX(Hit!B11,Stand!B11,Double!B11)</f>
        <v>0.14300128216153027</v>
      </c>
      <c r="C11">
        <f>MAX(Hit!C11,Stand!C11,Double!C11)</f>
        <v>0.47064092333946889</v>
      </c>
      <c r="D11">
        <f>MAX(Hit!D11,Stand!D11,Double!D11)</f>
        <v>0.51779525312221675</v>
      </c>
      <c r="E11">
        <f>MAX(Hit!E11,Stand!E11,Double!E11)</f>
        <v>0.56604055041797607</v>
      </c>
      <c r="F11">
        <f>MAX(Hit!F11,Stand!F11,Double!F11)</f>
        <v>0.61469901790902803</v>
      </c>
      <c r="G11">
        <f>MAX(Hit!G11,Stand!G11,Double!G11)</f>
        <v>0.66738009490756944</v>
      </c>
      <c r="H11">
        <f>MAX(Hit!H11,Stand!H11,Double!H11)</f>
        <v>0.46288894886429077</v>
      </c>
      <c r="I11">
        <f>MAX(Hit!I11,Stand!I11,Double!I11)</f>
        <v>0.35069259087031501</v>
      </c>
      <c r="J11">
        <f>MAX(Hit!J11,Stand!J11,Double!J11)</f>
        <v>0.22778342315245487</v>
      </c>
      <c r="K11">
        <f>MAX(Hit!K11,Stand!K11,Double!K11)</f>
        <v>0.1796887274111463</v>
      </c>
      <c r="N11" s="31">
        <v>11</v>
      </c>
      <c r="O11" s="31" t="str">
        <f>IF(B11=HS!B11,HS!O11,"D")</f>
        <v>H</v>
      </c>
      <c r="P11" s="31" t="str">
        <f>IF(C11=HS!C11,HS!P11,"D")</f>
        <v>D</v>
      </c>
      <c r="Q11" s="31" t="str">
        <f>IF(D11=HS!D11,HS!Q11,"D")</f>
        <v>D</v>
      </c>
      <c r="R11" s="31" t="str">
        <f>IF(E11=HS!E11,HS!R11,"D")</f>
        <v>D</v>
      </c>
      <c r="S11" s="31" t="str">
        <f>IF(F11=HS!F11,HS!S11,"D")</f>
        <v>D</v>
      </c>
      <c r="T11" s="31" t="str">
        <f>IF(G11=HS!G11,HS!T11,"D")</f>
        <v>D</v>
      </c>
      <c r="U11" s="31" t="str">
        <f>IF(H11=HS!H11,HS!U11,"D")</f>
        <v>D</v>
      </c>
      <c r="V11" s="31" t="str">
        <f>IF(I11=HS!I11,HS!V11,"D")</f>
        <v>D</v>
      </c>
      <c r="W11" s="31" t="str">
        <f>IF(J11=HS!J11,HS!W11,"D")</f>
        <v>D</v>
      </c>
      <c r="X11" s="31" t="str">
        <f>IF(K11=HS!K11,HS!X11,"D")</f>
        <v>D</v>
      </c>
    </row>
    <row r="12" spans="1:24" x14ac:dyDescent="0.2">
      <c r="A12">
        <v>12</v>
      </c>
      <c r="B12">
        <f>MAX(Hit!B12,Stand!B12,Double!B12)</f>
        <v>-0.35054034044008009</v>
      </c>
      <c r="C12">
        <f>MAX(Hit!C12,Stand!C12,Double!C12)</f>
        <v>-0.25338998596663809</v>
      </c>
      <c r="D12">
        <f>MAX(Hit!D12,Stand!D12,Double!D12)</f>
        <v>-0.2336908997980866</v>
      </c>
      <c r="E12">
        <f>MAX(Hit!E12,Stand!E12,Double!E12)</f>
        <v>-0.21106310899491437</v>
      </c>
      <c r="F12">
        <f>MAX(Hit!F12,Stand!F12,Double!F12)</f>
        <v>-0.16719266083547524</v>
      </c>
      <c r="G12">
        <f>MAX(Hit!G12,Stand!G12,Double!G12)</f>
        <v>-0.1536990158300045</v>
      </c>
      <c r="H12">
        <f>MAX(Hit!H12,Stand!H12,Double!H12)</f>
        <v>-0.21284771451731424</v>
      </c>
      <c r="I12">
        <f>MAX(Hit!I12,Stand!I12,Double!I12)</f>
        <v>-0.27157480502428616</v>
      </c>
      <c r="J12">
        <f>MAX(Hit!J12,Stand!J12,Double!J12)</f>
        <v>-0.3400132806089356</v>
      </c>
      <c r="K12">
        <f>MAX(Hit!K12,Stand!K12,Double!K12)</f>
        <v>-0.38104299284808768</v>
      </c>
      <c r="N12" s="31">
        <v>12</v>
      </c>
      <c r="O12" s="31" t="str">
        <f>IF(B12=HS!B12,HS!O12,"D")</f>
        <v>H</v>
      </c>
      <c r="P12" s="31" t="str">
        <f>IF(C12=HS!C12,HS!P12,"D")</f>
        <v>H</v>
      </c>
      <c r="Q12" s="31" t="str">
        <f>IF(D12=HS!D12,HS!Q12,"D")</f>
        <v>H</v>
      </c>
      <c r="R12" s="31" t="str">
        <f>IF(E12=HS!E12,HS!R12,"D")</f>
        <v>S</v>
      </c>
      <c r="S12" s="31" t="str">
        <f>IF(F12=HS!F12,HS!S12,"D")</f>
        <v>S</v>
      </c>
      <c r="T12" s="31" t="str">
        <f>IF(G12=HS!G12,HS!T12,"D")</f>
        <v>S</v>
      </c>
      <c r="U12" s="31" t="str">
        <f>IF(H12=HS!H12,HS!U12,"D")</f>
        <v>H</v>
      </c>
      <c r="V12" s="31" t="str">
        <f>IF(I12=HS!I12,HS!V12,"D")</f>
        <v>H</v>
      </c>
      <c r="W12" s="31" t="str">
        <f>IF(J12=HS!J12,HS!W12,"D")</f>
        <v>H</v>
      </c>
      <c r="X12" s="31" t="str">
        <f>IF(K12=HS!K12,HS!X12,"D")</f>
        <v>H</v>
      </c>
    </row>
    <row r="13" spans="1:24" x14ac:dyDescent="0.2">
      <c r="A13">
        <v>13</v>
      </c>
      <c r="B13">
        <f>MAX(Hit!B13,Stand!B13,Double!B13)</f>
        <v>-0.3969303161229315</v>
      </c>
      <c r="C13">
        <f>MAX(Hit!C13,Stand!C13,Double!C13)</f>
        <v>-0.29278372720927726</v>
      </c>
      <c r="D13">
        <f>MAX(Hit!D13,Stand!D13,Double!D13)</f>
        <v>-0.2522502292357135</v>
      </c>
      <c r="E13">
        <f>MAX(Hit!E13,Stand!E13,Double!E13)</f>
        <v>-0.21106310899491437</v>
      </c>
      <c r="F13">
        <f>MAX(Hit!F13,Stand!F13,Double!F13)</f>
        <v>-0.16719266083547524</v>
      </c>
      <c r="G13">
        <f>MAX(Hit!G13,Stand!G13,Double!G13)</f>
        <v>-0.1536990158300045</v>
      </c>
      <c r="H13">
        <f>MAX(Hit!H13,Stand!H13,Double!H13)</f>
        <v>-0.26907287776607752</v>
      </c>
      <c r="I13">
        <f>MAX(Hit!I13,Stand!I13,Double!I13)</f>
        <v>-0.32360517609397998</v>
      </c>
      <c r="J13">
        <f>MAX(Hit!J13,Stand!J13,Double!J13)</f>
        <v>-0.38715518913686875</v>
      </c>
      <c r="K13">
        <f>MAX(Hit!K13,Stand!K13,Double!K13)</f>
        <v>-0.42525420764465277</v>
      </c>
      <c r="N13" s="31">
        <v>13</v>
      </c>
      <c r="O13" s="31" t="str">
        <f>IF(B13=HS!B13,HS!O13,"D")</f>
        <v>H</v>
      </c>
      <c r="P13" s="31" t="str">
        <f>IF(C13=HS!C13,HS!P13,"D")</f>
        <v>S</v>
      </c>
      <c r="Q13" s="31" t="str">
        <f>IF(D13=HS!D13,HS!Q13,"D")</f>
        <v>S</v>
      </c>
      <c r="R13" s="31" t="str">
        <f>IF(E13=HS!E13,HS!R13,"D")</f>
        <v>S</v>
      </c>
      <c r="S13" s="31" t="str">
        <f>IF(F13=HS!F13,HS!S13,"D")</f>
        <v>S</v>
      </c>
      <c r="T13" s="31" t="str">
        <f>IF(G13=HS!G13,HS!T13,"D")</f>
        <v>S</v>
      </c>
      <c r="U13" s="31" t="str">
        <f>IF(H13=HS!H13,HS!U13,"D")</f>
        <v>H</v>
      </c>
      <c r="V13" s="31" t="str">
        <f>IF(I13=HS!I13,HS!V13,"D")</f>
        <v>H</v>
      </c>
      <c r="W13" s="31" t="str">
        <f>IF(J13=HS!J13,HS!W13,"D")</f>
        <v>H</v>
      </c>
      <c r="X13" s="31" t="str">
        <f>IF(K13=HS!K13,HS!X13,"D")</f>
        <v>H</v>
      </c>
    </row>
    <row r="14" spans="1:24" x14ac:dyDescent="0.2">
      <c r="A14">
        <v>14</v>
      </c>
      <c r="B14">
        <f>MAX(Hit!B14,Stand!B14,Double!B14)</f>
        <v>-0.44000672211415065</v>
      </c>
      <c r="C14">
        <f>MAX(Hit!C14,Stand!C14,Double!C14)</f>
        <v>-0.29278372720927726</v>
      </c>
      <c r="D14">
        <f>MAX(Hit!D14,Stand!D14,Double!D14)</f>
        <v>-0.2522502292357135</v>
      </c>
      <c r="E14">
        <f>MAX(Hit!E14,Stand!E14,Double!E14)</f>
        <v>-0.21106310899491437</v>
      </c>
      <c r="F14">
        <f>MAX(Hit!F14,Stand!F14,Double!F14)</f>
        <v>-0.16719266083547524</v>
      </c>
      <c r="G14">
        <f>MAX(Hit!G14,Stand!G14,Double!G14)</f>
        <v>-0.1536990158300045</v>
      </c>
      <c r="H14">
        <f>MAX(Hit!H14,Stand!H14,Double!H14)</f>
        <v>-0.3212819579256434</v>
      </c>
      <c r="I14">
        <f>MAX(Hit!I14,Stand!I14,Double!I14)</f>
        <v>-0.37191909208726714</v>
      </c>
      <c r="J14">
        <f>MAX(Hit!J14,Stand!J14,Double!J14)</f>
        <v>-0.43092981848423528</v>
      </c>
      <c r="K14">
        <f>MAX(Hit!K14,Stand!K14,Double!K14)</f>
        <v>-0.46630747852717758</v>
      </c>
      <c r="N14" s="31">
        <v>14</v>
      </c>
      <c r="O14" s="31" t="str">
        <f>IF(B14=HS!B14,HS!O14,"D")</f>
        <v>H</v>
      </c>
      <c r="P14" s="31" t="str">
        <f>IF(C14=HS!C14,HS!P14,"D")</f>
        <v>S</v>
      </c>
      <c r="Q14" s="31" t="str">
        <f>IF(D14=HS!D14,HS!Q14,"D")</f>
        <v>S</v>
      </c>
      <c r="R14" s="31" t="str">
        <f>IF(E14=HS!E14,HS!R14,"D")</f>
        <v>S</v>
      </c>
      <c r="S14" s="31" t="str">
        <f>IF(F14=HS!F14,HS!S14,"D")</f>
        <v>S</v>
      </c>
      <c r="T14" s="31" t="str">
        <f>IF(G14=HS!G14,HS!T14,"D")</f>
        <v>S</v>
      </c>
      <c r="U14" s="31" t="str">
        <f>IF(H14=HS!H14,HS!U14,"D")</f>
        <v>H</v>
      </c>
      <c r="V14" s="31" t="str">
        <f>IF(I14=HS!I14,HS!V14,"D")</f>
        <v>H</v>
      </c>
      <c r="W14" s="31" t="str">
        <f>IF(J14=HS!J14,HS!W14,"D")</f>
        <v>H</v>
      </c>
      <c r="X14" s="31" t="str">
        <f>IF(K14=HS!K14,HS!X14,"D")</f>
        <v>H</v>
      </c>
    </row>
    <row r="15" spans="1:24" x14ac:dyDescent="0.2">
      <c r="A15">
        <v>15</v>
      </c>
      <c r="B15">
        <f>MAX(Hit!B15,Stand!B15,Double!B15)</f>
        <v>-0.4800062419631399</v>
      </c>
      <c r="C15">
        <f>MAX(Hit!C15,Stand!C15,Double!C15)</f>
        <v>-0.29278372720927726</v>
      </c>
      <c r="D15">
        <f>MAX(Hit!D15,Stand!D15,Double!D15)</f>
        <v>-0.2522502292357135</v>
      </c>
      <c r="E15">
        <f>MAX(Hit!E15,Stand!E15,Double!E15)</f>
        <v>-0.21106310899491437</v>
      </c>
      <c r="F15">
        <f>MAX(Hit!F15,Stand!F15,Double!F15)</f>
        <v>-0.16719266083547524</v>
      </c>
      <c r="G15">
        <f>MAX(Hit!G15,Stand!G15,Double!G15)</f>
        <v>-0.1536990158300045</v>
      </c>
      <c r="H15">
        <f>MAX(Hit!H15,Stand!H15,Double!H15)</f>
        <v>-0.36976181807381175</v>
      </c>
      <c r="I15">
        <f>MAX(Hit!I15,Stand!I15,Double!I15)</f>
        <v>-0.41678201408103371</v>
      </c>
      <c r="J15">
        <f>MAX(Hit!J15,Stand!J15,Double!J15)</f>
        <v>-0.47157768859250415</v>
      </c>
      <c r="K15">
        <f>MAX(Hit!K15,Stand!K15,Double!K15)</f>
        <v>-0.5044283729180935</v>
      </c>
      <c r="N15" s="31">
        <v>15</v>
      </c>
      <c r="O15" s="31" t="str">
        <f>IF(B15=HS!B15,HS!O15,"D")</f>
        <v>H</v>
      </c>
      <c r="P15" s="31" t="str">
        <f>IF(C15=HS!C15,HS!P15,"D")</f>
        <v>S</v>
      </c>
      <c r="Q15" s="31" t="str">
        <f>IF(D15=HS!D15,HS!Q15,"D")</f>
        <v>S</v>
      </c>
      <c r="R15" s="31" t="str">
        <f>IF(E15=HS!E15,HS!R15,"D")</f>
        <v>S</v>
      </c>
      <c r="S15" s="31" t="str">
        <f>IF(F15=HS!F15,HS!S15,"D")</f>
        <v>S</v>
      </c>
      <c r="T15" s="31" t="str">
        <f>IF(G15=HS!G15,HS!T15,"D")</f>
        <v>S</v>
      </c>
      <c r="U15" s="31" t="str">
        <f>IF(H15=HS!H15,HS!U15,"D")</f>
        <v>H</v>
      </c>
      <c r="V15" s="31" t="str">
        <f>IF(I15=HS!I15,HS!V15,"D")</f>
        <v>H</v>
      </c>
      <c r="W15" s="31" t="str">
        <f>IF(J15=HS!J15,HS!W15,"D")</f>
        <v>H</v>
      </c>
      <c r="X15" s="31" t="str">
        <f>IF(K15=HS!K15,HS!X15,"D")</f>
        <v>H</v>
      </c>
    </row>
    <row r="16" spans="1:24" x14ac:dyDescent="0.2">
      <c r="A16">
        <v>16</v>
      </c>
      <c r="B16">
        <f>MAX(Hit!B16,Stand!B16,Double!B16)</f>
        <v>-0.51714865325148707</v>
      </c>
      <c r="C16">
        <f>MAX(Hit!C16,Stand!C16,Double!C16)</f>
        <v>-0.29278372720927726</v>
      </c>
      <c r="D16">
        <f>MAX(Hit!D16,Stand!D16,Double!D16)</f>
        <v>-0.2522502292357135</v>
      </c>
      <c r="E16">
        <f>MAX(Hit!E16,Stand!E16,Double!E16)</f>
        <v>-0.21106310899491437</v>
      </c>
      <c r="F16">
        <f>MAX(Hit!F16,Stand!F16,Double!F16)</f>
        <v>-0.16719266083547524</v>
      </c>
      <c r="G16">
        <f>MAX(Hit!G16,Stand!G16,Double!G16)</f>
        <v>-0.1536990158300045</v>
      </c>
      <c r="H16">
        <f>MAX(Hit!H16,Stand!H16,Double!H16)</f>
        <v>-0.41477883106853947</v>
      </c>
      <c r="I16">
        <f>MAX(Hit!I16,Stand!I16,Double!I16)</f>
        <v>-0.45844044164667419</v>
      </c>
      <c r="J16">
        <f>MAX(Hit!J16,Stand!J16,Double!J16)</f>
        <v>-0.50932213940732529</v>
      </c>
      <c r="K16">
        <f>MAX(Hit!K16,Stand!K16,Double!K16)</f>
        <v>-0.53982634628108683</v>
      </c>
      <c r="N16" s="31">
        <v>16</v>
      </c>
      <c r="O16" s="31" t="str">
        <f>IF(B16=HS!B16,HS!O16,"D")</f>
        <v>H</v>
      </c>
      <c r="P16" s="31" t="str">
        <f>IF(C16=HS!C16,HS!P16,"D")</f>
        <v>S</v>
      </c>
      <c r="Q16" s="31" t="str">
        <f>IF(D16=HS!D16,HS!Q16,"D")</f>
        <v>S</v>
      </c>
      <c r="R16" s="31" t="str">
        <f>IF(E16=HS!E16,HS!R16,"D")</f>
        <v>S</v>
      </c>
      <c r="S16" s="31" t="str">
        <f>IF(F16=HS!F16,HS!S16,"D")</f>
        <v>S</v>
      </c>
      <c r="T16" s="31" t="str">
        <f>IF(G16=HS!G16,HS!T16,"D")</f>
        <v>S</v>
      </c>
      <c r="U16" s="31" t="str">
        <f>IF(H16=HS!H16,HS!U16,"D")</f>
        <v>H</v>
      </c>
      <c r="V16" s="31" t="str">
        <f>IF(I16=HS!I16,HS!V16,"D")</f>
        <v>H</v>
      </c>
      <c r="W16" s="31" t="str">
        <f>IF(J16=HS!J16,HS!W16,"D")</f>
        <v>H</v>
      </c>
      <c r="X16" s="31" t="str">
        <f>IF(K16=HS!K16,HS!X16,"D")</f>
        <v>H</v>
      </c>
    </row>
    <row r="17" spans="1:24" x14ac:dyDescent="0.2">
      <c r="A17">
        <v>17</v>
      </c>
      <c r="B17">
        <f>MAX(Hit!B17,Stand!B17,Double!B17)</f>
        <v>-0.47803347499473703</v>
      </c>
      <c r="C17">
        <f>MAX(Hit!C17,Stand!C17,Double!C17)</f>
        <v>-0.15297458768154204</v>
      </c>
      <c r="D17">
        <f>MAX(Hit!D17,Stand!D17,Double!D17)</f>
        <v>-0.11721624142457365</v>
      </c>
      <c r="E17">
        <f>MAX(Hit!E17,Stand!E17,Double!E17)</f>
        <v>-8.0573373145316152E-2</v>
      </c>
      <c r="F17">
        <f>MAX(Hit!F17,Stand!F17,Double!F17)</f>
        <v>-4.4941375564924446E-2</v>
      </c>
      <c r="G17">
        <f>MAX(Hit!G17,Stand!G17,Double!G17)</f>
        <v>1.1739160673341853E-2</v>
      </c>
      <c r="H17">
        <f>MAX(Hit!H17,Stand!H17,Double!H17)</f>
        <v>-0.10680898948269468</v>
      </c>
      <c r="I17">
        <f>MAX(Hit!I17,Stand!I17,Double!I17)</f>
        <v>-0.38195097104844711</v>
      </c>
      <c r="J17">
        <f>MAX(Hit!J17,Stand!J17,Double!J17)</f>
        <v>-0.42315423964521737</v>
      </c>
      <c r="K17">
        <f>MAX(Hit!K17,Stand!K17,Double!K17)</f>
        <v>-0.41972063392881986</v>
      </c>
      <c r="N17" s="31">
        <v>17</v>
      </c>
      <c r="O17" s="31" t="str">
        <f>IF(B17=HS!B17,HS!O17,"D")</f>
        <v>S</v>
      </c>
      <c r="P17" s="31" t="str">
        <f>IF(C17=HS!C17,HS!P17,"D")</f>
        <v>S</v>
      </c>
      <c r="Q17" s="31" t="str">
        <f>IF(D17=HS!D17,HS!Q17,"D")</f>
        <v>S</v>
      </c>
      <c r="R17" s="31" t="str">
        <f>IF(E17=HS!E17,HS!R17,"D")</f>
        <v>S</v>
      </c>
      <c r="S17" s="31" t="str">
        <f>IF(F17=HS!F17,HS!S17,"D")</f>
        <v>S</v>
      </c>
      <c r="T17" s="31" t="str">
        <f>IF(G17=HS!G17,HS!T17,"D")</f>
        <v>S</v>
      </c>
      <c r="U17" s="31" t="str">
        <f>IF(H17=HS!H17,HS!U17,"D")</f>
        <v>S</v>
      </c>
      <c r="V17" s="31" t="str">
        <f>IF(I17=HS!I17,HS!V17,"D")</f>
        <v>S</v>
      </c>
      <c r="W17" s="31" t="str">
        <f>IF(J17=HS!J17,HS!W17,"D")</f>
        <v>S</v>
      </c>
      <c r="X17" s="31" t="str">
        <f>IF(K17=HS!K17,HS!X17,"D")</f>
        <v>S</v>
      </c>
    </row>
    <row r="18" spans="1:24" x14ac:dyDescent="0.2">
      <c r="A18">
        <v>18</v>
      </c>
      <c r="B18">
        <f>MAX(Hit!B18,Stand!B18,Double!B18)</f>
        <v>-0.10019887561319057</v>
      </c>
      <c r="C18">
        <f>MAX(Hit!C18,Stand!C18,Double!C18)</f>
        <v>0.12174190222088771</v>
      </c>
      <c r="D18">
        <f>MAX(Hit!D18,Stand!D18,Double!D18)</f>
        <v>0.14830007284131119</v>
      </c>
      <c r="E18">
        <f>MAX(Hit!E18,Stand!E18,Double!E18)</f>
        <v>0.17585443719748528</v>
      </c>
      <c r="F18">
        <f>MAX(Hit!F18,Stand!F18,Double!F18)</f>
        <v>0.19956119497617719</v>
      </c>
      <c r="G18">
        <f>MAX(Hit!G18,Stand!G18,Double!G18)</f>
        <v>0.28344391604689856</v>
      </c>
      <c r="H18">
        <f>MAX(Hit!H18,Stand!H18,Double!H18)</f>
        <v>0.3995541673365518</v>
      </c>
      <c r="I18">
        <f>MAX(Hit!I18,Stand!I18,Double!I18)</f>
        <v>0.10595134861912359</v>
      </c>
      <c r="J18">
        <f>MAX(Hit!J18,Stand!J18,Double!J18)</f>
        <v>-0.18316335667343331</v>
      </c>
      <c r="K18">
        <f>MAX(Hit!K18,Stand!K18,Double!K18)</f>
        <v>-0.17830123379648949</v>
      </c>
      <c r="N18" s="31">
        <v>18</v>
      </c>
      <c r="O18" s="31" t="str">
        <f>IF(B18=HS!B18,HS!O18,"D")</f>
        <v>S</v>
      </c>
      <c r="P18" s="31" t="str">
        <f>IF(C18=HS!C18,HS!P18,"D")</f>
        <v>S</v>
      </c>
      <c r="Q18" s="31" t="str">
        <f>IF(D18=HS!D18,HS!Q18,"D")</f>
        <v>S</v>
      </c>
      <c r="R18" s="31" t="str">
        <f>IF(E18=HS!E18,HS!R18,"D")</f>
        <v>S</v>
      </c>
      <c r="S18" s="31" t="str">
        <f>IF(F18=HS!F18,HS!S18,"D")</f>
        <v>S</v>
      </c>
      <c r="T18" s="31" t="str">
        <f>IF(G18=HS!G18,HS!T18,"D")</f>
        <v>S</v>
      </c>
      <c r="U18" s="31" t="str">
        <f>IF(H18=HS!H18,HS!U18,"D")</f>
        <v>S</v>
      </c>
      <c r="V18" s="31" t="str">
        <f>IF(I18=HS!I18,HS!V18,"D")</f>
        <v>S</v>
      </c>
      <c r="W18" s="31" t="str">
        <f>IF(J18=HS!J18,HS!W18,"D")</f>
        <v>S</v>
      </c>
      <c r="X18" s="31" t="str">
        <f>IF(K18=HS!K18,HS!X18,"D")</f>
        <v>S</v>
      </c>
    </row>
    <row r="19" spans="1:24" x14ac:dyDescent="0.2">
      <c r="A19">
        <v>19</v>
      </c>
      <c r="B19">
        <f>MAX(Hit!B19,Stand!B19,Double!B19)</f>
        <v>0.27763572376835594</v>
      </c>
      <c r="C19">
        <f>MAX(Hit!C19,Stand!C19,Double!C19)</f>
        <v>0.38630468602058993</v>
      </c>
      <c r="D19">
        <f>MAX(Hit!D19,Stand!D19,Double!D19)</f>
        <v>0.4043629365977599</v>
      </c>
      <c r="E19">
        <f>MAX(Hit!E19,Stand!E19,Double!E19)</f>
        <v>0.42317892482749653</v>
      </c>
      <c r="F19">
        <f>MAX(Hit!F19,Stand!F19,Double!F19)</f>
        <v>0.43951210416088371</v>
      </c>
      <c r="G19">
        <f>MAX(Hit!G19,Stand!G19,Double!G19)</f>
        <v>0.49597707378731914</v>
      </c>
      <c r="H19">
        <f>MAX(Hit!H19,Stand!H19,Double!H19)</f>
        <v>0.6159764957534315</v>
      </c>
      <c r="I19">
        <f>MAX(Hit!I19,Stand!I19,Double!I19)</f>
        <v>0.59385366828669439</v>
      </c>
      <c r="J19">
        <f>MAX(Hit!J19,Stand!J19,Double!J19)</f>
        <v>0.28759675706758148</v>
      </c>
      <c r="K19">
        <f>MAX(Hit!K19,Stand!K19,Double!K19)</f>
        <v>6.3118166335840831E-2</v>
      </c>
      <c r="N19" s="31">
        <v>19</v>
      </c>
      <c r="O19" s="31" t="str">
        <f>IF(B19=HS!B19,HS!O19,"D")</f>
        <v>S</v>
      </c>
      <c r="P19" s="31" t="str">
        <f>IF(C19=HS!C19,HS!P19,"D")</f>
        <v>S</v>
      </c>
      <c r="Q19" s="31" t="str">
        <f>IF(D19=HS!D19,HS!Q19,"D")</f>
        <v>S</v>
      </c>
      <c r="R19" s="31" t="str">
        <f>IF(E19=HS!E19,HS!R19,"D")</f>
        <v>S</v>
      </c>
      <c r="S19" s="31" t="str">
        <f>IF(F19=HS!F19,HS!S19,"D")</f>
        <v>S</v>
      </c>
      <c r="T19" s="31" t="str">
        <f>IF(G19=HS!G19,HS!T19,"D")</f>
        <v>S</v>
      </c>
      <c r="U19" s="31" t="str">
        <f>IF(H19=HS!H19,HS!U19,"D")</f>
        <v>S</v>
      </c>
      <c r="V19" s="31" t="str">
        <f>IF(I19=HS!I19,HS!V19,"D")</f>
        <v>S</v>
      </c>
      <c r="W19" s="31" t="str">
        <f>IF(J19=HS!J19,HS!W19,"D")</f>
        <v>S</v>
      </c>
      <c r="X19" s="31" t="str">
        <f>IF(K19=HS!K19,HS!X19,"D")</f>
        <v>S</v>
      </c>
    </row>
    <row r="20" spans="1:24" x14ac:dyDescent="0.2">
      <c r="A20">
        <v>20</v>
      </c>
      <c r="B20">
        <f>MAX(Hit!B20,Stand!B20,Double!B20)</f>
        <v>0.65547032314990239</v>
      </c>
      <c r="C20">
        <f>MAX(Hit!C20,Stand!C20,Double!C20)</f>
        <v>0.63998657521683877</v>
      </c>
      <c r="D20">
        <f>MAX(Hit!D20,Stand!D20,Double!D20)</f>
        <v>0.65027209425148136</v>
      </c>
      <c r="E20">
        <f>MAX(Hit!E20,Stand!E20,Double!E20)</f>
        <v>0.66104996194807186</v>
      </c>
      <c r="F20">
        <f>MAX(Hit!F20,Stand!F20,Double!F20)</f>
        <v>0.67035969063279999</v>
      </c>
      <c r="G20">
        <f>MAX(Hit!G20,Stand!G20,Double!G20)</f>
        <v>0.70395857017134467</v>
      </c>
      <c r="H20">
        <f>MAX(Hit!H20,Stand!H20,Double!H20)</f>
        <v>0.77322722653717491</v>
      </c>
      <c r="I20">
        <f>MAX(Hit!I20,Stand!I20,Double!I20)</f>
        <v>0.79181515955189841</v>
      </c>
      <c r="J20">
        <f>MAX(Hit!J20,Stand!J20,Double!J20)</f>
        <v>0.75835687080859626</v>
      </c>
      <c r="K20">
        <f>MAX(Hit!K20,Stand!K20,Double!K20)</f>
        <v>0.55453756646817121</v>
      </c>
      <c r="N20" s="31">
        <v>20</v>
      </c>
      <c r="O20" s="31" t="str">
        <f>IF(B20=HS!B20,HS!O20,"D")</f>
        <v>S</v>
      </c>
      <c r="P20" s="31" t="str">
        <f>IF(C20=HS!C20,HS!P20,"D")</f>
        <v>S</v>
      </c>
      <c r="Q20" s="31" t="str">
        <f>IF(D20=HS!D20,HS!Q20,"D")</f>
        <v>S</v>
      </c>
      <c r="R20" s="31" t="str">
        <f>IF(E20=HS!E20,HS!R20,"D")</f>
        <v>S</v>
      </c>
      <c r="S20" s="31" t="str">
        <f>IF(F20=HS!F20,HS!S20,"D")</f>
        <v>S</v>
      </c>
      <c r="T20" s="31" t="str">
        <f>IF(G20=HS!G20,HS!T20,"D")</f>
        <v>S</v>
      </c>
      <c r="U20" s="31" t="str">
        <f>IF(H20=HS!H20,HS!U20,"D")</f>
        <v>S</v>
      </c>
      <c r="V20" s="31" t="str">
        <f>IF(I20=HS!I20,HS!V20,"D")</f>
        <v>S</v>
      </c>
      <c r="W20" s="31" t="str">
        <f>IF(J20=HS!J20,HS!W20,"D")</f>
        <v>S</v>
      </c>
      <c r="X20" s="31" t="str">
        <f>IF(K20=HS!K20,HS!X20,"D")</f>
        <v>S</v>
      </c>
    </row>
    <row r="21" spans="1:24" x14ac:dyDescent="0.2">
      <c r="A21">
        <v>21</v>
      </c>
      <c r="B21">
        <f>MAX(Hit!B21,Stand!B21,Double!B21)</f>
        <v>0.92219381142033785</v>
      </c>
      <c r="C21">
        <f>MAX(Hit!C21,Stand!C21,Double!C21)</f>
        <v>0.88200651549403997</v>
      </c>
      <c r="D21">
        <f>MAX(Hit!D21,Stand!D21,Double!D21)</f>
        <v>0.88530035730174927</v>
      </c>
      <c r="E21">
        <f>MAX(Hit!E21,Stand!E21,Double!E21)</f>
        <v>0.88876729296591961</v>
      </c>
      <c r="F21">
        <f>MAX(Hit!F21,Stand!F21,Double!F21)</f>
        <v>0.89175382659528035</v>
      </c>
      <c r="G21">
        <f>MAX(Hit!G21,Stand!G21,Double!G21)</f>
        <v>0.90283674384257995</v>
      </c>
      <c r="H21">
        <f>MAX(Hit!H21,Stand!H21,Double!H21)</f>
        <v>0.92592629596452325</v>
      </c>
      <c r="I21">
        <f>MAX(Hit!I21,Stand!I21,Double!I21)</f>
        <v>0.93060505318396614</v>
      </c>
      <c r="J21">
        <f>MAX(Hit!J21,Stand!J21,Double!J21)</f>
        <v>0.93917615614724415</v>
      </c>
      <c r="K21">
        <f>MAX(Hit!K21,Stand!K21,Double!K21)</f>
        <v>0.96262363326716827</v>
      </c>
      <c r="N21" s="31">
        <v>21</v>
      </c>
      <c r="O21" s="31" t="str">
        <f>IF(B21=HS!B21,HS!O21,"D")</f>
        <v>S</v>
      </c>
      <c r="P21" s="31" t="str">
        <f>IF(C21=HS!C21,HS!P21,"D")</f>
        <v>S</v>
      </c>
      <c r="Q21" s="31" t="str">
        <f>IF(D21=HS!D21,HS!Q21,"D")</f>
        <v>S</v>
      </c>
      <c r="R21" s="31" t="str">
        <f>IF(E21=HS!E21,HS!R21,"D")</f>
        <v>S</v>
      </c>
      <c r="S21" s="31" t="str">
        <f>IF(F21=HS!F21,HS!S21,"D")</f>
        <v>S</v>
      </c>
      <c r="T21" s="31" t="str">
        <f>IF(G21=HS!G21,HS!T21,"D")</f>
        <v>S</v>
      </c>
      <c r="U21" s="31" t="str">
        <f>IF(H21=HS!H21,HS!U21,"D")</f>
        <v>S</v>
      </c>
      <c r="V21" s="31" t="str">
        <f>IF(I21=HS!I21,HS!V21,"D")</f>
        <v>S</v>
      </c>
      <c r="W21" s="31" t="str">
        <f>IF(J21=HS!J21,HS!W21,"D")</f>
        <v>S</v>
      </c>
      <c r="X21" s="31" t="str">
        <f>IF(K21=HS!K21,HS!X21,"D")</f>
        <v>S</v>
      </c>
    </row>
    <row r="22" spans="1:24" x14ac:dyDescent="0.2">
      <c r="A22">
        <v>22</v>
      </c>
      <c r="B22">
        <f>MAX(Hit!B22,Stand!B22,Double!B22)</f>
        <v>-1</v>
      </c>
      <c r="C22">
        <f>MAX(Hit!C22,Stand!C22,Double!C22)</f>
        <v>-1</v>
      </c>
      <c r="D22">
        <f>MAX(Hit!D22,Stand!D22,Double!D22)</f>
        <v>-1</v>
      </c>
      <c r="E22">
        <f>MAX(Hit!E22,Stand!E22,Double!E22)</f>
        <v>-1</v>
      </c>
      <c r="F22">
        <f>MAX(Hit!F22,Stand!F22,Double!F22)</f>
        <v>-1</v>
      </c>
      <c r="G22">
        <f>MAX(Hit!G22,Stand!G22,Double!G22)</f>
        <v>-1</v>
      </c>
      <c r="H22">
        <f>MAX(Hit!H22,Stand!H22,Double!H22)</f>
        <v>-1</v>
      </c>
      <c r="I22">
        <f>MAX(Hit!I22,Stand!I22,Double!I22)</f>
        <v>-1</v>
      </c>
      <c r="J22">
        <f>MAX(Hit!J22,Stand!J22,Double!J22)</f>
        <v>-1</v>
      </c>
      <c r="K22">
        <f>MAX(Hit!K22,Stand!K22,Double!K22)</f>
        <v>-1</v>
      </c>
      <c r="N22" s="31">
        <v>22</v>
      </c>
      <c r="O22" s="31" t="str">
        <f>IF(B22=HS!B22,HS!O22,"D")</f>
        <v>S</v>
      </c>
      <c r="P22" s="31" t="str">
        <f>IF(C22=HS!C22,HS!P22,"D")</f>
        <v>S</v>
      </c>
      <c r="Q22" s="31" t="str">
        <f>IF(D22=HS!D22,HS!Q22,"D")</f>
        <v>S</v>
      </c>
      <c r="R22" s="31" t="str">
        <f>IF(E22=HS!E22,HS!R22,"D")</f>
        <v>S</v>
      </c>
      <c r="S22" s="31" t="str">
        <f>IF(F22=HS!F22,HS!S22,"D")</f>
        <v>S</v>
      </c>
      <c r="T22" s="31" t="str">
        <f>IF(G22=HS!G22,HS!T22,"D")</f>
        <v>S</v>
      </c>
      <c r="U22" s="31" t="str">
        <f>IF(H22=HS!H22,HS!U22,"D")</f>
        <v>S</v>
      </c>
      <c r="V22" s="31" t="str">
        <f>IF(I22=HS!I22,HS!V22,"D")</f>
        <v>S</v>
      </c>
      <c r="W22" s="31" t="str">
        <f>IF(J22=HS!J22,HS!W22,"D")</f>
        <v>S</v>
      </c>
      <c r="X22" s="31" t="str">
        <f>IF(K22=HS!K22,HS!X22,"D")</f>
        <v>S</v>
      </c>
    </row>
    <row r="23" spans="1:24" x14ac:dyDescent="0.2">
      <c r="A23">
        <v>23</v>
      </c>
      <c r="B23">
        <f>MAX(Hit!B23,Stand!B23,Double!B23)</f>
        <v>-1</v>
      </c>
      <c r="C23">
        <f>MAX(Hit!C23,Stand!C23,Double!C23)</f>
        <v>-1</v>
      </c>
      <c r="D23">
        <f>MAX(Hit!D23,Stand!D23,Double!D23)</f>
        <v>-1</v>
      </c>
      <c r="E23">
        <f>MAX(Hit!E23,Stand!E23,Double!E23)</f>
        <v>-1</v>
      </c>
      <c r="F23">
        <f>MAX(Hit!F23,Stand!F23,Double!F23)</f>
        <v>-1</v>
      </c>
      <c r="G23">
        <f>MAX(Hit!G23,Stand!G23,Double!G23)</f>
        <v>-1</v>
      </c>
      <c r="H23">
        <f>MAX(Hit!H23,Stand!H23,Double!H23)</f>
        <v>-1</v>
      </c>
      <c r="I23">
        <f>MAX(Hit!I23,Stand!I23,Double!I23)</f>
        <v>-1</v>
      </c>
      <c r="J23">
        <f>MAX(Hit!J23,Stand!J23,Double!J23)</f>
        <v>-1</v>
      </c>
      <c r="K23">
        <f>MAX(Hit!K23,Stand!K23,Double!K23)</f>
        <v>-1</v>
      </c>
      <c r="N23" s="31">
        <v>23</v>
      </c>
      <c r="O23" s="31" t="str">
        <f>IF(B23=HS!B23,HS!O23,"D")</f>
        <v>S</v>
      </c>
      <c r="P23" s="31" t="str">
        <f>IF(C23=HS!C23,HS!P23,"D")</f>
        <v>S</v>
      </c>
      <c r="Q23" s="31" t="str">
        <f>IF(D23=HS!D23,HS!Q23,"D")</f>
        <v>S</v>
      </c>
      <c r="R23" s="31" t="str">
        <f>IF(E23=HS!E23,HS!R23,"D")</f>
        <v>S</v>
      </c>
      <c r="S23" s="31" t="str">
        <f>IF(F23=HS!F23,HS!S23,"D")</f>
        <v>S</v>
      </c>
      <c r="T23" s="31" t="str">
        <f>IF(G23=HS!G23,HS!T23,"D")</f>
        <v>S</v>
      </c>
      <c r="U23" s="31" t="str">
        <f>IF(H23=HS!H23,HS!U23,"D")</f>
        <v>S</v>
      </c>
      <c r="V23" s="31" t="str">
        <f>IF(I23=HS!I23,HS!V23,"D")</f>
        <v>S</v>
      </c>
      <c r="W23" s="31" t="str">
        <f>IF(J23=HS!J23,HS!W23,"D")</f>
        <v>S</v>
      </c>
      <c r="X23" s="31" t="str">
        <f>IF(K23=HS!K23,HS!X23,"D")</f>
        <v>S</v>
      </c>
    </row>
    <row r="24" spans="1:24" x14ac:dyDescent="0.2">
      <c r="A24">
        <v>24</v>
      </c>
      <c r="B24">
        <f>MAX(Hit!B24,Stand!B24,Double!B24)</f>
        <v>-1</v>
      </c>
      <c r="C24">
        <f>MAX(Hit!C24,Stand!C24,Double!C24)</f>
        <v>-1</v>
      </c>
      <c r="D24">
        <f>MAX(Hit!D24,Stand!D24,Double!D24)</f>
        <v>-1</v>
      </c>
      <c r="E24">
        <f>MAX(Hit!E24,Stand!E24,Double!E24)</f>
        <v>-1</v>
      </c>
      <c r="F24">
        <f>MAX(Hit!F24,Stand!F24,Double!F24)</f>
        <v>-1</v>
      </c>
      <c r="G24">
        <f>MAX(Hit!G24,Stand!G24,Double!G24)</f>
        <v>-1</v>
      </c>
      <c r="H24">
        <f>MAX(Hit!H24,Stand!H24,Double!H24)</f>
        <v>-1</v>
      </c>
      <c r="I24">
        <f>MAX(Hit!I24,Stand!I24,Double!I24)</f>
        <v>-1</v>
      </c>
      <c r="J24">
        <f>MAX(Hit!J24,Stand!J24,Double!J24)</f>
        <v>-1</v>
      </c>
      <c r="K24">
        <f>MAX(Hit!K24,Stand!K24,Double!K24)</f>
        <v>-1</v>
      </c>
      <c r="N24" s="31">
        <v>24</v>
      </c>
      <c r="O24" s="31" t="str">
        <f>IF(B24=HS!B24,HS!O24,"D")</f>
        <v>S</v>
      </c>
      <c r="P24" s="31" t="str">
        <f>IF(C24=HS!C24,HS!P24,"D")</f>
        <v>S</v>
      </c>
      <c r="Q24" s="31" t="str">
        <f>IF(D24=HS!D24,HS!Q24,"D")</f>
        <v>S</v>
      </c>
      <c r="R24" s="31" t="str">
        <f>IF(E24=HS!E24,HS!R24,"D")</f>
        <v>S</v>
      </c>
      <c r="S24" s="31" t="str">
        <f>IF(F24=HS!F24,HS!S24,"D")</f>
        <v>S</v>
      </c>
      <c r="T24" s="31" t="str">
        <f>IF(G24=HS!G24,HS!T24,"D")</f>
        <v>S</v>
      </c>
      <c r="U24" s="31" t="str">
        <f>IF(H24=HS!H24,HS!U24,"D")</f>
        <v>S</v>
      </c>
      <c r="V24" s="31" t="str">
        <f>IF(I24=HS!I24,HS!V24,"D")</f>
        <v>S</v>
      </c>
      <c r="W24" s="31" t="str">
        <f>IF(J24=HS!J24,HS!W24,"D")</f>
        <v>S</v>
      </c>
      <c r="X24" s="31" t="str">
        <f>IF(K24=HS!K24,HS!X24,"D")</f>
        <v>S</v>
      </c>
    </row>
    <row r="25" spans="1:24" x14ac:dyDescent="0.2">
      <c r="A25">
        <v>25</v>
      </c>
      <c r="B25">
        <f>MAX(Hit!B25,Stand!B25,Double!B25)</f>
        <v>-1</v>
      </c>
      <c r="C25">
        <f>MAX(Hit!C25,Stand!C25,Double!C25)</f>
        <v>-1</v>
      </c>
      <c r="D25">
        <f>MAX(Hit!D25,Stand!D25,Double!D25)</f>
        <v>-1</v>
      </c>
      <c r="E25">
        <f>MAX(Hit!E25,Stand!E25,Double!E25)</f>
        <v>-1</v>
      </c>
      <c r="F25">
        <f>MAX(Hit!F25,Stand!F25,Double!F25)</f>
        <v>-1</v>
      </c>
      <c r="G25">
        <f>MAX(Hit!G25,Stand!G25,Double!G25)</f>
        <v>-1</v>
      </c>
      <c r="H25">
        <f>MAX(Hit!H25,Stand!H25,Double!H25)</f>
        <v>-1</v>
      </c>
      <c r="I25">
        <f>MAX(Hit!I25,Stand!I25,Double!I25)</f>
        <v>-1</v>
      </c>
      <c r="J25">
        <f>MAX(Hit!J25,Stand!J25,Double!J25)</f>
        <v>-1</v>
      </c>
      <c r="K25">
        <f>MAX(Hit!K25,Stand!K25,Double!K25)</f>
        <v>-1</v>
      </c>
      <c r="N25" s="31">
        <v>25</v>
      </c>
      <c r="O25" s="31" t="str">
        <f>IF(B25=HS!B25,HS!O25,"D")</f>
        <v>S</v>
      </c>
      <c r="P25" s="31" t="str">
        <f>IF(C25=HS!C25,HS!P25,"D")</f>
        <v>S</v>
      </c>
      <c r="Q25" s="31" t="str">
        <f>IF(D25=HS!D25,HS!Q25,"D")</f>
        <v>S</v>
      </c>
      <c r="R25" s="31" t="str">
        <f>IF(E25=HS!E25,HS!R25,"D")</f>
        <v>S</v>
      </c>
      <c r="S25" s="31" t="str">
        <f>IF(F25=HS!F25,HS!S25,"D")</f>
        <v>S</v>
      </c>
      <c r="T25" s="31" t="str">
        <f>IF(G25=HS!G25,HS!T25,"D")</f>
        <v>S</v>
      </c>
      <c r="U25" s="31" t="str">
        <f>IF(H25=HS!H25,HS!U25,"D")</f>
        <v>S</v>
      </c>
      <c r="V25" s="31" t="str">
        <f>IF(I25=HS!I25,HS!V25,"D")</f>
        <v>S</v>
      </c>
      <c r="W25" s="31" t="str">
        <f>IF(J25=HS!J25,HS!W25,"D")</f>
        <v>S</v>
      </c>
      <c r="X25" s="31" t="str">
        <f>IF(K25=HS!K25,HS!X25,"D")</f>
        <v>S</v>
      </c>
    </row>
    <row r="26" spans="1:24" x14ac:dyDescent="0.2">
      <c r="A26">
        <v>26</v>
      </c>
      <c r="B26">
        <f>MAX(Hit!B26,Stand!B26,Double!B26)</f>
        <v>-1</v>
      </c>
      <c r="C26">
        <f>MAX(Hit!C26,Stand!C26,Double!C26)</f>
        <v>-1</v>
      </c>
      <c r="D26">
        <f>MAX(Hit!D26,Stand!D26,Double!D26)</f>
        <v>-1</v>
      </c>
      <c r="E26">
        <f>MAX(Hit!E26,Stand!E26,Double!E26)</f>
        <v>-1</v>
      </c>
      <c r="F26">
        <f>MAX(Hit!F26,Stand!F26,Double!F26)</f>
        <v>-1</v>
      </c>
      <c r="G26">
        <f>MAX(Hit!G26,Stand!G26,Double!G26)</f>
        <v>-1</v>
      </c>
      <c r="H26">
        <f>MAX(Hit!H26,Stand!H26,Double!H26)</f>
        <v>-1</v>
      </c>
      <c r="I26">
        <f>MAX(Hit!I26,Stand!I26,Double!I26)</f>
        <v>-1</v>
      </c>
      <c r="J26">
        <f>MAX(Hit!J26,Stand!J26,Double!J26)</f>
        <v>-1</v>
      </c>
      <c r="K26">
        <f>MAX(Hit!K26,Stand!K26,Double!K26)</f>
        <v>-1</v>
      </c>
      <c r="N26" s="31">
        <v>26</v>
      </c>
      <c r="O26" s="31" t="str">
        <f>IF(B26=HS!B26,HS!O26,"D")</f>
        <v>S</v>
      </c>
      <c r="P26" s="31" t="str">
        <f>IF(C26=HS!C26,HS!P26,"D")</f>
        <v>S</v>
      </c>
      <c r="Q26" s="31" t="str">
        <f>IF(D26=HS!D26,HS!Q26,"D")</f>
        <v>S</v>
      </c>
      <c r="R26" s="31" t="str">
        <f>IF(E26=HS!E26,HS!R26,"D")</f>
        <v>S</v>
      </c>
      <c r="S26" s="31" t="str">
        <f>IF(F26=HS!F26,HS!S26,"D")</f>
        <v>S</v>
      </c>
      <c r="T26" s="31" t="str">
        <f>IF(G26=HS!G26,HS!T26,"D")</f>
        <v>S</v>
      </c>
      <c r="U26" s="31" t="str">
        <f>IF(H26=HS!H26,HS!U26,"D")</f>
        <v>S</v>
      </c>
      <c r="V26" s="31" t="str">
        <f>IF(I26=HS!I26,HS!V26,"D")</f>
        <v>S</v>
      </c>
      <c r="W26" s="31" t="str">
        <f>IF(J26=HS!J26,HS!W26,"D")</f>
        <v>S</v>
      </c>
      <c r="X26" s="31" t="str">
        <f>IF(K26=HS!K26,HS!X26,"D")</f>
        <v>S</v>
      </c>
    </row>
    <row r="27" spans="1:24" x14ac:dyDescent="0.2">
      <c r="A27">
        <v>27</v>
      </c>
      <c r="B27">
        <f>MAX(Hit!B27,Stand!B27,Double!B27)</f>
        <v>-1</v>
      </c>
      <c r="C27">
        <f>MAX(Hit!C27,Stand!C27,Double!C27)</f>
        <v>-1</v>
      </c>
      <c r="D27">
        <f>MAX(Hit!D27,Stand!D27,Double!D27)</f>
        <v>-1</v>
      </c>
      <c r="E27">
        <f>MAX(Hit!E27,Stand!E27,Double!E27)</f>
        <v>-1</v>
      </c>
      <c r="F27">
        <f>MAX(Hit!F27,Stand!F27,Double!F27)</f>
        <v>-1</v>
      </c>
      <c r="G27">
        <f>MAX(Hit!G27,Stand!G27,Double!G27)</f>
        <v>-1</v>
      </c>
      <c r="H27">
        <f>MAX(Hit!H27,Stand!H27,Double!H27)</f>
        <v>-1</v>
      </c>
      <c r="I27">
        <f>MAX(Hit!I27,Stand!I27,Double!I27)</f>
        <v>-1</v>
      </c>
      <c r="J27">
        <f>MAX(Hit!J27,Stand!J27,Double!J27)</f>
        <v>-1</v>
      </c>
      <c r="K27">
        <f>MAX(Hit!K27,Stand!K27,Double!K27)</f>
        <v>-1</v>
      </c>
      <c r="N27" s="31">
        <v>27</v>
      </c>
      <c r="O27" s="31" t="str">
        <f>IF(B27=HS!B27,HS!O27,"D")</f>
        <v>S</v>
      </c>
      <c r="P27" s="31" t="str">
        <f>IF(C27=HS!C27,HS!P27,"D")</f>
        <v>S</v>
      </c>
      <c r="Q27" s="31" t="str">
        <f>IF(D27=HS!D27,HS!Q27,"D")</f>
        <v>S</v>
      </c>
      <c r="R27" s="31" t="str">
        <f>IF(E27=HS!E27,HS!R27,"D")</f>
        <v>S</v>
      </c>
      <c r="S27" s="31" t="str">
        <f>IF(F27=HS!F27,HS!S27,"D")</f>
        <v>S</v>
      </c>
      <c r="T27" s="31" t="str">
        <f>IF(G27=HS!G27,HS!T27,"D")</f>
        <v>S</v>
      </c>
      <c r="U27" s="31" t="str">
        <f>IF(H27=HS!H27,HS!U27,"D")</f>
        <v>S</v>
      </c>
      <c r="V27" s="31" t="str">
        <f>IF(I27=HS!I27,HS!V27,"D")</f>
        <v>S</v>
      </c>
      <c r="W27" s="31" t="str">
        <f>IF(J27=HS!J27,HS!W27,"D")</f>
        <v>S</v>
      </c>
      <c r="X27" s="31" t="str">
        <f>IF(K27=HS!K27,HS!X27,"D")</f>
        <v>S</v>
      </c>
    </row>
    <row r="28" spans="1:24" x14ac:dyDescent="0.2">
      <c r="A28">
        <v>28</v>
      </c>
      <c r="B28">
        <f>MAX(Hit!B28,Stand!B28,Double!B28)</f>
        <v>-1</v>
      </c>
      <c r="C28">
        <f>MAX(Hit!C28,Stand!C28,Double!C28)</f>
        <v>-1</v>
      </c>
      <c r="D28">
        <f>MAX(Hit!D28,Stand!D28,Double!D28)</f>
        <v>-1</v>
      </c>
      <c r="E28">
        <f>MAX(Hit!E28,Stand!E28,Double!E28)</f>
        <v>-1</v>
      </c>
      <c r="F28">
        <f>MAX(Hit!F28,Stand!F28,Double!F28)</f>
        <v>-1</v>
      </c>
      <c r="G28">
        <f>MAX(Hit!G28,Stand!G28,Double!G28)</f>
        <v>-1</v>
      </c>
      <c r="H28">
        <f>MAX(Hit!H28,Stand!H28,Double!H28)</f>
        <v>-1</v>
      </c>
      <c r="I28">
        <f>MAX(Hit!I28,Stand!I28,Double!I28)</f>
        <v>-1</v>
      </c>
      <c r="J28">
        <f>MAX(Hit!J28,Stand!J28,Double!J28)</f>
        <v>-1</v>
      </c>
      <c r="K28">
        <f>MAX(Hit!K28,Stand!K28,Double!K28)</f>
        <v>-1</v>
      </c>
      <c r="N28" s="31">
        <v>28</v>
      </c>
      <c r="O28" s="31" t="str">
        <f>IF(B28=HS!B28,HS!O28,"D")</f>
        <v>S</v>
      </c>
      <c r="P28" s="31" t="str">
        <f>IF(C28=HS!C28,HS!P28,"D")</f>
        <v>S</v>
      </c>
      <c r="Q28" s="31" t="str">
        <f>IF(D28=HS!D28,HS!Q28,"D")</f>
        <v>S</v>
      </c>
      <c r="R28" s="31" t="str">
        <f>IF(E28=HS!E28,HS!R28,"D")</f>
        <v>S</v>
      </c>
      <c r="S28" s="31" t="str">
        <f>IF(F28=HS!F28,HS!S28,"D")</f>
        <v>S</v>
      </c>
      <c r="T28" s="31" t="str">
        <f>IF(G28=HS!G28,HS!T28,"D")</f>
        <v>S</v>
      </c>
      <c r="U28" s="31" t="str">
        <f>IF(H28=HS!H28,HS!U28,"D")</f>
        <v>S</v>
      </c>
      <c r="V28" s="31" t="str">
        <f>IF(I28=HS!I28,HS!V28,"D")</f>
        <v>S</v>
      </c>
      <c r="W28" s="31" t="str">
        <f>IF(J28=HS!J28,HS!W28,"D")</f>
        <v>S</v>
      </c>
      <c r="X28" s="31" t="str">
        <f>IF(K28=HS!K28,HS!X28,"D")</f>
        <v>S</v>
      </c>
    </row>
    <row r="29" spans="1:24" x14ac:dyDescent="0.2">
      <c r="A29">
        <v>29</v>
      </c>
      <c r="B29">
        <f>MAX(Hit!B29,Stand!B29,Double!B29)</f>
        <v>-1</v>
      </c>
      <c r="C29">
        <f>MAX(Hit!C29,Stand!C29,Double!C29)</f>
        <v>-1</v>
      </c>
      <c r="D29">
        <f>MAX(Hit!D29,Stand!D29,Double!D29)</f>
        <v>-1</v>
      </c>
      <c r="E29">
        <f>MAX(Hit!E29,Stand!E29,Double!E29)</f>
        <v>-1</v>
      </c>
      <c r="F29">
        <f>MAX(Hit!F29,Stand!F29,Double!F29)</f>
        <v>-1</v>
      </c>
      <c r="G29">
        <f>MAX(Hit!G29,Stand!G29,Double!G29)</f>
        <v>-1</v>
      </c>
      <c r="H29">
        <f>MAX(Hit!H29,Stand!H29,Double!H29)</f>
        <v>-1</v>
      </c>
      <c r="I29">
        <f>MAX(Hit!I29,Stand!I29,Double!I29)</f>
        <v>-1</v>
      </c>
      <c r="J29">
        <f>MAX(Hit!J29,Stand!J29,Double!J29)</f>
        <v>-1</v>
      </c>
      <c r="K29">
        <f>MAX(Hit!K29,Stand!K29,Double!K29)</f>
        <v>-1</v>
      </c>
      <c r="N29" s="31">
        <v>29</v>
      </c>
      <c r="O29" s="31" t="str">
        <f>IF(B29=HS!B29,HS!O29,"D")</f>
        <v>S</v>
      </c>
      <c r="P29" s="31" t="str">
        <f>IF(C29=HS!C29,HS!P29,"D")</f>
        <v>S</v>
      </c>
      <c r="Q29" s="31" t="str">
        <f>IF(D29=HS!D29,HS!Q29,"D")</f>
        <v>S</v>
      </c>
      <c r="R29" s="31" t="str">
        <f>IF(E29=HS!E29,HS!R29,"D")</f>
        <v>S</v>
      </c>
      <c r="S29" s="31" t="str">
        <f>IF(F29=HS!F29,HS!S29,"D")</f>
        <v>S</v>
      </c>
      <c r="T29" s="31" t="str">
        <f>IF(G29=HS!G29,HS!T29,"D")</f>
        <v>S</v>
      </c>
      <c r="U29" s="31" t="str">
        <f>IF(H29=HS!H29,HS!U29,"D")</f>
        <v>S</v>
      </c>
      <c r="V29" s="31" t="str">
        <f>IF(I29=HS!I29,HS!V29,"D")</f>
        <v>S</v>
      </c>
      <c r="W29" s="31" t="str">
        <f>IF(J29=HS!J29,HS!W29,"D")</f>
        <v>S</v>
      </c>
      <c r="X29" s="31" t="str">
        <f>IF(K29=HS!K29,HS!X29,"D")</f>
        <v>S</v>
      </c>
    </row>
    <row r="30" spans="1:24" x14ac:dyDescent="0.2">
      <c r="A30">
        <v>30</v>
      </c>
      <c r="B30">
        <f>MAX(Hit!B30,Stand!B30,Double!B30)</f>
        <v>-1</v>
      </c>
      <c r="C30">
        <f>MAX(Hit!C30,Stand!C30,Double!C30)</f>
        <v>-1</v>
      </c>
      <c r="D30">
        <f>MAX(Hit!D30,Stand!D30,Double!D30)</f>
        <v>-1</v>
      </c>
      <c r="E30">
        <f>MAX(Hit!E30,Stand!E30,Double!E30)</f>
        <v>-1</v>
      </c>
      <c r="F30">
        <f>MAX(Hit!F30,Stand!F30,Double!F30)</f>
        <v>-1</v>
      </c>
      <c r="G30">
        <f>MAX(Hit!G30,Stand!G30,Double!G30)</f>
        <v>-1</v>
      </c>
      <c r="H30">
        <f>MAX(Hit!H30,Stand!H30,Double!H30)</f>
        <v>-1</v>
      </c>
      <c r="I30">
        <f>MAX(Hit!I30,Stand!I30,Double!I30)</f>
        <v>-1</v>
      </c>
      <c r="J30">
        <f>MAX(Hit!J30,Stand!J30,Double!J30)</f>
        <v>-1</v>
      </c>
      <c r="K30">
        <f>MAX(Hit!K30,Stand!K30,Double!K30)</f>
        <v>-1</v>
      </c>
      <c r="N30" s="31">
        <v>30</v>
      </c>
      <c r="O30" s="31" t="str">
        <f>IF(B30=HS!B30,HS!O30,"D")</f>
        <v>S</v>
      </c>
      <c r="P30" s="31" t="str">
        <f>IF(C30=HS!C30,HS!P30,"D")</f>
        <v>S</v>
      </c>
      <c r="Q30" s="31" t="str">
        <f>IF(D30=HS!D30,HS!Q30,"D")</f>
        <v>S</v>
      </c>
      <c r="R30" s="31" t="str">
        <f>IF(E30=HS!E30,HS!R30,"D")</f>
        <v>S</v>
      </c>
      <c r="S30" s="31" t="str">
        <f>IF(F30=HS!F30,HS!S30,"D")</f>
        <v>S</v>
      </c>
      <c r="T30" s="31" t="str">
        <f>IF(G30=HS!G30,HS!T30,"D")</f>
        <v>S</v>
      </c>
      <c r="U30" s="31" t="str">
        <f>IF(H30=HS!H30,HS!U30,"D")</f>
        <v>S</v>
      </c>
      <c r="V30" s="31" t="str">
        <f>IF(I30=HS!I30,HS!V30,"D")</f>
        <v>S</v>
      </c>
      <c r="W30" s="31" t="str">
        <f>IF(J30=HS!J30,HS!W30,"D")</f>
        <v>S</v>
      </c>
      <c r="X30" s="31" t="str">
        <f>IF(K30=HS!K30,HS!X30,"D")</f>
        <v>S</v>
      </c>
    </row>
    <row r="31" spans="1:24" x14ac:dyDescent="0.2">
      <c r="A31">
        <v>31</v>
      </c>
      <c r="B31">
        <f>MAX(Hit!B31,Stand!B31,Double!B31)</f>
        <v>-1</v>
      </c>
      <c r="C31">
        <f>MAX(Hit!C31,Stand!C31,Double!C31)</f>
        <v>-1</v>
      </c>
      <c r="D31">
        <f>MAX(Hit!D31,Stand!D31,Double!D31)</f>
        <v>-1</v>
      </c>
      <c r="E31">
        <f>MAX(Hit!E31,Stand!E31,Double!E31)</f>
        <v>-1</v>
      </c>
      <c r="F31">
        <f>MAX(Hit!F31,Stand!F31,Double!F31)</f>
        <v>-1</v>
      </c>
      <c r="G31">
        <f>MAX(Hit!G31,Stand!G31,Double!G31)</f>
        <v>-1</v>
      </c>
      <c r="H31">
        <f>MAX(Hit!H31,Stand!H31,Double!H31)</f>
        <v>-1</v>
      </c>
      <c r="I31">
        <f>MAX(Hit!I31,Stand!I31,Double!I31)</f>
        <v>-1</v>
      </c>
      <c r="J31">
        <f>MAX(Hit!J31,Stand!J31,Double!J31)</f>
        <v>-1</v>
      </c>
      <c r="K31">
        <f>MAX(Hit!K31,Stand!K31,Double!K31)</f>
        <v>-1</v>
      </c>
      <c r="N31" s="31">
        <v>31</v>
      </c>
      <c r="O31" s="31" t="str">
        <f>IF(B31=HS!B31,HS!O31,"D")</f>
        <v>S</v>
      </c>
      <c r="P31" s="31" t="str">
        <f>IF(C31=HS!C31,HS!P31,"D")</f>
        <v>S</v>
      </c>
      <c r="Q31" s="31" t="str">
        <f>IF(D31=HS!D31,HS!Q31,"D")</f>
        <v>S</v>
      </c>
      <c r="R31" s="31" t="str">
        <f>IF(E31=HS!E31,HS!R31,"D")</f>
        <v>S</v>
      </c>
      <c r="S31" s="31" t="str">
        <f>IF(F31=HS!F31,HS!S31,"D")</f>
        <v>S</v>
      </c>
      <c r="T31" s="31" t="str">
        <f>IF(G31=HS!G31,HS!T31,"D")</f>
        <v>S</v>
      </c>
      <c r="U31" s="31" t="str">
        <f>IF(H31=HS!H31,HS!U31,"D")</f>
        <v>S</v>
      </c>
      <c r="V31" s="31" t="str">
        <f>IF(I31=HS!I31,HS!V31,"D")</f>
        <v>S</v>
      </c>
      <c r="W31" s="31" t="str">
        <f>IF(J31=HS!J31,HS!W31,"D")</f>
        <v>S</v>
      </c>
      <c r="X31" s="31" t="str">
        <f>IF(K31=HS!K31,HS!X31,"D")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MAX(Hit!B34,Stand!B34,Double!B34)</f>
        <v>0.29861942370404337</v>
      </c>
      <c r="C34">
        <f>MAX(Hit!C34,Stand!C34,Double!C34)</f>
        <v>0.47064092333946894</v>
      </c>
      <c r="D34">
        <f>MAX(Hit!D34,Stand!D34,Double!D34)</f>
        <v>0.51779525312221664</v>
      </c>
      <c r="E34">
        <f>MAX(Hit!E34,Stand!E34,Double!E34)</f>
        <v>0.56604055041797596</v>
      </c>
      <c r="F34">
        <f>MAX(Hit!F34,Stand!F34,Double!F34)</f>
        <v>0.61469901790902803</v>
      </c>
      <c r="G34">
        <f>MAX(Hit!G34,Stand!G34,Double!G34)</f>
        <v>0.66738009490756944</v>
      </c>
      <c r="H34">
        <f>MAX(Hit!H34,Stand!H34,Double!H34)</f>
        <v>0.46288894886429088</v>
      </c>
      <c r="I34">
        <f>MAX(Hit!I34,Stand!I34,Double!I34)</f>
        <v>0.40074805174057648</v>
      </c>
      <c r="J34">
        <f>MAX(Hit!J34,Stand!J34,Double!J34)</f>
        <v>0.32142328174266549</v>
      </c>
      <c r="K34">
        <f>MAX(Hit!K34,Stand!K34,Double!K34)</f>
        <v>0.26400071601402691</v>
      </c>
      <c r="N34" s="31">
        <v>11</v>
      </c>
      <c r="O34" s="31" t="str">
        <f>IF(B34=HS!B34,HS!O34,"D")</f>
        <v>H</v>
      </c>
      <c r="P34" s="31" t="str">
        <f>IF(C34=HS!C34,HS!P34,"D")</f>
        <v>D</v>
      </c>
      <c r="Q34" s="31" t="str">
        <f>IF(D34=HS!D34,HS!Q34,"D")</f>
        <v>D</v>
      </c>
      <c r="R34" s="31" t="str">
        <f>IF(E34=HS!E34,HS!R34,"D")</f>
        <v>D</v>
      </c>
      <c r="S34" s="31" t="str">
        <f>IF(F34=HS!F34,HS!S34,"D")</f>
        <v>D</v>
      </c>
      <c r="T34" s="31" t="str">
        <f>IF(G34=HS!G34,HS!T34,"D")</f>
        <v>D</v>
      </c>
      <c r="U34" s="31" t="str">
        <f>IF(H34=HS!H34,HS!U34,"D")</f>
        <v>D</v>
      </c>
      <c r="V34" s="31" t="str">
        <f>IF(I34=HS!I34,HS!V34,"D")</f>
        <v>H</v>
      </c>
      <c r="W34" s="31" t="str">
        <f>IF(J34=HS!J34,HS!W34,"D")</f>
        <v>H</v>
      </c>
      <c r="X34" s="31" t="str">
        <f>IF(K34=HS!K34,HS!X34,"D")</f>
        <v>H</v>
      </c>
    </row>
    <row r="35" spans="1:24" x14ac:dyDescent="0.2">
      <c r="A35">
        <v>12</v>
      </c>
      <c r="B35">
        <f>MAX(Hit!B35,Stand!B35,Double!B35)</f>
        <v>-2.0477877704912145E-2</v>
      </c>
      <c r="C35">
        <f>MAX(Hit!C35,Stand!C35,Double!C35)</f>
        <v>8.1836216051656044E-2</v>
      </c>
      <c r="D35">
        <f>MAX(Hit!D35,Stand!D35,Double!D35)</f>
        <v>0.10350704654207775</v>
      </c>
      <c r="E35">
        <f>MAX(Hit!E35,Stand!E35,Double!E35)</f>
        <v>0.12659562809256977</v>
      </c>
      <c r="F35">
        <f>MAX(Hit!F35,Stand!F35,Double!F35)</f>
        <v>0.15648238458465519</v>
      </c>
      <c r="G35">
        <f>MAX(Hit!G35,Stand!G35,Double!G35)</f>
        <v>0.18595361333225549</v>
      </c>
      <c r="H35">
        <f>MAX(Hit!H35,Stand!H35,Double!H35)</f>
        <v>0.16547293077063496</v>
      </c>
      <c r="I35">
        <f>MAX(Hit!I35,Stand!I35,Double!I35)</f>
        <v>9.5115020927032265E-2</v>
      </c>
      <c r="J35">
        <f>MAX(Hit!J35,Stand!J35,Double!J35)</f>
        <v>6.5790841226914386E-5</v>
      </c>
      <c r="K35">
        <f>MAX(Hit!K35,Stand!K35,Double!K35)</f>
        <v>-7.0002397357964694E-2</v>
      </c>
      <c r="N35" s="31">
        <v>12</v>
      </c>
      <c r="O35" s="31" t="str">
        <f>IF(B35=HS!B35,HS!O35,"D")</f>
        <v>H</v>
      </c>
      <c r="P35" s="31" t="str">
        <f>IF(C35=HS!C35,HS!P35,"D")</f>
        <v>H</v>
      </c>
      <c r="Q35" s="31" t="str">
        <f>IF(D35=HS!D35,HS!Q35,"D")</f>
        <v>H</v>
      </c>
      <c r="R35" s="31" t="str">
        <f>IF(E35=HS!E35,HS!R35,"D")</f>
        <v>H</v>
      </c>
      <c r="S35" s="31" t="str">
        <f>IF(F35=HS!F35,HS!S35,"D")</f>
        <v>H</v>
      </c>
      <c r="T35" s="31" t="str">
        <f>IF(G35=HS!G35,HS!T35,"D")</f>
        <v>H</v>
      </c>
      <c r="U35" s="31" t="str">
        <f>IF(H35=HS!H35,HS!U35,"D")</f>
        <v>H</v>
      </c>
      <c r="V35" s="31" t="str">
        <f>IF(I35=HS!I35,HS!V35,"D")</f>
        <v>H</v>
      </c>
      <c r="W35" s="31" t="str">
        <f>IF(J35=HS!J35,HS!W35,"D")</f>
        <v>H</v>
      </c>
      <c r="X35" s="31" t="str">
        <f>IF(K35=HS!K35,HS!X35,"D")</f>
        <v>H</v>
      </c>
    </row>
    <row r="36" spans="1:24" x14ac:dyDescent="0.2">
      <c r="A36">
        <v>13</v>
      </c>
      <c r="B36">
        <f>MAX(Hit!B36,Stand!B36,Double!B36)</f>
        <v>-5.7308046666810254E-2</v>
      </c>
      <c r="C36">
        <f>MAX(Hit!C36,Stand!C36,Double!C36)</f>
        <v>4.6636132695309578E-2</v>
      </c>
      <c r="D36">
        <f>MAX(Hit!D36,Stand!D36,Double!D36)</f>
        <v>7.4118813392744051E-2</v>
      </c>
      <c r="E36">
        <f>MAX(Hit!E36,Stand!E36,Double!E36)</f>
        <v>0.10247714687203523</v>
      </c>
      <c r="F36">
        <f>MAX(Hit!F36,Stand!F36,Double!F36)</f>
        <v>0.13336273848321728</v>
      </c>
      <c r="G36">
        <f>MAX(Hit!G36,Stand!G36,Double!G36)</f>
        <v>0.17974820582791512</v>
      </c>
      <c r="H36">
        <f>MAX(Hit!H36,Stand!H36,Double!H36)</f>
        <v>0.12238569517899196</v>
      </c>
      <c r="I36">
        <f>MAX(Hit!I36,Stand!I36,Double!I36)</f>
        <v>5.4057070196311299E-2</v>
      </c>
      <c r="J36">
        <f>MAX(Hit!J36,Stand!J36,Double!J36)</f>
        <v>-3.7694688127479885E-2</v>
      </c>
      <c r="K36">
        <f>MAX(Hit!K36,Stand!K36,Double!K36)</f>
        <v>-0.10485135840627779</v>
      </c>
      <c r="N36" s="31">
        <v>13</v>
      </c>
      <c r="O36" s="31" t="str">
        <f>IF(B36=HS!B36,HS!O36,"D")</f>
        <v>H</v>
      </c>
      <c r="P36" s="31" t="str">
        <f>IF(C36=HS!C36,HS!P36,"D")</f>
        <v>H</v>
      </c>
      <c r="Q36" s="31" t="str">
        <f>IF(D36=HS!D36,HS!Q36,"D")</f>
        <v>H</v>
      </c>
      <c r="R36" s="31" t="str">
        <f>IF(E36=HS!E36,HS!R36,"D")</f>
        <v>H</v>
      </c>
      <c r="S36" s="31" t="str">
        <f>IF(F36=HS!F36,HS!S36,"D")</f>
        <v>H</v>
      </c>
      <c r="T36" s="31" t="str">
        <f>IF(G36=HS!G36,HS!T36,"D")</f>
        <v>D</v>
      </c>
      <c r="U36" s="31" t="str">
        <f>IF(H36=HS!H36,HS!U36,"D")</f>
        <v>H</v>
      </c>
      <c r="V36" s="31" t="str">
        <f>IF(I36=HS!I36,HS!V36,"D")</f>
        <v>H</v>
      </c>
      <c r="W36" s="31" t="str">
        <f>IF(J36=HS!J36,HS!W36,"D")</f>
        <v>H</v>
      </c>
      <c r="X36" s="31" t="str">
        <f>IF(K36=HS!K36,HS!X36,"D")</f>
        <v>H</v>
      </c>
    </row>
    <row r="37" spans="1:24" x14ac:dyDescent="0.2">
      <c r="A37">
        <v>14</v>
      </c>
      <c r="B37">
        <f>MAX(Hit!B37,Stand!B37,Double!B37)</f>
        <v>-9.3874324768310105E-2</v>
      </c>
      <c r="C37">
        <f>MAX(Hit!C37,Stand!C37,Double!C37)</f>
        <v>2.2391856987839083E-2</v>
      </c>
      <c r="D37">
        <f>MAX(Hit!D37,Stand!D37,Double!D37)</f>
        <v>5.0806738919282814E-2</v>
      </c>
      <c r="E37">
        <f>MAX(Hit!E37,Stand!E37,Double!E37)</f>
        <v>8.0081414310110233E-2</v>
      </c>
      <c r="F37">
        <f>MAX(Hit!F37,Stand!F37,Double!F37)</f>
        <v>0.12595448524867925</v>
      </c>
      <c r="G37">
        <f>MAX(Hit!G37,Stand!G37,Double!G37)</f>
        <v>0.17974820582791512</v>
      </c>
      <c r="H37">
        <f>MAX(Hit!H37,Stand!H37,Double!H37)</f>
        <v>7.9507488494468148E-2</v>
      </c>
      <c r="I37">
        <f>MAX(Hit!I37,Stand!I37,Double!I37)</f>
        <v>1.3277219463208444E-2</v>
      </c>
      <c r="J37">
        <f>MAX(Hit!J37,Stand!J37,Double!J37)</f>
        <v>-7.516318944168382E-2</v>
      </c>
      <c r="K37">
        <f>MAX(Hit!K37,Stand!K37,Double!K37)</f>
        <v>-0.13946678217545452</v>
      </c>
      <c r="N37" s="31">
        <v>14</v>
      </c>
      <c r="O37" s="31" t="str">
        <f>IF(B37=HS!B37,HS!O37,"D")</f>
        <v>H</v>
      </c>
      <c r="P37" s="31" t="str">
        <f>IF(C37=HS!C37,HS!P37,"D")</f>
        <v>H</v>
      </c>
      <c r="Q37" s="31" t="str">
        <f>IF(D37=HS!D37,HS!Q37,"D")</f>
        <v>H</v>
      </c>
      <c r="R37" s="31" t="str">
        <f>IF(E37=HS!E37,HS!R37,"D")</f>
        <v>H</v>
      </c>
      <c r="S37" s="31" t="str">
        <f>IF(F37=HS!F37,HS!S37,"D")</f>
        <v>D</v>
      </c>
      <c r="T37" s="31" t="str">
        <f>IF(G37=HS!G37,HS!T37,"D")</f>
        <v>D</v>
      </c>
      <c r="U37" s="31" t="str">
        <f>IF(H37=HS!H37,HS!U37,"D")</f>
        <v>H</v>
      </c>
      <c r="V37" s="31" t="str">
        <f>IF(I37=HS!I37,HS!V37,"D")</f>
        <v>H</v>
      </c>
      <c r="W37" s="31" t="str">
        <f>IF(J37=HS!J37,HS!W37,"D")</f>
        <v>H</v>
      </c>
      <c r="X37" s="31" t="str">
        <f>IF(K37=HS!K37,HS!X37,"D")</f>
        <v>H</v>
      </c>
    </row>
    <row r="38" spans="1:24" x14ac:dyDescent="0.2">
      <c r="A38">
        <v>15</v>
      </c>
      <c r="B38">
        <f>MAX(Hit!B38,Stand!B38,Double!B38)</f>
        <v>-0.13002650167843849</v>
      </c>
      <c r="C38">
        <f>MAX(Hit!C38,Stand!C38,Double!C38)</f>
        <v>-1.2068474052636583E-4</v>
      </c>
      <c r="D38">
        <f>MAX(Hit!D38,Stand!D38,Double!D38)</f>
        <v>2.9159812622497363E-2</v>
      </c>
      <c r="E38">
        <f>MAX(Hit!E38,Stand!E38,Double!E38)</f>
        <v>5.9285376931179926E-2</v>
      </c>
      <c r="F38">
        <f>MAX(Hit!F38,Stand!F38,Double!F38)</f>
        <v>0.12595448524867925</v>
      </c>
      <c r="G38">
        <f>MAX(Hit!G38,Stand!G38,Double!G38)</f>
        <v>0.17974820582791512</v>
      </c>
      <c r="H38">
        <f>MAX(Hit!H38,Stand!H38,Double!H38)</f>
        <v>3.7028282279269235E-2</v>
      </c>
      <c r="I38">
        <f>MAX(Hit!I38,Stand!I38,Double!I38)</f>
        <v>-2.7054780502901672E-2</v>
      </c>
      <c r="J38">
        <f>MAX(Hit!J38,Stand!J38,Double!J38)</f>
        <v>-0.11218876868994289</v>
      </c>
      <c r="K38">
        <f>MAX(Hit!K38,Stand!K38,Double!K38)</f>
        <v>-0.17370423031226784</v>
      </c>
      <c r="N38" s="31">
        <v>15</v>
      </c>
      <c r="O38" s="31" t="str">
        <f>IF(B38=HS!B38,HS!O38,"D")</f>
        <v>H</v>
      </c>
      <c r="P38" s="31" t="str">
        <f>IF(C38=HS!C38,HS!P38,"D")</f>
        <v>H</v>
      </c>
      <c r="Q38" s="31" t="str">
        <f>IF(D38=HS!D38,HS!Q38,"D")</f>
        <v>H</v>
      </c>
      <c r="R38" s="31" t="str">
        <f>IF(E38=HS!E38,HS!R38,"D")</f>
        <v>H</v>
      </c>
      <c r="S38" s="31" t="str">
        <f>IF(F38=HS!F38,HS!S38,"D")</f>
        <v>D</v>
      </c>
      <c r="T38" s="31" t="str">
        <f>IF(G38=HS!G38,HS!T38,"D")</f>
        <v>D</v>
      </c>
      <c r="U38" s="31" t="str">
        <f>IF(H38=HS!H38,HS!U38,"D")</f>
        <v>H</v>
      </c>
      <c r="V38" s="31" t="str">
        <f>IF(I38=HS!I38,HS!V38,"D")</f>
        <v>H</v>
      </c>
      <c r="W38" s="31" t="str">
        <f>IF(J38=HS!J38,HS!W38,"D")</f>
        <v>H</v>
      </c>
      <c r="X38" s="31" t="str">
        <f>IF(K38=HS!K38,HS!X38,"D")</f>
        <v>H</v>
      </c>
    </row>
    <row r="39" spans="1:24" x14ac:dyDescent="0.2">
      <c r="A39">
        <v>16</v>
      </c>
      <c r="B39">
        <f>MAX(Hit!B39,Stand!B39,Double!B39)</f>
        <v>-0.16563717206687348</v>
      </c>
      <c r="C39">
        <f>MAX(Hit!C39,Stand!C39,Double!C39)</f>
        <v>-2.1025187774008566E-2</v>
      </c>
      <c r="D39">
        <f>MAX(Hit!D39,Stand!D39,Double!D39)</f>
        <v>9.0590953469108244E-3</v>
      </c>
      <c r="E39">
        <f>MAX(Hit!E39,Stand!E39,Double!E39)</f>
        <v>5.8426518743744951E-2</v>
      </c>
      <c r="F39">
        <f>MAX(Hit!F39,Stand!F39,Double!F39)</f>
        <v>0.12595448524867925</v>
      </c>
      <c r="G39">
        <f>MAX(Hit!G39,Stand!G39,Double!G39)</f>
        <v>0.17974820582791512</v>
      </c>
      <c r="H39">
        <f>MAX(Hit!H39,Stand!H39,Double!H39)</f>
        <v>-4.8901571730158942E-3</v>
      </c>
      <c r="I39">
        <f>MAX(Hit!I39,Stand!I39,Double!I39)</f>
        <v>-6.6794847920094103E-2</v>
      </c>
      <c r="J39">
        <f>MAX(Hit!J39,Stand!J39,Double!J39)</f>
        <v>-0.14864353463007471</v>
      </c>
      <c r="K39">
        <f>MAX(Hit!K39,Stand!K39,Double!K39)</f>
        <v>-0.20744109003068206</v>
      </c>
      <c r="N39" s="31">
        <v>16</v>
      </c>
      <c r="O39" s="31" t="str">
        <f>IF(B39=HS!B39,HS!O39,"D")</f>
        <v>H</v>
      </c>
      <c r="P39" s="31" t="str">
        <f>IF(C39=HS!C39,HS!P39,"D")</f>
        <v>H</v>
      </c>
      <c r="Q39" s="31" t="str">
        <f>IF(D39=HS!D39,HS!Q39,"D")</f>
        <v>H</v>
      </c>
      <c r="R39" s="31" t="str">
        <f>IF(E39=HS!E39,HS!R39,"D")</f>
        <v>D</v>
      </c>
      <c r="S39" s="31" t="str">
        <f>IF(F39=HS!F39,HS!S39,"D")</f>
        <v>D</v>
      </c>
      <c r="T39" s="31" t="str">
        <f>IF(G39=HS!G39,HS!T39,"D")</f>
        <v>D</v>
      </c>
      <c r="U39" s="31" t="str">
        <f>IF(H39=HS!H39,HS!U39,"D")</f>
        <v>H</v>
      </c>
      <c r="V39" s="31" t="str">
        <f>IF(I39=HS!I39,HS!V39,"D")</f>
        <v>H</v>
      </c>
      <c r="W39" s="31" t="str">
        <f>IF(J39=HS!J39,HS!W39,"D")</f>
        <v>H</v>
      </c>
      <c r="X39" s="31" t="str">
        <f>IF(K39=HS!K39,HS!X39,"D")</f>
        <v>H</v>
      </c>
    </row>
    <row r="40" spans="1:24" x14ac:dyDescent="0.2">
      <c r="A40">
        <v>17</v>
      </c>
      <c r="B40">
        <f>MAX(Hit!B40,Stand!B40,Double!B40)</f>
        <v>-0.17956936979241733</v>
      </c>
      <c r="C40">
        <f>MAX(Hit!C40,Stand!C40,Double!C40)</f>
        <v>-4.9104358288912882E-4</v>
      </c>
      <c r="D40">
        <f>MAX(Hit!D40,Stand!D40,Double!D40)</f>
        <v>5.5095284479298338E-2</v>
      </c>
      <c r="E40">
        <f>MAX(Hit!E40,Stand!E40,Double!E40)</f>
        <v>0.11865255067432869</v>
      </c>
      <c r="F40">
        <f>MAX(Hit!F40,Stand!F40,Double!F40)</f>
        <v>0.18237815537354879</v>
      </c>
      <c r="G40">
        <f>MAX(Hit!G40,Stand!G40,Double!G40)</f>
        <v>0.2561042872909981</v>
      </c>
      <c r="H40">
        <f>MAX(Hit!H40,Stand!H40,Double!H40)</f>
        <v>5.3823463716116654E-2</v>
      </c>
      <c r="I40">
        <f>MAX(Hit!I40,Stand!I40,Double!I40)</f>
        <v>-7.2915398729642075E-2</v>
      </c>
      <c r="J40">
        <f>MAX(Hit!J40,Stand!J40,Double!J40)</f>
        <v>-0.1497868921821332</v>
      </c>
      <c r="K40">
        <f>MAX(Hit!K40,Stand!K40,Double!K40)</f>
        <v>-0.19686697623363469</v>
      </c>
      <c r="N40" s="31">
        <v>17</v>
      </c>
      <c r="O40" s="31" t="str">
        <f>IF(B40=HS!B40,HS!O40,"D")</f>
        <v>H</v>
      </c>
      <c r="P40" s="31" t="str">
        <f>IF(C40=HS!C40,HS!P40,"D")</f>
        <v>H</v>
      </c>
      <c r="Q40" s="31" t="str">
        <f>IF(D40=HS!D40,HS!Q40,"D")</f>
        <v>D</v>
      </c>
      <c r="R40" s="31" t="str">
        <f>IF(E40=HS!E40,HS!R40,"D")</f>
        <v>D</v>
      </c>
      <c r="S40" s="31" t="str">
        <f>IF(F40=HS!F40,HS!S40,"D")</f>
        <v>D</v>
      </c>
      <c r="T40" s="31" t="str">
        <f>IF(G40=HS!G40,HS!T40,"D")</f>
        <v>D</v>
      </c>
      <c r="U40" s="31" t="str">
        <f>IF(H40=HS!H40,HS!U40,"D")</f>
        <v>H</v>
      </c>
      <c r="V40" s="31" t="str">
        <f>IF(I40=HS!I40,HS!V40,"D")</f>
        <v>H</v>
      </c>
      <c r="W40" s="31" t="str">
        <f>IF(J40=HS!J40,HS!W40,"D")</f>
        <v>H</v>
      </c>
      <c r="X40" s="31" t="str">
        <f>IF(K40=HS!K40,HS!X40,"D")</f>
        <v>H</v>
      </c>
    </row>
    <row r="41" spans="1:24" x14ac:dyDescent="0.2">
      <c r="A41">
        <v>18</v>
      </c>
      <c r="B41">
        <f>MAX(Hit!B41,Stand!B41,Double!B41)</f>
        <v>-9.2935491769284034E-2</v>
      </c>
      <c r="C41">
        <f>MAX(Hit!C41,Stand!C41,Double!C41)</f>
        <v>0.12174190222088771</v>
      </c>
      <c r="D41">
        <f>MAX(Hit!D41,Stand!D41,Double!D41)</f>
        <v>0.17764127567893753</v>
      </c>
      <c r="E41">
        <f>MAX(Hit!E41,Stand!E41,Double!E41)</f>
        <v>0.23700384775562167</v>
      </c>
      <c r="F41">
        <f>MAX(Hit!F41,Stand!F41,Double!F41)</f>
        <v>0.29522549562328804</v>
      </c>
      <c r="G41">
        <f>MAX(Hit!G41,Stand!G41,Double!G41)</f>
        <v>0.38150648207879345</v>
      </c>
      <c r="H41">
        <f>MAX(Hit!H41,Stand!H41,Double!H41)</f>
        <v>0.3995541673365518</v>
      </c>
      <c r="I41">
        <f>MAX(Hit!I41,Stand!I41,Double!I41)</f>
        <v>0.10595134861912359</v>
      </c>
      <c r="J41">
        <f>MAX(Hit!J41,Stand!J41,Double!J41)</f>
        <v>-0.10074430758041522</v>
      </c>
      <c r="K41">
        <f>MAX(Hit!K41,Stand!K41,Double!K41)</f>
        <v>-0.14380812317405353</v>
      </c>
      <c r="N41" s="31">
        <v>18</v>
      </c>
      <c r="O41" s="31" t="str">
        <f>IF(B41=HS!B41,HS!O41,"D")</f>
        <v>H</v>
      </c>
      <c r="P41" s="31" t="str">
        <f>IF(C41=HS!C41,HS!P41,"D")</f>
        <v>S</v>
      </c>
      <c r="Q41" s="31" t="str">
        <f>IF(D41=HS!D41,HS!Q41,"D")</f>
        <v>D</v>
      </c>
      <c r="R41" s="31" t="str">
        <f>IF(E41=HS!E41,HS!R41,"D")</f>
        <v>D</v>
      </c>
      <c r="S41" s="31" t="str">
        <f>IF(F41=HS!F41,HS!S41,"D")</f>
        <v>D</v>
      </c>
      <c r="T41" s="31" t="str">
        <f>IF(G41=HS!G41,HS!T41,"D")</f>
        <v>D</v>
      </c>
      <c r="U41" s="31" t="str">
        <f>IF(H41=HS!H41,HS!U41,"D")</f>
        <v>S</v>
      </c>
      <c r="V41" s="31" t="str">
        <f>IF(I41=HS!I41,HS!V41,"D")</f>
        <v>S</v>
      </c>
      <c r="W41" s="31" t="str">
        <f>IF(J41=HS!J41,HS!W41,"D")</f>
        <v>H</v>
      </c>
      <c r="X41" s="31" t="str">
        <f>IF(K41=HS!K41,HS!X41,"D")</f>
        <v>H</v>
      </c>
    </row>
    <row r="42" spans="1:24" x14ac:dyDescent="0.2">
      <c r="A42">
        <v>19</v>
      </c>
      <c r="B42">
        <f>MAX(Hit!B42,Stand!B42,Double!B42)</f>
        <v>0.27763572376835594</v>
      </c>
      <c r="C42">
        <f>MAX(Hit!C42,Stand!C42,Double!C42)</f>
        <v>0.38630468602058993</v>
      </c>
      <c r="D42">
        <f>MAX(Hit!D42,Stand!D42,Double!D42)</f>
        <v>0.4043629365977599</v>
      </c>
      <c r="E42">
        <f>MAX(Hit!E42,Stand!E42,Double!E42)</f>
        <v>0.42317892482749653</v>
      </c>
      <c r="F42">
        <f>MAX(Hit!F42,Stand!F42,Double!F42)</f>
        <v>0.43951210416088371</v>
      </c>
      <c r="G42">
        <f>MAX(Hit!G42,Stand!G42,Double!G42)</f>
        <v>0.49597707378731914</v>
      </c>
      <c r="H42">
        <f>MAX(Hit!H42,Stand!H42,Double!H42)</f>
        <v>0.6159764957534315</v>
      </c>
      <c r="I42">
        <f>MAX(Hit!I42,Stand!I42,Double!I42)</f>
        <v>0.59385366828669439</v>
      </c>
      <c r="J42">
        <f>MAX(Hit!J42,Stand!J42,Double!J42)</f>
        <v>0.28759675706758148</v>
      </c>
      <c r="K42">
        <f>MAX(Hit!K42,Stand!K42,Double!K42)</f>
        <v>6.3118166335840831E-2</v>
      </c>
      <c r="N42" s="31">
        <v>19</v>
      </c>
      <c r="O42" s="31" t="str">
        <f>IF(B42=HS!B42,HS!O42,"D")</f>
        <v>S</v>
      </c>
      <c r="P42" s="31" t="str">
        <f>IF(C42=HS!C42,HS!P42,"D")</f>
        <v>S</v>
      </c>
      <c r="Q42" s="31" t="str">
        <f>IF(D42=HS!D42,HS!Q42,"D")</f>
        <v>S</v>
      </c>
      <c r="R42" s="31" t="str">
        <f>IF(E42=HS!E42,HS!R42,"D")</f>
        <v>S</v>
      </c>
      <c r="S42" s="31" t="str">
        <f>IF(F42=HS!F42,HS!S42,"D")</f>
        <v>S</v>
      </c>
      <c r="T42" s="31" t="str">
        <f>IF(G42=HS!G42,HS!T42,"D")</f>
        <v>S</v>
      </c>
      <c r="U42" s="31" t="str">
        <f>IF(H42=HS!H42,HS!U42,"D")</f>
        <v>S</v>
      </c>
      <c r="V42" s="31" t="str">
        <f>IF(I42=HS!I42,HS!V42,"D")</f>
        <v>S</v>
      </c>
      <c r="W42" s="31" t="str">
        <f>IF(J42=HS!J42,HS!W42,"D")</f>
        <v>S</v>
      </c>
      <c r="X42" s="31" t="str">
        <f>IF(K42=HS!K42,HS!X42,"D")</f>
        <v>S</v>
      </c>
    </row>
    <row r="43" spans="1:24" x14ac:dyDescent="0.2">
      <c r="A43">
        <v>20</v>
      </c>
      <c r="B43">
        <f>MAX(Hit!B43,Stand!B43,Double!B43)</f>
        <v>0.65547032314990239</v>
      </c>
      <c r="C43">
        <f>MAX(Hit!C43,Stand!C43,Double!C43)</f>
        <v>0.63998657521683877</v>
      </c>
      <c r="D43">
        <f>MAX(Hit!D43,Stand!D43,Double!D43)</f>
        <v>0.65027209425148136</v>
      </c>
      <c r="E43">
        <f>MAX(Hit!E43,Stand!E43,Double!E43)</f>
        <v>0.66104996194807186</v>
      </c>
      <c r="F43">
        <f>MAX(Hit!F43,Stand!F43,Double!F43)</f>
        <v>0.67035969063279999</v>
      </c>
      <c r="G43">
        <f>MAX(Hit!G43,Stand!G43,Double!G43)</f>
        <v>0.70395857017134467</v>
      </c>
      <c r="H43">
        <f>MAX(Hit!H43,Stand!H43,Double!H43)</f>
        <v>0.77322722653717491</v>
      </c>
      <c r="I43">
        <f>MAX(Hit!I43,Stand!I43,Double!I43)</f>
        <v>0.79181515955189841</v>
      </c>
      <c r="J43">
        <f>MAX(Hit!J43,Stand!J43,Double!J43)</f>
        <v>0.75835687080859626</v>
      </c>
      <c r="K43">
        <f>MAX(Hit!K43,Stand!K43,Double!K43)</f>
        <v>0.55453756646817121</v>
      </c>
      <c r="N43" s="31">
        <v>20</v>
      </c>
      <c r="O43" s="31" t="str">
        <f>IF(B43=HS!B43,HS!O43,"D")</f>
        <v>S</v>
      </c>
      <c r="P43" s="31" t="str">
        <f>IF(C43=HS!C43,HS!P43,"D")</f>
        <v>S</v>
      </c>
      <c r="Q43" s="31" t="str">
        <f>IF(D43=HS!D43,HS!Q43,"D")</f>
        <v>S</v>
      </c>
      <c r="R43" s="31" t="str">
        <f>IF(E43=HS!E43,HS!R43,"D")</f>
        <v>S</v>
      </c>
      <c r="S43" s="31" t="str">
        <f>IF(F43=HS!F43,HS!S43,"D")</f>
        <v>S</v>
      </c>
      <c r="T43" s="31" t="str">
        <f>IF(G43=HS!G43,HS!T43,"D")</f>
        <v>S</v>
      </c>
      <c r="U43" s="31" t="str">
        <f>IF(H43=HS!H43,HS!U43,"D")</f>
        <v>S</v>
      </c>
      <c r="V43" s="31" t="str">
        <f>IF(I43=HS!I43,HS!V43,"D")</f>
        <v>S</v>
      </c>
      <c r="W43" s="31" t="str">
        <f>IF(J43=HS!J43,HS!W43,"D")</f>
        <v>S</v>
      </c>
      <c r="X43" s="31" t="str">
        <f>IF(K43=HS!K43,HS!X43,"D")</f>
        <v>S</v>
      </c>
    </row>
    <row r="44" spans="1:24" x14ac:dyDescent="0.2">
      <c r="A44">
        <v>21</v>
      </c>
      <c r="B44">
        <f>MAX(Hit!B44,Stand!B44,Double!B44)</f>
        <v>0.92219381142033785</v>
      </c>
      <c r="C44">
        <f>MAX(Hit!C44,Stand!C44,Double!C44)</f>
        <v>0.88200651549403997</v>
      </c>
      <c r="D44">
        <f>MAX(Hit!D44,Stand!D44,Double!D44)</f>
        <v>0.88530035730174927</v>
      </c>
      <c r="E44">
        <f>MAX(Hit!E44,Stand!E44,Double!E44)</f>
        <v>0.88876729296591961</v>
      </c>
      <c r="F44">
        <f>MAX(Hit!F44,Stand!F44,Double!F44)</f>
        <v>0.89175382659528035</v>
      </c>
      <c r="G44">
        <f>MAX(Hit!G44,Stand!G44,Double!G44)</f>
        <v>0.90283674384257995</v>
      </c>
      <c r="H44">
        <f>MAX(Hit!H44,Stand!H44,Double!H44)</f>
        <v>0.92592629596452325</v>
      </c>
      <c r="I44">
        <f>MAX(Hit!I44,Stand!I44,Double!I44)</f>
        <v>0.93060505318396614</v>
      </c>
      <c r="J44">
        <f>MAX(Hit!J44,Stand!J44,Double!J44)</f>
        <v>0.93917615614724415</v>
      </c>
      <c r="K44">
        <f>MAX(Hit!K44,Stand!K44,Double!K44)</f>
        <v>0.96262363326716827</v>
      </c>
      <c r="N44" s="31">
        <v>21</v>
      </c>
      <c r="O44" s="31" t="str">
        <f>IF(B44=HS!B44,HS!O44,"D")</f>
        <v>S</v>
      </c>
      <c r="P44" s="31" t="str">
        <f>IF(C44=HS!C44,HS!P44,"D")</f>
        <v>S</v>
      </c>
      <c r="Q44" s="31" t="str">
        <f>IF(D44=HS!D44,HS!Q44,"D")</f>
        <v>S</v>
      </c>
      <c r="R44" s="31" t="str">
        <f>IF(E44=HS!E44,HS!R44,"D")</f>
        <v>S</v>
      </c>
      <c r="S44" s="31" t="str">
        <f>IF(F44=HS!F44,HS!S44,"D")</f>
        <v>S</v>
      </c>
      <c r="T44" s="31" t="str">
        <f>IF(G44=HS!G44,HS!T44,"D")</f>
        <v>S</v>
      </c>
      <c r="U44" s="31" t="str">
        <f>IF(H44=HS!H44,HS!U44,"D")</f>
        <v>S</v>
      </c>
      <c r="V44" s="31" t="str">
        <f>IF(I44=HS!I44,HS!V44,"D")</f>
        <v>S</v>
      </c>
      <c r="W44" s="31" t="str">
        <f>IF(J44=HS!J44,HS!W44,"D")</f>
        <v>S</v>
      </c>
      <c r="X44" s="31" t="str">
        <f>IF(K44=HS!K44,HS!X44,"D")</f>
        <v>S</v>
      </c>
    </row>
    <row r="45" spans="1:24" x14ac:dyDescent="0.2">
      <c r="A45">
        <v>22</v>
      </c>
      <c r="B45">
        <f>MAX(Hit!B45,Stand!B45,Double!B45)</f>
        <v>-0.35054034044008009</v>
      </c>
      <c r="C45">
        <f>MAX(Hit!C45,Stand!C45,Double!C45)</f>
        <v>-0.25338998596663809</v>
      </c>
      <c r="D45">
        <f>MAX(Hit!D45,Stand!D45,Double!D45)</f>
        <v>-0.2336908997980866</v>
      </c>
      <c r="E45">
        <f>MAX(Hit!E45,Stand!E45,Double!E45)</f>
        <v>-0.21106310899491437</v>
      </c>
      <c r="F45">
        <f>MAX(Hit!F45,Stand!F45,Double!F45)</f>
        <v>-0.16719266083547524</v>
      </c>
      <c r="G45">
        <f>MAX(Hit!G45,Stand!G45,Double!G45)</f>
        <v>-0.1536990158300045</v>
      </c>
      <c r="H45">
        <f>MAX(Hit!H45,Stand!H45,Double!H45)</f>
        <v>-0.21284771451731424</v>
      </c>
      <c r="I45">
        <f>MAX(Hit!I45,Stand!I45,Double!I45)</f>
        <v>-0.27157480502428616</v>
      </c>
      <c r="J45">
        <f>MAX(Hit!J45,Stand!J45,Double!J45)</f>
        <v>-0.3400132806089356</v>
      </c>
      <c r="K45">
        <f>MAX(Hit!K45,Stand!K45,Double!K45)</f>
        <v>-0.38104299284808768</v>
      </c>
      <c r="N45" s="31">
        <v>22</v>
      </c>
      <c r="O45" s="31" t="str">
        <f>IF(B45=HS!B45,HS!O45,"D")</f>
        <v>H</v>
      </c>
      <c r="P45" s="31" t="str">
        <f>IF(C45=HS!C45,HS!P45,"D")</f>
        <v>H</v>
      </c>
      <c r="Q45" s="31" t="str">
        <f>IF(D45=HS!D45,HS!Q45,"D")</f>
        <v>H</v>
      </c>
      <c r="R45" s="31" t="str">
        <f>IF(E45=HS!E45,HS!R45,"D")</f>
        <v>S</v>
      </c>
      <c r="S45" s="31" t="str">
        <f>IF(F45=HS!F45,HS!S45,"D")</f>
        <v>S</v>
      </c>
      <c r="T45" s="31" t="str">
        <f>IF(G45=HS!G45,HS!T45,"D")</f>
        <v>S</v>
      </c>
      <c r="U45" s="31" t="str">
        <f>IF(H45=HS!H45,HS!U45,"D")</f>
        <v>H</v>
      </c>
      <c r="V45" s="31" t="str">
        <f>IF(I45=HS!I45,HS!V45,"D")</f>
        <v>H</v>
      </c>
      <c r="W45" s="31" t="str">
        <f>IF(J45=HS!J45,HS!W45,"D")</f>
        <v>H</v>
      </c>
      <c r="X45" s="31" t="str">
        <f>IF(K45=HS!K45,HS!X45,"D")</f>
        <v>H</v>
      </c>
    </row>
    <row r="46" spans="1:24" x14ac:dyDescent="0.2">
      <c r="A46">
        <v>23</v>
      </c>
      <c r="B46">
        <f>MAX(Hit!B46,Stand!B46,Double!B46)</f>
        <v>-0.3969303161229315</v>
      </c>
      <c r="C46">
        <f>MAX(Hit!C46,Stand!C46,Double!C46)</f>
        <v>-0.29278372720927726</v>
      </c>
      <c r="D46">
        <f>MAX(Hit!D46,Stand!D46,Double!D46)</f>
        <v>-0.2522502292357135</v>
      </c>
      <c r="E46">
        <f>MAX(Hit!E46,Stand!E46,Double!E46)</f>
        <v>-0.21106310899491437</v>
      </c>
      <c r="F46">
        <f>MAX(Hit!F46,Stand!F46,Double!F46)</f>
        <v>-0.16719266083547524</v>
      </c>
      <c r="G46">
        <f>MAX(Hit!G46,Stand!G46,Double!G46)</f>
        <v>-0.1536990158300045</v>
      </c>
      <c r="H46">
        <f>MAX(Hit!H46,Stand!H46,Double!H46)</f>
        <v>-0.26907287776607752</v>
      </c>
      <c r="I46">
        <f>MAX(Hit!I46,Stand!I46,Double!I46)</f>
        <v>-0.32360517609397998</v>
      </c>
      <c r="J46">
        <f>MAX(Hit!J46,Stand!J46,Double!J46)</f>
        <v>-0.38715518913686875</v>
      </c>
      <c r="K46">
        <f>MAX(Hit!K46,Stand!K46,Double!K46)</f>
        <v>-0.42525420764465277</v>
      </c>
      <c r="N46" s="31">
        <v>23</v>
      </c>
      <c r="O46" s="31" t="str">
        <f>IF(B46=HS!B46,HS!O46,"D")</f>
        <v>H</v>
      </c>
      <c r="P46" s="31" t="str">
        <f>IF(C46=HS!C46,HS!P46,"D")</f>
        <v>S</v>
      </c>
      <c r="Q46" s="31" t="str">
        <f>IF(D46=HS!D46,HS!Q46,"D")</f>
        <v>S</v>
      </c>
      <c r="R46" s="31" t="str">
        <f>IF(E46=HS!E46,HS!R46,"D")</f>
        <v>S</v>
      </c>
      <c r="S46" s="31" t="str">
        <f>IF(F46=HS!F46,HS!S46,"D")</f>
        <v>S</v>
      </c>
      <c r="T46" s="31" t="str">
        <f>IF(G46=HS!G46,HS!T46,"D")</f>
        <v>S</v>
      </c>
      <c r="U46" s="31" t="str">
        <f>IF(H46=HS!H46,HS!U46,"D")</f>
        <v>H</v>
      </c>
      <c r="V46" s="31" t="str">
        <f>IF(I46=HS!I46,HS!V46,"D")</f>
        <v>H</v>
      </c>
      <c r="W46" s="31" t="str">
        <f>IF(J46=HS!J46,HS!W46,"D")</f>
        <v>H</v>
      </c>
      <c r="X46" s="31" t="str">
        <f>IF(K46=HS!K46,HS!X46,"D")</f>
        <v>H</v>
      </c>
    </row>
    <row r="47" spans="1:24" x14ac:dyDescent="0.2">
      <c r="A47">
        <v>24</v>
      </c>
      <c r="B47">
        <f>MAX(Hit!B47,Stand!B47,Double!B47)</f>
        <v>-0.44000672211415065</v>
      </c>
      <c r="C47">
        <f>MAX(Hit!C47,Stand!C47,Double!C47)</f>
        <v>-0.29278372720927726</v>
      </c>
      <c r="D47">
        <f>MAX(Hit!D47,Stand!D47,Double!D47)</f>
        <v>-0.2522502292357135</v>
      </c>
      <c r="E47">
        <f>MAX(Hit!E47,Stand!E47,Double!E47)</f>
        <v>-0.21106310899491437</v>
      </c>
      <c r="F47">
        <f>MAX(Hit!F47,Stand!F47,Double!F47)</f>
        <v>-0.16719266083547524</v>
      </c>
      <c r="G47">
        <f>MAX(Hit!G47,Stand!G47,Double!G47)</f>
        <v>-0.1536990158300045</v>
      </c>
      <c r="H47">
        <f>MAX(Hit!H47,Stand!H47,Double!H47)</f>
        <v>-0.3212819579256434</v>
      </c>
      <c r="I47">
        <f>MAX(Hit!I47,Stand!I47,Double!I47)</f>
        <v>-0.37191909208726714</v>
      </c>
      <c r="J47">
        <f>MAX(Hit!J47,Stand!J47,Double!J47)</f>
        <v>-0.43092981848423528</v>
      </c>
      <c r="K47">
        <f>MAX(Hit!K47,Stand!K47,Double!K47)</f>
        <v>-0.46630747852717758</v>
      </c>
      <c r="N47" s="31">
        <v>24</v>
      </c>
      <c r="O47" s="31" t="str">
        <f>IF(B47=HS!B47,HS!O47,"D")</f>
        <v>H</v>
      </c>
      <c r="P47" s="31" t="str">
        <f>IF(C47=HS!C47,HS!P47,"D")</f>
        <v>S</v>
      </c>
      <c r="Q47" s="31" t="str">
        <f>IF(D47=HS!D47,HS!Q47,"D")</f>
        <v>S</v>
      </c>
      <c r="R47" s="31" t="str">
        <f>IF(E47=HS!E47,HS!R47,"D")</f>
        <v>S</v>
      </c>
      <c r="S47" s="31" t="str">
        <f>IF(F47=HS!F47,HS!S47,"D")</f>
        <v>S</v>
      </c>
      <c r="T47" s="31" t="str">
        <f>IF(G47=HS!G47,HS!T47,"D")</f>
        <v>S</v>
      </c>
      <c r="U47" s="31" t="str">
        <f>IF(H47=HS!H47,HS!U47,"D")</f>
        <v>H</v>
      </c>
      <c r="V47" s="31" t="str">
        <f>IF(I47=HS!I47,HS!V47,"D")</f>
        <v>H</v>
      </c>
      <c r="W47" s="31" t="str">
        <f>IF(J47=HS!J47,HS!W47,"D")</f>
        <v>H</v>
      </c>
      <c r="X47" s="31" t="str">
        <f>IF(K47=HS!K47,HS!X47,"D")</f>
        <v>H</v>
      </c>
    </row>
    <row r="48" spans="1:24" x14ac:dyDescent="0.2">
      <c r="A48">
        <v>25</v>
      </c>
      <c r="B48">
        <f>MAX(Hit!B48,Stand!B48,Double!B48)</f>
        <v>-0.4800062419631399</v>
      </c>
      <c r="C48">
        <f>MAX(Hit!C48,Stand!C48,Double!C48)</f>
        <v>-0.29278372720927726</v>
      </c>
      <c r="D48">
        <f>MAX(Hit!D48,Stand!D48,Double!D48)</f>
        <v>-0.2522502292357135</v>
      </c>
      <c r="E48">
        <f>MAX(Hit!E48,Stand!E48,Double!E48)</f>
        <v>-0.21106310899491437</v>
      </c>
      <c r="F48">
        <f>MAX(Hit!F48,Stand!F48,Double!F48)</f>
        <v>-0.16719266083547524</v>
      </c>
      <c r="G48">
        <f>MAX(Hit!G48,Stand!G48,Double!G48)</f>
        <v>-0.1536990158300045</v>
      </c>
      <c r="H48">
        <f>MAX(Hit!H48,Stand!H48,Double!H48)</f>
        <v>-0.36976181807381175</v>
      </c>
      <c r="I48">
        <f>MAX(Hit!I48,Stand!I48,Double!I48)</f>
        <v>-0.41678201408103371</v>
      </c>
      <c r="J48">
        <f>MAX(Hit!J48,Stand!J48,Double!J48)</f>
        <v>-0.47157768859250415</v>
      </c>
      <c r="K48">
        <f>MAX(Hit!K48,Stand!K48,Double!K48)</f>
        <v>-0.5044283729180935</v>
      </c>
      <c r="N48" s="31">
        <v>25</v>
      </c>
      <c r="O48" s="31" t="str">
        <f>IF(B48=HS!B48,HS!O48,"D")</f>
        <v>H</v>
      </c>
      <c r="P48" s="31" t="str">
        <f>IF(C48=HS!C48,HS!P48,"D")</f>
        <v>S</v>
      </c>
      <c r="Q48" s="31" t="str">
        <f>IF(D48=HS!D48,HS!Q48,"D")</f>
        <v>S</v>
      </c>
      <c r="R48" s="31" t="str">
        <f>IF(E48=HS!E48,HS!R48,"D")</f>
        <v>S</v>
      </c>
      <c r="S48" s="31" t="str">
        <f>IF(F48=HS!F48,HS!S48,"D")</f>
        <v>S</v>
      </c>
      <c r="T48" s="31" t="str">
        <f>IF(G48=HS!G48,HS!T48,"D")</f>
        <v>S</v>
      </c>
      <c r="U48" s="31" t="str">
        <f>IF(H48=HS!H48,HS!U48,"D")</f>
        <v>H</v>
      </c>
      <c r="V48" s="31" t="str">
        <f>IF(I48=HS!I48,HS!V48,"D")</f>
        <v>H</v>
      </c>
      <c r="W48" s="31" t="str">
        <f>IF(J48=HS!J48,HS!W48,"D")</f>
        <v>H</v>
      </c>
      <c r="X48" s="31" t="str">
        <f>IF(K48=HS!K48,HS!X48,"D")</f>
        <v>H</v>
      </c>
    </row>
    <row r="49" spans="1:24" x14ac:dyDescent="0.2">
      <c r="A49">
        <v>26</v>
      </c>
      <c r="B49">
        <f>MAX(Hit!B49,Stand!B49,Double!B49)</f>
        <v>-0.51714865325148707</v>
      </c>
      <c r="C49">
        <f>MAX(Hit!C49,Stand!C49,Double!C49)</f>
        <v>-0.29278372720927726</v>
      </c>
      <c r="D49">
        <f>MAX(Hit!D49,Stand!D49,Double!D49)</f>
        <v>-0.2522502292357135</v>
      </c>
      <c r="E49">
        <f>MAX(Hit!E49,Stand!E49,Double!E49)</f>
        <v>-0.21106310899491437</v>
      </c>
      <c r="F49">
        <f>MAX(Hit!F49,Stand!F49,Double!F49)</f>
        <v>-0.16719266083547524</v>
      </c>
      <c r="G49">
        <f>MAX(Hit!G49,Stand!G49,Double!G49)</f>
        <v>-0.1536990158300045</v>
      </c>
      <c r="H49">
        <f>MAX(Hit!H49,Stand!H49,Double!H49)</f>
        <v>-0.41477883106853947</v>
      </c>
      <c r="I49">
        <f>MAX(Hit!I49,Stand!I49,Double!I49)</f>
        <v>-0.45844044164667419</v>
      </c>
      <c r="J49">
        <f>MAX(Hit!J49,Stand!J49,Double!J49)</f>
        <v>-0.50932213940732529</v>
      </c>
      <c r="K49">
        <f>MAX(Hit!K49,Stand!K49,Double!K49)</f>
        <v>-0.53982634628108683</v>
      </c>
      <c r="N49" s="31">
        <v>26</v>
      </c>
      <c r="O49" s="31" t="str">
        <f>IF(B49=HS!B49,HS!O49,"D")</f>
        <v>H</v>
      </c>
      <c r="P49" s="31" t="str">
        <f>IF(C49=HS!C49,HS!P49,"D")</f>
        <v>S</v>
      </c>
      <c r="Q49" s="31" t="str">
        <f>IF(D49=HS!D49,HS!Q49,"D")</f>
        <v>S</v>
      </c>
      <c r="R49" s="31" t="str">
        <f>IF(E49=HS!E49,HS!R49,"D")</f>
        <v>S</v>
      </c>
      <c r="S49" s="31" t="str">
        <f>IF(F49=HS!F49,HS!S49,"D")</f>
        <v>S</v>
      </c>
      <c r="T49" s="31" t="str">
        <f>IF(G49=HS!G49,HS!T49,"D")</f>
        <v>S</v>
      </c>
      <c r="U49" s="31" t="str">
        <f>IF(H49=HS!H49,HS!U49,"D")</f>
        <v>H</v>
      </c>
      <c r="V49" s="31" t="str">
        <f>IF(I49=HS!I49,HS!V49,"D")</f>
        <v>H</v>
      </c>
      <c r="W49" s="31" t="str">
        <f>IF(J49=HS!J49,HS!W49,"D")</f>
        <v>H</v>
      </c>
      <c r="X49" s="31" t="str">
        <f>IF(K49=HS!K49,HS!X49,"D")</f>
        <v>H</v>
      </c>
    </row>
    <row r="50" spans="1:24" x14ac:dyDescent="0.2">
      <c r="A50">
        <v>27</v>
      </c>
      <c r="B50">
        <f>MAX(Hit!B50,Stand!B50,Double!B50)</f>
        <v>-0.47803347499473703</v>
      </c>
      <c r="C50">
        <f>MAX(Hit!C50,Stand!C50,Double!C50)</f>
        <v>-0.15297458768154204</v>
      </c>
      <c r="D50">
        <f>MAX(Hit!D50,Stand!D50,Double!D50)</f>
        <v>-0.11721624142457365</v>
      </c>
      <c r="E50">
        <f>MAX(Hit!E50,Stand!E50,Double!E50)</f>
        <v>-8.0573373145316152E-2</v>
      </c>
      <c r="F50">
        <f>MAX(Hit!F50,Stand!F50,Double!F50)</f>
        <v>-4.4941375564924446E-2</v>
      </c>
      <c r="G50">
        <f>MAX(Hit!G50,Stand!G50,Double!G50)</f>
        <v>1.1739160673341853E-2</v>
      </c>
      <c r="H50">
        <f>MAX(Hit!H50,Stand!H50,Double!H50)</f>
        <v>-0.10680898948269468</v>
      </c>
      <c r="I50">
        <f>MAX(Hit!I50,Stand!I50,Double!I50)</f>
        <v>-0.38195097104844711</v>
      </c>
      <c r="J50">
        <f>MAX(Hit!J50,Stand!J50,Double!J50)</f>
        <v>-0.42315423964521737</v>
      </c>
      <c r="K50">
        <f>MAX(Hit!K50,Stand!K50,Double!K50)</f>
        <v>-0.41972063392881986</v>
      </c>
      <c r="N50" s="31">
        <v>27</v>
      </c>
      <c r="O50" s="31" t="str">
        <f>IF(B50=HS!B50,HS!O50,"D")</f>
        <v>S</v>
      </c>
      <c r="P50" s="31" t="str">
        <f>IF(C50=HS!C50,HS!P50,"D")</f>
        <v>S</v>
      </c>
      <c r="Q50" s="31" t="str">
        <f>IF(D50=HS!D50,HS!Q50,"D")</f>
        <v>S</v>
      </c>
      <c r="R50" s="31" t="str">
        <f>IF(E50=HS!E50,HS!R50,"D")</f>
        <v>S</v>
      </c>
      <c r="S50" s="31" t="str">
        <f>IF(F50=HS!F50,HS!S50,"D")</f>
        <v>S</v>
      </c>
      <c r="T50" s="31" t="str">
        <f>IF(G50=HS!G50,HS!T50,"D")</f>
        <v>S</v>
      </c>
      <c r="U50" s="31" t="str">
        <f>IF(H50=HS!H50,HS!U50,"D")</f>
        <v>S</v>
      </c>
      <c r="V50" s="31" t="str">
        <f>IF(I50=HS!I50,HS!V50,"D")</f>
        <v>S</v>
      </c>
      <c r="W50" s="31" t="str">
        <f>IF(J50=HS!J50,HS!W50,"D")</f>
        <v>S</v>
      </c>
      <c r="X50" s="31" t="str">
        <f>IF(K50=HS!K50,HS!X50,"D")</f>
        <v>S</v>
      </c>
    </row>
    <row r="51" spans="1:24" x14ac:dyDescent="0.2">
      <c r="A51">
        <v>28</v>
      </c>
      <c r="B51">
        <f>MAX(Hit!B51,Stand!B51,Double!B51)</f>
        <v>-0.10019887561319057</v>
      </c>
      <c r="C51">
        <f>MAX(Hit!C51,Stand!C51,Double!C51)</f>
        <v>0.12174190222088771</v>
      </c>
      <c r="D51">
        <f>MAX(Hit!D51,Stand!D51,Double!D51)</f>
        <v>0.14830007284131119</v>
      </c>
      <c r="E51">
        <f>MAX(Hit!E51,Stand!E51,Double!E51)</f>
        <v>0.17585443719748528</v>
      </c>
      <c r="F51">
        <f>MAX(Hit!F51,Stand!F51,Double!F51)</f>
        <v>0.19956119497617719</v>
      </c>
      <c r="G51">
        <f>MAX(Hit!G51,Stand!G51,Double!G51)</f>
        <v>0.28344391604689856</v>
      </c>
      <c r="H51">
        <f>MAX(Hit!H51,Stand!H51,Double!H51)</f>
        <v>0.3995541673365518</v>
      </c>
      <c r="I51">
        <f>MAX(Hit!I51,Stand!I51,Double!I51)</f>
        <v>0.10595134861912359</v>
      </c>
      <c r="J51">
        <f>MAX(Hit!J51,Stand!J51,Double!J51)</f>
        <v>-0.18316335667343331</v>
      </c>
      <c r="K51">
        <f>MAX(Hit!K51,Stand!K51,Double!K51)</f>
        <v>-0.17830123379648949</v>
      </c>
      <c r="N51" s="31">
        <v>28</v>
      </c>
      <c r="O51" s="31" t="str">
        <f>IF(B51=HS!B51,HS!O51,"D")</f>
        <v>S</v>
      </c>
      <c r="P51" s="31" t="str">
        <f>IF(C51=HS!C51,HS!P51,"D")</f>
        <v>S</v>
      </c>
      <c r="Q51" s="31" t="str">
        <f>IF(D51=HS!D51,HS!Q51,"D")</f>
        <v>S</v>
      </c>
      <c r="R51" s="31" t="str">
        <f>IF(E51=HS!E51,HS!R51,"D")</f>
        <v>S</v>
      </c>
      <c r="S51" s="31" t="str">
        <f>IF(F51=HS!F51,HS!S51,"D")</f>
        <v>S</v>
      </c>
      <c r="T51" s="31" t="str">
        <f>IF(G51=HS!G51,HS!T51,"D")</f>
        <v>S</v>
      </c>
      <c r="U51" s="31" t="str">
        <f>IF(H51=HS!H51,HS!U51,"D")</f>
        <v>S</v>
      </c>
      <c r="V51" s="31" t="str">
        <f>IF(I51=HS!I51,HS!V51,"D")</f>
        <v>S</v>
      </c>
      <c r="W51" s="31" t="str">
        <f>IF(J51=HS!J51,HS!W51,"D")</f>
        <v>S</v>
      </c>
      <c r="X51" s="31" t="str">
        <f>IF(K51=HS!K51,HS!X51,"D")</f>
        <v>S</v>
      </c>
    </row>
    <row r="52" spans="1:24" x14ac:dyDescent="0.2">
      <c r="A52">
        <v>29</v>
      </c>
      <c r="B52">
        <f>MAX(Hit!B52,Stand!B52,Double!B52)</f>
        <v>0.27763572376835594</v>
      </c>
      <c r="C52">
        <f>MAX(Hit!C52,Stand!C52,Double!C52)</f>
        <v>0.38630468602058993</v>
      </c>
      <c r="D52">
        <f>MAX(Hit!D52,Stand!D52,Double!D52)</f>
        <v>0.4043629365977599</v>
      </c>
      <c r="E52">
        <f>MAX(Hit!E52,Stand!E52,Double!E52)</f>
        <v>0.42317892482749653</v>
      </c>
      <c r="F52">
        <f>MAX(Hit!F52,Stand!F52,Double!F52)</f>
        <v>0.43951210416088371</v>
      </c>
      <c r="G52">
        <f>MAX(Hit!G52,Stand!G52,Double!G52)</f>
        <v>0.49597707378731914</v>
      </c>
      <c r="H52">
        <f>MAX(Hit!H52,Stand!H52,Double!H52)</f>
        <v>0.6159764957534315</v>
      </c>
      <c r="I52">
        <f>MAX(Hit!I52,Stand!I52,Double!I52)</f>
        <v>0.59385366828669439</v>
      </c>
      <c r="J52">
        <f>MAX(Hit!J52,Stand!J52,Double!J52)</f>
        <v>0.28759675706758148</v>
      </c>
      <c r="K52">
        <f>MAX(Hit!K52,Stand!K52,Double!K52)</f>
        <v>6.3118166335840831E-2</v>
      </c>
      <c r="N52" s="31">
        <v>29</v>
      </c>
      <c r="O52" s="31" t="str">
        <f>IF(B52=HS!B52,HS!O52,"D")</f>
        <v>S</v>
      </c>
      <c r="P52" s="31" t="str">
        <f>IF(C52=HS!C52,HS!P52,"D")</f>
        <v>S</v>
      </c>
      <c r="Q52" s="31" t="str">
        <f>IF(D52=HS!D52,HS!Q52,"D")</f>
        <v>S</v>
      </c>
      <c r="R52" s="31" t="str">
        <f>IF(E52=HS!E52,HS!R52,"D")</f>
        <v>S</v>
      </c>
      <c r="S52" s="31" t="str">
        <f>IF(F52=HS!F52,HS!S52,"D")</f>
        <v>S</v>
      </c>
      <c r="T52" s="31" t="str">
        <f>IF(G52=HS!G52,HS!T52,"D")</f>
        <v>S</v>
      </c>
      <c r="U52" s="31" t="str">
        <f>IF(H52=HS!H52,HS!U52,"D")</f>
        <v>S</v>
      </c>
      <c r="V52" s="31" t="str">
        <f>IF(I52=HS!I52,HS!V52,"D")</f>
        <v>S</v>
      </c>
      <c r="W52" s="31" t="str">
        <f>IF(J52=HS!J52,HS!W52,"D")</f>
        <v>S</v>
      </c>
      <c r="X52" s="31" t="str">
        <f>IF(K52=HS!K52,HS!X52,"D")</f>
        <v>S</v>
      </c>
    </row>
    <row r="53" spans="1:24" x14ac:dyDescent="0.2">
      <c r="A53">
        <v>30</v>
      </c>
      <c r="B53">
        <f>MAX(Hit!B53,Stand!B53,Double!B53)</f>
        <v>0.65547032314990239</v>
      </c>
      <c r="C53">
        <f>MAX(Hit!C53,Stand!C53,Double!C53)</f>
        <v>0.63998657521683877</v>
      </c>
      <c r="D53">
        <f>MAX(Hit!D53,Stand!D53,Double!D53)</f>
        <v>0.65027209425148136</v>
      </c>
      <c r="E53">
        <f>MAX(Hit!E53,Stand!E53,Double!E53)</f>
        <v>0.66104996194807186</v>
      </c>
      <c r="F53">
        <f>MAX(Hit!F53,Stand!F53,Double!F53)</f>
        <v>0.67035969063279999</v>
      </c>
      <c r="G53">
        <f>MAX(Hit!G53,Stand!G53,Double!G53)</f>
        <v>0.70395857017134467</v>
      </c>
      <c r="H53">
        <f>MAX(Hit!H53,Stand!H53,Double!H53)</f>
        <v>0.77322722653717491</v>
      </c>
      <c r="I53">
        <f>MAX(Hit!I53,Stand!I53,Double!I53)</f>
        <v>0.79181515955189841</v>
      </c>
      <c r="J53">
        <f>MAX(Hit!J53,Stand!J53,Double!J53)</f>
        <v>0.75835687080859626</v>
      </c>
      <c r="K53">
        <f>MAX(Hit!K53,Stand!K53,Double!K53)</f>
        <v>0.55453756646817121</v>
      </c>
      <c r="N53" s="31">
        <v>30</v>
      </c>
      <c r="O53" s="31" t="str">
        <f>IF(B53=HS!B53,HS!O53,"D")</f>
        <v>S</v>
      </c>
      <c r="P53" s="31" t="str">
        <f>IF(C53=HS!C53,HS!P53,"D")</f>
        <v>S</v>
      </c>
      <c r="Q53" s="31" t="str">
        <f>IF(D53=HS!D53,HS!Q53,"D")</f>
        <v>S</v>
      </c>
      <c r="R53" s="31" t="str">
        <f>IF(E53=HS!E53,HS!R53,"D")</f>
        <v>S</v>
      </c>
      <c r="S53" s="31" t="str">
        <f>IF(F53=HS!F53,HS!S53,"D")</f>
        <v>S</v>
      </c>
      <c r="T53" s="31" t="str">
        <f>IF(G53=HS!G53,HS!T53,"D")</f>
        <v>S</v>
      </c>
      <c r="U53" s="31" t="str">
        <f>IF(H53=HS!H53,HS!U53,"D")</f>
        <v>S</v>
      </c>
      <c r="V53" s="31" t="str">
        <f>IF(I53=HS!I53,HS!V53,"D")</f>
        <v>S</v>
      </c>
      <c r="W53" s="31" t="str">
        <f>IF(J53=HS!J53,HS!W53,"D")</f>
        <v>S</v>
      </c>
      <c r="X53" s="31" t="str">
        <f>IF(K53=HS!K53,HS!X53,"D")</f>
        <v>S</v>
      </c>
    </row>
    <row r="54" spans="1:24" x14ac:dyDescent="0.2">
      <c r="A54">
        <v>31</v>
      </c>
      <c r="B54">
        <f>MAX(Hit!B54,Stand!B54,Double!B54)</f>
        <v>0.92219381142033785</v>
      </c>
      <c r="C54">
        <f>MAX(Hit!C54,Stand!C54,Double!C54)</f>
        <v>0.88200651549403997</v>
      </c>
      <c r="D54">
        <f>MAX(Hit!D54,Stand!D54,Double!D54)</f>
        <v>0.88530035730174927</v>
      </c>
      <c r="E54">
        <f>MAX(Hit!E54,Stand!E54,Double!E54)</f>
        <v>0.88876729296591961</v>
      </c>
      <c r="F54">
        <f>MAX(Hit!F54,Stand!F54,Double!F54)</f>
        <v>0.89175382659528035</v>
      </c>
      <c r="G54">
        <f>MAX(Hit!G54,Stand!G54,Double!G54)</f>
        <v>0.90283674384257995</v>
      </c>
      <c r="H54">
        <f>MAX(Hit!H54,Stand!H54,Double!H54)</f>
        <v>0.92592629596452325</v>
      </c>
      <c r="I54">
        <f>MAX(Hit!I54,Stand!I54,Double!I54)</f>
        <v>0.93060505318396614</v>
      </c>
      <c r="J54">
        <f>MAX(Hit!J54,Stand!J54,Double!J54)</f>
        <v>0.93917615614724415</v>
      </c>
      <c r="K54">
        <f>MAX(Hit!K54,Stand!K54,Double!K54)</f>
        <v>0.96262363326716827</v>
      </c>
      <c r="N54" s="31">
        <v>31</v>
      </c>
      <c r="O54" s="31" t="str">
        <f>IF(B54=HS!B54,HS!O54,"D")</f>
        <v>S</v>
      </c>
      <c r="P54" s="31" t="str">
        <f>IF(C54=HS!C54,HS!P54,"D")</f>
        <v>S</v>
      </c>
      <c r="Q54" s="31" t="str">
        <f>IF(D54=HS!D54,HS!Q54,"D")</f>
        <v>S</v>
      </c>
      <c r="R54" s="31" t="str">
        <f>IF(E54=HS!E54,HS!R54,"D")</f>
        <v>S</v>
      </c>
      <c r="S54" s="31" t="str">
        <f>IF(F54=HS!F54,HS!S54,"D")</f>
        <v>S</v>
      </c>
      <c r="T54" s="31" t="str">
        <f>IF(G54=HS!G54,HS!T54,"D")</f>
        <v>S</v>
      </c>
      <c r="U54" s="31" t="str">
        <f>IF(H54=HS!H54,HS!U54,"D")</f>
        <v>S</v>
      </c>
      <c r="V54" s="31" t="str">
        <f>IF(I54=HS!I54,HS!V54,"D")</f>
        <v>S</v>
      </c>
      <c r="W54" s="31" t="str">
        <f>IF(J54=HS!J54,HS!W54,"D")</f>
        <v>S</v>
      </c>
      <c r="X54" s="31" t="str">
        <f>IF(K54=HS!K54,HS!X54,"D")</f>
        <v>S</v>
      </c>
    </row>
  </sheetData>
  <sheetProtection sheet="1" objects="1" scenarios="1"/>
  <phoneticPr fontId="16" type="noConversion"/>
  <conditionalFormatting sqref="O2:X31">
    <cfRule type="containsText" dxfId="865" priority="16" operator="containsText" text="S">
      <formula>NOT(ISERROR(SEARCH("S",O2)))</formula>
    </cfRule>
    <cfRule type="containsText" dxfId="864" priority="17" operator="containsText" text="H">
      <formula>NOT(ISERROR(SEARCH("H",O2)))</formula>
    </cfRule>
  </conditionalFormatting>
  <conditionalFormatting sqref="O2:X31">
    <cfRule type="containsText" dxfId="863" priority="13" operator="containsText" text="D">
      <formula>NOT(ISERROR(SEARCH("D",O2)))</formula>
    </cfRule>
  </conditionalFormatting>
  <conditionalFormatting sqref="O34:X54">
    <cfRule type="containsText" dxfId="862" priority="2" operator="containsText" text="S">
      <formula>NOT(ISERROR(SEARCH("S",O34)))</formula>
    </cfRule>
    <cfRule type="containsText" dxfId="861" priority="3" operator="containsText" text="H">
      <formula>NOT(ISERROR(SEARCH("H",O34)))</formula>
    </cfRule>
  </conditionalFormatting>
  <conditionalFormatting sqref="O34:X54">
    <cfRule type="containsText" dxfId="860" priority="1" operator="containsText" text="D">
      <formula>NOT(ISERROR(SEARCH("D",O34)))</formula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54"/>
  <sheetViews>
    <sheetView workbookViewId="0">
      <selection activeCell="K9" sqref="K9"/>
    </sheetView>
  </sheetViews>
  <sheetFormatPr baseColWidth="10" defaultColWidth="8.83203125" defaultRowHeight="16" x14ac:dyDescent="0.2"/>
  <sheetData>
    <row r="1" spans="1:1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2</v>
      </c>
      <c r="B2">
        <v>-0.5</v>
      </c>
      <c r="C2">
        <v>-0.5</v>
      </c>
      <c r="D2">
        <v>-0.5</v>
      </c>
      <c r="E2">
        <v>-0.5</v>
      </c>
      <c r="F2">
        <v>-0.5</v>
      </c>
      <c r="G2">
        <v>-0.5</v>
      </c>
      <c r="H2">
        <v>-0.5</v>
      </c>
      <c r="I2">
        <v>-0.5</v>
      </c>
      <c r="J2">
        <v>-0.5</v>
      </c>
      <c r="K2">
        <v>-0.5</v>
      </c>
    </row>
    <row r="3" spans="1:11" x14ac:dyDescent="0.2">
      <c r="A3">
        <v>3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</row>
    <row r="4" spans="1:11" x14ac:dyDescent="0.2">
      <c r="A4">
        <v>4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</row>
    <row r="5" spans="1:11" x14ac:dyDescent="0.2">
      <c r="A5">
        <v>5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</row>
    <row r="6" spans="1:11" x14ac:dyDescent="0.2">
      <c r="A6">
        <v>6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</row>
    <row r="7" spans="1:11" x14ac:dyDescent="0.2">
      <c r="A7">
        <v>7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</row>
    <row r="8" spans="1:11" x14ac:dyDescent="0.2">
      <c r="A8">
        <v>8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</row>
    <row r="9" spans="1:11" x14ac:dyDescent="0.2">
      <c r="A9">
        <v>9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</row>
    <row r="10" spans="1:11" x14ac:dyDescent="0.2">
      <c r="A10">
        <v>10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</row>
    <row r="11" spans="1:11" x14ac:dyDescent="0.2">
      <c r="A11">
        <v>11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</row>
    <row r="12" spans="1:11" x14ac:dyDescent="0.2">
      <c r="A12">
        <v>12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</row>
    <row r="13" spans="1:11" x14ac:dyDescent="0.2">
      <c r="A13">
        <v>13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</row>
    <row r="14" spans="1:11" x14ac:dyDescent="0.2">
      <c r="A14">
        <v>14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</row>
    <row r="15" spans="1:11" x14ac:dyDescent="0.2">
      <c r="A15">
        <v>15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</row>
    <row r="16" spans="1:11" x14ac:dyDescent="0.2">
      <c r="A16">
        <v>16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</row>
    <row r="17" spans="1:11" x14ac:dyDescent="0.2">
      <c r="A17">
        <v>17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</row>
    <row r="18" spans="1:11" x14ac:dyDescent="0.2">
      <c r="A18">
        <v>18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</row>
    <row r="19" spans="1:11" x14ac:dyDescent="0.2">
      <c r="A19">
        <v>19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</row>
    <row r="20" spans="1:11" x14ac:dyDescent="0.2">
      <c r="A20">
        <v>20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</row>
    <row r="21" spans="1:11" x14ac:dyDescent="0.2">
      <c r="A21">
        <v>21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</row>
    <row r="22" spans="1:11" x14ac:dyDescent="0.2">
      <c r="A22">
        <v>22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</row>
    <row r="23" spans="1:11" x14ac:dyDescent="0.2">
      <c r="A23">
        <v>23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</row>
    <row r="24" spans="1:11" x14ac:dyDescent="0.2">
      <c r="A24">
        <v>24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</row>
    <row r="25" spans="1:11" x14ac:dyDescent="0.2">
      <c r="A25">
        <v>25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</row>
    <row r="26" spans="1:11" x14ac:dyDescent="0.2">
      <c r="A26">
        <v>26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</row>
    <row r="27" spans="1:11" x14ac:dyDescent="0.2">
      <c r="A27">
        <v>27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</row>
    <row r="28" spans="1:11" x14ac:dyDescent="0.2">
      <c r="A28">
        <v>28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</row>
    <row r="29" spans="1:11" x14ac:dyDescent="0.2">
      <c r="A29">
        <v>29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</row>
    <row r="30" spans="1:11" x14ac:dyDescent="0.2">
      <c r="A30">
        <v>30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</row>
    <row r="31" spans="1:11" x14ac:dyDescent="0.2">
      <c r="A31">
        <v>31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</row>
    <row r="33" spans="1:11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</row>
    <row r="34" spans="1:11" x14ac:dyDescent="0.2">
      <c r="A34">
        <v>11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</row>
    <row r="35" spans="1:11" x14ac:dyDescent="0.2">
      <c r="A35">
        <v>12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</row>
    <row r="36" spans="1:11" x14ac:dyDescent="0.2">
      <c r="A36">
        <v>13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</row>
    <row r="37" spans="1:11" x14ac:dyDescent="0.2">
      <c r="A37">
        <v>14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</row>
    <row r="38" spans="1:11" x14ac:dyDescent="0.2">
      <c r="A38">
        <v>15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</row>
    <row r="39" spans="1:11" x14ac:dyDescent="0.2">
      <c r="A39">
        <v>16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</row>
    <row r="40" spans="1:11" x14ac:dyDescent="0.2">
      <c r="A40">
        <v>17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</row>
    <row r="41" spans="1:11" x14ac:dyDescent="0.2">
      <c r="A41">
        <v>18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</row>
    <row r="42" spans="1:11" x14ac:dyDescent="0.2">
      <c r="A42">
        <v>19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</row>
    <row r="43" spans="1:11" x14ac:dyDescent="0.2">
      <c r="A43">
        <v>20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</row>
    <row r="44" spans="1:11" x14ac:dyDescent="0.2">
      <c r="A44">
        <v>21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</row>
    <row r="45" spans="1:11" x14ac:dyDescent="0.2">
      <c r="A45">
        <v>22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</row>
    <row r="46" spans="1:11" x14ac:dyDescent="0.2">
      <c r="A46">
        <v>23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</row>
    <row r="47" spans="1:11" x14ac:dyDescent="0.2">
      <c r="A47">
        <v>24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</row>
    <row r="48" spans="1:11" x14ac:dyDescent="0.2">
      <c r="A48">
        <v>25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</row>
    <row r="49" spans="1:11" x14ac:dyDescent="0.2">
      <c r="A49">
        <v>26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</row>
    <row r="50" spans="1:11" x14ac:dyDescent="0.2">
      <c r="A50">
        <v>27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</row>
    <row r="51" spans="1:11" x14ac:dyDescent="0.2">
      <c r="A51">
        <v>28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</row>
    <row r="52" spans="1:11" x14ac:dyDescent="0.2">
      <c r="A52">
        <v>29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</row>
    <row r="53" spans="1:11" x14ac:dyDescent="0.2">
      <c r="A53">
        <v>30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</row>
    <row r="54" spans="1:11" x14ac:dyDescent="0.2">
      <c r="A54">
        <v>31</v>
      </c>
      <c r="B54">
        <v>-0.5</v>
      </c>
      <c r="C54">
        <v>-0.5</v>
      </c>
      <c r="D54">
        <v>-0.5</v>
      </c>
      <c r="E54">
        <v>-0.5</v>
      </c>
      <c r="F54">
        <v>-0.5</v>
      </c>
      <c r="G54">
        <v>-0.5</v>
      </c>
      <c r="H54">
        <v>-0.5</v>
      </c>
      <c r="I54">
        <v>-0.5</v>
      </c>
      <c r="J54">
        <v>-0.5</v>
      </c>
      <c r="K54">
        <v>-0.5</v>
      </c>
    </row>
  </sheetData>
  <sheetProtection sheet="1" objects="1" scenarios="1"/>
  <phoneticPr fontId="16" type="noConversion"/>
  <pageMargins left="0.7" right="0.7" top="0.75" bottom="0.75" header="0.3" footer="0.3"/>
  <pageSetup paperSize="9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54"/>
  <sheetViews>
    <sheetView topLeftCell="A16" workbookViewId="0">
      <selection activeCell="K9" sqref="K9"/>
    </sheetView>
  </sheetViews>
  <sheetFormatPr baseColWidth="10" defaultColWidth="8.83203125" defaultRowHeight="16" x14ac:dyDescent="0.2"/>
  <cols>
    <col min="12" max="12" width="4.83203125" customWidth="1"/>
    <col min="13" max="13" width="4.6640625" customWidth="1"/>
    <col min="14" max="24" width="4" style="31" customWidth="1"/>
  </cols>
  <sheetData>
    <row r="1" spans="1:24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N1" s="31" t="s">
        <v>7</v>
      </c>
      <c r="O1" s="31">
        <v>1</v>
      </c>
      <c r="P1" s="31">
        <v>2</v>
      </c>
      <c r="Q1" s="31">
        <v>3</v>
      </c>
      <c r="R1" s="31">
        <v>4</v>
      </c>
      <c r="S1" s="31">
        <v>5</v>
      </c>
      <c r="T1" s="31">
        <v>6</v>
      </c>
      <c r="U1" s="31">
        <v>7</v>
      </c>
      <c r="V1" s="31">
        <v>8</v>
      </c>
      <c r="W1" s="31">
        <v>9</v>
      </c>
      <c r="X1" s="31">
        <v>10</v>
      </c>
    </row>
    <row r="2" spans="1:24" x14ac:dyDescent="0.2">
      <c r="A2">
        <v>2</v>
      </c>
      <c r="B2">
        <f>IF(AND(Rules!$B$8=Rules!$E$8,Rules!$B$7=Rules!$E$7),MAX(Hit!B2,Stand!B2,Double!B2,Surrender!B2),MAX(Hit!B2,Stand!B2,Double!B2))</f>
        <v>-0.20335368314889377</v>
      </c>
      <c r="C2">
        <f>IF(Rules!$B$7=Rules!$E$7,MAX(Hit!C2,Stand!C2,Double!C2,Surrender!C2),MAX(Hit!C2,Stand!C2,Double!C2))</f>
        <v>-7.5884358318949102E-2</v>
      </c>
      <c r="D2">
        <f>IF(Rules!$B$7=Rules!$E$7,MAX(Hit!D2,Stand!D2,Double!D2,Surrender!D2),MAX(Hit!D2,Stand!D2,Double!D2))</f>
        <v>-4.9750706146412048E-2</v>
      </c>
      <c r="E2">
        <f>IF(Rules!$B$7=Rules!$E$7,MAX(Hit!E2,Stand!E2,Double!E2,Surrender!E2),MAX(Hit!E2,Stand!E2,Double!E2))</f>
        <v>-2.2100412135834389E-2</v>
      </c>
      <c r="F2">
        <f>IF(Rules!$B$7=Rules!$E$7,MAX(Hit!F2,Stand!F2,Double!F2,Surrender!F2),MAX(Hit!F2,Stand!F2,Double!F2))</f>
        <v>1.3730032284783571E-2</v>
      </c>
      <c r="G2">
        <f>IF(Rules!$B$7=Rules!$E$7,MAX(Hit!G2,Stand!G2,Double!G2,Surrender!G2),MAX(Hit!G2,Stand!G2,Double!G2))</f>
        <v>3.8883411946301231E-2</v>
      </c>
      <c r="H2">
        <f>IF(Rules!$B$7=Rules!$E$7,MAX(Hit!H2,Stand!H2,Double!H2,Surrender!H2),MAX(Hit!H2,Stand!H2,Double!H2))</f>
        <v>-2.7257021375862247E-2</v>
      </c>
      <c r="I2">
        <f>IF(Rules!$B$7=Rules!$E$7,MAX(Hit!I2,Stand!I2,Double!I2,Surrender!I2),MAX(Hit!I2,Stand!I2,Double!I2))</f>
        <v>-0.10316172777512726</v>
      </c>
      <c r="J2">
        <f>IF(Rules!$B$7=Rules!$E$7,MAX(Hit!J2,Stand!J2,Double!J2,Surrender!J2),MAX(Hit!J2,Stand!J2,Double!J2))</f>
        <v>-0.19004714305350842</v>
      </c>
      <c r="K2">
        <f>IF(Rules!$B$7=Rules!$E$7,MAX(Hit!K2,Stand!K2,Double!K2,Surrender!K2),MAX(Hit!K2,Stand!K2,Double!K2))</f>
        <v>-0.24199803315764098</v>
      </c>
      <c r="N2" s="31">
        <v>2</v>
      </c>
      <c r="O2" s="31" t="str">
        <f>IF(B2=Surrender!B2,"R",HSD!O2)</f>
        <v>H</v>
      </c>
      <c r="P2" s="31" t="str">
        <f>IF(C2=Surrender!C2,"R",HSD!P2)</f>
        <v>H</v>
      </c>
      <c r="Q2" s="31" t="str">
        <f>IF(D2=Surrender!D2,"R",HSD!Q2)</f>
        <v>H</v>
      </c>
      <c r="R2" s="31" t="str">
        <f>IF(E2=Surrender!E2,"R",HSD!R2)</f>
        <v>H</v>
      </c>
      <c r="S2" s="31" t="str">
        <f>IF(F2=Surrender!F2,"R",HSD!S2)</f>
        <v>H</v>
      </c>
      <c r="T2" s="31" t="str">
        <f>IF(G2=Surrender!G2,"R",HSD!T2)</f>
        <v>H</v>
      </c>
      <c r="U2" s="31" t="str">
        <f>IF(H2=Surrender!H2,"R",HSD!U2)</f>
        <v>H</v>
      </c>
      <c r="V2" s="31" t="str">
        <f>IF(I2=Surrender!I2,"R",HSD!V2)</f>
        <v>H</v>
      </c>
      <c r="W2" s="31" t="str">
        <f>IF(J2=Surrender!J2,"R",HSD!W2)</f>
        <v>H</v>
      </c>
      <c r="X2" s="31" t="str">
        <f>IF(K2=Surrender!K2,"R",HSD!X2)</f>
        <v>H</v>
      </c>
    </row>
    <row r="3" spans="1:24" x14ac:dyDescent="0.2">
      <c r="A3">
        <v>3</v>
      </c>
      <c r="B3">
        <f>IF(AND(Rules!$B$8=Rules!$E$8,Rules!$B$7=Rules!$E$7),MAX(Hit!B3,Stand!B3,Double!B3,Surrender!B3),MAX(Hit!B3,Stand!B3,Double!B3))</f>
        <v>-0.22793749290805351</v>
      </c>
      <c r="C3">
        <f>IF(Rules!$B$7=Rules!$E$7,MAX(Hit!C3,Stand!C3,Double!C3,Surrender!C3),MAX(Hit!C3,Stand!C3,Double!C3))</f>
        <v>-0.10052250439785246</v>
      </c>
      <c r="D3">
        <f>IF(Rules!$B$7=Rules!$E$7,MAX(Hit!D3,Stand!D3,Double!D3,Surrender!D3),MAX(Hit!D3,Stand!D3,Double!D3))</f>
        <v>-6.8875858278897514E-2</v>
      </c>
      <c r="E3">
        <f>IF(Rules!$B$7=Rules!$E$7,MAX(Hit!E3,Stand!E3,Double!E3,Surrender!E3),MAX(Hit!E3,Stand!E3,Double!E3))</f>
        <v>-3.6261290708905339E-2</v>
      </c>
      <c r="F3">
        <f>IF(Rules!$B$7=Rules!$E$7,MAX(Hit!F3,Stand!F3,Double!F3,Surrender!F3),MAX(Hit!F3,Stand!F3,Double!F3))</f>
        <v>1.6995712139687808E-4</v>
      </c>
      <c r="G3">
        <f>IF(Rules!$B$7=Rules!$E$7,MAX(Hit!G3,Stand!G3,Double!G3,Surrender!G3),MAX(Hit!G3,Stand!G3,Double!G3))</f>
        <v>2.447130320655936E-2</v>
      </c>
      <c r="H3">
        <f>IF(Rules!$B$7=Rules!$E$7,MAX(Hit!H3,Stand!H3,Double!H3,Surrender!H3),MAX(Hit!H3,Stand!H3,Double!H3))</f>
        <v>-5.7437588540356667E-2</v>
      </c>
      <c r="I3">
        <f>IF(Rules!$B$7=Rules!$E$7,MAX(Hit!I3,Stand!I3,Double!I3,Surrender!I3),MAX(Hit!I3,Stand!I3,Double!I3))</f>
        <v>-0.13094188065020101</v>
      </c>
      <c r="J3">
        <f>IF(Rules!$B$7=Rules!$E$7,MAX(Hit!J3,Stand!J3,Double!J3,Surrender!J3),MAX(Hit!J3,Stand!J3,Double!J3))</f>
        <v>-0.21507662281362433</v>
      </c>
      <c r="K3">
        <f>IF(Rules!$B$7=Rules!$E$7,MAX(Hit!K3,Stand!K3,Double!K3,Surrender!K3),MAX(Hit!K3,Stand!K3,Double!K3))</f>
        <v>-0.26532921479747562</v>
      </c>
      <c r="N3" s="31">
        <v>3</v>
      </c>
      <c r="O3" s="31" t="str">
        <f>IF(B3=Surrender!B3,"R",HSD!O3)</f>
        <v>H</v>
      </c>
      <c r="P3" s="31" t="str">
        <f>IF(C3=Surrender!C3,"R",HSD!P3)</f>
        <v>H</v>
      </c>
      <c r="Q3" s="31" t="str">
        <f>IF(D3=Surrender!D3,"R",HSD!Q3)</f>
        <v>H</v>
      </c>
      <c r="R3" s="31" t="str">
        <f>IF(E3=Surrender!E3,"R",HSD!R3)</f>
        <v>H</v>
      </c>
      <c r="S3" s="31" t="str">
        <f>IF(F3=Surrender!F3,"R",HSD!S3)</f>
        <v>H</v>
      </c>
      <c r="T3" s="31" t="str">
        <f>IF(G3=Surrender!G3,"R",HSD!T3)</f>
        <v>H</v>
      </c>
      <c r="U3" s="31" t="str">
        <f>IF(H3=Surrender!H3,"R",HSD!U3)</f>
        <v>H</v>
      </c>
      <c r="V3" s="31" t="str">
        <f>IF(I3=Surrender!I3,"R",HSD!V3)</f>
        <v>H</v>
      </c>
      <c r="W3" s="31" t="str">
        <f>IF(J3=Surrender!J3,"R",HSD!W3)</f>
        <v>H</v>
      </c>
      <c r="X3" s="31" t="str">
        <f>IF(K3=Surrender!K3,"R",HSD!X3)</f>
        <v>H</v>
      </c>
    </row>
    <row r="4" spans="1:24" x14ac:dyDescent="0.2">
      <c r="A4">
        <v>4</v>
      </c>
      <c r="B4">
        <f>IF(AND(Rules!$B$8=Rules!$E$8,Rules!$B$7=Rules!$E$7),MAX(Hit!B4,Stand!B4,Double!B4,Surrender!B4),MAX(Hit!B4,Stand!B4,Double!B4))</f>
        <v>-0.25307699440390863</v>
      </c>
      <c r="C4">
        <f>IF(Rules!$B$7=Rules!$E$7,MAX(Hit!C4,Stand!C4,Double!C4,Surrender!C4),MAX(Hit!C4,Stand!C4,Double!C4))</f>
        <v>-0.11491332761892134</v>
      </c>
      <c r="D4">
        <f>IF(Rules!$B$7=Rules!$E$7,MAX(Hit!D4,Stand!D4,Double!D4,Surrender!D4),MAX(Hit!D4,Stand!D4,Double!D4))</f>
        <v>-8.2613314299744361E-2</v>
      </c>
      <c r="E4">
        <f>IF(Rules!$B$7=Rules!$E$7,MAX(Hit!E4,Stand!E4,Double!E4,Surrender!E4),MAX(Hit!E4,Stand!E4,Double!E4))</f>
        <v>-4.9367420106916922E-2</v>
      </c>
      <c r="F4">
        <f>IF(Rules!$B$7=Rules!$E$7,MAX(Hit!F4,Stand!F4,Double!F4,Surrender!F4),MAX(Hit!F4,Stand!F4,Double!F4))</f>
        <v>-1.2379926519926384E-2</v>
      </c>
      <c r="G4">
        <f>IF(Rules!$B$7=Rules!$E$7,MAX(Hit!G4,Stand!G4,Double!G4,Surrender!G4),MAX(Hit!G4,Stand!G4,Double!G4))</f>
        <v>1.1130417280979797E-2</v>
      </c>
      <c r="H4">
        <f>IF(Rules!$B$7=Rules!$E$7,MAX(Hit!H4,Stand!H4,Double!H4,Surrender!H4),MAX(Hit!H4,Stand!H4,Double!H4))</f>
        <v>-8.8279201058463722E-2</v>
      </c>
      <c r="I4">
        <f>IF(Rules!$B$7=Rules!$E$7,MAX(Hit!I4,Stand!I4,Double!I4,Surrender!I4),MAX(Hit!I4,Stand!I4,Double!I4))</f>
        <v>-0.15933415266020512</v>
      </c>
      <c r="J4">
        <f>IF(Rules!$B$7=Rules!$E$7,MAX(Hit!J4,Stand!J4,Double!J4,Surrender!J4),MAX(Hit!J4,Stand!J4,Double!J4))</f>
        <v>-0.24066617915336547</v>
      </c>
      <c r="K4">
        <f>IF(Rules!$B$7=Rules!$E$7,MAX(Hit!K4,Stand!K4,Double!K4,Surrender!K4),MAX(Hit!K4,Stand!K4,Double!K4))</f>
        <v>-0.28919791448567511</v>
      </c>
      <c r="N4" s="31">
        <v>4</v>
      </c>
      <c r="O4" s="31" t="str">
        <f>IF(B4=Surrender!B4,"R",HSD!O4)</f>
        <v>H</v>
      </c>
      <c r="P4" s="31" t="str">
        <f>IF(C4=Surrender!C4,"R",HSD!P4)</f>
        <v>H</v>
      </c>
      <c r="Q4" s="31" t="str">
        <f>IF(D4=Surrender!D4,"R",HSD!Q4)</f>
        <v>H</v>
      </c>
      <c r="R4" s="31" t="str">
        <f>IF(E4=Surrender!E4,"R",HSD!R4)</f>
        <v>H</v>
      </c>
      <c r="S4" s="31" t="str">
        <f>IF(F4=Surrender!F4,"R",HSD!S4)</f>
        <v>H</v>
      </c>
      <c r="T4" s="31" t="str">
        <f>IF(G4=Surrender!G4,"R",HSD!T4)</f>
        <v>H</v>
      </c>
      <c r="U4" s="31" t="str">
        <f>IF(H4=Surrender!H4,"R",HSD!U4)</f>
        <v>H</v>
      </c>
      <c r="V4" s="31" t="str">
        <f>IF(I4=Surrender!I4,"R",HSD!V4)</f>
        <v>H</v>
      </c>
      <c r="W4" s="31" t="str">
        <f>IF(J4=Surrender!J4,"R",HSD!W4)</f>
        <v>H</v>
      </c>
      <c r="X4" s="31" t="str">
        <f>IF(K4=Surrender!K4,"R",HSD!X4)</f>
        <v>H</v>
      </c>
    </row>
    <row r="5" spans="1:24" x14ac:dyDescent="0.2">
      <c r="A5">
        <v>5</v>
      </c>
      <c r="B5">
        <f>IF(AND(Rules!$B$8=Rules!$E$8,Rules!$B$7=Rules!$E$7),MAX(Hit!B5,Stand!B5,Double!B5,Surrender!B5),MAX(Hit!B5,Stand!B5,Double!B5))</f>
        <v>-0.27857459755181968</v>
      </c>
      <c r="C5">
        <f>IF(Rules!$B$7=Rules!$E$7,MAX(Hit!C5,Stand!C5,Double!C5,Surrender!C5),MAX(Hit!C5,Stand!C5,Double!C5))</f>
        <v>-0.12821556706374745</v>
      </c>
      <c r="D5">
        <f>IF(Rules!$B$7=Rules!$E$7,MAX(Hit!D5,Stand!D5,Double!D5,Surrender!D5),MAX(Hit!D5,Stand!D5,Double!D5))</f>
        <v>-9.5310227261489883E-2</v>
      </c>
      <c r="E5">
        <f>IF(Rules!$B$7=Rules!$E$7,MAX(Hit!E5,Stand!E5,Double!E5,Surrender!E5),MAX(Hit!E5,Stand!E5,Double!E5))</f>
        <v>-6.1479464199694238E-2</v>
      </c>
      <c r="F5">
        <f>IF(Rules!$B$7=Rules!$E$7,MAX(Hit!F5,Stand!F5,Double!F5,Surrender!F5),MAX(Hit!F5,Stand!F5,Double!F5))</f>
        <v>-2.397897039185962E-2</v>
      </c>
      <c r="G5">
        <f>IF(Rules!$B$7=Rules!$E$7,MAX(Hit!G5,Stand!G5,Double!G5,Surrender!G5),MAX(Hit!G5,Stand!G5,Double!G5))</f>
        <v>-1.1863378384401623E-3</v>
      </c>
      <c r="H5">
        <f>IF(Rules!$B$7=Rules!$E$7,MAX(Hit!H5,Stand!H5,Double!H5,Surrender!H5),MAX(Hit!H5,Stand!H5,Double!H5))</f>
        <v>-0.11944744188414852</v>
      </c>
      <c r="I5">
        <f>IF(Rules!$B$7=Rules!$E$7,MAX(Hit!I5,Stand!I5,Double!I5,Surrender!I5),MAX(Hit!I5,Stand!I5,Double!I5))</f>
        <v>-0.18809330390318524</v>
      </c>
      <c r="J5">
        <f>IF(Rules!$B$7=Rules!$E$7,MAX(Hit!J5,Stand!J5,Double!J5,Surrender!J5),MAX(Hit!J5,Stand!J5,Double!J5))</f>
        <v>-0.26661505335795899</v>
      </c>
      <c r="K5">
        <f>IF(Rules!$B$7=Rules!$E$7,MAX(Hit!K5,Stand!K5,Double!K5,Surrender!K5),MAX(Hit!K5,Stand!K5,Double!K5))</f>
        <v>-0.31341164336497107</v>
      </c>
      <c r="N5" s="31">
        <v>5</v>
      </c>
      <c r="O5" s="31" t="str">
        <f>IF(B5=Surrender!B5,"R",HSD!O5)</f>
        <v>H</v>
      </c>
      <c r="P5" s="31" t="str">
        <f>IF(C5=Surrender!C5,"R",HSD!P5)</f>
        <v>H</v>
      </c>
      <c r="Q5" s="31" t="str">
        <f>IF(D5=Surrender!D5,"R",HSD!Q5)</f>
        <v>H</v>
      </c>
      <c r="R5" s="31" t="str">
        <f>IF(E5=Surrender!E5,"R",HSD!R5)</f>
        <v>H</v>
      </c>
      <c r="S5" s="31" t="str">
        <f>IF(F5=Surrender!F5,"R",HSD!S5)</f>
        <v>H</v>
      </c>
      <c r="T5" s="31" t="str">
        <f>IF(G5=Surrender!G5,"R",HSD!T5)</f>
        <v>H</v>
      </c>
      <c r="U5" s="31" t="str">
        <f>IF(H5=Surrender!H5,"R",HSD!U5)</f>
        <v>H</v>
      </c>
      <c r="V5" s="31" t="str">
        <f>IF(I5=Surrender!I5,"R",HSD!V5)</f>
        <v>H</v>
      </c>
      <c r="W5" s="31" t="str">
        <f>IF(J5=Surrender!J5,"R",HSD!W5)</f>
        <v>H</v>
      </c>
      <c r="X5" s="31" t="str">
        <f>IF(K5=Surrender!K5,"R",HSD!X5)</f>
        <v>H</v>
      </c>
    </row>
    <row r="6" spans="1:24" x14ac:dyDescent="0.2">
      <c r="A6">
        <v>6</v>
      </c>
      <c r="B6">
        <f>IF(AND(Rules!$B$8=Rules!$E$8,Rules!$B$7=Rules!$E$7),MAX(Hit!B6,Stand!B6,Double!B6,Surrender!B6),MAX(Hit!B6,Stand!B6,Double!B6))</f>
        <v>-0.30414663097569933</v>
      </c>
      <c r="C6">
        <f>IF(Rules!$B$7=Rules!$E$7,MAX(Hit!C6,Stand!C6,Double!C6,Surrender!C6),MAX(Hit!C6,Stand!C6,Double!C6))</f>
        <v>-0.14075911746001987</v>
      </c>
      <c r="D6">
        <f>IF(Rules!$B$7=Rules!$E$7,MAX(Hit!D6,Stand!D6,Double!D6,Surrender!D6),MAX(Hit!D6,Stand!D6,Double!D6))</f>
        <v>-0.10729107800860836</v>
      </c>
      <c r="E6">
        <f>IF(Rules!$B$7=Rules!$E$7,MAX(Hit!E6,Stand!E6,Double!E6,Surrender!E6),MAX(Hit!E6,Stand!E6,Double!E6))</f>
        <v>-7.2917141926387305E-2</v>
      </c>
      <c r="F6">
        <f>IF(Rules!$B$7=Rules!$E$7,MAX(Hit!F6,Stand!F6,Double!F6,Surrender!F6),MAX(Hit!F6,Stand!F6,Double!F6))</f>
        <v>-3.4915973330102178E-2</v>
      </c>
      <c r="G6">
        <f>IF(Rules!$B$7=Rules!$E$7,MAX(Hit!G6,Stand!G6,Double!G6,Surrender!G6),MAX(Hit!G6,Stand!G6,Double!G6))</f>
        <v>-1.3005835529874294E-2</v>
      </c>
      <c r="H6">
        <f>IF(Rules!$B$7=Rules!$E$7,MAX(Hit!H6,Stand!H6,Double!H6,Surrender!H6),MAX(Hit!H6,Stand!H6,Double!H6))</f>
        <v>-0.15193270723669944</v>
      </c>
      <c r="I6">
        <f>IF(Rules!$B$7=Rules!$E$7,MAX(Hit!I6,Stand!I6,Double!I6,Surrender!I6),MAX(Hit!I6,Stand!I6,Double!I6))</f>
        <v>-0.21724188132078476</v>
      </c>
      <c r="J6">
        <f>IF(Rules!$B$7=Rules!$E$7,MAX(Hit!J6,Stand!J6,Double!J6,Surrender!J6),MAX(Hit!J6,Stand!J6,Double!J6))</f>
        <v>-0.29264070019772598</v>
      </c>
      <c r="K6">
        <f>IF(Rules!$B$7=Rules!$E$7,MAX(Hit!K6,Stand!K6,Double!K6,Surrender!K6),MAX(Hit!K6,Stand!K6,Double!K6))</f>
        <v>-0.33774944037840804</v>
      </c>
      <c r="N6" s="31">
        <v>6</v>
      </c>
      <c r="O6" s="31" t="str">
        <f>IF(B6=Surrender!B6,"R",HSD!O6)</f>
        <v>H</v>
      </c>
      <c r="P6" s="31" t="str">
        <f>IF(C6=Surrender!C6,"R",HSD!P6)</f>
        <v>H</v>
      </c>
      <c r="Q6" s="31" t="str">
        <f>IF(D6=Surrender!D6,"R",HSD!Q6)</f>
        <v>H</v>
      </c>
      <c r="R6" s="31" t="str">
        <f>IF(E6=Surrender!E6,"R",HSD!R6)</f>
        <v>H</v>
      </c>
      <c r="S6" s="31" t="str">
        <f>IF(F6=Surrender!F6,"R",HSD!S6)</f>
        <v>H</v>
      </c>
      <c r="T6" s="31" t="str">
        <f>IF(G6=Surrender!G6,"R",HSD!T6)</f>
        <v>H</v>
      </c>
      <c r="U6" s="31" t="str">
        <f>IF(H6=Surrender!H6,"R",HSD!U6)</f>
        <v>H</v>
      </c>
      <c r="V6" s="31" t="str">
        <f>IF(I6=Surrender!I6,"R",HSD!V6)</f>
        <v>H</v>
      </c>
      <c r="W6" s="31" t="str">
        <f>IF(J6=Surrender!J6,"R",HSD!W6)</f>
        <v>H</v>
      </c>
      <c r="X6" s="31" t="str">
        <f>IF(K6=Surrender!K6,"R",HSD!X6)</f>
        <v>H</v>
      </c>
    </row>
    <row r="7" spans="1:24" x14ac:dyDescent="0.2">
      <c r="A7">
        <v>7</v>
      </c>
      <c r="B7">
        <f>IF(AND(Rules!$B$8=Rules!$E$8,Rules!$B$7=Rules!$E$7),MAX(Hit!B7,Stand!B7,Double!B7,Surrender!B7),MAX(Hit!B7,Stand!B7,Double!B7))</f>
        <v>-0.31007165033163697</v>
      </c>
      <c r="C7">
        <f>IF(Rules!$B$7=Rules!$E$7,MAX(Hit!C7,Stand!C7,Double!C7,Surrender!C7),MAX(Hit!C7,Stand!C7,Double!C7))</f>
        <v>-0.10918342786661633</v>
      </c>
      <c r="D7">
        <f>IF(Rules!$B$7=Rules!$E$7,MAX(Hit!D7,Stand!D7,Double!D7,Surrender!D7),MAX(Hit!D7,Stand!D7,Double!D7))</f>
        <v>-7.658298190446361E-2</v>
      </c>
      <c r="E7">
        <f>IF(Rules!$B$7=Rules!$E$7,MAX(Hit!E7,Stand!E7,Double!E7,Surrender!E7),MAX(Hit!E7,Stand!E7,Double!E7))</f>
        <v>-4.3021794004341876E-2</v>
      </c>
      <c r="F7">
        <f>IF(Rules!$B$7=Rules!$E$7,MAX(Hit!F7,Stand!F7,Double!F7,Surrender!F7),MAX(Hit!F7,Stand!F7,Double!F7))</f>
        <v>-7.2713609029408845E-3</v>
      </c>
      <c r="G7">
        <f>IF(Rules!$B$7=Rules!$E$7,MAX(Hit!G7,Stand!G7,Double!G7,Surrender!G7),MAX(Hit!G7,Stand!G7,Double!G7))</f>
        <v>2.9185342353860864E-2</v>
      </c>
      <c r="H7">
        <f>IF(Rules!$B$7=Rules!$E$7,MAX(Hit!H7,Stand!H7,Double!H7,Surrender!H7),MAX(Hit!H7,Stand!H7,Double!H7))</f>
        <v>-6.8807799580427764E-2</v>
      </c>
      <c r="I7">
        <f>IF(Rules!$B$7=Rules!$E$7,MAX(Hit!I7,Stand!I7,Double!I7,Surrender!I7),MAX(Hit!I7,Stand!I7,Double!I7))</f>
        <v>-0.21060476872434969</v>
      </c>
      <c r="J7">
        <f>IF(Rules!$B$7=Rules!$E$7,MAX(Hit!J7,Stand!J7,Double!J7,Surrender!J7),MAX(Hit!J7,Stand!J7,Double!J7))</f>
        <v>-0.28536544048687656</v>
      </c>
      <c r="K7">
        <f>IF(Rules!$B$7=Rules!$E$7,MAX(Hit!K7,Stand!K7,Double!K7,Surrender!K7),MAX(Hit!K7,Stand!K7,Double!K7))</f>
        <v>-0.31905479139833842</v>
      </c>
      <c r="N7" s="31">
        <v>7</v>
      </c>
      <c r="O7" s="31" t="str">
        <f>IF(B7=Surrender!B7,"R",HSD!O7)</f>
        <v>H</v>
      </c>
      <c r="P7" s="31" t="str">
        <f>IF(C7=Surrender!C7,"R",HSD!P7)</f>
        <v>H</v>
      </c>
      <c r="Q7" s="31" t="str">
        <f>IF(D7=Surrender!D7,"R",HSD!Q7)</f>
        <v>H</v>
      </c>
      <c r="R7" s="31" t="str">
        <f>IF(E7=Surrender!E7,"R",HSD!R7)</f>
        <v>H</v>
      </c>
      <c r="S7" s="31" t="str">
        <f>IF(F7=Surrender!F7,"R",HSD!S7)</f>
        <v>H</v>
      </c>
      <c r="T7" s="31" t="str">
        <f>IF(G7=Surrender!G7,"R",HSD!T7)</f>
        <v>H</v>
      </c>
      <c r="U7" s="31" t="str">
        <f>IF(H7=Surrender!H7,"R",HSD!U7)</f>
        <v>H</v>
      </c>
      <c r="V7" s="31" t="str">
        <f>IF(I7=Surrender!I7,"R",HSD!V7)</f>
        <v>H</v>
      </c>
      <c r="W7" s="31" t="str">
        <f>IF(J7=Surrender!J7,"R",HSD!W7)</f>
        <v>H</v>
      </c>
      <c r="X7" s="31" t="str">
        <f>IF(K7=Surrender!K7,"R",HSD!X7)</f>
        <v>H</v>
      </c>
    </row>
    <row r="8" spans="1:24" x14ac:dyDescent="0.2">
      <c r="A8">
        <v>8</v>
      </c>
      <c r="B8">
        <f>IF(AND(Rules!$B$8=Rules!$E$8,Rules!$B$7=Rules!$E$7),MAX(Hit!B8,Stand!B8,Double!B8,Surrender!B8),MAX(Hit!B8,Stand!B8,Double!B8))</f>
        <v>-0.1970288105741636</v>
      </c>
      <c r="C8">
        <f>IF(Rules!$B$7=Rules!$E$7,MAX(Hit!C8,Stand!C8,Double!C8,Surrender!C8),MAX(Hit!C8,Stand!C8,Double!C8))</f>
        <v>-2.1798188008805668E-2</v>
      </c>
      <c r="D8">
        <f>IF(Rules!$B$7=Rules!$E$7,MAX(Hit!D8,Stand!D8,Double!D8,Surrender!D8),MAX(Hit!D8,Stand!D8,Double!D8))</f>
        <v>8.0052625306546825E-3</v>
      </c>
      <c r="E8">
        <f>IF(Rules!$B$7=Rules!$E$7,MAX(Hit!E8,Stand!E8,Double!E8,Surrender!E8),MAX(Hit!E8,Stand!E8,Double!E8))</f>
        <v>3.8784473277208811E-2</v>
      </c>
      <c r="F8">
        <f>IF(Rules!$B$7=Rules!$E$7,MAX(Hit!F8,Stand!F8,Double!F8,Surrender!F8),MAX(Hit!F8,Stand!F8,Double!F8))</f>
        <v>7.0804635983033826E-2</v>
      </c>
      <c r="G8">
        <f>IF(Rules!$B$7=Rules!$E$7,MAX(Hit!G8,Stand!G8,Double!G8,Surrender!G8),MAX(Hit!G8,Stand!G8,Double!G8))</f>
        <v>0.11496015009622321</v>
      </c>
      <c r="H8">
        <f>IF(Rules!$B$7=Rules!$E$7,MAX(Hit!H8,Stand!H8,Double!H8,Surrender!H8),MAX(Hit!H8,Stand!H8,Double!H8))</f>
        <v>8.2207439363742862E-2</v>
      </c>
      <c r="I8">
        <f>IF(Rules!$B$7=Rules!$E$7,MAX(Hit!I8,Stand!I8,Double!I8,Surrender!I8),MAX(Hit!I8,Stand!I8,Double!I8))</f>
        <v>-5.9898275658656304E-2</v>
      </c>
      <c r="J8">
        <f>IF(Rules!$B$7=Rules!$E$7,MAX(Hit!J8,Stand!J8,Double!J8,Surrender!J8),MAX(Hit!J8,Stand!J8,Double!J8))</f>
        <v>-0.21018633199821757</v>
      </c>
      <c r="K8">
        <f>IF(Rules!$B$7=Rules!$E$7,MAX(Hit!K8,Stand!K8,Double!K8,Surrender!K8),MAX(Hit!K8,Stand!K8,Double!K8))</f>
        <v>-0.24937508055334259</v>
      </c>
      <c r="N8" s="31">
        <v>8</v>
      </c>
      <c r="O8" s="31" t="str">
        <f>IF(B8=Surrender!B8,"R",HSD!O8)</f>
        <v>H</v>
      </c>
      <c r="P8" s="31" t="str">
        <f>IF(C8=Surrender!C8,"R",HSD!P8)</f>
        <v>H</v>
      </c>
      <c r="Q8" s="31" t="str">
        <f>IF(D8=Surrender!D8,"R",HSD!Q8)</f>
        <v>H</v>
      </c>
      <c r="R8" s="31" t="str">
        <f>IF(E8=Surrender!E8,"R",HSD!R8)</f>
        <v>H</v>
      </c>
      <c r="S8" s="31" t="str">
        <f>IF(F8=Surrender!F8,"R",HSD!S8)</f>
        <v>H</v>
      </c>
      <c r="T8" s="31" t="str">
        <f>IF(G8=Surrender!G8,"R",HSD!T8)</f>
        <v>H</v>
      </c>
      <c r="U8" s="31" t="str">
        <f>IF(H8=Surrender!H8,"R",HSD!U8)</f>
        <v>H</v>
      </c>
      <c r="V8" s="31" t="str">
        <f>IF(I8=Surrender!I8,"R",HSD!V8)</f>
        <v>H</v>
      </c>
      <c r="W8" s="31" t="str">
        <f>IF(J8=Surrender!J8,"R",HSD!W8)</f>
        <v>H</v>
      </c>
      <c r="X8" s="31" t="str">
        <f>IF(K8=Surrender!K8,"R",HSD!X8)</f>
        <v>H</v>
      </c>
    </row>
    <row r="9" spans="1:24" x14ac:dyDescent="0.2">
      <c r="A9">
        <v>9</v>
      </c>
      <c r="B9">
        <f>IF(AND(Rules!$B$8=Rules!$E$8,Rules!$B$7=Rules!$E$7),MAX(Hit!B9,Stand!B9,Double!B9,Surrender!B9),MAX(Hit!B9,Stand!B9,Double!B9))</f>
        <v>-6.5680778778066204E-2</v>
      </c>
      <c r="C9">
        <f>IF(Rules!$B$7=Rules!$E$7,MAX(Hit!C9,Stand!C9,Double!C9,Surrender!C9),MAX(Hit!C9,Stand!C9,Double!C9))</f>
        <v>7.4446037576340524E-2</v>
      </c>
      <c r="D9">
        <f>IF(Rules!$B$7=Rules!$E$7,MAX(Hit!D9,Stand!D9,Double!D9,Surrender!D9),MAX(Hit!D9,Stand!D9,Double!D9))</f>
        <v>0.12081635332999649</v>
      </c>
      <c r="E9">
        <f>IF(Rules!$B$7=Rules!$E$7,MAX(Hit!E9,Stand!E9,Double!E9,Surrender!E9),MAX(Hit!E9,Stand!E9,Double!E9))</f>
        <v>0.18194893405242166</v>
      </c>
      <c r="F9">
        <f>IF(Rules!$B$7=Rules!$E$7,MAX(Hit!F9,Stand!F9,Double!F9,Surrender!F9),MAX(Hit!F9,Stand!F9,Double!F9))</f>
        <v>0.24305722487303633</v>
      </c>
      <c r="G9">
        <f>IF(Rules!$B$7=Rules!$E$7,MAX(Hit!G9,Stand!G9,Double!G9,Surrender!G9),MAX(Hit!G9,Stand!G9,Double!G9))</f>
        <v>0.31705474570166692</v>
      </c>
      <c r="H9">
        <f>IF(Rules!$B$7=Rules!$E$7,MAX(Hit!H9,Stand!H9,Double!H9,Surrender!H9),MAX(Hit!H9,Stand!H9,Double!H9))</f>
        <v>0.17186785993695267</v>
      </c>
      <c r="I9">
        <f>IF(Rules!$B$7=Rules!$E$7,MAX(Hit!I9,Stand!I9,Double!I9,Surrender!I9),MAX(Hit!I9,Stand!I9,Double!I9))</f>
        <v>9.8376217435392516E-2</v>
      </c>
      <c r="J9">
        <f>IF(Rules!$B$7=Rules!$E$7,MAX(Hit!J9,Stand!J9,Double!J9,Surrender!J9),MAX(Hit!J9,Stand!J9,Double!J9))</f>
        <v>-5.2178053462651669E-2</v>
      </c>
      <c r="K9">
        <f>IF(Rules!$B$7=Rules!$E$7,MAX(Hit!K9,Stand!K9,Double!K9,Surrender!K9),MAX(Hit!K9,Stand!K9,Double!K9))</f>
        <v>-0.15295298487455075</v>
      </c>
      <c r="N9" s="31">
        <v>9</v>
      </c>
      <c r="O9" s="31" t="str">
        <f>IF(B9=Surrender!B9,"R",HSD!O9)</f>
        <v>H</v>
      </c>
      <c r="P9" s="31" t="str">
        <f>IF(C9=Surrender!C9,"R",HSD!P9)</f>
        <v>H</v>
      </c>
      <c r="Q9" s="31" t="str">
        <f>IF(D9=Surrender!D9,"R",HSD!Q9)</f>
        <v>D</v>
      </c>
      <c r="R9" s="31" t="str">
        <f>IF(E9=Surrender!E9,"R",HSD!R9)</f>
        <v>D</v>
      </c>
      <c r="S9" s="31" t="str">
        <f>IF(F9=Surrender!F9,"R",HSD!S9)</f>
        <v>D</v>
      </c>
      <c r="T9" s="31" t="str">
        <f>IF(G9=Surrender!G9,"R",HSD!T9)</f>
        <v>D</v>
      </c>
      <c r="U9" s="31" t="str">
        <f>IF(H9=Surrender!H9,"R",HSD!U9)</f>
        <v>H</v>
      </c>
      <c r="V9" s="31" t="str">
        <f>IF(I9=Surrender!I9,"R",HSD!V9)</f>
        <v>H</v>
      </c>
      <c r="W9" s="31" t="str">
        <f>IF(J9=Surrender!J9,"R",HSD!W9)</f>
        <v>H</v>
      </c>
      <c r="X9" s="31" t="str">
        <f>IF(K9=Surrender!K9,"R",HSD!X9)</f>
        <v>H</v>
      </c>
    </row>
    <row r="10" spans="1:24" x14ac:dyDescent="0.2">
      <c r="A10">
        <v>10</v>
      </c>
      <c r="B10">
        <f>IF(AND(Rules!$B$8=Rules!$E$8,Rules!$B$7=Rules!$E$7),MAX(Hit!B10,Stand!B10,Double!B10,Surrender!B10),MAX(Hit!B10,Stand!B10,Double!B10))</f>
        <v>8.1449707945275923E-2</v>
      </c>
      <c r="C10">
        <f>IF(Rules!$B$7=Rules!$E$7,MAX(Hit!C10,Stand!C10,Double!C10,Surrender!C10),MAX(Hit!C10,Stand!C10,Double!C10))</f>
        <v>0.3589394124422991</v>
      </c>
      <c r="D10">
        <f>IF(Rules!$B$7=Rules!$E$7,MAX(Hit!D10,Stand!D10,Double!D10,Surrender!D10),MAX(Hit!D10,Stand!D10,Double!D10))</f>
        <v>0.40932067017593915</v>
      </c>
      <c r="E10">
        <f>IF(Rules!$B$7=Rules!$E$7,MAX(Hit!E10,Stand!E10,Double!E10,Surrender!E10),MAX(Hit!E10,Stand!E10,Double!E10))</f>
        <v>0.460940243794354</v>
      </c>
      <c r="F10">
        <f>IF(Rules!$B$7=Rules!$E$7,MAX(Hit!F10,Stand!F10,Double!F10,Surrender!F10),MAX(Hit!F10,Stand!F10,Double!F10))</f>
        <v>0.51251710900326775</v>
      </c>
      <c r="G10">
        <f>IF(Rules!$B$7=Rules!$E$7,MAX(Hit!G10,Stand!G10,Double!G10,Surrender!G10),MAX(Hit!G10,Stand!G10,Double!G10))</f>
        <v>0.57559016859776857</v>
      </c>
      <c r="H10">
        <f>IF(Rules!$B$7=Rules!$E$7,MAX(Hit!H10,Stand!H10,Double!H10,Surrender!H10),MAX(Hit!H10,Stand!H10,Double!H10))</f>
        <v>0.39241245528243773</v>
      </c>
      <c r="I10">
        <f>IF(Rules!$B$7=Rules!$E$7,MAX(Hit!I10,Stand!I10,Double!I10,Surrender!I10),MAX(Hit!I10,Stand!I10,Double!I10))</f>
        <v>0.28663571688628381</v>
      </c>
      <c r="J10">
        <f>IF(Rules!$B$7=Rules!$E$7,MAX(Hit!J10,Stand!J10,Double!J10,Surrender!J10),MAX(Hit!J10,Stand!J10,Double!J10))</f>
        <v>0.1443283683807712</v>
      </c>
      <c r="K10">
        <f>IF(Rules!$B$7=Rules!$E$7,MAX(Hit!K10,Stand!K10,Double!K10,Surrender!K10),MAX(Hit!K10,Stand!K10,Double!K10))</f>
        <v>2.5308523040868145E-2</v>
      </c>
      <c r="N10" s="31">
        <v>10</v>
      </c>
      <c r="O10" s="31" t="str">
        <f>IF(B10=Surrender!B10,"R",HSD!O10)</f>
        <v>H</v>
      </c>
      <c r="P10" s="31" t="str">
        <f>IF(C10=Surrender!C10,"R",HSD!P10)</f>
        <v>D</v>
      </c>
      <c r="Q10" s="31" t="str">
        <f>IF(D10=Surrender!D10,"R",HSD!Q10)</f>
        <v>D</v>
      </c>
      <c r="R10" s="31" t="str">
        <f>IF(E10=Surrender!E10,"R",HSD!R10)</f>
        <v>D</v>
      </c>
      <c r="S10" s="31" t="str">
        <f>IF(F10=Surrender!F10,"R",HSD!S10)</f>
        <v>D</v>
      </c>
      <c r="T10" s="31" t="str">
        <f>IF(G10=Surrender!G10,"R",HSD!T10)</f>
        <v>D</v>
      </c>
      <c r="U10" s="31" t="str">
        <f>IF(H10=Surrender!H10,"R",HSD!U10)</f>
        <v>D</v>
      </c>
      <c r="V10" s="31" t="str">
        <f>IF(I10=Surrender!I10,"R",HSD!V10)</f>
        <v>D</v>
      </c>
      <c r="W10" s="31" t="str">
        <f>IF(J10=Surrender!J10,"R",HSD!W10)</f>
        <v>D</v>
      </c>
      <c r="X10" s="31" t="str">
        <f>IF(K10=Surrender!K10,"R",HSD!X10)</f>
        <v>H</v>
      </c>
    </row>
    <row r="11" spans="1:24" x14ac:dyDescent="0.2">
      <c r="A11">
        <v>11</v>
      </c>
      <c r="B11">
        <f>IF(AND(Rules!$B$8=Rules!$E$8,Rules!$B$7=Rules!$E$7),MAX(Hit!B11,Stand!B11,Double!B11,Surrender!B11),MAX(Hit!B11,Stand!B11,Double!B11))</f>
        <v>0.14300128216153027</v>
      </c>
      <c r="C11">
        <f>IF(Rules!$B$7=Rules!$E$7,MAX(Hit!C11,Stand!C11,Double!C11,Surrender!C11),MAX(Hit!C11,Stand!C11,Double!C11))</f>
        <v>0.47064092333946889</v>
      </c>
      <c r="D11">
        <f>IF(Rules!$B$7=Rules!$E$7,MAX(Hit!D11,Stand!D11,Double!D11,Surrender!D11),MAX(Hit!D11,Stand!D11,Double!D11))</f>
        <v>0.51779525312221675</v>
      </c>
      <c r="E11">
        <f>IF(Rules!$B$7=Rules!$E$7,MAX(Hit!E11,Stand!E11,Double!E11,Surrender!E11),MAX(Hit!E11,Stand!E11,Double!E11))</f>
        <v>0.56604055041797607</v>
      </c>
      <c r="F11">
        <f>IF(Rules!$B$7=Rules!$E$7,MAX(Hit!F11,Stand!F11,Double!F11,Surrender!F11),MAX(Hit!F11,Stand!F11,Double!F11))</f>
        <v>0.61469901790902803</v>
      </c>
      <c r="G11">
        <f>IF(Rules!$B$7=Rules!$E$7,MAX(Hit!G11,Stand!G11,Double!G11,Surrender!G11),MAX(Hit!G11,Stand!G11,Double!G11))</f>
        <v>0.66738009490756944</v>
      </c>
      <c r="H11">
        <f>IF(Rules!$B$7=Rules!$E$7,MAX(Hit!H11,Stand!H11,Double!H11,Surrender!H11),MAX(Hit!H11,Stand!H11,Double!H11))</f>
        <v>0.46288894886429077</v>
      </c>
      <c r="I11">
        <f>IF(Rules!$B$7=Rules!$E$7,MAX(Hit!I11,Stand!I11,Double!I11,Surrender!I11),MAX(Hit!I11,Stand!I11,Double!I11))</f>
        <v>0.35069259087031501</v>
      </c>
      <c r="J11">
        <f>IF(Rules!$B$7=Rules!$E$7,MAX(Hit!J11,Stand!J11,Double!J11,Surrender!J11),MAX(Hit!J11,Stand!J11,Double!J11))</f>
        <v>0.22778342315245487</v>
      </c>
      <c r="K11">
        <f>IF(Rules!$B$7=Rules!$E$7,MAX(Hit!K11,Stand!K11,Double!K11,Surrender!K11),MAX(Hit!K11,Stand!K11,Double!K11))</f>
        <v>0.1796887274111463</v>
      </c>
      <c r="N11" s="31">
        <v>11</v>
      </c>
      <c r="O11" s="31" t="str">
        <f>IF(B11=Surrender!B11,"R",HSD!O11)</f>
        <v>H</v>
      </c>
      <c r="P11" s="31" t="str">
        <f>IF(C11=Surrender!C11,"R",HSD!P11)</f>
        <v>D</v>
      </c>
      <c r="Q11" s="31" t="str">
        <f>IF(D11=Surrender!D11,"R",HSD!Q11)</f>
        <v>D</v>
      </c>
      <c r="R11" s="31" t="str">
        <f>IF(E11=Surrender!E11,"R",HSD!R11)</f>
        <v>D</v>
      </c>
      <c r="S11" s="31" t="str">
        <f>IF(F11=Surrender!F11,"R",HSD!S11)</f>
        <v>D</v>
      </c>
      <c r="T11" s="31" t="str">
        <f>IF(G11=Surrender!G11,"R",HSD!T11)</f>
        <v>D</v>
      </c>
      <c r="U11" s="31" t="str">
        <f>IF(H11=Surrender!H11,"R",HSD!U11)</f>
        <v>D</v>
      </c>
      <c r="V11" s="31" t="str">
        <f>IF(I11=Surrender!I11,"R",HSD!V11)</f>
        <v>D</v>
      </c>
      <c r="W11" s="31" t="str">
        <f>IF(J11=Surrender!J11,"R",HSD!W11)</f>
        <v>D</v>
      </c>
      <c r="X11" s="31" t="str">
        <f>IF(K11=Surrender!K11,"R",HSD!X11)</f>
        <v>D</v>
      </c>
    </row>
    <row r="12" spans="1:24" x14ac:dyDescent="0.2">
      <c r="A12">
        <v>12</v>
      </c>
      <c r="B12">
        <f>IF(AND(Rules!$B$8=Rules!$E$8,Rules!$B$7=Rules!$E$7),MAX(Hit!B12,Stand!B12,Double!B12,Surrender!B12),MAX(Hit!B12,Stand!B12,Double!B12))</f>
        <v>-0.35054034044008009</v>
      </c>
      <c r="C12">
        <f>IF(Rules!$B$7=Rules!$E$7,MAX(Hit!C12,Stand!C12,Double!C12,Surrender!C12),MAX(Hit!C12,Stand!C12,Double!C12))</f>
        <v>-0.25338998596663809</v>
      </c>
      <c r="D12">
        <f>IF(Rules!$B$7=Rules!$E$7,MAX(Hit!D12,Stand!D12,Double!D12,Surrender!D12),MAX(Hit!D12,Stand!D12,Double!D12))</f>
        <v>-0.2336908997980866</v>
      </c>
      <c r="E12">
        <f>IF(Rules!$B$7=Rules!$E$7,MAX(Hit!E12,Stand!E12,Double!E12,Surrender!E12),MAX(Hit!E12,Stand!E12,Double!E12))</f>
        <v>-0.21106310899491437</v>
      </c>
      <c r="F12">
        <f>IF(Rules!$B$7=Rules!$E$7,MAX(Hit!F12,Stand!F12,Double!F12,Surrender!F12),MAX(Hit!F12,Stand!F12,Double!F12))</f>
        <v>-0.16719266083547524</v>
      </c>
      <c r="G12">
        <f>IF(Rules!$B$7=Rules!$E$7,MAX(Hit!G12,Stand!G12,Double!G12,Surrender!G12),MAX(Hit!G12,Stand!G12,Double!G12))</f>
        <v>-0.1536990158300045</v>
      </c>
      <c r="H12">
        <f>IF(Rules!$B$7=Rules!$E$7,MAX(Hit!H12,Stand!H12,Double!H12,Surrender!H12),MAX(Hit!H12,Stand!H12,Double!H12))</f>
        <v>-0.21284771451731424</v>
      </c>
      <c r="I12">
        <f>IF(Rules!$B$7=Rules!$E$7,MAX(Hit!I12,Stand!I12,Double!I12,Surrender!I12),MAX(Hit!I12,Stand!I12,Double!I12))</f>
        <v>-0.27157480502428616</v>
      </c>
      <c r="J12">
        <f>IF(Rules!$B$7=Rules!$E$7,MAX(Hit!J12,Stand!J12,Double!J12,Surrender!J12),MAX(Hit!J12,Stand!J12,Double!J12))</f>
        <v>-0.3400132806089356</v>
      </c>
      <c r="K12">
        <f>IF(Rules!$B$7=Rules!$E$7,MAX(Hit!K12,Stand!K12,Double!K12,Surrender!K12),MAX(Hit!K12,Stand!K12,Double!K12))</f>
        <v>-0.38104299284808768</v>
      </c>
      <c r="N12" s="31">
        <v>12</v>
      </c>
      <c r="O12" s="31" t="str">
        <f>IF(B12=Surrender!B12,"R",HSD!O12)</f>
        <v>H</v>
      </c>
      <c r="P12" s="31" t="str">
        <f>IF(C12=Surrender!C12,"R",HSD!P12)</f>
        <v>H</v>
      </c>
      <c r="Q12" s="31" t="str">
        <f>IF(D12=Surrender!D12,"R",HSD!Q12)</f>
        <v>H</v>
      </c>
      <c r="R12" s="31" t="str">
        <f>IF(E12=Surrender!E12,"R",HSD!R12)</f>
        <v>S</v>
      </c>
      <c r="S12" s="31" t="str">
        <f>IF(F12=Surrender!F12,"R",HSD!S12)</f>
        <v>S</v>
      </c>
      <c r="T12" s="31" t="str">
        <f>IF(G12=Surrender!G12,"R",HSD!T12)</f>
        <v>S</v>
      </c>
      <c r="U12" s="31" t="str">
        <f>IF(H12=Surrender!H12,"R",HSD!U12)</f>
        <v>H</v>
      </c>
      <c r="V12" s="31" t="str">
        <f>IF(I12=Surrender!I12,"R",HSD!V12)</f>
        <v>H</v>
      </c>
      <c r="W12" s="31" t="str">
        <f>IF(J12=Surrender!J12,"R",HSD!W12)</f>
        <v>H</v>
      </c>
      <c r="X12" s="31" t="str">
        <f>IF(K12=Surrender!K12,"R",HSD!X12)</f>
        <v>H</v>
      </c>
    </row>
    <row r="13" spans="1:24" x14ac:dyDescent="0.2">
      <c r="A13">
        <v>13</v>
      </c>
      <c r="B13">
        <f>IF(AND(Rules!$B$8=Rules!$E$8,Rules!$B$7=Rules!$E$7),MAX(Hit!B13,Stand!B13,Double!B13,Surrender!B13),MAX(Hit!B13,Stand!B13,Double!B13))</f>
        <v>-0.3969303161229315</v>
      </c>
      <c r="C13">
        <f>IF(Rules!$B$7=Rules!$E$7,MAX(Hit!C13,Stand!C13,Double!C13,Surrender!C13),MAX(Hit!C13,Stand!C13,Double!C13))</f>
        <v>-0.29278372720927726</v>
      </c>
      <c r="D13">
        <f>IF(Rules!$B$7=Rules!$E$7,MAX(Hit!D13,Stand!D13,Double!D13,Surrender!D13),MAX(Hit!D13,Stand!D13,Double!D13))</f>
        <v>-0.2522502292357135</v>
      </c>
      <c r="E13">
        <f>IF(Rules!$B$7=Rules!$E$7,MAX(Hit!E13,Stand!E13,Double!E13,Surrender!E13),MAX(Hit!E13,Stand!E13,Double!E13))</f>
        <v>-0.21106310899491437</v>
      </c>
      <c r="F13">
        <f>IF(Rules!$B$7=Rules!$E$7,MAX(Hit!F13,Stand!F13,Double!F13,Surrender!F13),MAX(Hit!F13,Stand!F13,Double!F13))</f>
        <v>-0.16719266083547524</v>
      </c>
      <c r="G13">
        <f>IF(Rules!$B$7=Rules!$E$7,MAX(Hit!G13,Stand!G13,Double!G13,Surrender!G13),MAX(Hit!G13,Stand!G13,Double!G13))</f>
        <v>-0.1536990158300045</v>
      </c>
      <c r="H13">
        <f>IF(Rules!$B$7=Rules!$E$7,MAX(Hit!H13,Stand!H13,Double!H13,Surrender!H13),MAX(Hit!H13,Stand!H13,Double!H13))</f>
        <v>-0.26907287776607752</v>
      </c>
      <c r="I13">
        <f>IF(Rules!$B$7=Rules!$E$7,MAX(Hit!I13,Stand!I13,Double!I13,Surrender!I13),MAX(Hit!I13,Stand!I13,Double!I13))</f>
        <v>-0.32360517609397998</v>
      </c>
      <c r="J13">
        <f>IF(Rules!$B$7=Rules!$E$7,MAX(Hit!J13,Stand!J13,Double!J13,Surrender!J13),MAX(Hit!J13,Stand!J13,Double!J13))</f>
        <v>-0.38715518913686875</v>
      </c>
      <c r="K13">
        <f>IF(Rules!$B$7=Rules!$E$7,MAX(Hit!K13,Stand!K13,Double!K13,Surrender!K13),MAX(Hit!K13,Stand!K13,Double!K13))</f>
        <v>-0.42525420764465277</v>
      </c>
      <c r="N13" s="31">
        <v>13</v>
      </c>
      <c r="O13" s="31" t="str">
        <f>IF(B13=Surrender!B13,"R",HSD!O13)</f>
        <v>H</v>
      </c>
      <c r="P13" s="31" t="str">
        <f>IF(C13=Surrender!C13,"R",HSD!P13)</f>
        <v>S</v>
      </c>
      <c r="Q13" s="31" t="str">
        <f>IF(D13=Surrender!D13,"R",HSD!Q13)</f>
        <v>S</v>
      </c>
      <c r="R13" s="31" t="str">
        <f>IF(E13=Surrender!E13,"R",HSD!R13)</f>
        <v>S</v>
      </c>
      <c r="S13" s="31" t="str">
        <f>IF(F13=Surrender!F13,"R",HSD!S13)</f>
        <v>S</v>
      </c>
      <c r="T13" s="31" t="str">
        <f>IF(G13=Surrender!G13,"R",HSD!T13)</f>
        <v>S</v>
      </c>
      <c r="U13" s="31" t="str">
        <f>IF(H13=Surrender!H13,"R",HSD!U13)</f>
        <v>H</v>
      </c>
      <c r="V13" s="31" t="str">
        <f>IF(I13=Surrender!I13,"R",HSD!V13)</f>
        <v>H</v>
      </c>
      <c r="W13" s="31" t="str">
        <f>IF(J13=Surrender!J13,"R",HSD!W13)</f>
        <v>H</v>
      </c>
      <c r="X13" s="31" t="str">
        <f>IF(K13=Surrender!K13,"R",HSD!X13)</f>
        <v>H</v>
      </c>
    </row>
    <row r="14" spans="1:24" x14ac:dyDescent="0.2">
      <c r="A14">
        <v>14</v>
      </c>
      <c r="B14">
        <f>IF(AND(Rules!$B$8=Rules!$E$8,Rules!$B$7=Rules!$E$7),MAX(Hit!B14,Stand!B14,Double!B14,Surrender!B14),MAX(Hit!B14,Stand!B14,Double!B14))</f>
        <v>-0.44000672211415065</v>
      </c>
      <c r="C14">
        <f>IF(Rules!$B$7=Rules!$E$7,MAX(Hit!C14,Stand!C14,Double!C14,Surrender!C14),MAX(Hit!C14,Stand!C14,Double!C14))</f>
        <v>-0.29278372720927726</v>
      </c>
      <c r="D14">
        <f>IF(Rules!$B$7=Rules!$E$7,MAX(Hit!D14,Stand!D14,Double!D14,Surrender!D14),MAX(Hit!D14,Stand!D14,Double!D14))</f>
        <v>-0.2522502292357135</v>
      </c>
      <c r="E14">
        <f>IF(Rules!$B$7=Rules!$E$7,MAX(Hit!E14,Stand!E14,Double!E14,Surrender!E14),MAX(Hit!E14,Stand!E14,Double!E14))</f>
        <v>-0.21106310899491437</v>
      </c>
      <c r="F14">
        <f>IF(Rules!$B$7=Rules!$E$7,MAX(Hit!F14,Stand!F14,Double!F14,Surrender!F14),MAX(Hit!F14,Stand!F14,Double!F14))</f>
        <v>-0.16719266083547524</v>
      </c>
      <c r="G14">
        <f>IF(Rules!$B$7=Rules!$E$7,MAX(Hit!G14,Stand!G14,Double!G14,Surrender!G14),MAX(Hit!G14,Stand!G14,Double!G14))</f>
        <v>-0.1536990158300045</v>
      </c>
      <c r="H14">
        <f>IF(Rules!$B$7=Rules!$E$7,MAX(Hit!H14,Stand!H14,Double!H14,Surrender!H14),MAX(Hit!H14,Stand!H14,Double!H14))</f>
        <v>-0.3212819579256434</v>
      </c>
      <c r="I14">
        <f>IF(Rules!$B$7=Rules!$E$7,MAX(Hit!I14,Stand!I14,Double!I14,Surrender!I14),MAX(Hit!I14,Stand!I14,Double!I14))</f>
        <v>-0.37191909208726714</v>
      </c>
      <c r="J14">
        <f>IF(Rules!$B$7=Rules!$E$7,MAX(Hit!J14,Stand!J14,Double!J14,Surrender!J14),MAX(Hit!J14,Stand!J14,Double!J14))</f>
        <v>-0.43092981848423528</v>
      </c>
      <c r="K14">
        <f>IF(Rules!$B$7=Rules!$E$7,MAX(Hit!K14,Stand!K14,Double!K14,Surrender!K14),MAX(Hit!K14,Stand!K14,Double!K14))</f>
        <v>-0.46630747852717758</v>
      </c>
      <c r="N14" s="31">
        <v>14</v>
      </c>
      <c r="O14" s="31" t="str">
        <f>IF(B14=Surrender!B14,"R",HSD!O14)</f>
        <v>H</v>
      </c>
      <c r="P14" s="31" t="str">
        <f>IF(C14=Surrender!C14,"R",HSD!P14)</f>
        <v>S</v>
      </c>
      <c r="Q14" s="31" t="str">
        <f>IF(D14=Surrender!D14,"R",HSD!Q14)</f>
        <v>S</v>
      </c>
      <c r="R14" s="31" t="str">
        <f>IF(E14=Surrender!E14,"R",HSD!R14)</f>
        <v>S</v>
      </c>
      <c r="S14" s="31" t="str">
        <f>IF(F14=Surrender!F14,"R",HSD!S14)</f>
        <v>S</v>
      </c>
      <c r="T14" s="31" t="str">
        <f>IF(G14=Surrender!G14,"R",HSD!T14)</f>
        <v>S</v>
      </c>
      <c r="U14" s="31" t="str">
        <f>IF(H14=Surrender!H14,"R",HSD!U14)</f>
        <v>H</v>
      </c>
      <c r="V14" s="31" t="str">
        <f>IF(I14=Surrender!I14,"R",HSD!V14)</f>
        <v>H</v>
      </c>
      <c r="W14" s="31" t="str">
        <f>IF(J14=Surrender!J14,"R",HSD!W14)</f>
        <v>H</v>
      </c>
      <c r="X14" s="31" t="str">
        <f>IF(K14=Surrender!K14,"R",HSD!X14)</f>
        <v>H</v>
      </c>
    </row>
    <row r="15" spans="1:24" x14ac:dyDescent="0.2">
      <c r="A15">
        <v>15</v>
      </c>
      <c r="B15">
        <f>IF(AND(Rules!$B$8=Rules!$E$8,Rules!$B$7=Rules!$E$7),MAX(Hit!B15,Stand!B15,Double!B15,Surrender!B15),MAX(Hit!B15,Stand!B15,Double!B15))</f>
        <v>-0.4800062419631399</v>
      </c>
      <c r="C15">
        <f>IF(Rules!$B$7=Rules!$E$7,MAX(Hit!C15,Stand!C15,Double!C15,Surrender!C15),MAX(Hit!C15,Stand!C15,Double!C15))</f>
        <v>-0.29278372720927726</v>
      </c>
      <c r="D15">
        <f>IF(Rules!$B$7=Rules!$E$7,MAX(Hit!D15,Stand!D15,Double!D15,Surrender!D15),MAX(Hit!D15,Stand!D15,Double!D15))</f>
        <v>-0.2522502292357135</v>
      </c>
      <c r="E15">
        <f>IF(Rules!$B$7=Rules!$E$7,MAX(Hit!E15,Stand!E15,Double!E15,Surrender!E15),MAX(Hit!E15,Stand!E15,Double!E15))</f>
        <v>-0.21106310899491437</v>
      </c>
      <c r="F15">
        <f>IF(Rules!$B$7=Rules!$E$7,MAX(Hit!F15,Stand!F15,Double!F15,Surrender!F15),MAX(Hit!F15,Stand!F15,Double!F15))</f>
        <v>-0.16719266083547524</v>
      </c>
      <c r="G15">
        <f>IF(Rules!$B$7=Rules!$E$7,MAX(Hit!G15,Stand!G15,Double!G15,Surrender!G15),MAX(Hit!G15,Stand!G15,Double!G15))</f>
        <v>-0.1536990158300045</v>
      </c>
      <c r="H15">
        <f>IF(Rules!$B$7=Rules!$E$7,MAX(Hit!H15,Stand!H15,Double!H15,Surrender!H15),MAX(Hit!H15,Stand!H15,Double!H15))</f>
        <v>-0.36976181807381175</v>
      </c>
      <c r="I15">
        <f>IF(Rules!$B$7=Rules!$E$7,MAX(Hit!I15,Stand!I15,Double!I15,Surrender!I15),MAX(Hit!I15,Stand!I15,Double!I15))</f>
        <v>-0.41678201408103371</v>
      </c>
      <c r="J15">
        <f>IF(Rules!$B$7=Rules!$E$7,MAX(Hit!J15,Stand!J15,Double!J15,Surrender!J15),MAX(Hit!J15,Stand!J15,Double!J15))</f>
        <v>-0.47157768859250415</v>
      </c>
      <c r="K15">
        <f>IF(Rules!$B$7=Rules!$E$7,MAX(Hit!K15,Stand!K15,Double!K15,Surrender!K15),MAX(Hit!K15,Stand!K15,Double!K15))</f>
        <v>-0.5044283729180935</v>
      </c>
      <c r="N15" s="31">
        <v>15</v>
      </c>
      <c r="O15" s="31" t="str">
        <f>IF(B15=Surrender!B15,"R",HSD!O15)</f>
        <v>H</v>
      </c>
      <c r="P15" s="31" t="str">
        <f>IF(C15=Surrender!C15,"R",HSD!P15)</f>
        <v>S</v>
      </c>
      <c r="Q15" s="31" t="str">
        <f>IF(D15=Surrender!D15,"R",HSD!Q15)</f>
        <v>S</v>
      </c>
      <c r="R15" s="31" t="str">
        <f>IF(E15=Surrender!E15,"R",HSD!R15)</f>
        <v>S</v>
      </c>
      <c r="S15" s="31" t="str">
        <f>IF(F15=Surrender!F15,"R",HSD!S15)</f>
        <v>S</v>
      </c>
      <c r="T15" s="31" t="str">
        <f>IF(G15=Surrender!G15,"R",HSD!T15)</f>
        <v>S</v>
      </c>
      <c r="U15" s="31" t="str">
        <f>IF(H15=Surrender!H15,"R",HSD!U15)</f>
        <v>H</v>
      </c>
      <c r="V15" s="31" t="str">
        <f>IF(I15=Surrender!I15,"R",HSD!V15)</f>
        <v>H</v>
      </c>
      <c r="W15" s="31" t="str">
        <f>IF(J15=Surrender!J15,"R",HSD!W15)</f>
        <v>H</v>
      </c>
      <c r="X15" s="31" t="str">
        <f>IF(K15=Surrender!K15,"R",HSD!X15)</f>
        <v>H</v>
      </c>
    </row>
    <row r="16" spans="1:24" x14ac:dyDescent="0.2">
      <c r="A16">
        <v>16</v>
      </c>
      <c r="B16">
        <f>IF(AND(Rules!$B$8=Rules!$E$8,Rules!$B$7=Rules!$E$7),MAX(Hit!B16,Stand!B16,Double!B16,Surrender!B16),MAX(Hit!B16,Stand!B16,Double!B16))</f>
        <v>-0.51714865325148707</v>
      </c>
      <c r="C16">
        <f>IF(Rules!$B$7=Rules!$E$7,MAX(Hit!C16,Stand!C16,Double!C16,Surrender!C16),MAX(Hit!C16,Stand!C16,Double!C16))</f>
        <v>-0.29278372720927726</v>
      </c>
      <c r="D16">
        <f>IF(Rules!$B$7=Rules!$E$7,MAX(Hit!D16,Stand!D16,Double!D16,Surrender!D16),MAX(Hit!D16,Stand!D16,Double!D16))</f>
        <v>-0.2522502292357135</v>
      </c>
      <c r="E16">
        <f>IF(Rules!$B$7=Rules!$E$7,MAX(Hit!E16,Stand!E16,Double!E16,Surrender!E16),MAX(Hit!E16,Stand!E16,Double!E16))</f>
        <v>-0.21106310899491437</v>
      </c>
      <c r="F16">
        <f>IF(Rules!$B$7=Rules!$E$7,MAX(Hit!F16,Stand!F16,Double!F16,Surrender!F16),MAX(Hit!F16,Stand!F16,Double!F16))</f>
        <v>-0.16719266083547524</v>
      </c>
      <c r="G16">
        <f>IF(Rules!$B$7=Rules!$E$7,MAX(Hit!G16,Stand!G16,Double!G16,Surrender!G16),MAX(Hit!G16,Stand!G16,Double!G16))</f>
        <v>-0.1536990158300045</v>
      </c>
      <c r="H16">
        <f>IF(Rules!$B$7=Rules!$E$7,MAX(Hit!H16,Stand!H16,Double!H16,Surrender!H16),MAX(Hit!H16,Stand!H16,Double!H16))</f>
        <v>-0.41477883106853947</v>
      </c>
      <c r="I16">
        <f>IF(Rules!$B$7=Rules!$E$7,MAX(Hit!I16,Stand!I16,Double!I16,Surrender!I16),MAX(Hit!I16,Stand!I16,Double!I16))</f>
        <v>-0.45844044164667419</v>
      </c>
      <c r="J16">
        <f>IF(Rules!$B$7=Rules!$E$7,MAX(Hit!J16,Stand!J16,Double!J16,Surrender!J16),MAX(Hit!J16,Stand!J16,Double!J16))</f>
        <v>-0.50932213940732529</v>
      </c>
      <c r="K16">
        <f>IF(Rules!$B$7=Rules!$E$7,MAX(Hit!K16,Stand!K16,Double!K16,Surrender!K16),MAX(Hit!K16,Stand!K16,Double!K16))</f>
        <v>-0.53982634628108683</v>
      </c>
      <c r="N16" s="31">
        <v>16</v>
      </c>
      <c r="O16" s="31" t="str">
        <f>IF(B16=Surrender!B16,"R",HSD!O16)</f>
        <v>H</v>
      </c>
      <c r="P16" s="31" t="str">
        <f>IF(C16=Surrender!C16,"R",HSD!P16)</f>
        <v>S</v>
      </c>
      <c r="Q16" s="31" t="str">
        <f>IF(D16=Surrender!D16,"R",HSD!Q16)</f>
        <v>S</v>
      </c>
      <c r="R16" s="31" t="str">
        <f>IF(E16=Surrender!E16,"R",HSD!R16)</f>
        <v>S</v>
      </c>
      <c r="S16" s="31" t="str">
        <f>IF(F16=Surrender!F16,"R",HSD!S16)</f>
        <v>S</v>
      </c>
      <c r="T16" s="31" t="str">
        <f>IF(G16=Surrender!G16,"R",HSD!T16)</f>
        <v>S</v>
      </c>
      <c r="U16" s="31" t="str">
        <f>IF(H16=Surrender!H16,"R",HSD!U16)</f>
        <v>H</v>
      </c>
      <c r="V16" s="31" t="str">
        <f>IF(I16=Surrender!I16,"R",HSD!V16)</f>
        <v>H</v>
      </c>
      <c r="W16" s="31" t="str">
        <f>IF(J16=Surrender!J16,"R",HSD!W16)</f>
        <v>H</v>
      </c>
      <c r="X16" s="31" t="str">
        <f>IF(K16=Surrender!K16,"R",HSD!X16)</f>
        <v>H</v>
      </c>
    </row>
    <row r="17" spans="1:24" x14ac:dyDescent="0.2">
      <c r="A17">
        <v>17</v>
      </c>
      <c r="B17">
        <f>IF(AND(Rules!$B$8=Rules!$E$8,Rules!$B$7=Rules!$E$7),MAX(Hit!B17,Stand!B17,Double!B17,Surrender!B17),MAX(Hit!B17,Stand!B17,Double!B17))</f>
        <v>-0.47803347499473703</v>
      </c>
      <c r="C17">
        <f>IF(Rules!$B$7=Rules!$E$7,MAX(Hit!C17,Stand!C17,Double!C17,Surrender!C17),MAX(Hit!C17,Stand!C17,Double!C17))</f>
        <v>-0.15297458768154204</v>
      </c>
      <c r="D17">
        <f>IF(Rules!$B$7=Rules!$E$7,MAX(Hit!D17,Stand!D17,Double!D17,Surrender!D17),MAX(Hit!D17,Stand!D17,Double!D17))</f>
        <v>-0.11721624142457365</v>
      </c>
      <c r="E17">
        <f>IF(Rules!$B$7=Rules!$E$7,MAX(Hit!E17,Stand!E17,Double!E17,Surrender!E17),MAX(Hit!E17,Stand!E17,Double!E17))</f>
        <v>-8.0573373145316152E-2</v>
      </c>
      <c r="F17">
        <f>IF(Rules!$B$7=Rules!$E$7,MAX(Hit!F17,Stand!F17,Double!F17,Surrender!F17),MAX(Hit!F17,Stand!F17,Double!F17))</f>
        <v>-4.4941375564924446E-2</v>
      </c>
      <c r="G17">
        <f>IF(Rules!$B$7=Rules!$E$7,MAX(Hit!G17,Stand!G17,Double!G17,Surrender!G17),MAX(Hit!G17,Stand!G17,Double!G17))</f>
        <v>1.1739160673341853E-2</v>
      </c>
      <c r="H17">
        <f>IF(Rules!$B$7=Rules!$E$7,MAX(Hit!H17,Stand!H17,Double!H17,Surrender!H17),MAX(Hit!H17,Stand!H17,Double!H17))</f>
        <v>-0.10680898948269468</v>
      </c>
      <c r="I17">
        <f>IF(Rules!$B$7=Rules!$E$7,MAX(Hit!I17,Stand!I17,Double!I17,Surrender!I17),MAX(Hit!I17,Stand!I17,Double!I17))</f>
        <v>-0.38195097104844711</v>
      </c>
      <c r="J17">
        <f>IF(Rules!$B$7=Rules!$E$7,MAX(Hit!J17,Stand!J17,Double!J17,Surrender!J17),MAX(Hit!J17,Stand!J17,Double!J17))</f>
        <v>-0.42315423964521737</v>
      </c>
      <c r="K17">
        <f>IF(Rules!$B$7=Rules!$E$7,MAX(Hit!K17,Stand!K17,Double!K17,Surrender!K17),MAX(Hit!K17,Stand!K17,Double!K17))</f>
        <v>-0.41972063392881986</v>
      </c>
      <c r="N17" s="31">
        <v>17</v>
      </c>
      <c r="O17" s="31" t="str">
        <f>IF(B17=Surrender!B17,"R",HSD!O17)</f>
        <v>S</v>
      </c>
      <c r="P17" s="31" t="str">
        <f>IF(C17=Surrender!C17,"R",HSD!P17)</f>
        <v>S</v>
      </c>
      <c r="Q17" s="31" t="str">
        <f>IF(D17=Surrender!D17,"R",HSD!Q17)</f>
        <v>S</v>
      </c>
      <c r="R17" s="31" t="str">
        <f>IF(E17=Surrender!E17,"R",HSD!R17)</f>
        <v>S</v>
      </c>
      <c r="S17" s="31" t="str">
        <f>IF(F17=Surrender!F17,"R",HSD!S17)</f>
        <v>S</v>
      </c>
      <c r="T17" s="31" t="str">
        <f>IF(G17=Surrender!G17,"R",HSD!T17)</f>
        <v>S</v>
      </c>
      <c r="U17" s="31" t="str">
        <f>IF(H17=Surrender!H17,"R",HSD!U17)</f>
        <v>S</v>
      </c>
      <c r="V17" s="31" t="str">
        <f>IF(I17=Surrender!I17,"R",HSD!V17)</f>
        <v>S</v>
      </c>
      <c r="W17" s="31" t="str">
        <f>IF(J17=Surrender!J17,"R",HSD!W17)</f>
        <v>S</v>
      </c>
      <c r="X17" s="31" t="str">
        <f>IF(K17=Surrender!K17,"R",HSD!X17)</f>
        <v>S</v>
      </c>
    </row>
    <row r="18" spans="1:24" x14ac:dyDescent="0.2">
      <c r="A18">
        <v>18</v>
      </c>
      <c r="B18">
        <f>IF(AND(Rules!$B$8=Rules!$E$8,Rules!$B$7=Rules!$E$7),MAX(Hit!B18,Stand!B18,Double!B18,Surrender!B18),MAX(Hit!B18,Stand!B18,Double!B18))</f>
        <v>-0.10019887561319057</v>
      </c>
      <c r="C18">
        <f>IF(Rules!$B$7=Rules!$E$7,MAX(Hit!C18,Stand!C18,Double!C18,Surrender!C18),MAX(Hit!C18,Stand!C18,Double!C18))</f>
        <v>0.12174190222088771</v>
      </c>
      <c r="D18">
        <f>IF(Rules!$B$7=Rules!$E$7,MAX(Hit!D18,Stand!D18,Double!D18,Surrender!D18),MAX(Hit!D18,Stand!D18,Double!D18))</f>
        <v>0.14830007284131119</v>
      </c>
      <c r="E18">
        <f>IF(Rules!$B$7=Rules!$E$7,MAX(Hit!E18,Stand!E18,Double!E18,Surrender!E18),MAX(Hit!E18,Stand!E18,Double!E18))</f>
        <v>0.17585443719748528</v>
      </c>
      <c r="F18">
        <f>IF(Rules!$B$7=Rules!$E$7,MAX(Hit!F18,Stand!F18,Double!F18,Surrender!F18),MAX(Hit!F18,Stand!F18,Double!F18))</f>
        <v>0.19956119497617719</v>
      </c>
      <c r="G18">
        <f>IF(Rules!$B$7=Rules!$E$7,MAX(Hit!G18,Stand!G18,Double!G18,Surrender!G18),MAX(Hit!G18,Stand!G18,Double!G18))</f>
        <v>0.28344391604689856</v>
      </c>
      <c r="H18">
        <f>IF(Rules!$B$7=Rules!$E$7,MAX(Hit!H18,Stand!H18,Double!H18,Surrender!H18),MAX(Hit!H18,Stand!H18,Double!H18))</f>
        <v>0.3995541673365518</v>
      </c>
      <c r="I18">
        <f>IF(Rules!$B$7=Rules!$E$7,MAX(Hit!I18,Stand!I18,Double!I18,Surrender!I18),MAX(Hit!I18,Stand!I18,Double!I18))</f>
        <v>0.10595134861912359</v>
      </c>
      <c r="J18">
        <f>IF(Rules!$B$7=Rules!$E$7,MAX(Hit!J18,Stand!J18,Double!J18,Surrender!J18),MAX(Hit!J18,Stand!J18,Double!J18))</f>
        <v>-0.18316335667343331</v>
      </c>
      <c r="K18">
        <f>IF(Rules!$B$7=Rules!$E$7,MAX(Hit!K18,Stand!K18,Double!K18,Surrender!K18),MAX(Hit!K18,Stand!K18,Double!K18))</f>
        <v>-0.17830123379648949</v>
      </c>
      <c r="N18" s="31">
        <v>18</v>
      </c>
      <c r="O18" s="31" t="str">
        <f>IF(B18=Surrender!B18,"R",HSD!O18)</f>
        <v>S</v>
      </c>
      <c r="P18" s="31" t="str">
        <f>IF(C18=Surrender!C18,"R",HSD!P18)</f>
        <v>S</v>
      </c>
      <c r="Q18" s="31" t="str">
        <f>IF(D18=Surrender!D18,"R",HSD!Q18)</f>
        <v>S</v>
      </c>
      <c r="R18" s="31" t="str">
        <f>IF(E18=Surrender!E18,"R",HSD!R18)</f>
        <v>S</v>
      </c>
      <c r="S18" s="31" t="str">
        <f>IF(F18=Surrender!F18,"R",HSD!S18)</f>
        <v>S</v>
      </c>
      <c r="T18" s="31" t="str">
        <f>IF(G18=Surrender!G18,"R",HSD!T18)</f>
        <v>S</v>
      </c>
      <c r="U18" s="31" t="str">
        <f>IF(H18=Surrender!H18,"R",HSD!U18)</f>
        <v>S</v>
      </c>
      <c r="V18" s="31" t="str">
        <f>IF(I18=Surrender!I18,"R",HSD!V18)</f>
        <v>S</v>
      </c>
      <c r="W18" s="31" t="str">
        <f>IF(J18=Surrender!J18,"R",HSD!W18)</f>
        <v>S</v>
      </c>
      <c r="X18" s="31" t="str">
        <f>IF(K18=Surrender!K18,"R",HSD!X18)</f>
        <v>S</v>
      </c>
    </row>
    <row r="19" spans="1:24" x14ac:dyDescent="0.2">
      <c r="A19">
        <v>19</v>
      </c>
      <c r="B19">
        <f>IF(AND(Rules!$B$8=Rules!$E$8,Rules!$B$7=Rules!$E$7),MAX(Hit!B19,Stand!B19,Double!B19,Surrender!B19),MAX(Hit!B19,Stand!B19,Double!B19))</f>
        <v>0.27763572376835594</v>
      </c>
      <c r="C19">
        <f>IF(Rules!$B$7=Rules!$E$7,MAX(Hit!C19,Stand!C19,Double!C19,Surrender!C19),MAX(Hit!C19,Stand!C19,Double!C19))</f>
        <v>0.38630468602058993</v>
      </c>
      <c r="D19">
        <f>IF(Rules!$B$7=Rules!$E$7,MAX(Hit!D19,Stand!D19,Double!D19,Surrender!D19),MAX(Hit!D19,Stand!D19,Double!D19))</f>
        <v>0.4043629365977599</v>
      </c>
      <c r="E19">
        <f>IF(Rules!$B$7=Rules!$E$7,MAX(Hit!E19,Stand!E19,Double!E19,Surrender!E19),MAX(Hit!E19,Stand!E19,Double!E19))</f>
        <v>0.42317892482749653</v>
      </c>
      <c r="F19">
        <f>IF(Rules!$B$7=Rules!$E$7,MAX(Hit!F19,Stand!F19,Double!F19,Surrender!F19),MAX(Hit!F19,Stand!F19,Double!F19))</f>
        <v>0.43951210416088371</v>
      </c>
      <c r="G19">
        <f>IF(Rules!$B$7=Rules!$E$7,MAX(Hit!G19,Stand!G19,Double!G19,Surrender!G19),MAX(Hit!G19,Stand!G19,Double!G19))</f>
        <v>0.49597707378731914</v>
      </c>
      <c r="H19">
        <f>IF(Rules!$B$7=Rules!$E$7,MAX(Hit!H19,Stand!H19,Double!H19,Surrender!H19),MAX(Hit!H19,Stand!H19,Double!H19))</f>
        <v>0.6159764957534315</v>
      </c>
      <c r="I19">
        <f>IF(Rules!$B$7=Rules!$E$7,MAX(Hit!I19,Stand!I19,Double!I19,Surrender!I19),MAX(Hit!I19,Stand!I19,Double!I19))</f>
        <v>0.59385366828669439</v>
      </c>
      <c r="J19">
        <f>IF(Rules!$B$7=Rules!$E$7,MAX(Hit!J19,Stand!J19,Double!J19,Surrender!J19),MAX(Hit!J19,Stand!J19,Double!J19))</f>
        <v>0.28759675706758148</v>
      </c>
      <c r="K19">
        <f>IF(Rules!$B$7=Rules!$E$7,MAX(Hit!K19,Stand!K19,Double!K19,Surrender!K19),MAX(Hit!K19,Stand!K19,Double!K19))</f>
        <v>6.3118166335840831E-2</v>
      </c>
      <c r="N19" s="31">
        <v>19</v>
      </c>
      <c r="O19" s="31" t="str">
        <f>IF(B19=Surrender!B19,"R",HSD!O19)</f>
        <v>S</v>
      </c>
      <c r="P19" s="31" t="str">
        <f>IF(C19=Surrender!C19,"R",HSD!P19)</f>
        <v>S</v>
      </c>
      <c r="Q19" s="31" t="str">
        <f>IF(D19=Surrender!D19,"R",HSD!Q19)</f>
        <v>S</v>
      </c>
      <c r="R19" s="31" t="str">
        <f>IF(E19=Surrender!E19,"R",HSD!R19)</f>
        <v>S</v>
      </c>
      <c r="S19" s="31" t="str">
        <f>IF(F19=Surrender!F19,"R",HSD!S19)</f>
        <v>S</v>
      </c>
      <c r="T19" s="31" t="str">
        <f>IF(G19=Surrender!G19,"R",HSD!T19)</f>
        <v>S</v>
      </c>
      <c r="U19" s="31" t="str">
        <f>IF(H19=Surrender!H19,"R",HSD!U19)</f>
        <v>S</v>
      </c>
      <c r="V19" s="31" t="str">
        <f>IF(I19=Surrender!I19,"R",HSD!V19)</f>
        <v>S</v>
      </c>
      <c r="W19" s="31" t="str">
        <f>IF(J19=Surrender!J19,"R",HSD!W19)</f>
        <v>S</v>
      </c>
      <c r="X19" s="31" t="str">
        <f>IF(K19=Surrender!K19,"R",HSD!X19)</f>
        <v>S</v>
      </c>
    </row>
    <row r="20" spans="1:24" x14ac:dyDescent="0.2">
      <c r="A20">
        <v>20</v>
      </c>
      <c r="B20">
        <f>IF(AND(Rules!$B$8=Rules!$E$8,Rules!$B$7=Rules!$E$7),MAX(Hit!B20,Stand!B20,Double!B20,Surrender!B20),MAX(Hit!B20,Stand!B20,Double!B20))</f>
        <v>0.65547032314990239</v>
      </c>
      <c r="C20">
        <f>IF(Rules!$B$7=Rules!$E$7,MAX(Hit!C20,Stand!C20,Double!C20,Surrender!C20),MAX(Hit!C20,Stand!C20,Double!C20))</f>
        <v>0.63998657521683877</v>
      </c>
      <c r="D20">
        <f>IF(Rules!$B$7=Rules!$E$7,MAX(Hit!D20,Stand!D20,Double!D20,Surrender!D20),MAX(Hit!D20,Stand!D20,Double!D20))</f>
        <v>0.65027209425148136</v>
      </c>
      <c r="E20">
        <f>IF(Rules!$B$7=Rules!$E$7,MAX(Hit!E20,Stand!E20,Double!E20,Surrender!E20),MAX(Hit!E20,Stand!E20,Double!E20))</f>
        <v>0.66104996194807186</v>
      </c>
      <c r="F20">
        <f>IF(Rules!$B$7=Rules!$E$7,MAX(Hit!F20,Stand!F20,Double!F20,Surrender!F20),MAX(Hit!F20,Stand!F20,Double!F20))</f>
        <v>0.67035969063279999</v>
      </c>
      <c r="G20">
        <f>IF(Rules!$B$7=Rules!$E$7,MAX(Hit!G20,Stand!G20,Double!G20,Surrender!G20),MAX(Hit!G20,Stand!G20,Double!G20))</f>
        <v>0.70395857017134467</v>
      </c>
      <c r="H20">
        <f>IF(Rules!$B$7=Rules!$E$7,MAX(Hit!H20,Stand!H20,Double!H20,Surrender!H20),MAX(Hit!H20,Stand!H20,Double!H20))</f>
        <v>0.77322722653717491</v>
      </c>
      <c r="I20">
        <f>IF(Rules!$B$7=Rules!$E$7,MAX(Hit!I20,Stand!I20,Double!I20,Surrender!I20),MAX(Hit!I20,Stand!I20,Double!I20))</f>
        <v>0.79181515955189841</v>
      </c>
      <c r="J20">
        <f>IF(Rules!$B$7=Rules!$E$7,MAX(Hit!J20,Stand!J20,Double!J20,Surrender!J20),MAX(Hit!J20,Stand!J20,Double!J20))</f>
        <v>0.75835687080859626</v>
      </c>
      <c r="K20">
        <f>IF(Rules!$B$7=Rules!$E$7,MAX(Hit!K20,Stand!K20,Double!K20,Surrender!K20),MAX(Hit!K20,Stand!K20,Double!K20))</f>
        <v>0.55453756646817121</v>
      </c>
      <c r="N20" s="31">
        <v>20</v>
      </c>
      <c r="O20" s="31" t="str">
        <f>IF(B20=Surrender!B20,"R",HSD!O20)</f>
        <v>S</v>
      </c>
      <c r="P20" s="31" t="str">
        <f>IF(C20=Surrender!C20,"R",HSD!P20)</f>
        <v>S</v>
      </c>
      <c r="Q20" s="31" t="str">
        <f>IF(D20=Surrender!D20,"R",HSD!Q20)</f>
        <v>S</v>
      </c>
      <c r="R20" s="31" t="str">
        <f>IF(E20=Surrender!E20,"R",HSD!R20)</f>
        <v>S</v>
      </c>
      <c r="S20" s="31" t="str">
        <f>IF(F20=Surrender!F20,"R",HSD!S20)</f>
        <v>S</v>
      </c>
      <c r="T20" s="31" t="str">
        <f>IF(G20=Surrender!G20,"R",HSD!T20)</f>
        <v>S</v>
      </c>
      <c r="U20" s="31" t="str">
        <f>IF(H20=Surrender!H20,"R",HSD!U20)</f>
        <v>S</v>
      </c>
      <c r="V20" s="31" t="str">
        <f>IF(I20=Surrender!I20,"R",HSD!V20)</f>
        <v>S</v>
      </c>
      <c r="W20" s="31" t="str">
        <f>IF(J20=Surrender!J20,"R",HSD!W20)</f>
        <v>S</v>
      </c>
      <c r="X20" s="31" t="str">
        <f>IF(K20=Surrender!K20,"R",HSD!X20)</f>
        <v>S</v>
      </c>
    </row>
    <row r="21" spans="1:24" x14ac:dyDescent="0.2">
      <c r="A21">
        <v>21</v>
      </c>
      <c r="B21">
        <f>IF(AND(Rules!$B$8=Rules!$E$8,Rules!$B$7=Rules!$E$7),MAX(Hit!B21,Stand!B21,Double!B21,Surrender!B21),MAX(Hit!B21,Stand!B21,Double!B21))</f>
        <v>0.92219381142033785</v>
      </c>
      <c r="C21">
        <f>IF(Rules!$B$7=Rules!$E$7,MAX(Hit!C21,Stand!C21,Double!C21,Surrender!C21),MAX(Hit!C21,Stand!C21,Double!C21))</f>
        <v>0.88200651549403997</v>
      </c>
      <c r="D21">
        <f>IF(Rules!$B$7=Rules!$E$7,MAX(Hit!D21,Stand!D21,Double!D21,Surrender!D21),MAX(Hit!D21,Stand!D21,Double!D21))</f>
        <v>0.88530035730174927</v>
      </c>
      <c r="E21">
        <f>IF(Rules!$B$7=Rules!$E$7,MAX(Hit!E21,Stand!E21,Double!E21,Surrender!E21),MAX(Hit!E21,Stand!E21,Double!E21))</f>
        <v>0.88876729296591961</v>
      </c>
      <c r="F21">
        <f>IF(Rules!$B$7=Rules!$E$7,MAX(Hit!F21,Stand!F21,Double!F21,Surrender!F21),MAX(Hit!F21,Stand!F21,Double!F21))</f>
        <v>0.89175382659528035</v>
      </c>
      <c r="G21">
        <f>IF(Rules!$B$7=Rules!$E$7,MAX(Hit!G21,Stand!G21,Double!G21,Surrender!G21),MAX(Hit!G21,Stand!G21,Double!G21))</f>
        <v>0.90283674384257995</v>
      </c>
      <c r="H21">
        <f>IF(Rules!$B$7=Rules!$E$7,MAX(Hit!H21,Stand!H21,Double!H21,Surrender!H21),MAX(Hit!H21,Stand!H21,Double!H21))</f>
        <v>0.92592629596452325</v>
      </c>
      <c r="I21">
        <f>IF(Rules!$B$7=Rules!$E$7,MAX(Hit!I21,Stand!I21,Double!I21,Surrender!I21),MAX(Hit!I21,Stand!I21,Double!I21))</f>
        <v>0.93060505318396614</v>
      </c>
      <c r="J21">
        <f>IF(Rules!$B$7=Rules!$E$7,MAX(Hit!J21,Stand!J21,Double!J21,Surrender!J21),MAX(Hit!J21,Stand!J21,Double!J21))</f>
        <v>0.93917615614724415</v>
      </c>
      <c r="K21">
        <f>IF(Rules!$B$7=Rules!$E$7,MAX(Hit!K21,Stand!K21,Double!K21,Surrender!K21),MAX(Hit!K21,Stand!K21,Double!K21))</f>
        <v>0.96262363326716827</v>
      </c>
      <c r="N21" s="31">
        <v>21</v>
      </c>
      <c r="O21" s="31" t="str">
        <f>IF(B21=Surrender!B21,"R",HSD!O21)</f>
        <v>S</v>
      </c>
      <c r="P21" s="31" t="str">
        <f>IF(C21=Surrender!C21,"R",HSD!P21)</f>
        <v>S</v>
      </c>
      <c r="Q21" s="31" t="str">
        <f>IF(D21=Surrender!D21,"R",HSD!Q21)</f>
        <v>S</v>
      </c>
      <c r="R21" s="31" t="str">
        <f>IF(E21=Surrender!E21,"R",HSD!R21)</f>
        <v>S</v>
      </c>
      <c r="S21" s="31" t="str">
        <f>IF(F21=Surrender!F21,"R",HSD!S21)</f>
        <v>S</v>
      </c>
      <c r="T21" s="31" t="str">
        <f>IF(G21=Surrender!G21,"R",HSD!T21)</f>
        <v>S</v>
      </c>
      <c r="U21" s="31" t="str">
        <f>IF(H21=Surrender!H21,"R",HSD!U21)</f>
        <v>S</v>
      </c>
      <c r="V21" s="31" t="str">
        <f>IF(I21=Surrender!I21,"R",HSD!V21)</f>
        <v>S</v>
      </c>
      <c r="W21" s="31" t="str">
        <f>IF(J21=Surrender!J21,"R",HSD!W21)</f>
        <v>S</v>
      </c>
      <c r="X21" s="31" t="str">
        <f>IF(K21=Surrender!K21,"R",HSD!X21)</f>
        <v>S</v>
      </c>
    </row>
    <row r="22" spans="1:24" x14ac:dyDescent="0.2">
      <c r="A22">
        <v>22</v>
      </c>
      <c r="B22">
        <f>IF(AND(Rules!$B$8=Rules!$E$8,Rules!$B$7=Rules!$E$7),MAX(Hit!B22,Stand!B22,Double!B22,Surrender!B22),MAX(Hit!B22,Stand!B22,Double!B22))</f>
        <v>-1</v>
      </c>
      <c r="C22">
        <f>IF(Rules!$B$7=Rules!$E$7,MAX(Hit!C22,Stand!C22,Double!C22,Surrender!C22),MAX(Hit!C22,Stand!C22,Double!C22))</f>
        <v>-1</v>
      </c>
      <c r="D22">
        <f>IF(Rules!$B$7=Rules!$E$7,MAX(Hit!D22,Stand!D22,Double!D22,Surrender!D22),MAX(Hit!D22,Stand!D22,Double!D22))</f>
        <v>-1</v>
      </c>
      <c r="E22">
        <f>IF(Rules!$B$7=Rules!$E$7,MAX(Hit!E22,Stand!E22,Double!E22,Surrender!E22),MAX(Hit!E22,Stand!E22,Double!E22))</f>
        <v>-1</v>
      </c>
      <c r="F22">
        <f>IF(Rules!$B$7=Rules!$E$7,MAX(Hit!F22,Stand!F22,Double!F22,Surrender!F22),MAX(Hit!F22,Stand!F22,Double!F22))</f>
        <v>-1</v>
      </c>
      <c r="G22">
        <f>IF(Rules!$B$7=Rules!$E$7,MAX(Hit!G22,Stand!G22,Double!G22,Surrender!G22),MAX(Hit!G22,Stand!G22,Double!G22))</f>
        <v>-1</v>
      </c>
      <c r="H22">
        <f>IF(Rules!$B$7=Rules!$E$7,MAX(Hit!H22,Stand!H22,Double!H22,Surrender!H22),MAX(Hit!H22,Stand!H22,Double!H22))</f>
        <v>-1</v>
      </c>
      <c r="I22">
        <f>IF(Rules!$B$7=Rules!$E$7,MAX(Hit!I22,Stand!I22,Double!I22,Surrender!I22),MAX(Hit!I22,Stand!I22,Double!I22))</f>
        <v>-1</v>
      </c>
      <c r="J22">
        <f>IF(Rules!$B$7=Rules!$E$7,MAX(Hit!J22,Stand!J22,Double!J22,Surrender!J22),MAX(Hit!J22,Stand!J22,Double!J22))</f>
        <v>-1</v>
      </c>
      <c r="K22">
        <f>IF(Rules!$B$7=Rules!$E$7,MAX(Hit!K22,Stand!K22,Double!K22,Surrender!K22),MAX(Hit!K22,Stand!K22,Double!K22))</f>
        <v>-1</v>
      </c>
      <c r="N22" s="31">
        <v>22</v>
      </c>
      <c r="O22" s="31" t="str">
        <f>IF(B22=Surrender!B22,"R",HSD!O22)</f>
        <v>S</v>
      </c>
      <c r="P22" s="31" t="str">
        <f>IF(C22=Surrender!C22,"R",HSD!P22)</f>
        <v>S</v>
      </c>
      <c r="Q22" s="31" t="str">
        <f>IF(D22=Surrender!D22,"R",HSD!Q22)</f>
        <v>S</v>
      </c>
      <c r="R22" s="31" t="str">
        <f>IF(E22=Surrender!E22,"R",HSD!R22)</f>
        <v>S</v>
      </c>
      <c r="S22" s="31" t="str">
        <f>IF(F22=Surrender!F22,"R",HSD!S22)</f>
        <v>S</v>
      </c>
      <c r="T22" s="31" t="str">
        <f>IF(G22=Surrender!G22,"R",HSD!T22)</f>
        <v>S</v>
      </c>
      <c r="U22" s="31" t="str">
        <f>IF(H22=Surrender!H22,"R",HSD!U22)</f>
        <v>S</v>
      </c>
      <c r="V22" s="31" t="str">
        <f>IF(I22=Surrender!I22,"R",HSD!V22)</f>
        <v>S</v>
      </c>
      <c r="W22" s="31" t="str">
        <f>IF(J22=Surrender!J22,"R",HSD!W22)</f>
        <v>S</v>
      </c>
      <c r="X22" s="31" t="str">
        <f>IF(K22=Surrender!K22,"R",HSD!X22)</f>
        <v>S</v>
      </c>
    </row>
    <row r="23" spans="1:24" x14ac:dyDescent="0.2">
      <c r="A23">
        <v>23</v>
      </c>
      <c r="B23">
        <f>IF(AND(Rules!$B$8=Rules!$E$8,Rules!$B$7=Rules!$E$7),MAX(Hit!B23,Stand!B23,Double!B23,Surrender!B23),MAX(Hit!B23,Stand!B23,Double!B23))</f>
        <v>-1</v>
      </c>
      <c r="C23">
        <f>IF(Rules!$B$7=Rules!$E$7,MAX(Hit!C23,Stand!C23,Double!C23,Surrender!C23),MAX(Hit!C23,Stand!C23,Double!C23))</f>
        <v>-1</v>
      </c>
      <c r="D23">
        <f>IF(Rules!$B$7=Rules!$E$7,MAX(Hit!D23,Stand!D23,Double!D23,Surrender!D23),MAX(Hit!D23,Stand!D23,Double!D23))</f>
        <v>-1</v>
      </c>
      <c r="E23">
        <f>IF(Rules!$B$7=Rules!$E$7,MAX(Hit!E23,Stand!E23,Double!E23,Surrender!E23),MAX(Hit!E23,Stand!E23,Double!E23))</f>
        <v>-1</v>
      </c>
      <c r="F23">
        <f>IF(Rules!$B$7=Rules!$E$7,MAX(Hit!F23,Stand!F23,Double!F23,Surrender!F23),MAX(Hit!F23,Stand!F23,Double!F23))</f>
        <v>-1</v>
      </c>
      <c r="G23">
        <f>IF(Rules!$B$7=Rules!$E$7,MAX(Hit!G23,Stand!G23,Double!G23,Surrender!G23),MAX(Hit!G23,Stand!G23,Double!G23))</f>
        <v>-1</v>
      </c>
      <c r="H23">
        <f>IF(Rules!$B$7=Rules!$E$7,MAX(Hit!H23,Stand!H23,Double!H23,Surrender!H23),MAX(Hit!H23,Stand!H23,Double!H23))</f>
        <v>-1</v>
      </c>
      <c r="I23">
        <f>IF(Rules!$B$7=Rules!$E$7,MAX(Hit!I23,Stand!I23,Double!I23,Surrender!I23),MAX(Hit!I23,Stand!I23,Double!I23))</f>
        <v>-1</v>
      </c>
      <c r="J23">
        <f>IF(Rules!$B$7=Rules!$E$7,MAX(Hit!J23,Stand!J23,Double!J23,Surrender!J23),MAX(Hit!J23,Stand!J23,Double!J23))</f>
        <v>-1</v>
      </c>
      <c r="K23">
        <f>IF(Rules!$B$7=Rules!$E$7,MAX(Hit!K23,Stand!K23,Double!K23,Surrender!K23),MAX(Hit!K23,Stand!K23,Double!K23))</f>
        <v>-1</v>
      </c>
      <c r="N23" s="31">
        <v>23</v>
      </c>
      <c r="O23" s="31" t="str">
        <f>IF(B23=Surrender!B23,"R",HSD!O23)</f>
        <v>S</v>
      </c>
      <c r="P23" s="31" t="str">
        <f>IF(C23=Surrender!C23,"R",HSD!P23)</f>
        <v>S</v>
      </c>
      <c r="Q23" s="31" t="str">
        <f>IF(D23=Surrender!D23,"R",HSD!Q23)</f>
        <v>S</v>
      </c>
      <c r="R23" s="31" t="str">
        <f>IF(E23=Surrender!E23,"R",HSD!R23)</f>
        <v>S</v>
      </c>
      <c r="S23" s="31" t="str">
        <f>IF(F23=Surrender!F23,"R",HSD!S23)</f>
        <v>S</v>
      </c>
      <c r="T23" s="31" t="str">
        <f>IF(G23=Surrender!G23,"R",HSD!T23)</f>
        <v>S</v>
      </c>
      <c r="U23" s="31" t="str">
        <f>IF(H23=Surrender!H23,"R",HSD!U23)</f>
        <v>S</v>
      </c>
      <c r="V23" s="31" t="str">
        <f>IF(I23=Surrender!I23,"R",HSD!V23)</f>
        <v>S</v>
      </c>
      <c r="W23" s="31" t="str">
        <f>IF(J23=Surrender!J23,"R",HSD!W23)</f>
        <v>S</v>
      </c>
      <c r="X23" s="31" t="str">
        <f>IF(K23=Surrender!K23,"R",HSD!X23)</f>
        <v>S</v>
      </c>
    </row>
    <row r="24" spans="1:24" x14ac:dyDescent="0.2">
      <c r="A24">
        <v>24</v>
      </c>
      <c r="B24">
        <f>IF(AND(Rules!$B$8=Rules!$E$8,Rules!$B$7=Rules!$E$7),MAX(Hit!B24,Stand!B24,Double!B24,Surrender!B24),MAX(Hit!B24,Stand!B24,Double!B24))</f>
        <v>-1</v>
      </c>
      <c r="C24">
        <f>IF(Rules!$B$7=Rules!$E$7,MAX(Hit!C24,Stand!C24,Double!C24,Surrender!C24),MAX(Hit!C24,Stand!C24,Double!C24))</f>
        <v>-1</v>
      </c>
      <c r="D24">
        <f>IF(Rules!$B$7=Rules!$E$7,MAX(Hit!D24,Stand!D24,Double!D24,Surrender!D24),MAX(Hit!D24,Stand!D24,Double!D24))</f>
        <v>-1</v>
      </c>
      <c r="E24">
        <f>IF(Rules!$B$7=Rules!$E$7,MAX(Hit!E24,Stand!E24,Double!E24,Surrender!E24),MAX(Hit!E24,Stand!E24,Double!E24))</f>
        <v>-1</v>
      </c>
      <c r="F24">
        <f>IF(Rules!$B$7=Rules!$E$7,MAX(Hit!F24,Stand!F24,Double!F24,Surrender!F24),MAX(Hit!F24,Stand!F24,Double!F24))</f>
        <v>-1</v>
      </c>
      <c r="G24">
        <f>IF(Rules!$B$7=Rules!$E$7,MAX(Hit!G24,Stand!G24,Double!G24,Surrender!G24),MAX(Hit!G24,Stand!G24,Double!G24))</f>
        <v>-1</v>
      </c>
      <c r="H24">
        <f>IF(Rules!$B$7=Rules!$E$7,MAX(Hit!H24,Stand!H24,Double!H24,Surrender!H24),MAX(Hit!H24,Stand!H24,Double!H24))</f>
        <v>-1</v>
      </c>
      <c r="I24">
        <f>IF(Rules!$B$7=Rules!$E$7,MAX(Hit!I24,Stand!I24,Double!I24,Surrender!I24),MAX(Hit!I24,Stand!I24,Double!I24))</f>
        <v>-1</v>
      </c>
      <c r="J24">
        <f>IF(Rules!$B$7=Rules!$E$7,MAX(Hit!J24,Stand!J24,Double!J24,Surrender!J24),MAX(Hit!J24,Stand!J24,Double!J24))</f>
        <v>-1</v>
      </c>
      <c r="K24">
        <f>IF(Rules!$B$7=Rules!$E$7,MAX(Hit!K24,Stand!K24,Double!K24,Surrender!K24),MAX(Hit!K24,Stand!K24,Double!K24))</f>
        <v>-1</v>
      </c>
      <c r="N24" s="31">
        <v>24</v>
      </c>
      <c r="O24" s="31" t="str">
        <f>IF(B24=Surrender!B24,"R",HSD!O24)</f>
        <v>S</v>
      </c>
      <c r="P24" s="31" t="str">
        <f>IF(C24=Surrender!C24,"R",HSD!P24)</f>
        <v>S</v>
      </c>
      <c r="Q24" s="31" t="str">
        <f>IF(D24=Surrender!D24,"R",HSD!Q24)</f>
        <v>S</v>
      </c>
      <c r="R24" s="31" t="str">
        <f>IF(E24=Surrender!E24,"R",HSD!R24)</f>
        <v>S</v>
      </c>
      <c r="S24" s="31" t="str">
        <f>IF(F24=Surrender!F24,"R",HSD!S24)</f>
        <v>S</v>
      </c>
      <c r="T24" s="31" t="str">
        <f>IF(G24=Surrender!G24,"R",HSD!T24)</f>
        <v>S</v>
      </c>
      <c r="U24" s="31" t="str">
        <f>IF(H24=Surrender!H24,"R",HSD!U24)</f>
        <v>S</v>
      </c>
      <c r="V24" s="31" t="str">
        <f>IF(I24=Surrender!I24,"R",HSD!V24)</f>
        <v>S</v>
      </c>
      <c r="W24" s="31" t="str">
        <f>IF(J24=Surrender!J24,"R",HSD!W24)</f>
        <v>S</v>
      </c>
      <c r="X24" s="31" t="str">
        <f>IF(K24=Surrender!K24,"R",HSD!X24)</f>
        <v>S</v>
      </c>
    </row>
    <row r="25" spans="1:24" x14ac:dyDescent="0.2">
      <c r="A25">
        <v>25</v>
      </c>
      <c r="B25">
        <f>IF(AND(Rules!$B$8=Rules!$E$8,Rules!$B$7=Rules!$E$7),MAX(Hit!B25,Stand!B25,Double!B25,Surrender!B25),MAX(Hit!B25,Stand!B25,Double!B25))</f>
        <v>-1</v>
      </c>
      <c r="C25">
        <f>IF(Rules!$B$7=Rules!$E$7,MAX(Hit!C25,Stand!C25,Double!C25,Surrender!C25),MAX(Hit!C25,Stand!C25,Double!C25))</f>
        <v>-1</v>
      </c>
      <c r="D25">
        <f>IF(Rules!$B$7=Rules!$E$7,MAX(Hit!D25,Stand!D25,Double!D25,Surrender!D25),MAX(Hit!D25,Stand!D25,Double!D25))</f>
        <v>-1</v>
      </c>
      <c r="E25">
        <f>IF(Rules!$B$7=Rules!$E$7,MAX(Hit!E25,Stand!E25,Double!E25,Surrender!E25),MAX(Hit!E25,Stand!E25,Double!E25))</f>
        <v>-1</v>
      </c>
      <c r="F25">
        <f>IF(Rules!$B$7=Rules!$E$7,MAX(Hit!F25,Stand!F25,Double!F25,Surrender!F25),MAX(Hit!F25,Stand!F25,Double!F25))</f>
        <v>-1</v>
      </c>
      <c r="G25">
        <f>IF(Rules!$B$7=Rules!$E$7,MAX(Hit!G25,Stand!G25,Double!G25,Surrender!G25),MAX(Hit!G25,Stand!G25,Double!G25))</f>
        <v>-1</v>
      </c>
      <c r="H25">
        <f>IF(Rules!$B$7=Rules!$E$7,MAX(Hit!H25,Stand!H25,Double!H25,Surrender!H25),MAX(Hit!H25,Stand!H25,Double!H25))</f>
        <v>-1</v>
      </c>
      <c r="I25">
        <f>IF(Rules!$B$7=Rules!$E$7,MAX(Hit!I25,Stand!I25,Double!I25,Surrender!I25),MAX(Hit!I25,Stand!I25,Double!I25))</f>
        <v>-1</v>
      </c>
      <c r="J25">
        <f>IF(Rules!$B$7=Rules!$E$7,MAX(Hit!J25,Stand!J25,Double!J25,Surrender!J25),MAX(Hit!J25,Stand!J25,Double!J25))</f>
        <v>-1</v>
      </c>
      <c r="K25">
        <f>IF(Rules!$B$7=Rules!$E$7,MAX(Hit!K25,Stand!K25,Double!K25,Surrender!K25),MAX(Hit!K25,Stand!K25,Double!K25))</f>
        <v>-1</v>
      </c>
      <c r="N25" s="31">
        <v>25</v>
      </c>
      <c r="O25" s="31" t="str">
        <f>IF(B25=Surrender!B25,"R",HSD!O25)</f>
        <v>S</v>
      </c>
      <c r="P25" s="31" t="str">
        <f>IF(C25=Surrender!C25,"R",HSD!P25)</f>
        <v>S</v>
      </c>
      <c r="Q25" s="31" t="str">
        <f>IF(D25=Surrender!D25,"R",HSD!Q25)</f>
        <v>S</v>
      </c>
      <c r="R25" s="31" t="str">
        <f>IF(E25=Surrender!E25,"R",HSD!R25)</f>
        <v>S</v>
      </c>
      <c r="S25" s="31" t="str">
        <f>IF(F25=Surrender!F25,"R",HSD!S25)</f>
        <v>S</v>
      </c>
      <c r="T25" s="31" t="str">
        <f>IF(G25=Surrender!G25,"R",HSD!T25)</f>
        <v>S</v>
      </c>
      <c r="U25" s="31" t="str">
        <f>IF(H25=Surrender!H25,"R",HSD!U25)</f>
        <v>S</v>
      </c>
      <c r="V25" s="31" t="str">
        <f>IF(I25=Surrender!I25,"R",HSD!V25)</f>
        <v>S</v>
      </c>
      <c r="W25" s="31" t="str">
        <f>IF(J25=Surrender!J25,"R",HSD!W25)</f>
        <v>S</v>
      </c>
      <c r="X25" s="31" t="str">
        <f>IF(K25=Surrender!K25,"R",HSD!X25)</f>
        <v>S</v>
      </c>
    </row>
    <row r="26" spans="1:24" x14ac:dyDescent="0.2">
      <c r="A26">
        <v>26</v>
      </c>
      <c r="B26">
        <f>IF(AND(Rules!$B$8=Rules!$E$8,Rules!$B$7=Rules!$E$7),MAX(Hit!B26,Stand!B26,Double!B26,Surrender!B26),MAX(Hit!B26,Stand!B26,Double!B26))</f>
        <v>-1</v>
      </c>
      <c r="C26">
        <f>IF(Rules!$B$7=Rules!$E$7,MAX(Hit!C26,Stand!C26,Double!C26,Surrender!C26),MAX(Hit!C26,Stand!C26,Double!C26))</f>
        <v>-1</v>
      </c>
      <c r="D26">
        <f>IF(Rules!$B$7=Rules!$E$7,MAX(Hit!D26,Stand!D26,Double!D26,Surrender!D26),MAX(Hit!D26,Stand!D26,Double!D26))</f>
        <v>-1</v>
      </c>
      <c r="E26">
        <f>IF(Rules!$B$7=Rules!$E$7,MAX(Hit!E26,Stand!E26,Double!E26,Surrender!E26),MAX(Hit!E26,Stand!E26,Double!E26))</f>
        <v>-1</v>
      </c>
      <c r="F26">
        <f>IF(Rules!$B$7=Rules!$E$7,MAX(Hit!F26,Stand!F26,Double!F26,Surrender!F26),MAX(Hit!F26,Stand!F26,Double!F26))</f>
        <v>-1</v>
      </c>
      <c r="G26">
        <f>IF(Rules!$B$7=Rules!$E$7,MAX(Hit!G26,Stand!G26,Double!G26,Surrender!G26),MAX(Hit!G26,Stand!G26,Double!G26))</f>
        <v>-1</v>
      </c>
      <c r="H26">
        <f>IF(Rules!$B$7=Rules!$E$7,MAX(Hit!H26,Stand!H26,Double!H26,Surrender!H26),MAX(Hit!H26,Stand!H26,Double!H26))</f>
        <v>-1</v>
      </c>
      <c r="I26">
        <f>IF(Rules!$B$7=Rules!$E$7,MAX(Hit!I26,Stand!I26,Double!I26,Surrender!I26),MAX(Hit!I26,Stand!I26,Double!I26))</f>
        <v>-1</v>
      </c>
      <c r="J26">
        <f>IF(Rules!$B$7=Rules!$E$7,MAX(Hit!J26,Stand!J26,Double!J26,Surrender!J26),MAX(Hit!J26,Stand!J26,Double!J26))</f>
        <v>-1</v>
      </c>
      <c r="K26">
        <f>IF(Rules!$B$7=Rules!$E$7,MAX(Hit!K26,Stand!K26,Double!K26,Surrender!K26),MAX(Hit!K26,Stand!K26,Double!K26))</f>
        <v>-1</v>
      </c>
      <c r="N26" s="31">
        <v>26</v>
      </c>
      <c r="O26" s="31" t="str">
        <f>IF(B26=Surrender!B26,"R",HSD!O26)</f>
        <v>S</v>
      </c>
      <c r="P26" s="31" t="str">
        <f>IF(C26=Surrender!C26,"R",HSD!P26)</f>
        <v>S</v>
      </c>
      <c r="Q26" s="31" t="str">
        <f>IF(D26=Surrender!D26,"R",HSD!Q26)</f>
        <v>S</v>
      </c>
      <c r="R26" s="31" t="str">
        <f>IF(E26=Surrender!E26,"R",HSD!R26)</f>
        <v>S</v>
      </c>
      <c r="S26" s="31" t="str">
        <f>IF(F26=Surrender!F26,"R",HSD!S26)</f>
        <v>S</v>
      </c>
      <c r="T26" s="31" t="str">
        <f>IF(G26=Surrender!G26,"R",HSD!T26)</f>
        <v>S</v>
      </c>
      <c r="U26" s="31" t="str">
        <f>IF(H26=Surrender!H26,"R",HSD!U26)</f>
        <v>S</v>
      </c>
      <c r="V26" s="31" t="str">
        <f>IF(I26=Surrender!I26,"R",HSD!V26)</f>
        <v>S</v>
      </c>
      <c r="W26" s="31" t="str">
        <f>IF(J26=Surrender!J26,"R",HSD!W26)</f>
        <v>S</v>
      </c>
      <c r="X26" s="31" t="str">
        <f>IF(K26=Surrender!K26,"R",HSD!X26)</f>
        <v>S</v>
      </c>
    </row>
    <row r="27" spans="1:24" x14ac:dyDescent="0.2">
      <c r="A27">
        <v>27</v>
      </c>
      <c r="B27">
        <f>IF(AND(Rules!$B$8=Rules!$E$8,Rules!$B$7=Rules!$E$7),MAX(Hit!B27,Stand!B27,Double!B27,Surrender!B27),MAX(Hit!B27,Stand!B27,Double!B27))</f>
        <v>-1</v>
      </c>
      <c r="C27">
        <f>IF(Rules!$B$7=Rules!$E$7,MAX(Hit!C27,Stand!C27,Double!C27,Surrender!C27),MAX(Hit!C27,Stand!C27,Double!C27))</f>
        <v>-1</v>
      </c>
      <c r="D27">
        <f>IF(Rules!$B$7=Rules!$E$7,MAX(Hit!D27,Stand!D27,Double!D27,Surrender!D27),MAX(Hit!D27,Stand!D27,Double!D27))</f>
        <v>-1</v>
      </c>
      <c r="E27">
        <f>IF(Rules!$B$7=Rules!$E$7,MAX(Hit!E27,Stand!E27,Double!E27,Surrender!E27),MAX(Hit!E27,Stand!E27,Double!E27))</f>
        <v>-1</v>
      </c>
      <c r="F27">
        <f>IF(Rules!$B$7=Rules!$E$7,MAX(Hit!F27,Stand!F27,Double!F27,Surrender!F27),MAX(Hit!F27,Stand!F27,Double!F27))</f>
        <v>-1</v>
      </c>
      <c r="G27">
        <f>IF(Rules!$B$7=Rules!$E$7,MAX(Hit!G27,Stand!G27,Double!G27,Surrender!G27),MAX(Hit!G27,Stand!G27,Double!G27))</f>
        <v>-1</v>
      </c>
      <c r="H27">
        <f>IF(Rules!$B$7=Rules!$E$7,MAX(Hit!H27,Stand!H27,Double!H27,Surrender!H27),MAX(Hit!H27,Stand!H27,Double!H27))</f>
        <v>-1</v>
      </c>
      <c r="I27">
        <f>IF(Rules!$B$7=Rules!$E$7,MAX(Hit!I27,Stand!I27,Double!I27,Surrender!I27),MAX(Hit!I27,Stand!I27,Double!I27))</f>
        <v>-1</v>
      </c>
      <c r="J27">
        <f>IF(Rules!$B$7=Rules!$E$7,MAX(Hit!J27,Stand!J27,Double!J27,Surrender!J27),MAX(Hit!J27,Stand!J27,Double!J27))</f>
        <v>-1</v>
      </c>
      <c r="K27">
        <f>IF(Rules!$B$7=Rules!$E$7,MAX(Hit!K27,Stand!K27,Double!K27,Surrender!K27),MAX(Hit!K27,Stand!K27,Double!K27))</f>
        <v>-1</v>
      </c>
      <c r="N27" s="31">
        <v>27</v>
      </c>
      <c r="O27" s="31" t="str">
        <f>IF(B27=Surrender!B27,"R",HSD!O27)</f>
        <v>S</v>
      </c>
      <c r="P27" s="31" t="str">
        <f>IF(C27=Surrender!C27,"R",HSD!P27)</f>
        <v>S</v>
      </c>
      <c r="Q27" s="31" t="str">
        <f>IF(D27=Surrender!D27,"R",HSD!Q27)</f>
        <v>S</v>
      </c>
      <c r="R27" s="31" t="str">
        <f>IF(E27=Surrender!E27,"R",HSD!R27)</f>
        <v>S</v>
      </c>
      <c r="S27" s="31" t="str">
        <f>IF(F27=Surrender!F27,"R",HSD!S27)</f>
        <v>S</v>
      </c>
      <c r="T27" s="31" t="str">
        <f>IF(G27=Surrender!G27,"R",HSD!T27)</f>
        <v>S</v>
      </c>
      <c r="U27" s="31" t="str">
        <f>IF(H27=Surrender!H27,"R",HSD!U27)</f>
        <v>S</v>
      </c>
      <c r="V27" s="31" t="str">
        <f>IF(I27=Surrender!I27,"R",HSD!V27)</f>
        <v>S</v>
      </c>
      <c r="W27" s="31" t="str">
        <f>IF(J27=Surrender!J27,"R",HSD!W27)</f>
        <v>S</v>
      </c>
      <c r="X27" s="31" t="str">
        <f>IF(K27=Surrender!K27,"R",HSD!X27)</f>
        <v>S</v>
      </c>
    </row>
    <row r="28" spans="1:24" x14ac:dyDescent="0.2">
      <c r="A28">
        <v>28</v>
      </c>
      <c r="B28">
        <f>IF(AND(Rules!$B$8=Rules!$E$8,Rules!$B$7=Rules!$E$7),MAX(Hit!B28,Stand!B28,Double!B28,Surrender!B28),MAX(Hit!B28,Stand!B28,Double!B28))</f>
        <v>-1</v>
      </c>
      <c r="C28">
        <f>IF(Rules!$B$7=Rules!$E$7,MAX(Hit!C28,Stand!C28,Double!C28,Surrender!C28),MAX(Hit!C28,Stand!C28,Double!C28))</f>
        <v>-1</v>
      </c>
      <c r="D28">
        <f>IF(Rules!$B$7=Rules!$E$7,MAX(Hit!D28,Stand!D28,Double!D28,Surrender!D28),MAX(Hit!D28,Stand!D28,Double!D28))</f>
        <v>-1</v>
      </c>
      <c r="E28">
        <f>IF(Rules!$B$7=Rules!$E$7,MAX(Hit!E28,Stand!E28,Double!E28,Surrender!E28),MAX(Hit!E28,Stand!E28,Double!E28))</f>
        <v>-1</v>
      </c>
      <c r="F28">
        <f>IF(Rules!$B$7=Rules!$E$7,MAX(Hit!F28,Stand!F28,Double!F28,Surrender!F28),MAX(Hit!F28,Stand!F28,Double!F28))</f>
        <v>-1</v>
      </c>
      <c r="G28">
        <f>IF(Rules!$B$7=Rules!$E$7,MAX(Hit!G28,Stand!G28,Double!G28,Surrender!G28),MAX(Hit!G28,Stand!G28,Double!G28))</f>
        <v>-1</v>
      </c>
      <c r="H28">
        <f>IF(Rules!$B$7=Rules!$E$7,MAX(Hit!H28,Stand!H28,Double!H28,Surrender!H28),MAX(Hit!H28,Stand!H28,Double!H28))</f>
        <v>-1</v>
      </c>
      <c r="I28">
        <f>IF(Rules!$B$7=Rules!$E$7,MAX(Hit!I28,Stand!I28,Double!I28,Surrender!I28),MAX(Hit!I28,Stand!I28,Double!I28))</f>
        <v>-1</v>
      </c>
      <c r="J28">
        <f>IF(Rules!$B$7=Rules!$E$7,MAX(Hit!J28,Stand!J28,Double!J28,Surrender!J28),MAX(Hit!J28,Stand!J28,Double!J28))</f>
        <v>-1</v>
      </c>
      <c r="K28">
        <f>IF(Rules!$B$7=Rules!$E$7,MAX(Hit!K28,Stand!K28,Double!K28,Surrender!K28),MAX(Hit!K28,Stand!K28,Double!K28))</f>
        <v>-1</v>
      </c>
      <c r="N28" s="31">
        <v>28</v>
      </c>
      <c r="O28" s="31" t="str">
        <f>IF(B28=Surrender!B28,"R",HSD!O28)</f>
        <v>S</v>
      </c>
      <c r="P28" s="31" t="str">
        <f>IF(C28=Surrender!C28,"R",HSD!P28)</f>
        <v>S</v>
      </c>
      <c r="Q28" s="31" t="str">
        <f>IF(D28=Surrender!D28,"R",HSD!Q28)</f>
        <v>S</v>
      </c>
      <c r="R28" s="31" t="str">
        <f>IF(E28=Surrender!E28,"R",HSD!R28)</f>
        <v>S</v>
      </c>
      <c r="S28" s="31" t="str">
        <f>IF(F28=Surrender!F28,"R",HSD!S28)</f>
        <v>S</v>
      </c>
      <c r="T28" s="31" t="str">
        <f>IF(G28=Surrender!G28,"R",HSD!T28)</f>
        <v>S</v>
      </c>
      <c r="U28" s="31" t="str">
        <f>IF(H28=Surrender!H28,"R",HSD!U28)</f>
        <v>S</v>
      </c>
      <c r="V28" s="31" t="str">
        <f>IF(I28=Surrender!I28,"R",HSD!V28)</f>
        <v>S</v>
      </c>
      <c r="W28" s="31" t="str">
        <f>IF(J28=Surrender!J28,"R",HSD!W28)</f>
        <v>S</v>
      </c>
      <c r="X28" s="31" t="str">
        <f>IF(K28=Surrender!K28,"R",HSD!X28)</f>
        <v>S</v>
      </c>
    </row>
    <row r="29" spans="1:24" x14ac:dyDescent="0.2">
      <c r="A29">
        <v>29</v>
      </c>
      <c r="B29">
        <f>IF(AND(Rules!$B$8=Rules!$E$8,Rules!$B$7=Rules!$E$7),MAX(Hit!B29,Stand!B29,Double!B29,Surrender!B29),MAX(Hit!B29,Stand!B29,Double!B29))</f>
        <v>-1</v>
      </c>
      <c r="C29">
        <f>IF(Rules!$B$7=Rules!$E$7,MAX(Hit!C29,Stand!C29,Double!C29,Surrender!C29),MAX(Hit!C29,Stand!C29,Double!C29))</f>
        <v>-1</v>
      </c>
      <c r="D29">
        <f>IF(Rules!$B$7=Rules!$E$7,MAX(Hit!D29,Stand!D29,Double!D29,Surrender!D29),MAX(Hit!D29,Stand!D29,Double!D29))</f>
        <v>-1</v>
      </c>
      <c r="E29">
        <f>IF(Rules!$B$7=Rules!$E$7,MAX(Hit!E29,Stand!E29,Double!E29,Surrender!E29),MAX(Hit!E29,Stand!E29,Double!E29))</f>
        <v>-1</v>
      </c>
      <c r="F29">
        <f>IF(Rules!$B$7=Rules!$E$7,MAX(Hit!F29,Stand!F29,Double!F29,Surrender!F29),MAX(Hit!F29,Stand!F29,Double!F29))</f>
        <v>-1</v>
      </c>
      <c r="G29">
        <f>IF(Rules!$B$7=Rules!$E$7,MAX(Hit!G29,Stand!G29,Double!G29,Surrender!G29),MAX(Hit!G29,Stand!G29,Double!G29))</f>
        <v>-1</v>
      </c>
      <c r="H29">
        <f>IF(Rules!$B$7=Rules!$E$7,MAX(Hit!H29,Stand!H29,Double!H29,Surrender!H29),MAX(Hit!H29,Stand!H29,Double!H29))</f>
        <v>-1</v>
      </c>
      <c r="I29">
        <f>IF(Rules!$B$7=Rules!$E$7,MAX(Hit!I29,Stand!I29,Double!I29,Surrender!I29),MAX(Hit!I29,Stand!I29,Double!I29))</f>
        <v>-1</v>
      </c>
      <c r="J29">
        <f>IF(Rules!$B$7=Rules!$E$7,MAX(Hit!J29,Stand!J29,Double!J29,Surrender!J29),MAX(Hit!J29,Stand!J29,Double!J29))</f>
        <v>-1</v>
      </c>
      <c r="K29">
        <f>IF(Rules!$B$7=Rules!$E$7,MAX(Hit!K29,Stand!K29,Double!K29,Surrender!K29),MAX(Hit!K29,Stand!K29,Double!K29))</f>
        <v>-1</v>
      </c>
      <c r="N29" s="31">
        <v>29</v>
      </c>
      <c r="O29" s="31" t="str">
        <f>IF(B29=Surrender!B29,"R",HSD!O29)</f>
        <v>S</v>
      </c>
      <c r="P29" s="31" t="str">
        <f>IF(C29=Surrender!C29,"R",HSD!P29)</f>
        <v>S</v>
      </c>
      <c r="Q29" s="31" t="str">
        <f>IF(D29=Surrender!D29,"R",HSD!Q29)</f>
        <v>S</v>
      </c>
      <c r="R29" s="31" t="str">
        <f>IF(E29=Surrender!E29,"R",HSD!R29)</f>
        <v>S</v>
      </c>
      <c r="S29" s="31" t="str">
        <f>IF(F29=Surrender!F29,"R",HSD!S29)</f>
        <v>S</v>
      </c>
      <c r="T29" s="31" t="str">
        <f>IF(G29=Surrender!G29,"R",HSD!T29)</f>
        <v>S</v>
      </c>
      <c r="U29" s="31" t="str">
        <f>IF(H29=Surrender!H29,"R",HSD!U29)</f>
        <v>S</v>
      </c>
      <c r="V29" s="31" t="str">
        <f>IF(I29=Surrender!I29,"R",HSD!V29)</f>
        <v>S</v>
      </c>
      <c r="W29" s="31" t="str">
        <f>IF(J29=Surrender!J29,"R",HSD!W29)</f>
        <v>S</v>
      </c>
      <c r="X29" s="31" t="str">
        <f>IF(K29=Surrender!K29,"R",HSD!X29)</f>
        <v>S</v>
      </c>
    </row>
    <row r="30" spans="1:24" x14ac:dyDescent="0.2">
      <c r="A30">
        <v>30</v>
      </c>
      <c r="B30">
        <f>IF(AND(Rules!$B$8=Rules!$E$8,Rules!$B$7=Rules!$E$7),MAX(Hit!B30,Stand!B30,Double!B30,Surrender!B30),MAX(Hit!B30,Stand!B30,Double!B30))</f>
        <v>-1</v>
      </c>
      <c r="C30">
        <f>IF(Rules!$B$7=Rules!$E$7,MAX(Hit!C30,Stand!C30,Double!C30,Surrender!C30),MAX(Hit!C30,Stand!C30,Double!C30))</f>
        <v>-1</v>
      </c>
      <c r="D30">
        <f>IF(Rules!$B$7=Rules!$E$7,MAX(Hit!D30,Stand!D30,Double!D30,Surrender!D30),MAX(Hit!D30,Stand!D30,Double!D30))</f>
        <v>-1</v>
      </c>
      <c r="E30">
        <f>IF(Rules!$B$7=Rules!$E$7,MAX(Hit!E30,Stand!E30,Double!E30,Surrender!E30),MAX(Hit!E30,Stand!E30,Double!E30))</f>
        <v>-1</v>
      </c>
      <c r="F30">
        <f>IF(Rules!$B$7=Rules!$E$7,MAX(Hit!F30,Stand!F30,Double!F30,Surrender!F30),MAX(Hit!F30,Stand!F30,Double!F30))</f>
        <v>-1</v>
      </c>
      <c r="G30">
        <f>IF(Rules!$B$7=Rules!$E$7,MAX(Hit!G30,Stand!G30,Double!G30,Surrender!G30),MAX(Hit!G30,Stand!G30,Double!G30))</f>
        <v>-1</v>
      </c>
      <c r="H30">
        <f>IF(Rules!$B$7=Rules!$E$7,MAX(Hit!H30,Stand!H30,Double!H30,Surrender!H30),MAX(Hit!H30,Stand!H30,Double!H30))</f>
        <v>-1</v>
      </c>
      <c r="I30">
        <f>IF(Rules!$B$7=Rules!$E$7,MAX(Hit!I30,Stand!I30,Double!I30,Surrender!I30),MAX(Hit!I30,Stand!I30,Double!I30))</f>
        <v>-1</v>
      </c>
      <c r="J30">
        <f>IF(Rules!$B$7=Rules!$E$7,MAX(Hit!J30,Stand!J30,Double!J30,Surrender!J30),MAX(Hit!J30,Stand!J30,Double!J30))</f>
        <v>-1</v>
      </c>
      <c r="K30">
        <f>IF(Rules!$B$7=Rules!$E$7,MAX(Hit!K30,Stand!K30,Double!K30,Surrender!K30),MAX(Hit!K30,Stand!K30,Double!K30))</f>
        <v>-1</v>
      </c>
      <c r="N30" s="31">
        <v>30</v>
      </c>
      <c r="O30" s="31" t="str">
        <f>IF(B30=Surrender!B30,"R",HSD!O30)</f>
        <v>S</v>
      </c>
      <c r="P30" s="31" t="str">
        <f>IF(C30=Surrender!C30,"R",HSD!P30)</f>
        <v>S</v>
      </c>
      <c r="Q30" s="31" t="str">
        <f>IF(D30=Surrender!D30,"R",HSD!Q30)</f>
        <v>S</v>
      </c>
      <c r="R30" s="31" t="str">
        <f>IF(E30=Surrender!E30,"R",HSD!R30)</f>
        <v>S</v>
      </c>
      <c r="S30" s="31" t="str">
        <f>IF(F30=Surrender!F30,"R",HSD!S30)</f>
        <v>S</v>
      </c>
      <c r="T30" s="31" t="str">
        <f>IF(G30=Surrender!G30,"R",HSD!T30)</f>
        <v>S</v>
      </c>
      <c r="U30" s="31" t="str">
        <f>IF(H30=Surrender!H30,"R",HSD!U30)</f>
        <v>S</v>
      </c>
      <c r="V30" s="31" t="str">
        <f>IF(I30=Surrender!I30,"R",HSD!V30)</f>
        <v>S</v>
      </c>
      <c r="W30" s="31" t="str">
        <f>IF(J30=Surrender!J30,"R",HSD!W30)</f>
        <v>S</v>
      </c>
      <c r="X30" s="31" t="str">
        <f>IF(K30=Surrender!K30,"R",HSD!X30)</f>
        <v>S</v>
      </c>
    </row>
    <row r="31" spans="1:24" x14ac:dyDescent="0.2">
      <c r="A31">
        <v>31</v>
      </c>
      <c r="B31">
        <f>IF(AND(Rules!$B$8=Rules!$E$8,Rules!$B$7=Rules!$E$7),MAX(Hit!B31,Stand!B31,Double!B31,Surrender!B31),MAX(Hit!B31,Stand!B31,Double!B31))</f>
        <v>-1</v>
      </c>
      <c r="C31">
        <f>IF(Rules!$B$7=Rules!$E$7,MAX(Hit!C31,Stand!C31,Double!C31,Surrender!C31),MAX(Hit!C31,Stand!C31,Double!C31))</f>
        <v>-1</v>
      </c>
      <c r="D31">
        <f>IF(Rules!$B$7=Rules!$E$7,MAX(Hit!D31,Stand!D31,Double!D31,Surrender!D31),MAX(Hit!D31,Stand!D31,Double!D31))</f>
        <v>-1</v>
      </c>
      <c r="E31">
        <f>IF(Rules!$B$7=Rules!$E$7,MAX(Hit!E31,Stand!E31,Double!E31,Surrender!E31),MAX(Hit!E31,Stand!E31,Double!E31))</f>
        <v>-1</v>
      </c>
      <c r="F31">
        <f>IF(Rules!$B$7=Rules!$E$7,MAX(Hit!F31,Stand!F31,Double!F31,Surrender!F31),MAX(Hit!F31,Stand!F31,Double!F31))</f>
        <v>-1</v>
      </c>
      <c r="G31">
        <f>IF(Rules!$B$7=Rules!$E$7,MAX(Hit!G31,Stand!G31,Double!G31,Surrender!G31),MAX(Hit!G31,Stand!G31,Double!G31))</f>
        <v>-1</v>
      </c>
      <c r="H31">
        <f>IF(Rules!$B$7=Rules!$E$7,MAX(Hit!H31,Stand!H31,Double!H31,Surrender!H31),MAX(Hit!H31,Stand!H31,Double!H31))</f>
        <v>-1</v>
      </c>
      <c r="I31">
        <f>IF(Rules!$B$7=Rules!$E$7,MAX(Hit!I31,Stand!I31,Double!I31,Surrender!I31),MAX(Hit!I31,Stand!I31,Double!I31))</f>
        <v>-1</v>
      </c>
      <c r="J31">
        <f>IF(Rules!$B$7=Rules!$E$7,MAX(Hit!J31,Stand!J31,Double!J31,Surrender!J31),MAX(Hit!J31,Stand!J31,Double!J31))</f>
        <v>-1</v>
      </c>
      <c r="K31">
        <f>IF(Rules!$B$7=Rules!$E$7,MAX(Hit!K31,Stand!K31,Double!K31,Surrender!K31),MAX(Hit!K31,Stand!K31,Double!K31))</f>
        <v>-1</v>
      </c>
      <c r="N31" s="31">
        <v>31</v>
      </c>
      <c r="O31" s="31" t="str">
        <f>IF(B31=Surrender!B31,"R",HSD!O31)</f>
        <v>S</v>
      </c>
      <c r="P31" s="31" t="str">
        <f>IF(C31=Surrender!C31,"R",HSD!P31)</f>
        <v>S</v>
      </c>
      <c r="Q31" s="31" t="str">
        <f>IF(D31=Surrender!D31,"R",HSD!Q31)</f>
        <v>S</v>
      </c>
      <c r="R31" s="31" t="str">
        <f>IF(E31=Surrender!E31,"R",HSD!R31)</f>
        <v>S</v>
      </c>
      <c r="S31" s="31" t="str">
        <f>IF(F31=Surrender!F31,"R",HSD!S31)</f>
        <v>S</v>
      </c>
      <c r="T31" s="31" t="str">
        <f>IF(G31=Surrender!G31,"R",HSD!T31)</f>
        <v>S</v>
      </c>
      <c r="U31" s="31" t="str">
        <f>IF(H31=Surrender!H31,"R",HSD!U31)</f>
        <v>S</v>
      </c>
      <c r="V31" s="31" t="str">
        <f>IF(I31=Surrender!I31,"R",HSD!V31)</f>
        <v>S</v>
      </c>
      <c r="W31" s="31" t="str">
        <f>IF(J31=Surrender!J31,"R",HSD!W31)</f>
        <v>S</v>
      </c>
      <c r="X31" s="31" t="str">
        <f>IF(K31=Surrender!K31,"R",HSD!X31)</f>
        <v>S</v>
      </c>
    </row>
    <row r="33" spans="1:24" x14ac:dyDescent="0.2">
      <c r="A33" t="s">
        <v>4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N33" s="31" t="s">
        <v>4</v>
      </c>
      <c r="O33" s="31">
        <v>1</v>
      </c>
      <c r="P33" s="31">
        <v>2</v>
      </c>
      <c r="Q33" s="31">
        <v>3</v>
      </c>
      <c r="R33" s="31">
        <v>4</v>
      </c>
      <c r="S33" s="31">
        <v>5</v>
      </c>
      <c r="T33" s="31">
        <v>6</v>
      </c>
      <c r="U33" s="31">
        <v>7</v>
      </c>
      <c r="V33" s="31">
        <v>8</v>
      </c>
      <c r="W33" s="31">
        <v>9</v>
      </c>
      <c r="X33" s="31">
        <v>10</v>
      </c>
    </row>
    <row r="34" spans="1:24" x14ac:dyDescent="0.2">
      <c r="A34">
        <v>11</v>
      </c>
      <c r="B34">
        <f>IF(AND(Rules!$B$8=Rules!$E$8,Rules!$B$7=Rules!$E$7),MAX(Hit!B34,Stand!B34,Double!B34,Surrender!B34),MAX(Hit!B34,Stand!B34,Double!B34))</f>
        <v>0.29861942370404337</v>
      </c>
      <c r="C34">
        <f>IF(Rules!$B$7=Rules!$E$7,MAX(Hit!C34,Stand!C34,Double!C34,Surrender!C34),MAX(Hit!C34,Stand!C34,Double!C34))</f>
        <v>0.47064092333946894</v>
      </c>
      <c r="D34">
        <f>IF(Rules!$B$7=Rules!$E$7,MAX(Hit!D34,Stand!D34,Double!D34,Surrender!D34),MAX(Hit!D34,Stand!D34,Double!D34))</f>
        <v>0.51779525312221664</v>
      </c>
      <c r="E34">
        <f>IF(Rules!$B$7=Rules!$E$7,MAX(Hit!E34,Stand!E34,Double!E34,Surrender!E34),MAX(Hit!E34,Stand!E34,Double!E34))</f>
        <v>0.56604055041797596</v>
      </c>
      <c r="F34">
        <f>IF(Rules!$B$7=Rules!$E$7,MAX(Hit!F34,Stand!F34,Double!F34,Surrender!F34),MAX(Hit!F34,Stand!F34,Double!F34))</f>
        <v>0.61469901790902803</v>
      </c>
      <c r="G34">
        <f>IF(Rules!$B$7=Rules!$E$7,MAX(Hit!G34,Stand!G34,Double!G34,Surrender!G34),MAX(Hit!G34,Stand!G34,Double!G34))</f>
        <v>0.66738009490756944</v>
      </c>
      <c r="H34">
        <f>IF(Rules!$B$7=Rules!$E$7,MAX(Hit!H34,Stand!H34,Double!H34,Surrender!H34),MAX(Hit!H34,Stand!H34,Double!H34))</f>
        <v>0.46288894886429088</v>
      </c>
      <c r="I34">
        <f>IF(Rules!$B$7=Rules!$E$7,MAX(Hit!I34,Stand!I34,Double!I34,Surrender!I34),MAX(Hit!I34,Stand!I34,Double!I34))</f>
        <v>0.40074805174057648</v>
      </c>
      <c r="J34">
        <f>IF(Rules!$B$7=Rules!$E$7,MAX(Hit!J34,Stand!J34,Double!J34,Surrender!J34),MAX(Hit!J34,Stand!J34,Double!J34))</f>
        <v>0.32142328174266549</v>
      </c>
      <c r="K34">
        <f>IF(Rules!$B$7=Rules!$E$7,MAX(Hit!K34,Stand!K34,Double!K34,Surrender!K34),MAX(Hit!K34,Stand!K34,Double!K34))</f>
        <v>0.26400071601402691</v>
      </c>
      <c r="N34" s="31">
        <v>11</v>
      </c>
      <c r="O34" s="31" t="str">
        <f>IF(B34=Surrender!B34,"R",HSD!O34)</f>
        <v>H</v>
      </c>
      <c r="P34" s="31" t="str">
        <f>IF(C34=Surrender!C34,"R",HSD!P34)</f>
        <v>D</v>
      </c>
      <c r="Q34" s="31" t="str">
        <f>IF(D34=Surrender!D34,"R",HSD!Q34)</f>
        <v>D</v>
      </c>
      <c r="R34" s="31" t="str">
        <f>IF(E34=Surrender!E34,"R",HSD!R34)</f>
        <v>D</v>
      </c>
      <c r="S34" s="31" t="str">
        <f>IF(F34=Surrender!F34,"R",HSD!S34)</f>
        <v>D</v>
      </c>
      <c r="T34" s="31" t="str">
        <f>IF(G34=Surrender!G34,"R",HSD!T34)</f>
        <v>D</v>
      </c>
      <c r="U34" s="31" t="str">
        <f>IF(H34=Surrender!H34,"R",HSD!U34)</f>
        <v>D</v>
      </c>
      <c r="V34" s="31" t="str">
        <f>IF(I34=Surrender!I34,"R",HSD!V34)</f>
        <v>H</v>
      </c>
      <c r="W34" s="31" t="str">
        <f>IF(J34=Surrender!J34,"R",HSD!W34)</f>
        <v>H</v>
      </c>
      <c r="X34" s="31" t="str">
        <f>IF(K34=Surrender!K34,"R",HSD!X34)</f>
        <v>H</v>
      </c>
    </row>
    <row r="35" spans="1:24" x14ac:dyDescent="0.2">
      <c r="A35">
        <v>12</v>
      </c>
      <c r="B35">
        <f>IF(AND(Rules!$B$8=Rules!$E$8,Rules!$B$7=Rules!$E$7),MAX(Hit!B35,Stand!B35,Double!B35,Surrender!B35),MAX(Hit!B35,Stand!B35,Double!B35))</f>
        <v>-2.0477877704912145E-2</v>
      </c>
      <c r="C35">
        <f>IF(Rules!$B$7=Rules!$E$7,MAX(Hit!C35,Stand!C35,Double!C35,Surrender!C35),MAX(Hit!C35,Stand!C35,Double!C35))</f>
        <v>8.1836216051656044E-2</v>
      </c>
      <c r="D35">
        <f>IF(Rules!$B$7=Rules!$E$7,MAX(Hit!D35,Stand!D35,Double!D35,Surrender!D35),MAX(Hit!D35,Stand!D35,Double!D35))</f>
        <v>0.10350704654207775</v>
      </c>
      <c r="E35">
        <f>IF(Rules!$B$7=Rules!$E$7,MAX(Hit!E35,Stand!E35,Double!E35,Surrender!E35),MAX(Hit!E35,Stand!E35,Double!E35))</f>
        <v>0.12659562809256977</v>
      </c>
      <c r="F35">
        <f>IF(Rules!$B$7=Rules!$E$7,MAX(Hit!F35,Stand!F35,Double!F35,Surrender!F35),MAX(Hit!F35,Stand!F35,Double!F35))</f>
        <v>0.15648238458465519</v>
      </c>
      <c r="G35">
        <f>IF(Rules!$B$7=Rules!$E$7,MAX(Hit!G35,Stand!G35,Double!G35,Surrender!G35),MAX(Hit!G35,Stand!G35,Double!G35))</f>
        <v>0.18595361333225549</v>
      </c>
      <c r="H35">
        <f>IF(Rules!$B$7=Rules!$E$7,MAX(Hit!H35,Stand!H35,Double!H35,Surrender!H35),MAX(Hit!H35,Stand!H35,Double!H35))</f>
        <v>0.16547293077063496</v>
      </c>
      <c r="I35">
        <f>IF(Rules!$B$7=Rules!$E$7,MAX(Hit!I35,Stand!I35,Double!I35,Surrender!I35),MAX(Hit!I35,Stand!I35,Double!I35))</f>
        <v>9.5115020927032265E-2</v>
      </c>
      <c r="J35">
        <f>IF(Rules!$B$7=Rules!$E$7,MAX(Hit!J35,Stand!J35,Double!J35,Surrender!J35),MAX(Hit!J35,Stand!J35,Double!J35))</f>
        <v>6.5790841226914386E-5</v>
      </c>
      <c r="K35">
        <f>IF(Rules!$B$7=Rules!$E$7,MAX(Hit!K35,Stand!K35,Double!K35,Surrender!K35),MAX(Hit!K35,Stand!K35,Double!K35))</f>
        <v>-7.0002397357964694E-2</v>
      </c>
      <c r="N35" s="31">
        <v>12</v>
      </c>
      <c r="O35" s="31" t="str">
        <f>IF(B35=Surrender!B35,"R",HSD!O35)</f>
        <v>H</v>
      </c>
      <c r="P35" s="31" t="str">
        <f>IF(C35=Surrender!C35,"R",HSD!P35)</f>
        <v>H</v>
      </c>
      <c r="Q35" s="31" t="str">
        <f>IF(D35=Surrender!D35,"R",HSD!Q35)</f>
        <v>H</v>
      </c>
      <c r="R35" s="31" t="str">
        <f>IF(E35=Surrender!E35,"R",HSD!R35)</f>
        <v>H</v>
      </c>
      <c r="S35" s="31" t="str">
        <f>IF(F35=Surrender!F35,"R",HSD!S35)</f>
        <v>H</v>
      </c>
      <c r="T35" s="31" t="str">
        <f>IF(G35=Surrender!G35,"R",HSD!T35)</f>
        <v>H</v>
      </c>
      <c r="U35" s="31" t="str">
        <f>IF(H35=Surrender!H35,"R",HSD!U35)</f>
        <v>H</v>
      </c>
      <c r="V35" s="31" t="str">
        <f>IF(I35=Surrender!I35,"R",HSD!V35)</f>
        <v>H</v>
      </c>
      <c r="W35" s="31" t="str">
        <f>IF(J35=Surrender!J35,"R",HSD!W35)</f>
        <v>H</v>
      </c>
      <c r="X35" s="31" t="str">
        <f>IF(K35=Surrender!K35,"R",HSD!X35)</f>
        <v>H</v>
      </c>
    </row>
    <row r="36" spans="1:24" x14ac:dyDescent="0.2">
      <c r="A36">
        <v>13</v>
      </c>
      <c r="B36">
        <f>IF(AND(Rules!$B$8=Rules!$E$8,Rules!$B$7=Rules!$E$7),MAX(Hit!B36,Stand!B36,Double!B36,Surrender!B36),MAX(Hit!B36,Stand!B36,Double!B36))</f>
        <v>-5.7308046666810254E-2</v>
      </c>
      <c r="C36">
        <f>IF(Rules!$B$7=Rules!$E$7,MAX(Hit!C36,Stand!C36,Double!C36,Surrender!C36),MAX(Hit!C36,Stand!C36,Double!C36))</f>
        <v>4.6636132695309578E-2</v>
      </c>
      <c r="D36">
        <f>IF(Rules!$B$7=Rules!$E$7,MAX(Hit!D36,Stand!D36,Double!D36,Surrender!D36),MAX(Hit!D36,Stand!D36,Double!D36))</f>
        <v>7.4118813392744051E-2</v>
      </c>
      <c r="E36">
        <f>IF(Rules!$B$7=Rules!$E$7,MAX(Hit!E36,Stand!E36,Double!E36,Surrender!E36),MAX(Hit!E36,Stand!E36,Double!E36))</f>
        <v>0.10247714687203523</v>
      </c>
      <c r="F36">
        <f>IF(Rules!$B$7=Rules!$E$7,MAX(Hit!F36,Stand!F36,Double!F36,Surrender!F36),MAX(Hit!F36,Stand!F36,Double!F36))</f>
        <v>0.13336273848321728</v>
      </c>
      <c r="G36">
        <f>IF(Rules!$B$7=Rules!$E$7,MAX(Hit!G36,Stand!G36,Double!G36,Surrender!G36),MAX(Hit!G36,Stand!G36,Double!G36))</f>
        <v>0.17974820582791512</v>
      </c>
      <c r="H36">
        <f>IF(Rules!$B$7=Rules!$E$7,MAX(Hit!H36,Stand!H36,Double!H36,Surrender!H36),MAX(Hit!H36,Stand!H36,Double!H36))</f>
        <v>0.12238569517899196</v>
      </c>
      <c r="I36">
        <f>IF(Rules!$B$7=Rules!$E$7,MAX(Hit!I36,Stand!I36,Double!I36,Surrender!I36),MAX(Hit!I36,Stand!I36,Double!I36))</f>
        <v>5.4057070196311299E-2</v>
      </c>
      <c r="J36">
        <f>IF(Rules!$B$7=Rules!$E$7,MAX(Hit!J36,Stand!J36,Double!J36,Surrender!J36),MAX(Hit!J36,Stand!J36,Double!J36))</f>
        <v>-3.7694688127479885E-2</v>
      </c>
      <c r="K36">
        <f>IF(Rules!$B$7=Rules!$E$7,MAX(Hit!K36,Stand!K36,Double!K36,Surrender!K36),MAX(Hit!K36,Stand!K36,Double!K36))</f>
        <v>-0.10485135840627779</v>
      </c>
      <c r="N36" s="31">
        <v>13</v>
      </c>
      <c r="O36" s="31" t="str">
        <f>IF(B36=Surrender!B36,"R",HSD!O36)</f>
        <v>H</v>
      </c>
      <c r="P36" s="31" t="str">
        <f>IF(C36=Surrender!C36,"R",HSD!P36)</f>
        <v>H</v>
      </c>
      <c r="Q36" s="31" t="str">
        <f>IF(D36=Surrender!D36,"R",HSD!Q36)</f>
        <v>H</v>
      </c>
      <c r="R36" s="31" t="str">
        <f>IF(E36=Surrender!E36,"R",HSD!R36)</f>
        <v>H</v>
      </c>
      <c r="S36" s="31" t="str">
        <f>IF(F36=Surrender!F36,"R",HSD!S36)</f>
        <v>H</v>
      </c>
      <c r="T36" s="31" t="str">
        <f>IF(G36=Surrender!G36,"R",HSD!T36)</f>
        <v>D</v>
      </c>
      <c r="U36" s="31" t="str">
        <f>IF(H36=Surrender!H36,"R",HSD!U36)</f>
        <v>H</v>
      </c>
      <c r="V36" s="31" t="str">
        <f>IF(I36=Surrender!I36,"R",HSD!V36)</f>
        <v>H</v>
      </c>
      <c r="W36" s="31" t="str">
        <f>IF(J36=Surrender!J36,"R",HSD!W36)</f>
        <v>H</v>
      </c>
      <c r="X36" s="31" t="str">
        <f>IF(K36=Surrender!K36,"R",HSD!X36)</f>
        <v>H</v>
      </c>
    </row>
    <row r="37" spans="1:24" x14ac:dyDescent="0.2">
      <c r="A37">
        <v>14</v>
      </c>
      <c r="B37">
        <f>IF(AND(Rules!$B$8=Rules!$E$8,Rules!$B$7=Rules!$E$7),MAX(Hit!B37,Stand!B37,Double!B37,Surrender!B37),MAX(Hit!B37,Stand!B37,Double!B37))</f>
        <v>-9.3874324768310105E-2</v>
      </c>
      <c r="C37">
        <f>IF(Rules!$B$7=Rules!$E$7,MAX(Hit!C37,Stand!C37,Double!C37,Surrender!C37),MAX(Hit!C37,Stand!C37,Double!C37))</f>
        <v>2.2391856987839083E-2</v>
      </c>
      <c r="D37">
        <f>IF(Rules!$B$7=Rules!$E$7,MAX(Hit!D37,Stand!D37,Double!D37,Surrender!D37),MAX(Hit!D37,Stand!D37,Double!D37))</f>
        <v>5.0806738919282814E-2</v>
      </c>
      <c r="E37">
        <f>IF(Rules!$B$7=Rules!$E$7,MAX(Hit!E37,Stand!E37,Double!E37,Surrender!E37),MAX(Hit!E37,Stand!E37,Double!E37))</f>
        <v>8.0081414310110233E-2</v>
      </c>
      <c r="F37">
        <f>IF(Rules!$B$7=Rules!$E$7,MAX(Hit!F37,Stand!F37,Double!F37,Surrender!F37),MAX(Hit!F37,Stand!F37,Double!F37))</f>
        <v>0.12595448524867925</v>
      </c>
      <c r="G37">
        <f>IF(Rules!$B$7=Rules!$E$7,MAX(Hit!G37,Stand!G37,Double!G37,Surrender!G37),MAX(Hit!G37,Stand!G37,Double!G37))</f>
        <v>0.17974820582791512</v>
      </c>
      <c r="H37">
        <f>IF(Rules!$B$7=Rules!$E$7,MAX(Hit!H37,Stand!H37,Double!H37,Surrender!H37),MAX(Hit!H37,Stand!H37,Double!H37))</f>
        <v>7.9507488494468148E-2</v>
      </c>
      <c r="I37">
        <f>IF(Rules!$B$7=Rules!$E$7,MAX(Hit!I37,Stand!I37,Double!I37,Surrender!I37),MAX(Hit!I37,Stand!I37,Double!I37))</f>
        <v>1.3277219463208444E-2</v>
      </c>
      <c r="J37">
        <f>IF(Rules!$B$7=Rules!$E$7,MAX(Hit!J37,Stand!J37,Double!J37,Surrender!J37),MAX(Hit!J37,Stand!J37,Double!J37))</f>
        <v>-7.516318944168382E-2</v>
      </c>
      <c r="K37">
        <f>IF(Rules!$B$7=Rules!$E$7,MAX(Hit!K37,Stand!K37,Double!K37,Surrender!K37),MAX(Hit!K37,Stand!K37,Double!K37))</f>
        <v>-0.13946678217545452</v>
      </c>
      <c r="N37" s="31">
        <v>14</v>
      </c>
      <c r="O37" s="31" t="str">
        <f>IF(B37=Surrender!B37,"R",HSD!O37)</f>
        <v>H</v>
      </c>
      <c r="P37" s="31" t="str">
        <f>IF(C37=Surrender!C37,"R",HSD!P37)</f>
        <v>H</v>
      </c>
      <c r="Q37" s="31" t="str">
        <f>IF(D37=Surrender!D37,"R",HSD!Q37)</f>
        <v>H</v>
      </c>
      <c r="R37" s="31" t="str">
        <f>IF(E37=Surrender!E37,"R",HSD!R37)</f>
        <v>H</v>
      </c>
      <c r="S37" s="31" t="str">
        <f>IF(F37=Surrender!F37,"R",HSD!S37)</f>
        <v>D</v>
      </c>
      <c r="T37" s="31" t="str">
        <f>IF(G37=Surrender!G37,"R",HSD!T37)</f>
        <v>D</v>
      </c>
      <c r="U37" s="31" t="str">
        <f>IF(H37=Surrender!H37,"R",HSD!U37)</f>
        <v>H</v>
      </c>
      <c r="V37" s="31" t="str">
        <f>IF(I37=Surrender!I37,"R",HSD!V37)</f>
        <v>H</v>
      </c>
      <c r="W37" s="31" t="str">
        <f>IF(J37=Surrender!J37,"R",HSD!W37)</f>
        <v>H</v>
      </c>
      <c r="X37" s="31" t="str">
        <f>IF(K37=Surrender!K37,"R",HSD!X37)</f>
        <v>H</v>
      </c>
    </row>
    <row r="38" spans="1:24" x14ac:dyDescent="0.2">
      <c r="A38">
        <v>15</v>
      </c>
      <c r="B38">
        <f>IF(AND(Rules!$B$8=Rules!$E$8,Rules!$B$7=Rules!$E$7),MAX(Hit!B38,Stand!B38,Double!B38,Surrender!B38),MAX(Hit!B38,Stand!B38,Double!B38))</f>
        <v>-0.13002650167843849</v>
      </c>
      <c r="C38">
        <f>IF(Rules!$B$7=Rules!$E$7,MAX(Hit!C38,Stand!C38,Double!C38,Surrender!C38),MAX(Hit!C38,Stand!C38,Double!C38))</f>
        <v>-1.2068474052636583E-4</v>
      </c>
      <c r="D38">
        <f>IF(Rules!$B$7=Rules!$E$7,MAX(Hit!D38,Stand!D38,Double!D38,Surrender!D38),MAX(Hit!D38,Stand!D38,Double!D38))</f>
        <v>2.9159812622497363E-2</v>
      </c>
      <c r="E38">
        <f>IF(Rules!$B$7=Rules!$E$7,MAX(Hit!E38,Stand!E38,Double!E38,Surrender!E38),MAX(Hit!E38,Stand!E38,Double!E38))</f>
        <v>5.9285376931179926E-2</v>
      </c>
      <c r="F38">
        <f>IF(Rules!$B$7=Rules!$E$7,MAX(Hit!F38,Stand!F38,Double!F38,Surrender!F38),MAX(Hit!F38,Stand!F38,Double!F38))</f>
        <v>0.12595448524867925</v>
      </c>
      <c r="G38">
        <f>IF(Rules!$B$7=Rules!$E$7,MAX(Hit!G38,Stand!G38,Double!G38,Surrender!G38),MAX(Hit!G38,Stand!G38,Double!G38))</f>
        <v>0.17974820582791512</v>
      </c>
      <c r="H38">
        <f>IF(Rules!$B$7=Rules!$E$7,MAX(Hit!H38,Stand!H38,Double!H38,Surrender!H38),MAX(Hit!H38,Stand!H38,Double!H38))</f>
        <v>3.7028282279269235E-2</v>
      </c>
      <c r="I38">
        <f>IF(Rules!$B$7=Rules!$E$7,MAX(Hit!I38,Stand!I38,Double!I38,Surrender!I38),MAX(Hit!I38,Stand!I38,Double!I38))</f>
        <v>-2.7054780502901672E-2</v>
      </c>
      <c r="J38">
        <f>IF(Rules!$B$7=Rules!$E$7,MAX(Hit!J38,Stand!J38,Double!J38,Surrender!J38),MAX(Hit!J38,Stand!J38,Double!J38))</f>
        <v>-0.11218876868994289</v>
      </c>
      <c r="K38">
        <f>IF(Rules!$B$7=Rules!$E$7,MAX(Hit!K38,Stand!K38,Double!K38,Surrender!K38),MAX(Hit!K38,Stand!K38,Double!K38))</f>
        <v>-0.17370423031226784</v>
      </c>
      <c r="N38" s="31">
        <v>15</v>
      </c>
      <c r="O38" s="31" t="str">
        <f>IF(B38=Surrender!B38,"R",HSD!O38)</f>
        <v>H</v>
      </c>
      <c r="P38" s="31" t="str">
        <f>IF(C38=Surrender!C38,"R",HSD!P38)</f>
        <v>H</v>
      </c>
      <c r="Q38" s="31" t="str">
        <f>IF(D38=Surrender!D38,"R",HSD!Q38)</f>
        <v>H</v>
      </c>
      <c r="R38" s="31" t="str">
        <f>IF(E38=Surrender!E38,"R",HSD!R38)</f>
        <v>H</v>
      </c>
      <c r="S38" s="31" t="str">
        <f>IF(F38=Surrender!F38,"R",HSD!S38)</f>
        <v>D</v>
      </c>
      <c r="T38" s="31" t="str">
        <f>IF(G38=Surrender!G38,"R",HSD!T38)</f>
        <v>D</v>
      </c>
      <c r="U38" s="31" t="str">
        <f>IF(H38=Surrender!H38,"R",HSD!U38)</f>
        <v>H</v>
      </c>
      <c r="V38" s="31" t="str">
        <f>IF(I38=Surrender!I38,"R",HSD!V38)</f>
        <v>H</v>
      </c>
      <c r="W38" s="31" t="str">
        <f>IF(J38=Surrender!J38,"R",HSD!W38)</f>
        <v>H</v>
      </c>
      <c r="X38" s="31" t="str">
        <f>IF(K38=Surrender!K38,"R",HSD!X38)</f>
        <v>H</v>
      </c>
    </row>
    <row r="39" spans="1:24" x14ac:dyDescent="0.2">
      <c r="A39">
        <v>16</v>
      </c>
      <c r="B39">
        <f>IF(AND(Rules!$B$8=Rules!$E$8,Rules!$B$7=Rules!$E$7),MAX(Hit!B39,Stand!B39,Double!B39,Surrender!B39),MAX(Hit!B39,Stand!B39,Double!B39))</f>
        <v>-0.16563717206687348</v>
      </c>
      <c r="C39">
        <f>IF(Rules!$B$7=Rules!$E$7,MAX(Hit!C39,Stand!C39,Double!C39,Surrender!C39),MAX(Hit!C39,Stand!C39,Double!C39))</f>
        <v>-2.1025187774008566E-2</v>
      </c>
      <c r="D39">
        <f>IF(Rules!$B$7=Rules!$E$7,MAX(Hit!D39,Stand!D39,Double!D39,Surrender!D39),MAX(Hit!D39,Stand!D39,Double!D39))</f>
        <v>9.0590953469108244E-3</v>
      </c>
      <c r="E39">
        <f>IF(Rules!$B$7=Rules!$E$7,MAX(Hit!E39,Stand!E39,Double!E39,Surrender!E39),MAX(Hit!E39,Stand!E39,Double!E39))</f>
        <v>5.8426518743744951E-2</v>
      </c>
      <c r="F39">
        <f>IF(Rules!$B$7=Rules!$E$7,MAX(Hit!F39,Stand!F39,Double!F39,Surrender!F39),MAX(Hit!F39,Stand!F39,Double!F39))</f>
        <v>0.12595448524867925</v>
      </c>
      <c r="G39">
        <f>IF(Rules!$B$7=Rules!$E$7,MAX(Hit!G39,Stand!G39,Double!G39,Surrender!G39),MAX(Hit!G39,Stand!G39,Double!G39))</f>
        <v>0.17974820582791512</v>
      </c>
      <c r="H39">
        <f>IF(Rules!$B$7=Rules!$E$7,MAX(Hit!H39,Stand!H39,Double!H39,Surrender!H39),MAX(Hit!H39,Stand!H39,Double!H39))</f>
        <v>-4.8901571730158942E-3</v>
      </c>
      <c r="I39">
        <f>IF(Rules!$B$7=Rules!$E$7,MAX(Hit!I39,Stand!I39,Double!I39,Surrender!I39),MAX(Hit!I39,Stand!I39,Double!I39))</f>
        <v>-6.6794847920094103E-2</v>
      </c>
      <c r="J39">
        <f>IF(Rules!$B$7=Rules!$E$7,MAX(Hit!J39,Stand!J39,Double!J39,Surrender!J39),MAX(Hit!J39,Stand!J39,Double!J39))</f>
        <v>-0.14864353463007471</v>
      </c>
      <c r="K39">
        <f>IF(Rules!$B$7=Rules!$E$7,MAX(Hit!K39,Stand!K39,Double!K39,Surrender!K39),MAX(Hit!K39,Stand!K39,Double!K39))</f>
        <v>-0.20744109003068206</v>
      </c>
      <c r="N39" s="31">
        <v>16</v>
      </c>
      <c r="O39" s="31" t="str">
        <f>IF(B39=Surrender!B39,"R",HSD!O39)</f>
        <v>H</v>
      </c>
      <c r="P39" s="31" t="str">
        <f>IF(C39=Surrender!C39,"R",HSD!P39)</f>
        <v>H</v>
      </c>
      <c r="Q39" s="31" t="str">
        <f>IF(D39=Surrender!D39,"R",HSD!Q39)</f>
        <v>H</v>
      </c>
      <c r="R39" s="31" t="str">
        <f>IF(E39=Surrender!E39,"R",HSD!R39)</f>
        <v>D</v>
      </c>
      <c r="S39" s="31" t="str">
        <f>IF(F39=Surrender!F39,"R",HSD!S39)</f>
        <v>D</v>
      </c>
      <c r="T39" s="31" t="str">
        <f>IF(G39=Surrender!G39,"R",HSD!T39)</f>
        <v>D</v>
      </c>
      <c r="U39" s="31" t="str">
        <f>IF(H39=Surrender!H39,"R",HSD!U39)</f>
        <v>H</v>
      </c>
      <c r="V39" s="31" t="str">
        <f>IF(I39=Surrender!I39,"R",HSD!V39)</f>
        <v>H</v>
      </c>
      <c r="W39" s="31" t="str">
        <f>IF(J39=Surrender!J39,"R",HSD!W39)</f>
        <v>H</v>
      </c>
      <c r="X39" s="31" t="str">
        <f>IF(K39=Surrender!K39,"R",HSD!X39)</f>
        <v>H</v>
      </c>
    </row>
    <row r="40" spans="1:24" x14ac:dyDescent="0.2">
      <c r="A40">
        <v>17</v>
      </c>
      <c r="B40">
        <f>IF(AND(Rules!$B$8=Rules!$E$8,Rules!$B$7=Rules!$E$7),MAX(Hit!B40,Stand!B40,Double!B40,Surrender!B40),MAX(Hit!B40,Stand!B40,Double!B40))</f>
        <v>-0.17956936979241733</v>
      </c>
      <c r="C40">
        <f>IF(Rules!$B$7=Rules!$E$7,MAX(Hit!C40,Stand!C40,Double!C40,Surrender!C40),MAX(Hit!C40,Stand!C40,Double!C40))</f>
        <v>-4.9104358288912882E-4</v>
      </c>
      <c r="D40">
        <f>IF(Rules!$B$7=Rules!$E$7,MAX(Hit!D40,Stand!D40,Double!D40,Surrender!D40),MAX(Hit!D40,Stand!D40,Double!D40))</f>
        <v>5.5095284479298338E-2</v>
      </c>
      <c r="E40">
        <f>IF(Rules!$B$7=Rules!$E$7,MAX(Hit!E40,Stand!E40,Double!E40,Surrender!E40),MAX(Hit!E40,Stand!E40,Double!E40))</f>
        <v>0.11865255067432869</v>
      </c>
      <c r="F40">
        <f>IF(Rules!$B$7=Rules!$E$7,MAX(Hit!F40,Stand!F40,Double!F40,Surrender!F40),MAX(Hit!F40,Stand!F40,Double!F40))</f>
        <v>0.18237815537354879</v>
      </c>
      <c r="G40">
        <f>IF(Rules!$B$7=Rules!$E$7,MAX(Hit!G40,Stand!G40,Double!G40,Surrender!G40),MAX(Hit!G40,Stand!G40,Double!G40))</f>
        <v>0.2561042872909981</v>
      </c>
      <c r="H40">
        <f>IF(Rules!$B$7=Rules!$E$7,MAX(Hit!H40,Stand!H40,Double!H40,Surrender!H40),MAX(Hit!H40,Stand!H40,Double!H40))</f>
        <v>5.3823463716116654E-2</v>
      </c>
      <c r="I40">
        <f>IF(Rules!$B$7=Rules!$E$7,MAX(Hit!I40,Stand!I40,Double!I40,Surrender!I40),MAX(Hit!I40,Stand!I40,Double!I40))</f>
        <v>-7.2915398729642075E-2</v>
      </c>
      <c r="J40">
        <f>IF(Rules!$B$7=Rules!$E$7,MAX(Hit!J40,Stand!J40,Double!J40,Surrender!J40),MAX(Hit!J40,Stand!J40,Double!J40))</f>
        <v>-0.1497868921821332</v>
      </c>
      <c r="K40">
        <f>IF(Rules!$B$7=Rules!$E$7,MAX(Hit!K40,Stand!K40,Double!K40,Surrender!K40),MAX(Hit!K40,Stand!K40,Double!K40))</f>
        <v>-0.19686697623363469</v>
      </c>
      <c r="N40" s="31">
        <v>17</v>
      </c>
      <c r="O40" s="31" t="str">
        <f>IF(B40=Surrender!B40,"R",HSD!O40)</f>
        <v>H</v>
      </c>
      <c r="P40" s="31" t="str">
        <f>IF(C40=Surrender!C40,"R",HSD!P40)</f>
        <v>H</v>
      </c>
      <c r="Q40" s="31" t="str">
        <f>IF(D40=Surrender!D40,"R",HSD!Q40)</f>
        <v>D</v>
      </c>
      <c r="R40" s="31" t="str">
        <f>IF(E40=Surrender!E40,"R",HSD!R40)</f>
        <v>D</v>
      </c>
      <c r="S40" s="31" t="str">
        <f>IF(F40=Surrender!F40,"R",HSD!S40)</f>
        <v>D</v>
      </c>
      <c r="T40" s="31" t="str">
        <f>IF(G40=Surrender!G40,"R",HSD!T40)</f>
        <v>D</v>
      </c>
      <c r="U40" s="31" t="str">
        <f>IF(H40=Surrender!H40,"R",HSD!U40)</f>
        <v>H</v>
      </c>
      <c r="V40" s="31" t="str">
        <f>IF(I40=Surrender!I40,"R",HSD!V40)</f>
        <v>H</v>
      </c>
      <c r="W40" s="31" t="str">
        <f>IF(J40=Surrender!J40,"R",HSD!W40)</f>
        <v>H</v>
      </c>
      <c r="X40" s="31" t="str">
        <f>IF(K40=Surrender!K40,"R",HSD!X40)</f>
        <v>H</v>
      </c>
    </row>
    <row r="41" spans="1:24" x14ac:dyDescent="0.2">
      <c r="A41">
        <v>18</v>
      </c>
      <c r="B41">
        <f>IF(AND(Rules!$B$8=Rules!$E$8,Rules!$B$7=Rules!$E$7),MAX(Hit!B41,Stand!B41,Double!B41,Surrender!B41),MAX(Hit!B41,Stand!B41,Double!B41))</f>
        <v>-9.2935491769284034E-2</v>
      </c>
      <c r="C41">
        <f>IF(Rules!$B$7=Rules!$E$7,MAX(Hit!C41,Stand!C41,Double!C41,Surrender!C41),MAX(Hit!C41,Stand!C41,Double!C41))</f>
        <v>0.12174190222088771</v>
      </c>
      <c r="D41">
        <f>IF(Rules!$B$7=Rules!$E$7,MAX(Hit!D41,Stand!D41,Double!D41,Surrender!D41),MAX(Hit!D41,Stand!D41,Double!D41))</f>
        <v>0.17764127567893753</v>
      </c>
      <c r="E41">
        <f>IF(Rules!$B$7=Rules!$E$7,MAX(Hit!E41,Stand!E41,Double!E41,Surrender!E41),MAX(Hit!E41,Stand!E41,Double!E41))</f>
        <v>0.23700384775562167</v>
      </c>
      <c r="F41">
        <f>IF(Rules!$B$7=Rules!$E$7,MAX(Hit!F41,Stand!F41,Double!F41,Surrender!F41),MAX(Hit!F41,Stand!F41,Double!F41))</f>
        <v>0.29522549562328804</v>
      </c>
      <c r="G41">
        <f>IF(Rules!$B$7=Rules!$E$7,MAX(Hit!G41,Stand!G41,Double!G41,Surrender!G41),MAX(Hit!G41,Stand!G41,Double!G41))</f>
        <v>0.38150648207879345</v>
      </c>
      <c r="H41">
        <f>IF(Rules!$B$7=Rules!$E$7,MAX(Hit!H41,Stand!H41,Double!H41,Surrender!H41),MAX(Hit!H41,Stand!H41,Double!H41))</f>
        <v>0.3995541673365518</v>
      </c>
      <c r="I41">
        <f>IF(Rules!$B$7=Rules!$E$7,MAX(Hit!I41,Stand!I41,Double!I41,Surrender!I41),MAX(Hit!I41,Stand!I41,Double!I41))</f>
        <v>0.10595134861912359</v>
      </c>
      <c r="J41">
        <f>IF(Rules!$B$7=Rules!$E$7,MAX(Hit!J41,Stand!J41,Double!J41,Surrender!J41),MAX(Hit!J41,Stand!J41,Double!J41))</f>
        <v>-0.10074430758041522</v>
      </c>
      <c r="K41">
        <f>IF(Rules!$B$7=Rules!$E$7,MAX(Hit!K41,Stand!K41,Double!K41,Surrender!K41),MAX(Hit!K41,Stand!K41,Double!K41))</f>
        <v>-0.14380812317405353</v>
      </c>
      <c r="N41" s="31">
        <v>18</v>
      </c>
      <c r="O41" s="31" t="str">
        <f>IF(B41=Surrender!B41,"R",HSD!O41)</f>
        <v>H</v>
      </c>
      <c r="P41" s="31" t="str">
        <f>IF(C41=Surrender!C41,"R",HSD!P41)</f>
        <v>S</v>
      </c>
      <c r="Q41" s="31" t="str">
        <f>IF(D41=Surrender!D41,"R",HSD!Q41)</f>
        <v>D</v>
      </c>
      <c r="R41" s="31" t="str">
        <f>IF(E41=Surrender!E41,"R",HSD!R41)</f>
        <v>D</v>
      </c>
      <c r="S41" s="31" t="str">
        <f>IF(F41=Surrender!F41,"R",HSD!S41)</f>
        <v>D</v>
      </c>
      <c r="T41" s="31" t="str">
        <f>IF(G41=Surrender!G41,"R",HSD!T41)</f>
        <v>D</v>
      </c>
      <c r="U41" s="31" t="str">
        <f>IF(H41=Surrender!H41,"R",HSD!U41)</f>
        <v>S</v>
      </c>
      <c r="V41" s="31" t="str">
        <f>IF(I41=Surrender!I41,"R",HSD!V41)</f>
        <v>S</v>
      </c>
      <c r="W41" s="31" t="str">
        <f>IF(J41=Surrender!J41,"R",HSD!W41)</f>
        <v>H</v>
      </c>
      <c r="X41" s="31" t="str">
        <f>IF(K41=Surrender!K41,"R",HSD!X41)</f>
        <v>H</v>
      </c>
    </row>
    <row r="42" spans="1:24" x14ac:dyDescent="0.2">
      <c r="A42">
        <v>19</v>
      </c>
      <c r="B42">
        <f>IF(AND(Rules!$B$8=Rules!$E$8,Rules!$B$7=Rules!$E$7),MAX(Hit!B42,Stand!B42,Double!B42,Surrender!B42),MAX(Hit!B42,Stand!B42,Double!B42))</f>
        <v>0.27763572376835594</v>
      </c>
      <c r="C42">
        <f>IF(Rules!$B$7=Rules!$E$7,MAX(Hit!C42,Stand!C42,Double!C42,Surrender!C42),MAX(Hit!C42,Stand!C42,Double!C42))</f>
        <v>0.38630468602058993</v>
      </c>
      <c r="D42">
        <f>IF(Rules!$B$7=Rules!$E$7,MAX(Hit!D42,Stand!D42,Double!D42,Surrender!D42),MAX(Hit!D42,Stand!D42,Double!D42))</f>
        <v>0.4043629365977599</v>
      </c>
      <c r="E42">
        <f>IF(Rules!$B$7=Rules!$E$7,MAX(Hit!E42,Stand!E42,Double!E42,Surrender!E42),MAX(Hit!E42,Stand!E42,Double!E42))</f>
        <v>0.42317892482749653</v>
      </c>
      <c r="F42">
        <f>IF(Rules!$B$7=Rules!$E$7,MAX(Hit!F42,Stand!F42,Double!F42,Surrender!F42),MAX(Hit!F42,Stand!F42,Double!F42))</f>
        <v>0.43951210416088371</v>
      </c>
      <c r="G42">
        <f>IF(Rules!$B$7=Rules!$E$7,MAX(Hit!G42,Stand!G42,Double!G42,Surrender!G42),MAX(Hit!G42,Stand!G42,Double!G42))</f>
        <v>0.49597707378731914</v>
      </c>
      <c r="H42">
        <f>IF(Rules!$B$7=Rules!$E$7,MAX(Hit!H42,Stand!H42,Double!H42,Surrender!H42),MAX(Hit!H42,Stand!H42,Double!H42))</f>
        <v>0.6159764957534315</v>
      </c>
      <c r="I42">
        <f>IF(Rules!$B$7=Rules!$E$7,MAX(Hit!I42,Stand!I42,Double!I42,Surrender!I42),MAX(Hit!I42,Stand!I42,Double!I42))</f>
        <v>0.59385366828669439</v>
      </c>
      <c r="J42">
        <f>IF(Rules!$B$7=Rules!$E$7,MAX(Hit!J42,Stand!J42,Double!J42,Surrender!J42),MAX(Hit!J42,Stand!J42,Double!J42))</f>
        <v>0.28759675706758148</v>
      </c>
      <c r="K42">
        <f>IF(Rules!$B$7=Rules!$E$7,MAX(Hit!K42,Stand!K42,Double!K42,Surrender!K42),MAX(Hit!K42,Stand!K42,Double!K42))</f>
        <v>6.3118166335840831E-2</v>
      </c>
      <c r="N42" s="31">
        <v>19</v>
      </c>
      <c r="O42" s="31" t="str">
        <f>IF(B42=Surrender!B42,"R",HSD!O42)</f>
        <v>S</v>
      </c>
      <c r="P42" s="31" t="str">
        <f>IF(C42=Surrender!C42,"R",HSD!P42)</f>
        <v>S</v>
      </c>
      <c r="Q42" s="31" t="str">
        <f>IF(D42=Surrender!D42,"R",HSD!Q42)</f>
        <v>S</v>
      </c>
      <c r="R42" s="31" t="str">
        <f>IF(E42=Surrender!E42,"R",HSD!R42)</f>
        <v>S</v>
      </c>
      <c r="S42" s="31" t="str">
        <f>IF(F42=Surrender!F42,"R",HSD!S42)</f>
        <v>S</v>
      </c>
      <c r="T42" s="31" t="str">
        <f>IF(G42=Surrender!G42,"R",HSD!T42)</f>
        <v>S</v>
      </c>
      <c r="U42" s="31" t="str">
        <f>IF(H42=Surrender!H42,"R",HSD!U42)</f>
        <v>S</v>
      </c>
      <c r="V42" s="31" t="str">
        <f>IF(I42=Surrender!I42,"R",HSD!V42)</f>
        <v>S</v>
      </c>
      <c r="W42" s="31" t="str">
        <f>IF(J42=Surrender!J42,"R",HSD!W42)</f>
        <v>S</v>
      </c>
      <c r="X42" s="31" t="str">
        <f>IF(K42=Surrender!K42,"R",HSD!X42)</f>
        <v>S</v>
      </c>
    </row>
    <row r="43" spans="1:24" x14ac:dyDescent="0.2">
      <c r="A43">
        <v>20</v>
      </c>
      <c r="B43">
        <f>IF(AND(Rules!$B$8=Rules!$E$8,Rules!$B$7=Rules!$E$7),MAX(Hit!B43,Stand!B43,Double!B43,Surrender!B43),MAX(Hit!B43,Stand!B43,Double!B43))</f>
        <v>0.65547032314990239</v>
      </c>
      <c r="C43">
        <f>IF(Rules!$B$7=Rules!$E$7,MAX(Hit!C43,Stand!C43,Double!C43,Surrender!C43),MAX(Hit!C43,Stand!C43,Double!C43))</f>
        <v>0.63998657521683877</v>
      </c>
      <c r="D43">
        <f>IF(Rules!$B$7=Rules!$E$7,MAX(Hit!D43,Stand!D43,Double!D43,Surrender!D43),MAX(Hit!D43,Stand!D43,Double!D43))</f>
        <v>0.65027209425148136</v>
      </c>
      <c r="E43">
        <f>IF(Rules!$B$7=Rules!$E$7,MAX(Hit!E43,Stand!E43,Double!E43,Surrender!E43),MAX(Hit!E43,Stand!E43,Double!E43))</f>
        <v>0.66104996194807186</v>
      </c>
      <c r="F43">
        <f>IF(Rules!$B$7=Rules!$E$7,MAX(Hit!F43,Stand!F43,Double!F43,Surrender!F43),MAX(Hit!F43,Stand!F43,Double!F43))</f>
        <v>0.67035969063279999</v>
      </c>
      <c r="G43">
        <f>IF(Rules!$B$7=Rules!$E$7,MAX(Hit!G43,Stand!G43,Double!G43,Surrender!G43),MAX(Hit!G43,Stand!G43,Double!G43))</f>
        <v>0.70395857017134467</v>
      </c>
      <c r="H43">
        <f>IF(Rules!$B$7=Rules!$E$7,MAX(Hit!H43,Stand!H43,Double!H43,Surrender!H43),MAX(Hit!H43,Stand!H43,Double!H43))</f>
        <v>0.77322722653717491</v>
      </c>
      <c r="I43">
        <f>IF(Rules!$B$7=Rules!$E$7,MAX(Hit!I43,Stand!I43,Double!I43,Surrender!I43),MAX(Hit!I43,Stand!I43,Double!I43))</f>
        <v>0.79181515955189841</v>
      </c>
      <c r="J43">
        <f>IF(Rules!$B$7=Rules!$E$7,MAX(Hit!J43,Stand!J43,Double!J43,Surrender!J43),MAX(Hit!J43,Stand!J43,Double!J43))</f>
        <v>0.75835687080859626</v>
      </c>
      <c r="K43">
        <f>IF(Rules!$B$7=Rules!$E$7,MAX(Hit!K43,Stand!K43,Double!K43,Surrender!K43),MAX(Hit!K43,Stand!K43,Double!K43))</f>
        <v>0.55453756646817121</v>
      </c>
      <c r="N43" s="31">
        <v>20</v>
      </c>
      <c r="O43" s="31" t="str">
        <f>IF(B43=Surrender!B43,"R",HSD!O43)</f>
        <v>S</v>
      </c>
      <c r="P43" s="31" t="str">
        <f>IF(C43=Surrender!C43,"R",HSD!P43)</f>
        <v>S</v>
      </c>
      <c r="Q43" s="31" t="str">
        <f>IF(D43=Surrender!D43,"R",HSD!Q43)</f>
        <v>S</v>
      </c>
      <c r="R43" s="31" t="str">
        <f>IF(E43=Surrender!E43,"R",HSD!R43)</f>
        <v>S</v>
      </c>
      <c r="S43" s="31" t="str">
        <f>IF(F43=Surrender!F43,"R",HSD!S43)</f>
        <v>S</v>
      </c>
      <c r="T43" s="31" t="str">
        <f>IF(G43=Surrender!G43,"R",HSD!T43)</f>
        <v>S</v>
      </c>
      <c r="U43" s="31" t="str">
        <f>IF(H43=Surrender!H43,"R",HSD!U43)</f>
        <v>S</v>
      </c>
      <c r="V43" s="31" t="str">
        <f>IF(I43=Surrender!I43,"R",HSD!V43)</f>
        <v>S</v>
      </c>
      <c r="W43" s="31" t="str">
        <f>IF(J43=Surrender!J43,"R",HSD!W43)</f>
        <v>S</v>
      </c>
      <c r="X43" s="31" t="str">
        <f>IF(K43=Surrender!K43,"R",HSD!X43)</f>
        <v>S</v>
      </c>
    </row>
    <row r="44" spans="1:24" x14ac:dyDescent="0.2">
      <c r="A44">
        <v>21</v>
      </c>
      <c r="B44">
        <f>IF(AND(Rules!$B$8=Rules!$E$8,Rules!$B$7=Rules!$E$7),MAX(Hit!B44,Stand!B44,Double!B44,Surrender!B44),MAX(Hit!B44,Stand!B44,Double!B44))</f>
        <v>0.92219381142033785</v>
      </c>
      <c r="C44">
        <f>IF(Rules!$B$7=Rules!$E$7,MAX(Hit!C44,Stand!C44,Double!C44,Surrender!C44),MAX(Hit!C44,Stand!C44,Double!C44))</f>
        <v>0.88200651549403997</v>
      </c>
      <c r="D44">
        <f>IF(Rules!$B$7=Rules!$E$7,MAX(Hit!D44,Stand!D44,Double!D44,Surrender!D44),MAX(Hit!D44,Stand!D44,Double!D44))</f>
        <v>0.88530035730174927</v>
      </c>
      <c r="E44">
        <f>IF(Rules!$B$7=Rules!$E$7,MAX(Hit!E44,Stand!E44,Double!E44,Surrender!E44),MAX(Hit!E44,Stand!E44,Double!E44))</f>
        <v>0.88876729296591961</v>
      </c>
      <c r="F44">
        <f>IF(Rules!$B$7=Rules!$E$7,MAX(Hit!F44,Stand!F44,Double!F44,Surrender!F44),MAX(Hit!F44,Stand!F44,Double!F44))</f>
        <v>0.89175382659528035</v>
      </c>
      <c r="G44">
        <f>IF(Rules!$B$7=Rules!$E$7,MAX(Hit!G44,Stand!G44,Double!G44,Surrender!G44),MAX(Hit!G44,Stand!G44,Double!G44))</f>
        <v>0.90283674384257995</v>
      </c>
      <c r="H44">
        <f>IF(Rules!$B$7=Rules!$E$7,MAX(Hit!H44,Stand!H44,Double!H44,Surrender!H44),MAX(Hit!H44,Stand!H44,Double!H44))</f>
        <v>0.92592629596452325</v>
      </c>
      <c r="I44">
        <f>IF(Rules!$B$7=Rules!$E$7,MAX(Hit!I44,Stand!I44,Double!I44,Surrender!I44),MAX(Hit!I44,Stand!I44,Double!I44))</f>
        <v>0.93060505318396614</v>
      </c>
      <c r="J44">
        <f>IF(Rules!$B$7=Rules!$E$7,MAX(Hit!J44,Stand!J44,Double!J44,Surrender!J44),MAX(Hit!J44,Stand!J44,Double!J44))</f>
        <v>0.93917615614724415</v>
      </c>
      <c r="K44">
        <f>IF(Rules!$B$7=Rules!$E$7,MAX(Hit!K44,Stand!K44,Double!K44,Surrender!K44),MAX(Hit!K44,Stand!K44,Double!K44))</f>
        <v>0.96262363326716827</v>
      </c>
      <c r="N44" s="31">
        <v>21</v>
      </c>
      <c r="O44" s="31" t="str">
        <f>IF(B44=Surrender!B44,"R",HSD!O44)</f>
        <v>S</v>
      </c>
      <c r="P44" s="31" t="str">
        <f>IF(C44=Surrender!C44,"R",HSD!P44)</f>
        <v>S</v>
      </c>
      <c r="Q44" s="31" t="str">
        <f>IF(D44=Surrender!D44,"R",HSD!Q44)</f>
        <v>S</v>
      </c>
      <c r="R44" s="31" t="str">
        <f>IF(E44=Surrender!E44,"R",HSD!R44)</f>
        <v>S</v>
      </c>
      <c r="S44" s="31" t="str">
        <f>IF(F44=Surrender!F44,"R",HSD!S44)</f>
        <v>S</v>
      </c>
      <c r="T44" s="31" t="str">
        <f>IF(G44=Surrender!G44,"R",HSD!T44)</f>
        <v>S</v>
      </c>
      <c r="U44" s="31" t="str">
        <f>IF(H44=Surrender!H44,"R",HSD!U44)</f>
        <v>S</v>
      </c>
      <c r="V44" s="31" t="str">
        <f>IF(I44=Surrender!I44,"R",HSD!V44)</f>
        <v>S</v>
      </c>
      <c r="W44" s="31" t="str">
        <f>IF(J44=Surrender!J44,"R",HSD!W44)</f>
        <v>S</v>
      </c>
      <c r="X44" s="31" t="str">
        <f>IF(K44=Surrender!K44,"R",HSD!X44)</f>
        <v>S</v>
      </c>
    </row>
    <row r="45" spans="1:24" x14ac:dyDescent="0.2">
      <c r="A45">
        <v>22</v>
      </c>
      <c r="B45">
        <f>IF(AND(Rules!$B$8=Rules!$E$8,Rules!$B$7=Rules!$E$7),MAX(Hit!B45,Stand!B45,Double!B45,Surrender!B45),MAX(Hit!B45,Stand!B45,Double!B45))</f>
        <v>-0.35054034044008009</v>
      </c>
      <c r="C45">
        <f>IF(Rules!$B$7=Rules!$E$7,MAX(Hit!C45,Stand!C45,Double!C45,Surrender!C45),MAX(Hit!C45,Stand!C45,Double!C45))</f>
        <v>-0.25338998596663809</v>
      </c>
      <c r="D45">
        <f>IF(Rules!$B$7=Rules!$E$7,MAX(Hit!D45,Stand!D45,Double!D45,Surrender!D45),MAX(Hit!D45,Stand!D45,Double!D45))</f>
        <v>-0.2336908997980866</v>
      </c>
      <c r="E45">
        <f>IF(Rules!$B$7=Rules!$E$7,MAX(Hit!E45,Stand!E45,Double!E45,Surrender!E45),MAX(Hit!E45,Stand!E45,Double!E45))</f>
        <v>-0.21106310899491437</v>
      </c>
      <c r="F45">
        <f>IF(Rules!$B$7=Rules!$E$7,MAX(Hit!F45,Stand!F45,Double!F45,Surrender!F45),MAX(Hit!F45,Stand!F45,Double!F45))</f>
        <v>-0.16719266083547524</v>
      </c>
      <c r="G45">
        <f>IF(Rules!$B$7=Rules!$E$7,MAX(Hit!G45,Stand!G45,Double!G45,Surrender!G45),MAX(Hit!G45,Stand!G45,Double!G45))</f>
        <v>-0.1536990158300045</v>
      </c>
      <c r="H45">
        <f>IF(Rules!$B$7=Rules!$E$7,MAX(Hit!H45,Stand!H45,Double!H45,Surrender!H45),MAX(Hit!H45,Stand!H45,Double!H45))</f>
        <v>-0.21284771451731424</v>
      </c>
      <c r="I45">
        <f>IF(Rules!$B$7=Rules!$E$7,MAX(Hit!I45,Stand!I45,Double!I45,Surrender!I45),MAX(Hit!I45,Stand!I45,Double!I45))</f>
        <v>-0.27157480502428616</v>
      </c>
      <c r="J45">
        <f>IF(Rules!$B$7=Rules!$E$7,MAX(Hit!J45,Stand!J45,Double!J45,Surrender!J45),MAX(Hit!J45,Stand!J45,Double!J45))</f>
        <v>-0.3400132806089356</v>
      </c>
      <c r="K45">
        <f>IF(Rules!$B$7=Rules!$E$7,MAX(Hit!K45,Stand!K45,Double!K45,Surrender!K45),MAX(Hit!K45,Stand!K45,Double!K45))</f>
        <v>-0.38104299284808768</v>
      </c>
      <c r="N45" s="31">
        <v>22</v>
      </c>
      <c r="O45" s="31" t="str">
        <f>IF(B45=Surrender!B45,"R",HSD!O45)</f>
        <v>H</v>
      </c>
      <c r="P45" s="31" t="str">
        <f>IF(C45=Surrender!C45,"R",HSD!P45)</f>
        <v>H</v>
      </c>
      <c r="Q45" s="31" t="str">
        <f>IF(D45=Surrender!D45,"R",HSD!Q45)</f>
        <v>H</v>
      </c>
      <c r="R45" s="31" t="str">
        <f>IF(E45=Surrender!E45,"R",HSD!R45)</f>
        <v>S</v>
      </c>
      <c r="S45" s="31" t="str">
        <f>IF(F45=Surrender!F45,"R",HSD!S45)</f>
        <v>S</v>
      </c>
      <c r="T45" s="31" t="str">
        <f>IF(G45=Surrender!G45,"R",HSD!T45)</f>
        <v>S</v>
      </c>
      <c r="U45" s="31" t="str">
        <f>IF(H45=Surrender!H45,"R",HSD!U45)</f>
        <v>H</v>
      </c>
      <c r="V45" s="31" t="str">
        <f>IF(I45=Surrender!I45,"R",HSD!V45)</f>
        <v>H</v>
      </c>
      <c r="W45" s="31" t="str">
        <f>IF(J45=Surrender!J45,"R",HSD!W45)</f>
        <v>H</v>
      </c>
      <c r="X45" s="31" t="str">
        <f>IF(K45=Surrender!K45,"R",HSD!X45)</f>
        <v>H</v>
      </c>
    </row>
    <row r="46" spans="1:24" x14ac:dyDescent="0.2">
      <c r="A46">
        <v>23</v>
      </c>
      <c r="B46">
        <f>IF(AND(Rules!$B$8=Rules!$E$8,Rules!$B$7=Rules!$E$7),MAX(Hit!B46,Stand!B46,Double!B46,Surrender!B46),MAX(Hit!B46,Stand!B46,Double!B46))</f>
        <v>-0.3969303161229315</v>
      </c>
      <c r="C46">
        <f>IF(Rules!$B$7=Rules!$E$7,MAX(Hit!C46,Stand!C46,Double!C46,Surrender!C46),MAX(Hit!C46,Stand!C46,Double!C46))</f>
        <v>-0.29278372720927726</v>
      </c>
      <c r="D46">
        <f>IF(Rules!$B$7=Rules!$E$7,MAX(Hit!D46,Stand!D46,Double!D46,Surrender!D46),MAX(Hit!D46,Stand!D46,Double!D46))</f>
        <v>-0.2522502292357135</v>
      </c>
      <c r="E46">
        <f>IF(Rules!$B$7=Rules!$E$7,MAX(Hit!E46,Stand!E46,Double!E46,Surrender!E46),MAX(Hit!E46,Stand!E46,Double!E46))</f>
        <v>-0.21106310899491437</v>
      </c>
      <c r="F46">
        <f>IF(Rules!$B$7=Rules!$E$7,MAX(Hit!F46,Stand!F46,Double!F46,Surrender!F46),MAX(Hit!F46,Stand!F46,Double!F46))</f>
        <v>-0.16719266083547524</v>
      </c>
      <c r="G46">
        <f>IF(Rules!$B$7=Rules!$E$7,MAX(Hit!G46,Stand!G46,Double!G46,Surrender!G46),MAX(Hit!G46,Stand!G46,Double!G46))</f>
        <v>-0.1536990158300045</v>
      </c>
      <c r="H46">
        <f>IF(Rules!$B$7=Rules!$E$7,MAX(Hit!H46,Stand!H46,Double!H46,Surrender!H46),MAX(Hit!H46,Stand!H46,Double!H46))</f>
        <v>-0.26907287776607752</v>
      </c>
      <c r="I46">
        <f>IF(Rules!$B$7=Rules!$E$7,MAX(Hit!I46,Stand!I46,Double!I46,Surrender!I46),MAX(Hit!I46,Stand!I46,Double!I46))</f>
        <v>-0.32360517609397998</v>
      </c>
      <c r="J46">
        <f>IF(Rules!$B$7=Rules!$E$7,MAX(Hit!J46,Stand!J46,Double!J46,Surrender!J46),MAX(Hit!J46,Stand!J46,Double!J46))</f>
        <v>-0.38715518913686875</v>
      </c>
      <c r="K46">
        <f>IF(Rules!$B$7=Rules!$E$7,MAX(Hit!K46,Stand!K46,Double!K46,Surrender!K46),MAX(Hit!K46,Stand!K46,Double!K46))</f>
        <v>-0.42525420764465277</v>
      </c>
      <c r="N46" s="31">
        <v>23</v>
      </c>
      <c r="O46" s="31" t="str">
        <f>IF(B46=Surrender!B46,"R",HSD!O46)</f>
        <v>H</v>
      </c>
      <c r="P46" s="31" t="str">
        <f>IF(C46=Surrender!C46,"R",HSD!P46)</f>
        <v>S</v>
      </c>
      <c r="Q46" s="31" t="str">
        <f>IF(D46=Surrender!D46,"R",HSD!Q46)</f>
        <v>S</v>
      </c>
      <c r="R46" s="31" t="str">
        <f>IF(E46=Surrender!E46,"R",HSD!R46)</f>
        <v>S</v>
      </c>
      <c r="S46" s="31" t="str">
        <f>IF(F46=Surrender!F46,"R",HSD!S46)</f>
        <v>S</v>
      </c>
      <c r="T46" s="31" t="str">
        <f>IF(G46=Surrender!G46,"R",HSD!T46)</f>
        <v>S</v>
      </c>
      <c r="U46" s="31" t="str">
        <f>IF(H46=Surrender!H46,"R",HSD!U46)</f>
        <v>H</v>
      </c>
      <c r="V46" s="31" t="str">
        <f>IF(I46=Surrender!I46,"R",HSD!V46)</f>
        <v>H</v>
      </c>
      <c r="W46" s="31" t="str">
        <f>IF(J46=Surrender!J46,"R",HSD!W46)</f>
        <v>H</v>
      </c>
      <c r="X46" s="31" t="str">
        <f>IF(K46=Surrender!K46,"R",HSD!X46)</f>
        <v>H</v>
      </c>
    </row>
    <row r="47" spans="1:24" x14ac:dyDescent="0.2">
      <c r="A47">
        <v>24</v>
      </c>
      <c r="B47">
        <f>IF(AND(Rules!$B$8=Rules!$E$8,Rules!$B$7=Rules!$E$7),MAX(Hit!B47,Stand!B47,Double!B47,Surrender!B47),MAX(Hit!B47,Stand!B47,Double!B47))</f>
        <v>-0.44000672211415065</v>
      </c>
      <c r="C47">
        <f>IF(Rules!$B$7=Rules!$E$7,MAX(Hit!C47,Stand!C47,Double!C47,Surrender!C47),MAX(Hit!C47,Stand!C47,Double!C47))</f>
        <v>-0.29278372720927726</v>
      </c>
      <c r="D47">
        <f>IF(Rules!$B$7=Rules!$E$7,MAX(Hit!D47,Stand!D47,Double!D47,Surrender!D47),MAX(Hit!D47,Stand!D47,Double!D47))</f>
        <v>-0.2522502292357135</v>
      </c>
      <c r="E47">
        <f>IF(Rules!$B$7=Rules!$E$7,MAX(Hit!E47,Stand!E47,Double!E47,Surrender!E47),MAX(Hit!E47,Stand!E47,Double!E47))</f>
        <v>-0.21106310899491437</v>
      </c>
      <c r="F47">
        <f>IF(Rules!$B$7=Rules!$E$7,MAX(Hit!F47,Stand!F47,Double!F47,Surrender!F47),MAX(Hit!F47,Stand!F47,Double!F47))</f>
        <v>-0.16719266083547524</v>
      </c>
      <c r="G47">
        <f>IF(Rules!$B$7=Rules!$E$7,MAX(Hit!G47,Stand!G47,Double!G47,Surrender!G47),MAX(Hit!G47,Stand!G47,Double!G47))</f>
        <v>-0.1536990158300045</v>
      </c>
      <c r="H47">
        <f>IF(Rules!$B$7=Rules!$E$7,MAX(Hit!H47,Stand!H47,Double!H47,Surrender!H47),MAX(Hit!H47,Stand!H47,Double!H47))</f>
        <v>-0.3212819579256434</v>
      </c>
      <c r="I47">
        <f>IF(Rules!$B$7=Rules!$E$7,MAX(Hit!I47,Stand!I47,Double!I47,Surrender!I47),MAX(Hit!I47,Stand!I47,Double!I47))</f>
        <v>-0.37191909208726714</v>
      </c>
      <c r="J47">
        <f>IF(Rules!$B$7=Rules!$E$7,MAX(Hit!J47,Stand!J47,Double!J47,Surrender!J47),MAX(Hit!J47,Stand!J47,Double!J47))</f>
        <v>-0.43092981848423528</v>
      </c>
      <c r="K47">
        <f>IF(Rules!$B$7=Rules!$E$7,MAX(Hit!K47,Stand!K47,Double!K47,Surrender!K47),MAX(Hit!K47,Stand!K47,Double!K47))</f>
        <v>-0.46630747852717758</v>
      </c>
      <c r="N47" s="31">
        <v>24</v>
      </c>
      <c r="O47" s="31" t="str">
        <f>IF(B47=Surrender!B47,"R",HSD!O47)</f>
        <v>H</v>
      </c>
      <c r="P47" s="31" t="str">
        <f>IF(C47=Surrender!C47,"R",HSD!P47)</f>
        <v>S</v>
      </c>
      <c r="Q47" s="31" t="str">
        <f>IF(D47=Surrender!D47,"R",HSD!Q47)</f>
        <v>S</v>
      </c>
      <c r="R47" s="31" t="str">
        <f>IF(E47=Surrender!E47,"R",HSD!R47)</f>
        <v>S</v>
      </c>
      <c r="S47" s="31" t="str">
        <f>IF(F47=Surrender!F47,"R",HSD!S47)</f>
        <v>S</v>
      </c>
      <c r="T47" s="31" t="str">
        <f>IF(G47=Surrender!G47,"R",HSD!T47)</f>
        <v>S</v>
      </c>
      <c r="U47" s="31" t="str">
        <f>IF(H47=Surrender!H47,"R",HSD!U47)</f>
        <v>H</v>
      </c>
      <c r="V47" s="31" t="str">
        <f>IF(I47=Surrender!I47,"R",HSD!V47)</f>
        <v>H</v>
      </c>
      <c r="W47" s="31" t="str">
        <f>IF(J47=Surrender!J47,"R",HSD!W47)</f>
        <v>H</v>
      </c>
      <c r="X47" s="31" t="str">
        <f>IF(K47=Surrender!K47,"R",HSD!X47)</f>
        <v>H</v>
      </c>
    </row>
    <row r="48" spans="1:24" x14ac:dyDescent="0.2">
      <c r="A48">
        <v>25</v>
      </c>
      <c r="B48">
        <f>IF(AND(Rules!$B$8=Rules!$E$8,Rules!$B$7=Rules!$E$7),MAX(Hit!B48,Stand!B48,Double!B48,Surrender!B48),MAX(Hit!B48,Stand!B48,Double!B48))</f>
        <v>-0.4800062419631399</v>
      </c>
      <c r="C48">
        <f>IF(Rules!$B$7=Rules!$E$7,MAX(Hit!C48,Stand!C48,Double!C48,Surrender!C48),MAX(Hit!C48,Stand!C48,Double!C48))</f>
        <v>-0.29278372720927726</v>
      </c>
      <c r="D48">
        <f>IF(Rules!$B$7=Rules!$E$7,MAX(Hit!D48,Stand!D48,Double!D48,Surrender!D48),MAX(Hit!D48,Stand!D48,Double!D48))</f>
        <v>-0.2522502292357135</v>
      </c>
      <c r="E48">
        <f>IF(Rules!$B$7=Rules!$E$7,MAX(Hit!E48,Stand!E48,Double!E48,Surrender!E48),MAX(Hit!E48,Stand!E48,Double!E48))</f>
        <v>-0.21106310899491437</v>
      </c>
      <c r="F48">
        <f>IF(Rules!$B$7=Rules!$E$7,MAX(Hit!F48,Stand!F48,Double!F48,Surrender!F48),MAX(Hit!F48,Stand!F48,Double!F48))</f>
        <v>-0.16719266083547524</v>
      </c>
      <c r="G48">
        <f>IF(Rules!$B$7=Rules!$E$7,MAX(Hit!G48,Stand!G48,Double!G48,Surrender!G48),MAX(Hit!G48,Stand!G48,Double!G48))</f>
        <v>-0.1536990158300045</v>
      </c>
      <c r="H48">
        <f>IF(Rules!$B$7=Rules!$E$7,MAX(Hit!H48,Stand!H48,Double!H48,Surrender!H48),MAX(Hit!H48,Stand!H48,Double!H48))</f>
        <v>-0.36976181807381175</v>
      </c>
      <c r="I48">
        <f>IF(Rules!$B$7=Rules!$E$7,MAX(Hit!I48,Stand!I48,Double!I48,Surrender!I48),MAX(Hit!I48,Stand!I48,Double!I48))</f>
        <v>-0.41678201408103371</v>
      </c>
      <c r="J48">
        <f>IF(Rules!$B$7=Rules!$E$7,MAX(Hit!J48,Stand!J48,Double!J48,Surrender!J48),MAX(Hit!J48,Stand!J48,Double!J48))</f>
        <v>-0.47157768859250415</v>
      </c>
      <c r="K48">
        <f>IF(Rules!$B$7=Rules!$E$7,MAX(Hit!K48,Stand!K48,Double!K48,Surrender!K48),MAX(Hit!K48,Stand!K48,Double!K48))</f>
        <v>-0.5044283729180935</v>
      </c>
      <c r="N48" s="31">
        <v>25</v>
      </c>
      <c r="O48" s="31" t="str">
        <f>IF(B48=Surrender!B48,"R",HSD!O48)</f>
        <v>H</v>
      </c>
      <c r="P48" s="31" t="str">
        <f>IF(C48=Surrender!C48,"R",HSD!P48)</f>
        <v>S</v>
      </c>
      <c r="Q48" s="31" t="str">
        <f>IF(D48=Surrender!D48,"R",HSD!Q48)</f>
        <v>S</v>
      </c>
      <c r="R48" s="31" t="str">
        <f>IF(E48=Surrender!E48,"R",HSD!R48)</f>
        <v>S</v>
      </c>
      <c r="S48" s="31" t="str">
        <f>IF(F48=Surrender!F48,"R",HSD!S48)</f>
        <v>S</v>
      </c>
      <c r="T48" s="31" t="str">
        <f>IF(G48=Surrender!G48,"R",HSD!T48)</f>
        <v>S</v>
      </c>
      <c r="U48" s="31" t="str">
        <f>IF(H48=Surrender!H48,"R",HSD!U48)</f>
        <v>H</v>
      </c>
      <c r="V48" s="31" t="str">
        <f>IF(I48=Surrender!I48,"R",HSD!V48)</f>
        <v>H</v>
      </c>
      <c r="W48" s="31" t="str">
        <f>IF(J48=Surrender!J48,"R",HSD!W48)</f>
        <v>H</v>
      </c>
      <c r="X48" s="31" t="str">
        <f>IF(K48=Surrender!K48,"R",HSD!X48)</f>
        <v>H</v>
      </c>
    </row>
    <row r="49" spans="1:24" x14ac:dyDescent="0.2">
      <c r="A49">
        <v>26</v>
      </c>
      <c r="B49">
        <f>IF(AND(Rules!$B$8=Rules!$E$8,Rules!$B$7=Rules!$E$7),MAX(Hit!B49,Stand!B49,Double!B49,Surrender!B49),MAX(Hit!B49,Stand!B49,Double!B49))</f>
        <v>-0.51714865325148707</v>
      </c>
      <c r="C49">
        <f>IF(Rules!$B$7=Rules!$E$7,MAX(Hit!C49,Stand!C49,Double!C49,Surrender!C49),MAX(Hit!C49,Stand!C49,Double!C49))</f>
        <v>-0.29278372720927726</v>
      </c>
      <c r="D49">
        <f>IF(Rules!$B$7=Rules!$E$7,MAX(Hit!D49,Stand!D49,Double!D49,Surrender!D49),MAX(Hit!D49,Stand!D49,Double!D49))</f>
        <v>-0.2522502292357135</v>
      </c>
      <c r="E49">
        <f>IF(Rules!$B$7=Rules!$E$7,MAX(Hit!E49,Stand!E49,Double!E49,Surrender!E49),MAX(Hit!E49,Stand!E49,Double!E49))</f>
        <v>-0.21106310899491437</v>
      </c>
      <c r="F49">
        <f>IF(Rules!$B$7=Rules!$E$7,MAX(Hit!F49,Stand!F49,Double!F49,Surrender!F49),MAX(Hit!F49,Stand!F49,Double!F49))</f>
        <v>-0.16719266083547524</v>
      </c>
      <c r="G49">
        <f>IF(Rules!$B$7=Rules!$E$7,MAX(Hit!G49,Stand!G49,Double!G49,Surrender!G49),MAX(Hit!G49,Stand!G49,Double!G49))</f>
        <v>-0.1536990158300045</v>
      </c>
      <c r="H49">
        <f>IF(Rules!$B$7=Rules!$E$7,MAX(Hit!H49,Stand!H49,Double!H49,Surrender!H49),MAX(Hit!H49,Stand!H49,Double!H49))</f>
        <v>-0.41477883106853947</v>
      </c>
      <c r="I49">
        <f>IF(Rules!$B$7=Rules!$E$7,MAX(Hit!I49,Stand!I49,Double!I49,Surrender!I49),MAX(Hit!I49,Stand!I49,Double!I49))</f>
        <v>-0.45844044164667419</v>
      </c>
      <c r="J49">
        <f>IF(Rules!$B$7=Rules!$E$7,MAX(Hit!J49,Stand!J49,Double!J49,Surrender!J49),MAX(Hit!J49,Stand!J49,Double!J49))</f>
        <v>-0.50932213940732529</v>
      </c>
      <c r="K49">
        <f>IF(Rules!$B$7=Rules!$E$7,MAX(Hit!K49,Stand!K49,Double!K49,Surrender!K49),MAX(Hit!K49,Stand!K49,Double!K49))</f>
        <v>-0.53982634628108683</v>
      </c>
      <c r="N49" s="31">
        <v>26</v>
      </c>
      <c r="O49" s="31" t="str">
        <f>IF(B49=Surrender!B49,"R",HSD!O49)</f>
        <v>H</v>
      </c>
      <c r="P49" s="31" t="str">
        <f>IF(C49=Surrender!C49,"R",HSD!P49)</f>
        <v>S</v>
      </c>
      <c r="Q49" s="31" t="str">
        <f>IF(D49=Surrender!D49,"R",HSD!Q49)</f>
        <v>S</v>
      </c>
      <c r="R49" s="31" t="str">
        <f>IF(E49=Surrender!E49,"R",HSD!R49)</f>
        <v>S</v>
      </c>
      <c r="S49" s="31" t="str">
        <f>IF(F49=Surrender!F49,"R",HSD!S49)</f>
        <v>S</v>
      </c>
      <c r="T49" s="31" t="str">
        <f>IF(G49=Surrender!G49,"R",HSD!T49)</f>
        <v>S</v>
      </c>
      <c r="U49" s="31" t="str">
        <f>IF(H49=Surrender!H49,"R",HSD!U49)</f>
        <v>H</v>
      </c>
      <c r="V49" s="31" t="str">
        <f>IF(I49=Surrender!I49,"R",HSD!V49)</f>
        <v>H</v>
      </c>
      <c r="W49" s="31" t="str">
        <f>IF(J49=Surrender!J49,"R",HSD!W49)</f>
        <v>H</v>
      </c>
      <c r="X49" s="31" t="str">
        <f>IF(K49=Surrender!K49,"R",HSD!X49)</f>
        <v>H</v>
      </c>
    </row>
    <row r="50" spans="1:24" x14ac:dyDescent="0.2">
      <c r="A50">
        <v>27</v>
      </c>
      <c r="B50">
        <f>IF(AND(Rules!$B$8=Rules!$E$8,Rules!$B$7=Rules!$E$7),MAX(Hit!B50,Stand!B50,Double!B50,Surrender!B50),MAX(Hit!B50,Stand!B50,Double!B50))</f>
        <v>-0.47803347499473703</v>
      </c>
      <c r="C50">
        <f>IF(Rules!$B$7=Rules!$E$7,MAX(Hit!C50,Stand!C50,Double!C50,Surrender!C50),MAX(Hit!C50,Stand!C50,Double!C50))</f>
        <v>-0.15297458768154204</v>
      </c>
      <c r="D50">
        <f>IF(Rules!$B$7=Rules!$E$7,MAX(Hit!D50,Stand!D50,Double!D50,Surrender!D50),MAX(Hit!D50,Stand!D50,Double!D50))</f>
        <v>-0.11721624142457365</v>
      </c>
      <c r="E50">
        <f>IF(Rules!$B$7=Rules!$E$7,MAX(Hit!E50,Stand!E50,Double!E50,Surrender!E50),MAX(Hit!E50,Stand!E50,Double!E50))</f>
        <v>-8.0573373145316152E-2</v>
      </c>
      <c r="F50">
        <f>IF(Rules!$B$7=Rules!$E$7,MAX(Hit!F50,Stand!F50,Double!F50,Surrender!F50),MAX(Hit!F50,Stand!F50,Double!F50))</f>
        <v>-4.4941375564924446E-2</v>
      </c>
      <c r="G50">
        <f>IF(Rules!$B$7=Rules!$E$7,MAX(Hit!G50,Stand!G50,Double!G50,Surrender!G50),MAX(Hit!G50,Stand!G50,Double!G50))</f>
        <v>1.1739160673341853E-2</v>
      </c>
      <c r="H50">
        <f>IF(Rules!$B$7=Rules!$E$7,MAX(Hit!H50,Stand!H50,Double!H50,Surrender!H50),MAX(Hit!H50,Stand!H50,Double!H50))</f>
        <v>-0.10680898948269468</v>
      </c>
      <c r="I50">
        <f>IF(Rules!$B$7=Rules!$E$7,MAX(Hit!I50,Stand!I50,Double!I50,Surrender!I50),MAX(Hit!I50,Stand!I50,Double!I50))</f>
        <v>-0.38195097104844711</v>
      </c>
      <c r="J50">
        <f>IF(Rules!$B$7=Rules!$E$7,MAX(Hit!J50,Stand!J50,Double!J50,Surrender!J50),MAX(Hit!J50,Stand!J50,Double!J50))</f>
        <v>-0.42315423964521737</v>
      </c>
      <c r="K50">
        <f>IF(Rules!$B$7=Rules!$E$7,MAX(Hit!K50,Stand!K50,Double!K50,Surrender!K50),MAX(Hit!K50,Stand!K50,Double!K50))</f>
        <v>-0.41972063392881986</v>
      </c>
      <c r="N50" s="31">
        <v>27</v>
      </c>
      <c r="O50" s="31" t="str">
        <f>IF(B50=Surrender!B50,"R",HSD!O50)</f>
        <v>S</v>
      </c>
      <c r="P50" s="31" t="str">
        <f>IF(C50=Surrender!C50,"R",HSD!P50)</f>
        <v>S</v>
      </c>
      <c r="Q50" s="31" t="str">
        <f>IF(D50=Surrender!D50,"R",HSD!Q50)</f>
        <v>S</v>
      </c>
      <c r="R50" s="31" t="str">
        <f>IF(E50=Surrender!E50,"R",HSD!R50)</f>
        <v>S</v>
      </c>
      <c r="S50" s="31" t="str">
        <f>IF(F50=Surrender!F50,"R",HSD!S50)</f>
        <v>S</v>
      </c>
      <c r="T50" s="31" t="str">
        <f>IF(G50=Surrender!G50,"R",HSD!T50)</f>
        <v>S</v>
      </c>
      <c r="U50" s="31" t="str">
        <f>IF(H50=Surrender!H50,"R",HSD!U50)</f>
        <v>S</v>
      </c>
      <c r="V50" s="31" t="str">
        <f>IF(I50=Surrender!I50,"R",HSD!V50)</f>
        <v>S</v>
      </c>
      <c r="W50" s="31" t="str">
        <f>IF(J50=Surrender!J50,"R",HSD!W50)</f>
        <v>S</v>
      </c>
      <c r="X50" s="31" t="str">
        <f>IF(K50=Surrender!K50,"R",HSD!X50)</f>
        <v>S</v>
      </c>
    </row>
    <row r="51" spans="1:24" x14ac:dyDescent="0.2">
      <c r="A51">
        <v>28</v>
      </c>
      <c r="B51">
        <f>IF(AND(Rules!$B$8=Rules!$E$8,Rules!$B$7=Rules!$E$7),MAX(Hit!B51,Stand!B51,Double!B51,Surrender!B51),MAX(Hit!B51,Stand!B51,Double!B51))</f>
        <v>-0.10019887561319057</v>
      </c>
      <c r="C51">
        <f>IF(Rules!$B$7=Rules!$E$7,MAX(Hit!C51,Stand!C51,Double!C51,Surrender!C51),MAX(Hit!C51,Stand!C51,Double!C51))</f>
        <v>0.12174190222088771</v>
      </c>
      <c r="D51">
        <f>IF(Rules!$B$7=Rules!$E$7,MAX(Hit!D51,Stand!D51,Double!D51,Surrender!D51),MAX(Hit!D51,Stand!D51,Double!D51))</f>
        <v>0.14830007284131119</v>
      </c>
      <c r="E51">
        <f>IF(Rules!$B$7=Rules!$E$7,MAX(Hit!E51,Stand!E51,Double!E51,Surrender!E51),MAX(Hit!E51,Stand!E51,Double!E51))</f>
        <v>0.17585443719748528</v>
      </c>
      <c r="F51">
        <f>IF(Rules!$B$7=Rules!$E$7,MAX(Hit!F51,Stand!F51,Double!F51,Surrender!F51),MAX(Hit!F51,Stand!F51,Double!F51))</f>
        <v>0.19956119497617719</v>
      </c>
      <c r="G51">
        <f>IF(Rules!$B$7=Rules!$E$7,MAX(Hit!G51,Stand!G51,Double!G51,Surrender!G51),MAX(Hit!G51,Stand!G51,Double!G51))</f>
        <v>0.28344391604689856</v>
      </c>
      <c r="H51">
        <f>IF(Rules!$B$7=Rules!$E$7,MAX(Hit!H51,Stand!H51,Double!H51,Surrender!H51),MAX(Hit!H51,Stand!H51,Double!H51))</f>
        <v>0.3995541673365518</v>
      </c>
      <c r="I51">
        <f>IF(Rules!$B$7=Rules!$E$7,MAX(Hit!I51,Stand!I51,Double!I51,Surrender!I51),MAX(Hit!I51,Stand!I51,Double!I51))</f>
        <v>0.10595134861912359</v>
      </c>
      <c r="J51">
        <f>IF(Rules!$B$7=Rules!$E$7,MAX(Hit!J51,Stand!J51,Double!J51,Surrender!J51),MAX(Hit!J51,Stand!J51,Double!J51))</f>
        <v>-0.18316335667343331</v>
      </c>
      <c r="K51">
        <f>IF(Rules!$B$7=Rules!$E$7,MAX(Hit!K51,Stand!K51,Double!K51,Surrender!K51),MAX(Hit!K51,Stand!K51,Double!K51))</f>
        <v>-0.17830123379648949</v>
      </c>
      <c r="N51" s="31">
        <v>28</v>
      </c>
      <c r="O51" s="31" t="str">
        <f>IF(B51=Surrender!B51,"R",HSD!O51)</f>
        <v>S</v>
      </c>
      <c r="P51" s="31" t="str">
        <f>IF(C51=Surrender!C51,"R",HSD!P51)</f>
        <v>S</v>
      </c>
      <c r="Q51" s="31" t="str">
        <f>IF(D51=Surrender!D51,"R",HSD!Q51)</f>
        <v>S</v>
      </c>
      <c r="R51" s="31" t="str">
        <f>IF(E51=Surrender!E51,"R",HSD!R51)</f>
        <v>S</v>
      </c>
      <c r="S51" s="31" t="str">
        <f>IF(F51=Surrender!F51,"R",HSD!S51)</f>
        <v>S</v>
      </c>
      <c r="T51" s="31" t="str">
        <f>IF(G51=Surrender!G51,"R",HSD!T51)</f>
        <v>S</v>
      </c>
      <c r="U51" s="31" t="str">
        <f>IF(H51=Surrender!H51,"R",HSD!U51)</f>
        <v>S</v>
      </c>
      <c r="V51" s="31" t="str">
        <f>IF(I51=Surrender!I51,"R",HSD!V51)</f>
        <v>S</v>
      </c>
      <c r="W51" s="31" t="str">
        <f>IF(J51=Surrender!J51,"R",HSD!W51)</f>
        <v>S</v>
      </c>
      <c r="X51" s="31" t="str">
        <f>IF(K51=Surrender!K51,"R",HSD!X51)</f>
        <v>S</v>
      </c>
    </row>
    <row r="52" spans="1:24" x14ac:dyDescent="0.2">
      <c r="A52">
        <v>29</v>
      </c>
      <c r="B52">
        <f>IF(AND(Rules!$B$8=Rules!$E$8,Rules!$B$7=Rules!$E$7),MAX(Hit!B52,Stand!B52,Double!B52,Surrender!B52),MAX(Hit!B52,Stand!B52,Double!B52))</f>
        <v>0.27763572376835594</v>
      </c>
      <c r="C52">
        <f>IF(Rules!$B$7=Rules!$E$7,MAX(Hit!C52,Stand!C52,Double!C52,Surrender!C52),MAX(Hit!C52,Stand!C52,Double!C52))</f>
        <v>0.38630468602058993</v>
      </c>
      <c r="D52">
        <f>IF(Rules!$B$7=Rules!$E$7,MAX(Hit!D52,Stand!D52,Double!D52,Surrender!D52),MAX(Hit!D52,Stand!D52,Double!D52))</f>
        <v>0.4043629365977599</v>
      </c>
      <c r="E52">
        <f>IF(Rules!$B$7=Rules!$E$7,MAX(Hit!E52,Stand!E52,Double!E52,Surrender!E52),MAX(Hit!E52,Stand!E52,Double!E52))</f>
        <v>0.42317892482749653</v>
      </c>
      <c r="F52">
        <f>IF(Rules!$B$7=Rules!$E$7,MAX(Hit!F52,Stand!F52,Double!F52,Surrender!F52),MAX(Hit!F52,Stand!F52,Double!F52))</f>
        <v>0.43951210416088371</v>
      </c>
      <c r="G52">
        <f>IF(Rules!$B$7=Rules!$E$7,MAX(Hit!G52,Stand!G52,Double!G52,Surrender!G52),MAX(Hit!G52,Stand!G52,Double!G52))</f>
        <v>0.49597707378731914</v>
      </c>
      <c r="H52">
        <f>IF(Rules!$B$7=Rules!$E$7,MAX(Hit!H52,Stand!H52,Double!H52,Surrender!H52),MAX(Hit!H52,Stand!H52,Double!H52))</f>
        <v>0.6159764957534315</v>
      </c>
      <c r="I52">
        <f>IF(Rules!$B$7=Rules!$E$7,MAX(Hit!I52,Stand!I52,Double!I52,Surrender!I52),MAX(Hit!I52,Stand!I52,Double!I52))</f>
        <v>0.59385366828669439</v>
      </c>
      <c r="J52">
        <f>IF(Rules!$B$7=Rules!$E$7,MAX(Hit!J52,Stand!J52,Double!J52,Surrender!J52),MAX(Hit!J52,Stand!J52,Double!J52))</f>
        <v>0.28759675706758148</v>
      </c>
      <c r="K52">
        <f>IF(Rules!$B$7=Rules!$E$7,MAX(Hit!K52,Stand!K52,Double!K52,Surrender!K52),MAX(Hit!K52,Stand!K52,Double!K52))</f>
        <v>6.3118166335840831E-2</v>
      </c>
      <c r="N52" s="31">
        <v>29</v>
      </c>
      <c r="O52" s="31" t="str">
        <f>IF(B52=Surrender!B52,"R",HSD!O52)</f>
        <v>S</v>
      </c>
      <c r="P52" s="31" t="str">
        <f>IF(C52=Surrender!C52,"R",HSD!P52)</f>
        <v>S</v>
      </c>
      <c r="Q52" s="31" t="str">
        <f>IF(D52=Surrender!D52,"R",HSD!Q52)</f>
        <v>S</v>
      </c>
      <c r="R52" s="31" t="str">
        <f>IF(E52=Surrender!E52,"R",HSD!R52)</f>
        <v>S</v>
      </c>
      <c r="S52" s="31" t="str">
        <f>IF(F52=Surrender!F52,"R",HSD!S52)</f>
        <v>S</v>
      </c>
      <c r="T52" s="31" t="str">
        <f>IF(G52=Surrender!G52,"R",HSD!T52)</f>
        <v>S</v>
      </c>
      <c r="U52" s="31" t="str">
        <f>IF(H52=Surrender!H52,"R",HSD!U52)</f>
        <v>S</v>
      </c>
      <c r="V52" s="31" t="str">
        <f>IF(I52=Surrender!I52,"R",HSD!V52)</f>
        <v>S</v>
      </c>
      <c r="W52" s="31" t="str">
        <f>IF(J52=Surrender!J52,"R",HSD!W52)</f>
        <v>S</v>
      </c>
      <c r="X52" s="31" t="str">
        <f>IF(K52=Surrender!K52,"R",HSD!X52)</f>
        <v>S</v>
      </c>
    </row>
    <row r="53" spans="1:24" x14ac:dyDescent="0.2">
      <c r="A53">
        <v>30</v>
      </c>
      <c r="B53">
        <f>IF(AND(Rules!$B$8=Rules!$E$8,Rules!$B$7=Rules!$E$7),MAX(Hit!B53,Stand!B53,Double!B53,Surrender!B53),MAX(Hit!B53,Stand!B53,Double!B53))</f>
        <v>0.65547032314990239</v>
      </c>
      <c r="C53">
        <f>IF(Rules!$B$7=Rules!$E$7,MAX(Hit!C53,Stand!C53,Double!C53,Surrender!C53),MAX(Hit!C53,Stand!C53,Double!C53))</f>
        <v>0.63998657521683877</v>
      </c>
      <c r="D53">
        <f>IF(Rules!$B$7=Rules!$E$7,MAX(Hit!D53,Stand!D53,Double!D53,Surrender!D53),MAX(Hit!D53,Stand!D53,Double!D53))</f>
        <v>0.65027209425148136</v>
      </c>
      <c r="E53">
        <f>IF(Rules!$B$7=Rules!$E$7,MAX(Hit!E53,Stand!E53,Double!E53,Surrender!E53),MAX(Hit!E53,Stand!E53,Double!E53))</f>
        <v>0.66104996194807186</v>
      </c>
      <c r="F53">
        <f>IF(Rules!$B$7=Rules!$E$7,MAX(Hit!F53,Stand!F53,Double!F53,Surrender!F53),MAX(Hit!F53,Stand!F53,Double!F53))</f>
        <v>0.67035969063279999</v>
      </c>
      <c r="G53">
        <f>IF(Rules!$B$7=Rules!$E$7,MAX(Hit!G53,Stand!G53,Double!G53,Surrender!G53),MAX(Hit!G53,Stand!G53,Double!G53))</f>
        <v>0.70395857017134467</v>
      </c>
      <c r="H53">
        <f>IF(Rules!$B$7=Rules!$E$7,MAX(Hit!H53,Stand!H53,Double!H53,Surrender!H53),MAX(Hit!H53,Stand!H53,Double!H53))</f>
        <v>0.77322722653717491</v>
      </c>
      <c r="I53">
        <f>IF(Rules!$B$7=Rules!$E$7,MAX(Hit!I53,Stand!I53,Double!I53,Surrender!I53),MAX(Hit!I53,Stand!I53,Double!I53))</f>
        <v>0.79181515955189841</v>
      </c>
      <c r="J53">
        <f>IF(Rules!$B$7=Rules!$E$7,MAX(Hit!J53,Stand!J53,Double!J53,Surrender!J53),MAX(Hit!J53,Stand!J53,Double!J53))</f>
        <v>0.75835687080859626</v>
      </c>
      <c r="K53">
        <f>IF(Rules!$B$7=Rules!$E$7,MAX(Hit!K53,Stand!K53,Double!K53,Surrender!K53),MAX(Hit!K53,Stand!K53,Double!K53))</f>
        <v>0.55453756646817121</v>
      </c>
      <c r="N53" s="31">
        <v>30</v>
      </c>
      <c r="O53" s="31" t="str">
        <f>IF(B53=Surrender!B53,"R",HSD!O53)</f>
        <v>S</v>
      </c>
      <c r="P53" s="31" t="str">
        <f>IF(C53=Surrender!C53,"R",HSD!P53)</f>
        <v>S</v>
      </c>
      <c r="Q53" s="31" t="str">
        <f>IF(D53=Surrender!D53,"R",HSD!Q53)</f>
        <v>S</v>
      </c>
      <c r="R53" s="31" t="str">
        <f>IF(E53=Surrender!E53,"R",HSD!R53)</f>
        <v>S</v>
      </c>
      <c r="S53" s="31" t="str">
        <f>IF(F53=Surrender!F53,"R",HSD!S53)</f>
        <v>S</v>
      </c>
      <c r="T53" s="31" t="str">
        <f>IF(G53=Surrender!G53,"R",HSD!T53)</f>
        <v>S</v>
      </c>
      <c r="U53" s="31" t="str">
        <f>IF(H53=Surrender!H53,"R",HSD!U53)</f>
        <v>S</v>
      </c>
      <c r="V53" s="31" t="str">
        <f>IF(I53=Surrender!I53,"R",HSD!V53)</f>
        <v>S</v>
      </c>
      <c r="W53" s="31" t="str">
        <f>IF(J53=Surrender!J53,"R",HSD!W53)</f>
        <v>S</v>
      </c>
      <c r="X53" s="31" t="str">
        <f>IF(K53=Surrender!K53,"R",HSD!X53)</f>
        <v>S</v>
      </c>
    </row>
    <row r="54" spans="1:24" x14ac:dyDescent="0.2">
      <c r="A54">
        <v>31</v>
      </c>
      <c r="B54">
        <f>IF(AND(Rules!$B$8=Rules!$E$8,Rules!$B$7=Rules!$E$7),MAX(Hit!B54,Stand!B54,Double!B54,Surrender!B54),MAX(Hit!B54,Stand!B54,Double!B54))</f>
        <v>0.92219381142033785</v>
      </c>
      <c r="C54">
        <f>IF(Rules!$B$7=Rules!$E$7,MAX(Hit!C54,Stand!C54,Double!C54,Surrender!C54),MAX(Hit!C54,Stand!C54,Double!C54))</f>
        <v>0.88200651549403997</v>
      </c>
      <c r="D54">
        <f>IF(Rules!$B$7=Rules!$E$7,MAX(Hit!D54,Stand!D54,Double!D54,Surrender!D54),MAX(Hit!D54,Stand!D54,Double!D54))</f>
        <v>0.88530035730174927</v>
      </c>
      <c r="E54">
        <f>IF(Rules!$B$7=Rules!$E$7,MAX(Hit!E54,Stand!E54,Double!E54,Surrender!E54),MAX(Hit!E54,Stand!E54,Double!E54))</f>
        <v>0.88876729296591961</v>
      </c>
      <c r="F54">
        <f>IF(Rules!$B$7=Rules!$E$7,MAX(Hit!F54,Stand!F54,Double!F54,Surrender!F54),MAX(Hit!F54,Stand!F54,Double!F54))</f>
        <v>0.89175382659528035</v>
      </c>
      <c r="G54">
        <f>IF(Rules!$B$7=Rules!$E$7,MAX(Hit!G54,Stand!G54,Double!G54,Surrender!G54),MAX(Hit!G54,Stand!G54,Double!G54))</f>
        <v>0.90283674384257995</v>
      </c>
      <c r="H54">
        <f>IF(Rules!$B$7=Rules!$E$7,MAX(Hit!H54,Stand!H54,Double!H54,Surrender!H54),MAX(Hit!H54,Stand!H54,Double!H54))</f>
        <v>0.92592629596452325</v>
      </c>
      <c r="I54">
        <f>IF(Rules!$B$7=Rules!$E$7,MAX(Hit!I54,Stand!I54,Double!I54,Surrender!I54),MAX(Hit!I54,Stand!I54,Double!I54))</f>
        <v>0.93060505318396614</v>
      </c>
      <c r="J54">
        <f>IF(Rules!$B$7=Rules!$E$7,MAX(Hit!J54,Stand!J54,Double!J54,Surrender!J54),MAX(Hit!J54,Stand!J54,Double!J54))</f>
        <v>0.93917615614724415</v>
      </c>
      <c r="K54">
        <f>IF(Rules!$B$7=Rules!$E$7,MAX(Hit!K54,Stand!K54,Double!K54,Surrender!K54),MAX(Hit!K54,Stand!K54,Double!K54))</f>
        <v>0.96262363326716827</v>
      </c>
      <c r="N54" s="31">
        <v>31</v>
      </c>
      <c r="O54" s="31" t="str">
        <f>IF(B54=Surrender!B54,"R",HSD!O54)</f>
        <v>S</v>
      </c>
      <c r="P54" s="31" t="str">
        <f>IF(C54=Surrender!C54,"R",HSD!P54)</f>
        <v>S</v>
      </c>
      <c r="Q54" s="31" t="str">
        <f>IF(D54=Surrender!D54,"R",HSD!Q54)</f>
        <v>S</v>
      </c>
      <c r="R54" s="31" t="str">
        <f>IF(E54=Surrender!E54,"R",HSD!R54)</f>
        <v>S</v>
      </c>
      <c r="S54" s="31" t="str">
        <f>IF(F54=Surrender!F54,"R",HSD!S54)</f>
        <v>S</v>
      </c>
      <c r="T54" s="31" t="str">
        <f>IF(G54=Surrender!G54,"R",HSD!T54)</f>
        <v>S</v>
      </c>
      <c r="U54" s="31" t="str">
        <f>IF(H54=Surrender!H54,"R",HSD!U54)</f>
        <v>S</v>
      </c>
      <c r="V54" s="31" t="str">
        <f>IF(I54=Surrender!I54,"R",HSD!V54)</f>
        <v>S</v>
      </c>
      <c r="W54" s="31" t="str">
        <f>IF(J54=Surrender!J54,"R",HSD!W54)</f>
        <v>S</v>
      </c>
      <c r="X54" s="31" t="str">
        <f>IF(K54=Surrender!K54,"R",HSD!X54)</f>
        <v>S</v>
      </c>
    </row>
  </sheetData>
  <sheetProtection sheet="1" objects="1" scenarios="1"/>
  <phoneticPr fontId="16" type="noConversion"/>
  <conditionalFormatting sqref="O2:X31">
    <cfRule type="containsText" dxfId="859" priority="14" operator="containsText" text="S">
      <formula>NOT(ISERROR(SEARCH("S",O2)))</formula>
    </cfRule>
    <cfRule type="containsText" dxfId="858" priority="15" operator="containsText" text="H">
      <formula>NOT(ISERROR(SEARCH("H",O2)))</formula>
    </cfRule>
  </conditionalFormatting>
  <conditionalFormatting sqref="O2:X31">
    <cfRule type="containsText" dxfId="857" priority="13" operator="containsText" text="D">
      <formula>NOT(ISERROR(SEARCH("D",O2)))</formula>
    </cfRule>
  </conditionalFormatting>
  <conditionalFormatting sqref="O2:X31">
    <cfRule type="containsText" dxfId="856" priority="9" operator="containsText" text="R">
      <formula>NOT(ISERROR(SEARCH("R",O2)))</formula>
    </cfRule>
  </conditionalFormatting>
  <conditionalFormatting sqref="O34:X54">
    <cfRule type="containsText" dxfId="855" priority="3" operator="containsText" text="S">
      <formula>NOT(ISERROR(SEARCH("S",O34)))</formula>
    </cfRule>
    <cfRule type="containsText" dxfId="854" priority="4" operator="containsText" text="H">
      <formula>NOT(ISERROR(SEARCH("H",O34)))</formula>
    </cfRule>
  </conditionalFormatting>
  <conditionalFormatting sqref="O34:X54">
    <cfRule type="containsText" dxfId="853" priority="2" operator="containsText" text="D">
      <formula>NOT(ISERROR(SEARCH("D",O34)))</formula>
    </cfRule>
  </conditionalFormatting>
  <conditionalFormatting sqref="O34:X54">
    <cfRule type="containsText" dxfId="852" priority="1" operator="containsText" text="R">
      <formula>NOT(ISERROR(SEARCH("R",O34)))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</vt:i4>
      </vt:variant>
    </vt:vector>
  </HeadingPairs>
  <TitlesOfParts>
    <vt:vector size="48" baseType="lpstr">
      <vt:lpstr>Rules</vt:lpstr>
      <vt:lpstr>Dealer</vt:lpstr>
      <vt:lpstr>Stand</vt:lpstr>
      <vt:lpstr>Hit</vt:lpstr>
      <vt:lpstr>HS</vt:lpstr>
      <vt:lpstr>Double</vt:lpstr>
      <vt:lpstr>HSD</vt:lpstr>
      <vt:lpstr>Surrender</vt:lpstr>
      <vt:lpstr>HSDR</vt:lpstr>
      <vt:lpstr>Pair</vt:lpstr>
      <vt:lpstr>Blackjack</vt:lpstr>
      <vt:lpstr>Prob</vt:lpstr>
      <vt:lpstr>5 Cards</vt:lpstr>
      <vt:lpstr>Three 7 Cards</vt:lpstr>
      <vt:lpstr>ER</vt:lpstr>
      <vt:lpstr>Summary</vt:lpstr>
      <vt:lpstr>EV</vt:lpstr>
      <vt:lpstr>WL Prob</vt:lpstr>
      <vt:lpstr>Analysis</vt:lpstr>
      <vt:lpstr>1x2</vt:lpstr>
      <vt:lpstr>1x3</vt:lpstr>
      <vt:lpstr>1x4</vt:lpstr>
      <vt:lpstr>1x5</vt:lpstr>
      <vt:lpstr>1x6</vt:lpstr>
      <vt:lpstr>1x7</vt:lpstr>
      <vt:lpstr>1x8</vt:lpstr>
      <vt:lpstr>1x9</vt:lpstr>
      <vt:lpstr>1x10</vt:lpstr>
      <vt:lpstr>2x3</vt:lpstr>
      <vt:lpstr>2x4</vt:lpstr>
      <vt:lpstr>2x5</vt:lpstr>
      <vt:lpstr>2x6</vt:lpstr>
      <vt:lpstr>2x7</vt:lpstr>
      <vt:lpstr>2x8</vt:lpstr>
      <vt:lpstr>2x9</vt:lpstr>
      <vt:lpstr>2x10</vt:lpstr>
      <vt:lpstr>3x4</vt:lpstr>
      <vt:lpstr>3x5</vt:lpstr>
      <vt:lpstr>3x6</vt:lpstr>
      <vt:lpstr>3x7</vt:lpstr>
      <vt:lpstr>3x8</vt:lpstr>
      <vt:lpstr>3x9</vt:lpstr>
      <vt:lpstr>3x10</vt:lpstr>
      <vt:lpstr>Strategy Summary</vt:lpstr>
      <vt:lpstr>Strategy Summary (2)</vt:lpstr>
      <vt:lpstr>Final</vt:lpstr>
      <vt:lpstr>Final!Print_Area</vt:lpstr>
      <vt:lpstr>Rules!Print_Area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Atipat Lorwong-ngam</dc:creator>
  <cp:lastModifiedBy>宗保 罗</cp:lastModifiedBy>
  <cp:lastPrinted>2019-10-25T21:30:37Z</cp:lastPrinted>
  <dcterms:created xsi:type="dcterms:W3CDTF">2015-03-11T15:17:04Z</dcterms:created>
  <dcterms:modified xsi:type="dcterms:W3CDTF">2019-10-26T09:18:50Z</dcterms:modified>
</cp:coreProperties>
</file>